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915" windowWidth="15330" windowHeight="3975" activeTab="1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 s="1"/>
  <c r="C8" i="16"/>
  <c r="E8" i="16"/>
  <c r="G8" i="16"/>
  <c r="C9" i="16"/>
  <c r="E9" i="16"/>
  <c r="G9" i="16"/>
  <c r="E10" i="16"/>
  <c r="I10" i="16"/>
  <c r="C12" i="16"/>
  <c r="E12" i="16"/>
  <c r="C13" i="16"/>
  <c r="E13" i="16"/>
  <c r="K13" i="16"/>
  <c r="C14" i="16"/>
  <c r="E14" i="16"/>
  <c r="I15" i="16"/>
  <c r="G17" i="16"/>
  <c r="C8" i="2"/>
  <c r="M10" i="2"/>
  <c r="N10" i="2" s="1"/>
  <c r="P10" i="2"/>
  <c r="C13" i="2"/>
  <c r="B14" i="2"/>
  <c r="C14" i="2"/>
  <c r="M14" i="2"/>
  <c r="R14" i="2"/>
  <c r="R17" i="2" s="1"/>
  <c r="N16" i="2"/>
  <c r="L19" i="2"/>
  <c r="N19" i="2" s="1"/>
  <c r="N14" i="2" s="1"/>
  <c r="M19" i="2"/>
  <c r="Q19" i="2"/>
  <c r="Q14" i="2" s="1"/>
  <c r="Q17" i="2" s="1"/>
  <c r="R19" i="2"/>
  <c r="B22" i="2"/>
  <c r="C22" i="2"/>
  <c r="B23" i="2"/>
  <c r="C23" i="2"/>
  <c r="D23" i="2"/>
  <c r="M25" i="2"/>
  <c r="N25" i="2" s="1"/>
  <c r="P25" i="2" s="1"/>
  <c r="Q25" i="2" s="1"/>
  <c r="R25" i="2"/>
  <c r="L26" i="2"/>
  <c r="M26" i="2"/>
  <c r="N26" i="2"/>
  <c r="P26" i="2"/>
  <c r="Q26" i="2"/>
  <c r="R26" i="2"/>
  <c r="B28" i="2"/>
  <c r="C28" i="2"/>
  <c r="D28" i="2"/>
  <c r="B29" i="2"/>
  <c r="C29" i="2"/>
  <c r="D29" i="2"/>
  <c r="M29" i="2"/>
  <c r="N29" i="2"/>
  <c r="L30" i="2"/>
  <c r="N30" i="2"/>
  <c r="N17" i="2" s="1"/>
  <c r="L33" i="2"/>
  <c r="M33" i="2"/>
  <c r="N33" i="2"/>
  <c r="M35" i="2"/>
  <c r="N35" i="2"/>
  <c r="P35" i="2"/>
  <c r="Q35" i="2" s="1"/>
  <c r="R35" i="2" s="1"/>
  <c r="M36" i="2"/>
  <c r="N36" i="2"/>
  <c r="P36" i="2"/>
  <c r="Q36" i="2"/>
  <c r="R36" i="2"/>
  <c r="M50" i="2"/>
  <c r="N50" i="2"/>
  <c r="P50" i="2"/>
  <c r="Q50" i="2"/>
  <c r="R50" i="2"/>
  <c r="D56" i="2"/>
  <c r="E56" i="2"/>
  <c r="F56" i="2"/>
  <c r="D58" i="2"/>
  <c r="E58" i="2"/>
  <c r="F58" i="2" s="1"/>
  <c r="L80" i="2"/>
  <c r="M80" i="2"/>
  <c r="N80" i="2"/>
  <c r="P80" i="2"/>
  <c r="Q80" i="2"/>
  <c r="R80" i="2"/>
  <c r="F5" i="9"/>
  <c r="G5" i="9"/>
  <c r="H5" i="9" s="1"/>
  <c r="I5" i="9" s="1"/>
  <c r="J5" i="9"/>
  <c r="K5" i="9" s="1"/>
  <c r="L5" i="9" s="1"/>
  <c r="M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E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E31" i="9"/>
  <c r="I33" i="9"/>
  <c r="E34" i="9"/>
  <c r="E35" i="9"/>
  <c r="C49" i="9"/>
  <c r="C50" i="9"/>
  <c r="B53" i="9"/>
  <c r="C58" i="9"/>
  <c r="F60" i="9"/>
  <c r="G60" i="9" s="1"/>
  <c r="H60" i="9" s="1"/>
  <c r="I60" i="9" s="1"/>
  <c r="J60" i="9" s="1"/>
  <c r="K60" i="9" s="1"/>
  <c r="L60" i="9"/>
  <c r="M60" i="9" s="1"/>
  <c r="N60" i="9" s="1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E64" i="9"/>
  <c r="F5" i="10"/>
  <c r="G5" i="10"/>
  <c r="H5" i="10" s="1"/>
  <c r="I5" i="10" s="1"/>
  <c r="J5" i="10" s="1"/>
  <c r="K5" i="10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/>
  <c r="X5" i="10" s="1"/>
  <c r="Y5" i="10" s="1"/>
  <c r="Z5" i="10" s="1"/>
  <c r="E10" i="10"/>
  <c r="P17" i="10"/>
  <c r="Q17" i="10"/>
  <c r="U17" i="10"/>
  <c r="I33" i="10"/>
  <c r="E34" i="10"/>
  <c r="E35" i="10"/>
  <c r="C51" i="10"/>
  <c r="C52" i="10"/>
  <c r="B55" i="10"/>
  <c r="C60" i="10"/>
  <c r="F62" i="10"/>
  <c r="G62" i="10"/>
  <c r="H62" i="10"/>
  <c r="I62" i="10" s="1"/>
  <c r="J62" i="10" s="1"/>
  <c r="K62" i="10" s="1"/>
  <c r="L62" i="10" s="1"/>
  <c r="M62" i="10" s="1"/>
  <c r="N62" i="10" s="1"/>
  <c r="O62" i="10" s="1"/>
  <c r="P62" i="10" s="1"/>
  <c r="Q62" i="10" s="1"/>
  <c r="R62" i="10"/>
  <c r="S62" i="10" s="1"/>
  <c r="T62" i="10" s="1"/>
  <c r="U62" i="10" s="1"/>
  <c r="V62" i="10" s="1"/>
  <c r="W62" i="10" s="1"/>
  <c r="X62" i="10" s="1"/>
  <c r="Y62" i="10" s="1"/>
  <c r="Z62" i="10" s="1"/>
  <c r="E66" i="10"/>
  <c r="C75" i="10"/>
  <c r="C76" i="10"/>
  <c r="F5" i="12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E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E19" i="12"/>
  <c r="E20" i="12"/>
  <c r="E36" i="12"/>
  <c r="E39" i="12" s="1"/>
  <c r="C51" i="12"/>
  <c r="C52" i="12"/>
  <c r="B55" i="12"/>
  <c r="C60" i="12"/>
  <c r="C76" i="12" s="1"/>
  <c r="F62" i="12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C75" i="12"/>
  <c r="G7" i="5"/>
  <c r="H7" i="5" s="1"/>
  <c r="I7" i="5"/>
  <c r="J7" i="5"/>
  <c r="K7" i="5" s="1"/>
  <c r="L7" i="5" s="1"/>
  <c r="M7" i="5" s="1"/>
  <c r="N7" i="5" s="1"/>
  <c r="O7" i="5" s="1"/>
  <c r="P7" i="5" s="1"/>
  <c r="Q7" i="5" s="1"/>
  <c r="R7" i="5"/>
  <c r="S7" i="5" s="1"/>
  <c r="T7" i="5" s="1"/>
  <c r="U7" i="5" s="1"/>
  <c r="V7" i="5" s="1"/>
  <c r="W7" i="5" s="1"/>
  <c r="X7" i="5" s="1"/>
  <c r="Y7" i="5" s="1"/>
  <c r="Z7" i="5" s="1"/>
  <c r="AA7" i="5" s="1"/>
  <c r="G12" i="5"/>
  <c r="D103" i="6" s="1"/>
  <c r="AA15" i="5"/>
  <c r="AA16" i="5"/>
  <c r="F18" i="5"/>
  <c r="F22" i="5"/>
  <c r="F27" i="5"/>
  <c r="C29" i="5"/>
  <c r="F30" i="5"/>
  <c r="G36" i="5"/>
  <c r="H36" i="5" s="1"/>
  <c r="I36" i="5" s="1"/>
  <c r="J36" i="5" s="1"/>
  <c r="K36" i="5" s="1"/>
  <c r="L36" i="5" s="1"/>
  <c r="M36" i="5" s="1"/>
  <c r="N36" i="5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F39" i="5"/>
  <c r="E41" i="5"/>
  <c r="F41" i="5"/>
  <c r="F42" i="5"/>
  <c r="F44" i="5"/>
  <c r="C49" i="5"/>
  <c r="E49" i="5"/>
  <c r="F49" i="5"/>
  <c r="D50" i="5"/>
  <c r="F50" i="5"/>
  <c r="B55" i="5"/>
  <c r="F7" i="6"/>
  <c r="B30" i="2" s="1"/>
  <c r="L7" i="6"/>
  <c r="C30" i="2" s="1"/>
  <c r="R7" i="6"/>
  <c r="D30" i="2" s="1"/>
  <c r="R10" i="6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F21" i="6"/>
  <c r="L23" i="6"/>
  <c r="A28" i="6"/>
  <c r="B30" i="6"/>
  <c r="J31" i="6" s="1"/>
  <c r="C31" i="6"/>
  <c r="D31" i="6"/>
  <c r="D47" i="6" s="1"/>
  <c r="E31" i="6"/>
  <c r="G31" i="6"/>
  <c r="H31" i="6"/>
  <c r="I31" i="6"/>
  <c r="K31" i="6"/>
  <c r="L31" i="6"/>
  <c r="M31" i="6"/>
  <c r="N31" i="6"/>
  <c r="O31" i="6"/>
  <c r="P31" i="6"/>
  <c r="Q31" i="6"/>
  <c r="S31" i="6"/>
  <c r="T31" i="6"/>
  <c r="U31" i="6"/>
  <c r="V31" i="6"/>
  <c r="B33" i="6"/>
  <c r="B35" i="6" s="1"/>
  <c r="B38" i="6" s="1"/>
  <c r="B40" i="6" s="1"/>
  <c r="C36" i="6"/>
  <c r="D126" i="6" s="1"/>
  <c r="D36" i="6"/>
  <c r="E36" i="6"/>
  <c r="G36" i="6"/>
  <c r="I36" i="6"/>
  <c r="I47" i="6" s="1"/>
  <c r="J36" i="6"/>
  <c r="K36" i="6"/>
  <c r="L36" i="6"/>
  <c r="M36" i="6"/>
  <c r="N36" i="6"/>
  <c r="O36" i="6"/>
  <c r="Q36" i="6"/>
  <c r="Q47" i="6" s="1"/>
  <c r="R36" i="6"/>
  <c r="S36" i="6"/>
  <c r="T36" i="6"/>
  <c r="U36" i="6"/>
  <c r="V36" i="6"/>
  <c r="B41" i="6"/>
  <c r="B47" i="6"/>
  <c r="C47" i="6"/>
  <c r="G47" i="6"/>
  <c r="K47" i="6"/>
  <c r="L47" i="6"/>
  <c r="N47" i="6"/>
  <c r="O47" i="6"/>
  <c r="S47" i="6"/>
  <c r="T47" i="6"/>
  <c r="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R111" i="6" s="1"/>
  <c r="S48" i="6"/>
  <c r="T48" i="6"/>
  <c r="U48" i="6"/>
  <c r="V48" i="6"/>
  <c r="A51" i="6"/>
  <c r="B53" i="6"/>
  <c r="K54" i="6" s="1"/>
  <c r="C54" i="6"/>
  <c r="D54" i="6"/>
  <c r="E54" i="6"/>
  <c r="E70" i="6" s="1"/>
  <c r="G54" i="6"/>
  <c r="H54" i="6"/>
  <c r="I54" i="6"/>
  <c r="J54" i="6"/>
  <c r="L54" i="6"/>
  <c r="M54" i="6"/>
  <c r="N54" i="6"/>
  <c r="O54" i="6"/>
  <c r="P54" i="6"/>
  <c r="Q54" i="6"/>
  <c r="R54" i="6"/>
  <c r="T54" i="6"/>
  <c r="U54" i="6"/>
  <c r="U70" i="6" s="1"/>
  <c r="V54" i="6"/>
  <c r="B56" i="6"/>
  <c r="B58" i="6"/>
  <c r="C59" i="6"/>
  <c r="D59" i="6"/>
  <c r="E59" i="6"/>
  <c r="F59" i="6"/>
  <c r="F70" i="6" s="1"/>
  <c r="G59" i="6"/>
  <c r="G70" i="6" s="1"/>
  <c r="H59" i="6"/>
  <c r="I59" i="6"/>
  <c r="J59" i="6"/>
  <c r="K59" i="6"/>
  <c r="L59" i="6"/>
  <c r="V127" i="6" s="1"/>
  <c r="M59" i="6"/>
  <c r="N59" i="6"/>
  <c r="O59" i="6"/>
  <c r="O70" i="6" s="1"/>
  <c r="P59" i="6"/>
  <c r="Q59" i="6"/>
  <c r="R59" i="6"/>
  <c r="S59" i="6"/>
  <c r="T59" i="6"/>
  <c r="U59" i="6"/>
  <c r="V59" i="6"/>
  <c r="B61" i="6"/>
  <c r="B63" i="6" s="1"/>
  <c r="B64" i="6"/>
  <c r="B70" i="6"/>
  <c r="C70" i="6"/>
  <c r="H70" i="6"/>
  <c r="I70" i="6"/>
  <c r="J70" i="6"/>
  <c r="K70" i="6"/>
  <c r="P70" i="6"/>
  <c r="Q70" i="6"/>
  <c r="R70" i="6"/>
  <c r="T70" i="6"/>
  <c r="B71" i="6"/>
  <c r="C71" i="6"/>
  <c r="C111" i="6" s="1"/>
  <c r="D71" i="6"/>
  <c r="D111" i="6" s="1"/>
  <c r="E71" i="6"/>
  <c r="F71" i="6"/>
  <c r="G71" i="6"/>
  <c r="H71" i="6"/>
  <c r="I71" i="6"/>
  <c r="J71" i="6"/>
  <c r="K71" i="6"/>
  <c r="K111" i="6" s="1"/>
  <c r="L71" i="6"/>
  <c r="L111" i="6" s="1"/>
  <c r="M71" i="6"/>
  <c r="N71" i="6"/>
  <c r="O71" i="6"/>
  <c r="P71" i="6"/>
  <c r="Q71" i="6"/>
  <c r="R71" i="6"/>
  <c r="S71" i="6"/>
  <c r="S111" i="6" s="1"/>
  <c r="T71" i="6"/>
  <c r="T111" i="6" s="1"/>
  <c r="U71" i="6"/>
  <c r="V71" i="6"/>
  <c r="A74" i="6"/>
  <c r="B93" i="6"/>
  <c r="B110" i="6" s="1"/>
  <c r="C94" i="6"/>
  <c r="D94" i="6"/>
  <c r="E94" i="6"/>
  <c r="F94" i="6"/>
  <c r="G94" i="6"/>
  <c r="H94" i="6"/>
  <c r="I94" i="6"/>
  <c r="J94" i="6"/>
  <c r="K94" i="6"/>
  <c r="L94" i="6"/>
  <c r="M94" i="6"/>
  <c r="N94" i="6"/>
  <c r="N111" i="6" s="1"/>
  <c r="O94" i="6"/>
  <c r="O111" i="6" s="1"/>
  <c r="P94" i="6"/>
  <c r="Q94" i="6"/>
  <c r="R94" i="6"/>
  <c r="S94" i="6"/>
  <c r="T94" i="6"/>
  <c r="U94" i="6"/>
  <c r="V94" i="6"/>
  <c r="B99" i="6"/>
  <c r="B100" i="6"/>
  <c r="B101" i="6"/>
  <c r="B114" i="6" s="1"/>
  <c r="B104" i="6"/>
  <c r="B108" i="6"/>
  <c r="E111" i="6"/>
  <c r="G111" i="6"/>
  <c r="H111" i="6"/>
  <c r="I111" i="6"/>
  <c r="J111" i="6"/>
  <c r="M111" i="6"/>
  <c r="P111" i="6"/>
  <c r="Q111" i="6"/>
  <c r="U111" i="6"/>
  <c r="B123" i="6"/>
  <c r="D124" i="6" s="1"/>
  <c r="C124" i="6"/>
  <c r="E124" i="6"/>
  <c r="F124" i="6"/>
  <c r="G124" i="6"/>
  <c r="H124" i="6"/>
  <c r="I124" i="6"/>
  <c r="J124" i="6"/>
  <c r="K124" i="6"/>
  <c r="M124" i="6"/>
  <c r="N124" i="6"/>
  <c r="O124" i="6"/>
  <c r="P124" i="6"/>
  <c r="Q124" i="6"/>
  <c r="R124" i="6"/>
  <c r="S124" i="6"/>
  <c r="U124" i="6"/>
  <c r="V124" i="6"/>
  <c r="W124" i="6"/>
  <c r="X124" i="6"/>
  <c r="Y124" i="6"/>
  <c r="Z124" i="6"/>
  <c r="AA124" i="6"/>
  <c r="AC124" i="6"/>
  <c r="AD124" i="6"/>
  <c r="AE124" i="6"/>
  <c r="AF124" i="6"/>
  <c r="AG124" i="6"/>
  <c r="AH124" i="6"/>
  <c r="AI124" i="6"/>
  <c r="AK124" i="6"/>
  <c r="AL124" i="6"/>
  <c r="AM124" i="6"/>
  <c r="AN124" i="6"/>
  <c r="AO124" i="6"/>
  <c r="AP124" i="6"/>
  <c r="B126" i="6"/>
  <c r="C126" i="6"/>
  <c r="F126" i="6"/>
  <c r="G126" i="6"/>
  <c r="H126" i="6"/>
  <c r="K126" i="6"/>
  <c r="L126" i="6"/>
  <c r="M126" i="6"/>
  <c r="N126" i="6"/>
  <c r="O126" i="6"/>
  <c r="Q126" i="6"/>
  <c r="S126" i="6"/>
  <c r="T126" i="6"/>
  <c r="U126" i="6"/>
  <c r="V126" i="6"/>
  <c r="K127" i="6"/>
  <c r="L127" i="6"/>
  <c r="M127" i="6"/>
  <c r="N127" i="6"/>
  <c r="O127" i="6"/>
  <c r="P127" i="6"/>
  <c r="Q127" i="6"/>
  <c r="R127" i="6"/>
  <c r="T127" i="6"/>
  <c r="U127" i="6"/>
  <c r="D142" i="6"/>
  <c r="E142" i="6"/>
  <c r="F142" i="6"/>
  <c r="G142" i="6"/>
  <c r="H142" i="6"/>
  <c r="I142" i="6"/>
  <c r="J142" i="6"/>
  <c r="L142" i="6"/>
  <c r="M142" i="6"/>
  <c r="N142" i="6"/>
  <c r="O142" i="6"/>
  <c r="P142" i="6"/>
  <c r="Q142" i="6"/>
  <c r="R142" i="6"/>
  <c r="T142" i="6"/>
  <c r="U142" i="6"/>
  <c r="V142" i="6"/>
  <c r="W142" i="6"/>
  <c r="X142" i="6"/>
  <c r="Y142" i="6"/>
  <c r="Z142" i="6"/>
  <c r="AB142" i="6"/>
  <c r="AC142" i="6"/>
  <c r="AD142" i="6"/>
  <c r="B144" i="6"/>
  <c r="C144" i="6"/>
  <c r="D144" i="6"/>
  <c r="E144" i="6"/>
  <c r="G144" i="6"/>
  <c r="H144" i="6"/>
  <c r="I144" i="6"/>
  <c r="J144" i="6"/>
  <c r="L144" i="6"/>
  <c r="O144" i="6"/>
  <c r="P144" i="6"/>
  <c r="Q144" i="6"/>
  <c r="R144" i="6"/>
  <c r="T144" i="6"/>
  <c r="U144" i="6"/>
  <c r="K145" i="6"/>
  <c r="M145" i="6"/>
  <c r="O145" i="6"/>
  <c r="Q145" i="6"/>
  <c r="S145" i="6"/>
  <c r="U145" i="6"/>
  <c r="V145" i="6"/>
  <c r="W146" i="6"/>
  <c r="Y146" i="6"/>
  <c r="AA146" i="6"/>
  <c r="AC146" i="6"/>
  <c r="A164" i="6"/>
  <c r="B166" i="6"/>
  <c r="B169" i="6" s="1"/>
  <c r="B171" i="6" s="1"/>
  <c r="B174" i="6" s="1"/>
  <c r="B176" i="6" s="1"/>
  <c r="B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C184" i="6"/>
  <c r="D184" i="6"/>
  <c r="E184" i="6"/>
  <c r="F184" i="6"/>
  <c r="G184" i="6"/>
  <c r="H184" i="6"/>
  <c r="I184" i="6"/>
  <c r="I247" i="6" s="1"/>
  <c r="J184" i="6"/>
  <c r="J247" i="6" s="1"/>
  <c r="K184" i="6"/>
  <c r="L184" i="6"/>
  <c r="M184" i="6"/>
  <c r="N184" i="6"/>
  <c r="O184" i="6"/>
  <c r="P184" i="6"/>
  <c r="Q184" i="6"/>
  <c r="R184" i="6"/>
  <c r="R247" i="6" s="1"/>
  <c r="S184" i="6"/>
  <c r="T184" i="6"/>
  <c r="U184" i="6"/>
  <c r="V184" i="6"/>
  <c r="A187" i="6"/>
  <c r="B189" i="6"/>
  <c r="B192" i="6"/>
  <c r="B194" i="6" s="1"/>
  <c r="B197" i="6" s="1"/>
  <c r="B199" i="6" s="1"/>
  <c r="B200" i="6"/>
  <c r="B206" i="6"/>
  <c r="D206" i="6"/>
  <c r="E206" i="6"/>
  <c r="M206" i="6"/>
  <c r="N206" i="6"/>
  <c r="O206" i="6"/>
  <c r="P206" i="6"/>
  <c r="Q206" i="6"/>
  <c r="R206" i="6"/>
  <c r="S206" i="6"/>
  <c r="T206" i="6"/>
  <c r="U206" i="6"/>
  <c r="V206" i="6"/>
  <c r="C207" i="6"/>
  <c r="C247" i="6" s="1"/>
  <c r="D207" i="6"/>
  <c r="E207" i="6"/>
  <c r="F207" i="6"/>
  <c r="F247" i="6" s="1"/>
  <c r="G207" i="6"/>
  <c r="H207" i="6"/>
  <c r="I207" i="6"/>
  <c r="J207" i="6"/>
  <c r="K207" i="6"/>
  <c r="L207" i="6"/>
  <c r="M207" i="6"/>
  <c r="N207" i="6"/>
  <c r="N247" i="6" s="1"/>
  <c r="O207" i="6"/>
  <c r="P207" i="6"/>
  <c r="Q207" i="6"/>
  <c r="R207" i="6"/>
  <c r="S207" i="6"/>
  <c r="S247" i="6" s="1"/>
  <c r="T207" i="6"/>
  <c r="U207" i="6"/>
  <c r="V207" i="6"/>
  <c r="V247" i="6" s="1"/>
  <c r="A210" i="6"/>
  <c r="B212" i="6"/>
  <c r="B215" i="6"/>
  <c r="B217" i="6" s="1"/>
  <c r="B220" i="6"/>
  <c r="B222" i="6"/>
  <c r="B225" i="6" s="1"/>
  <c r="C212" i="6" s="1"/>
  <c r="B223" i="6"/>
  <c r="B224" i="6"/>
  <c r="B228" i="6" s="1"/>
  <c r="B229" i="6"/>
  <c r="D229" i="6"/>
  <c r="E229" i="6"/>
  <c r="F229" i="6"/>
  <c r="G229" i="6"/>
  <c r="H229" i="6"/>
  <c r="I229" i="6"/>
  <c r="J229" i="6"/>
  <c r="K229" i="6"/>
  <c r="L229" i="6"/>
  <c r="C230" i="6"/>
  <c r="D230" i="6"/>
  <c r="E230" i="6"/>
  <c r="F230" i="6"/>
  <c r="G230" i="6"/>
  <c r="H230" i="6"/>
  <c r="H247" i="6" s="1"/>
  <c r="I230" i="6"/>
  <c r="J230" i="6"/>
  <c r="K230" i="6"/>
  <c r="L230" i="6"/>
  <c r="M230" i="6"/>
  <c r="N230" i="6"/>
  <c r="O230" i="6"/>
  <c r="P230" i="6"/>
  <c r="P247" i="6" s="1"/>
  <c r="Q230" i="6"/>
  <c r="R230" i="6"/>
  <c r="S230" i="6"/>
  <c r="T230" i="6"/>
  <c r="U230" i="6"/>
  <c r="V230" i="6"/>
  <c r="B235" i="6"/>
  <c r="B236" i="6"/>
  <c r="B237" i="6"/>
  <c r="B250" i="6" s="1"/>
  <c r="D239" i="6"/>
  <c r="B244" i="6"/>
  <c r="B246" i="6"/>
  <c r="D247" i="6"/>
  <c r="E247" i="6"/>
  <c r="G247" i="6"/>
  <c r="K247" i="6"/>
  <c r="L247" i="6"/>
  <c r="M247" i="6"/>
  <c r="O247" i="6"/>
  <c r="Q247" i="6"/>
  <c r="T247" i="6"/>
  <c r="U247" i="6"/>
  <c r="G5" i="7"/>
  <c r="H7" i="7"/>
  <c r="B15" i="7"/>
  <c r="G15" i="7"/>
  <c r="G26" i="7" s="1"/>
  <c r="J15" i="7"/>
  <c r="J26" i="7" s="1"/>
  <c r="K15" i="7"/>
  <c r="L15" i="7"/>
  <c r="L26" i="7" s="1"/>
  <c r="P15" i="7"/>
  <c r="P26" i="7" s="1"/>
  <c r="S15" i="7"/>
  <c r="T15" i="7"/>
  <c r="T26" i="7" s="1"/>
  <c r="V15" i="7"/>
  <c r="B16" i="7"/>
  <c r="H16" i="7"/>
  <c r="H27" i="7" s="1"/>
  <c r="I16" i="7"/>
  <c r="J16" i="7"/>
  <c r="K16" i="7"/>
  <c r="K27" i="7" s="1"/>
  <c r="L16" i="7"/>
  <c r="M16" i="7"/>
  <c r="M27" i="7" s="1"/>
  <c r="N16" i="7"/>
  <c r="O16" i="7"/>
  <c r="P16" i="7"/>
  <c r="P27" i="7" s="1"/>
  <c r="Q16" i="7"/>
  <c r="R16" i="7"/>
  <c r="S16" i="7"/>
  <c r="T16" i="7"/>
  <c r="U16" i="7"/>
  <c r="U27" i="7" s="1"/>
  <c r="V16" i="7"/>
  <c r="W16" i="7"/>
  <c r="X16" i="7"/>
  <c r="Y16" i="7"/>
  <c r="Z16" i="7"/>
  <c r="AA16" i="7"/>
  <c r="AA27" i="7" s="1"/>
  <c r="B19" i="7"/>
  <c r="B42" i="2" s="1"/>
  <c r="H19" i="7"/>
  <c r="I19" i="7"/>
  <c r="J19" i="7"/>
  <c r="M19" i="7"/>
  <c r="N19" i="7"/>
  <c r="P19" i="7"/>
  <c r="Q19" i="7"/>
  <c r="R19" i="7"/>
  <c r="U19" i="7"/>
  <c r="V19" i="7"/>
  <c r="Y19" i="7"/>
  <c r="Z19" i="7"/>
  <c r="AC19" i="7"/>
  <c r="B26" i="7"/>
  <c r="K26" i="7"/>
  <c r="S26" i="7"/>
  <c r="V26" i="7"/>
  <c r="W26" i="7"/>
  <c r="X26" i="7"/>
  <c r="Y26" i="7"/>
  <c r="Z26" i="7"/>
  <c r="AA26" i="7"/>
  <c r="AB26" i="7"/>
  <c r="AC26" i="7"/>
  <c r="B27" i="7"/>
  <c r="I27" i="7"/>
  <c r="J27" i="7"/>
  <c r="L27" i="7"/>
  <c r="N27" i="7"/>
  <c r="O27" i="7"/>
  <c r="Q27" i="7"/>
  <c r="R27" i="7"/>
  <c r="S27" i="7"/>
  <c r="T27" i="7"/>
  <c r="V27" i="7"/>
  <c r="W27" i="7"/>
  <c r="Y27" i="7"/>
  <c r="Z27" i="7"/>
  <c r="AB27" i="7"/>
  <c r="AC27" i="7"/>
  <c r="B31" i="7"/>
  <c r="J31" i="7" s="1"/>
  <c r="Q31" i="7"/>
  <c r="V31" i="7"/>
  <c r="Z31" i="7"/>
  <c r="AA31" i="7"/>
  <c r="AG31" i="7"/>
  <c r="G37" i="7"/>
  <c r="J37" i="7"/>
  <c r="K37" i="7"/>
  <c r="L37" i="7"/>
  <c r="O37" i="7"/>
  <c r="R37" i="7"/>
  <c r="S37" i="7"/>
  <c r="T37" i="7"/>
  <c r="W37" i="7"/>
  <c r="Z37" i="7"/>
  <c r="AA37" i="7"/>
  <c r="AB37" i="7"/>
  <c r="H38" i="7"/>
  <c r="H41" i="7" s="1"/>
  <c r="I38" i="7"/>
  <c r="J38" i="7"/>
  <c r="K38" i="7"/>
  <c r="K41" i="7" s="1"/>
  <c r="L38" i="7"/>
  <c r="L41" i="7" s="1"/>
  <c r="M38" i="7"/>
  <c r="M41" i="7" s="1"/>
  <c r="N38" i="7"/>
  <c r="O38" i="7"/>
  <c r="P38" i="7"/>
  <c r="P41" i="7" s="1"/>
  <c r="Q38" i="7"/>
  <c r="R38" i="7"/>
  <c r="S38" i="7"/>
  <c r="S41" i="7" s="1"/>
  <c r="T38" i="7"/>
  <c r="U38" i="7"/>
  <c r="U41" i="7" s="1"/>
  <c r="V38" i="7"/>
  <c r="W38" i="7"/>
  <c r="X38" i="7"/>
  <c r="X41" i="7" s="1"/>
  <c r="Y38" i="7"/>
  <c r="Z38" i="7"/>
  <c r="AA38" i="7"/>
  <c r="AA41" i="7" s="1"/>
  <c r="AB38" i="7"/>
  <c r="AB41" i="7" s="1"/>
  <c r="AC38" i="7"/>
  <c r="AC41" i="7" s="1"/>
  <c r="B39" i="7"/>
  <c r="M37" i="7" s="1"/>
  <c r="C39" i="7"/>
  <c r="N37" i="7" s="1"/>
  <c r="B40" i="7"/>
  <c r="J41" i="7"/>
  <c r="O41" i="7"/>
  <c r="R41" i="7"/>
  <c r="T41" i="7"/>
  <c r="W41" i="7"/>
  <c r="Z41" i="7"/>
  <c r="B43" i="7"/>
  <c r="B46" i="2" s="1"/>
  <c r="B51" i="7"/>
  <c r="H51" i="7"/>
  <c r="I51" i="7"/>
  <c r="J51" i="7"/>
  <c r="J61" i="7" s="1"/>
  <c r="K51" i="7"/>
  <c r="K61" i="7" s="1"/>
  <c r="L51" i="7"/>
  <c r="M51" i="7"/>
  <c r="N51" i="7"/>
  <c r="O51" i="7"/>
  <c r="O61" i="7" s="1"/>
  <c r="P51" i="7"/>
  <c r="Q51" i="7"/>
  <c r="R51" i="7"/>
  <c r="R61" i="7" s="1"/>
  <c r="S51" i="7"/>
  <c r="S61" i="7" s="1"/>
  <c r="T51" i="7"/>
  <c r="U51" i="7"/>
  <c r="V51" i="7"/>
  <c r="W51" i="7"/>
  <c r="W61" i="7" s="1"/>
  <c r="B52" i="7"/>
  <c r="H52" i="7"/>
  <c r="I52" i="7"/>
  <c r="J52" i="7"/>
  <c r="K52" i="7"/>
  <c r="K62" i="7" s="1"/>
  <c r="L52" i="7"/>
  <c r="M52" i="7"/>
  <c r="N52" i="7"/>
  <c r="N55" i="7" s="1"/>
  <c r="O52" i="7"/>
  <c r="P52" i="7"/>
  <c r="Q52" i="7"/>
  <c r="R52" i="7"/>
  <c r="R73" i="7" s="1"/>
  <c r="S52" i="7"/>
  <c r="S62" i="7" s="1"/>
  <c r="T52" i="7"/>
  <c r="U52" i="7"/>
  <c r="V52" i="7"/>
  <c r="V55" i="7" s="1"/>
  <c r="W52" i="7"/>
  <c r="X52" i="7"/>
  <c r="Y52" i="7"/>
  <c r="Z52" i="7"/>
  <c r="AA52" i="7"/>
  <c r="AA62" i="7" s="1"/>
  <c r="B55" i="7"/>
  <c r="C42" i="2" s="1"/>
  <c r="G55" i="7"/>
  <c r="H55" i="7"/>
  <c r="K55" i="7"/>
  <c r="L55" i="7"/>
  <c r="M55" i="7"/>
  <c r="O55" i="7"/>
  <c r="P55" i="7"/>
  <c r="S55" i="7"/>
  <c r="T55" i="7"/>
  <c r="U55" i="7"/>
  <c r="W55" i="7"/>
  <c r="X55" i="7"/>
  <c r="AA55" i="7"/>
  <c r="AB55" i="7"/>
  <c r="AC55" i="7"/>
  <c r="B61" i="7"/>
  <c r="G61" i="7"/>
  <c r="H61" i="7"/>
  <c r="I61" i="7"/>
  <c r="L61" i="7"/>
  <c r="M61" i="7"/>
  <c r="N61" i="7"/>
  <c r="P61" i="7"/>
  <c r="Q61" i="7"/>
  <c r="T61" i="7"/>
  <c r="U61" i="7"/>
  <c r="V61" i="7"/>
  <c r="X61" i="7"/>
  <c r="Y61" i="7"/>
  <c r="Z61" i="7"/>
  <c r="AA61" i="7"/>
  <c r="AB61" i="7"/>
  <c r="AC61" i="7"/>
  <c r="B62" i="7"/>
  <c r="G62" i="7"/>
  <c r="H62" i="7"/>
  <c r="L62" i="7"/>
  <c r="M62" i="7"/>
  <c r="N62" i="7"/>
  <c r="O62" i="7"/>
  <c r="P62" i="7"/>
  <c r="Q62" i="7"/>
  <c r="T62" i="7"/>
  <c r="U62" i="7"/>
  <c r="V62" i="7"/>
  <c r="W62" i="7"/>
  <c r="X62" i="7"/>
  <c r="Y62" i="7"/>
  <c r="Y66" i="7" s="1"/>
  <c r="AB62" i="7"/>
  <c r="AC62" i="7"/>
  <c r="AC66" i="7" s="1"/>
  <c r="B66" i="7"/>
  <c r="L66" i="7"/>
  <c r="M66" i="7"/>
  <c r="T66" i="7"/>
  <c r="AB66" i="7"/>
  <c r="B72" i="7"/>
  <c r="C72" i="7"/>
  <c r="I72" i="7" s="1"/>
  <c r="J72" i="7"/>
  <c r="W72" i="7"/>
  <c r="Y72" i="7"/>
  <c r="B73" i="7"/>
  <c r="H73" i="7"/>
  <c r="J73" i="7"/>
  <c r="K73" i="7"/>
  <c r="L73" i="7"/>
  <c r="M73" i="7"/>
  <c r="M76" i="7" s="1"/>
  <c r="N73" i="7"/>
  <c r="O73" i="7"/>
  <c r="P73" i="7"/>
  <c r="S73" i="7"/>
  <c r="T73" i="7"/>
  <c r="U73" i="7"/>
  <c r="V73" i="7"/>
  <c r="W73" i="7"/>
  <c r="X73" i="7"/>
  <c r="X76" i="7" s="1"/>
  <c r="AA73" i="7"/>
  <c r="AB73" i="7"/>
  <c r="AC73" i="7"/>
  <c r="B76" i="7"/>
  <c r="G76" i="7" s="1"/>
  <c r="O76" i="7"/>
  <c r="T76" i="7"/>
  <c r="AB76" i="7"/>
  <c r="G10" i="15"/>
  <c r="H10" i="15"/>
  <c r="O10" i="15" s="1"/>
  <c r="I10" i="15"/>
  <c r="P10" i="15" s="1"/>
  <c r="J10" i="15"/>
  <c r="Q10" i="15" s="1"/>
  <c r="K10" i="15"/>
  <c r="L10" i="15"/>
  <c r="N10" i="15"/>
  <c r="R10" i="15"/>
  <c r="S10" i="15"/>
  <c r="AA10" i="15"/>
  <c r="AB10" i="15"/>
  <c r="AC10" i="15"/>
  <c r="AD10" i="15"/>
  <c r="AK10" i="15" s="1"/>
  <c r="AE10" i="15"/>
  <c r="AF10" i="15"/>
  <c r="AM10" i="15" s="1"/>
  <c r="AH10" i="15"/>
  <c r="AI10" i="15"/>
  <c r="AJ10" i="15"/>
  <c r="AL10" i="15"/>
  <c r="G11" i="15"/>
  <c r="H11" i="15"/>
  <c r="O11" i="15" s="1"/>
  <c r="I11" i="15"/>
  <c r="P11" i="15" s="1"/>
  <c r="J11" i="15"/>
  <c r="Q11" i="15" s="1"/>
  <c r="K11" i="15"/>
  <c r="R11" i="15" s="1"/>
  <c r="L11" i="15"/>
  <c r="N11" i="15"/>
  <c r="S11" i="15"/>
  <c r="AA11" i="15"/>
  <c r="AH11" i="15" s="1"/>
  <c r="AB11" i="15"/>
  <c r="AC11" i="15"/>
  <c r="AD11" i="15"/>
  <c r="AK11" i="15" s="1"/>
  <c r="AE11" i="15"/>
  <c r="AF11" i="15"/>
  <c r="AI11" i="15"/>
  <c r="AJ11" i="15"/>
  <c r="AL11" i="15"/>
  <c r="AM11" i="15"/>
  <c r="A12" i="15"/>
  <c r="G12" i="15"/>
  <c r="H12" i="15"/>
  <c r="O12" i="15" s="1"/>
  <c r="I12" i="15"/>
  <c r="J12" i="15"/>
  <c r="Q12" i="15" s="1"/>
  <c r="K12" i="15"/>
  <c r="L12" i="15"/>
  <c r="N12" i="15"/>
  <c r="P12" i="15"/>
  <c r="R12" i="15"/>
  <c r="S12" i="15"/>
  <c r="U12" i="15"/>
  <c r="AA12" i="15"/>
  <c r="AB12" i="15"/>
  <c r="AI12" i="15" s="1"/>
  <c r="AC12" i="15"/>
  <c r="AD12" i="15"/>
  <c r="AK12" i="15" s="1"/>
  <c r="AE12" i="15"/>
  <c r="AL12" i="15" s="1"/>
  <c r="AF12" i="15"/>
  <c r="AH12" i="15"/>
  <c r="AJ12" i="15"/>
  <c r="AM12" i="15"/>
  <c r="A13" i="15"/>
  <c r="G13" i="15"/>
  <c r="N13" i="15" s="1"/>
  <c r="H13" i="15"/>
  <c r="I13" i="15"/>
  <c r="J13" i="15"/>
  <c r="K13" i="15"/>
  <c r="L13" i="15"/>
  <c r="O13" i="15"/>
  <c r="P13" i="15"/>
  <c r="U13" i="15"/>
  <c r="AA13" i="15"/>
  <c r="AB13" i="15"/>
  <c r="AI13" i="15" s="1"/>
  <c r="AC13" i="15"/>
  <c r="AJ13" i="15" s="1"/>
  <c r="AD13" i="15"/>
  <c r="AE13" i="15"/>
  <c r="AL13" i="15" s="1"/>
  <c r="AF13" i="15"/>
  <c r="A14" i="15"/>
  <c r="AJ14" i="15" s="1"/>
  <c r="G14" i="15"/>
  <c r="H14" i="15"/>
  <c r="I14" i="15"/>
  <c r="P14" i="15" s="1"/>
  <c r="J14" i="15"/>
  <c r="K14" i="15"/>
  <c r="L14" i="15"/>
  <c r="R14" i="15"/>
  <c r="U14" i="15"/>
  <c r="U15" i="15" s="1"/>
  <c r="U16" i="15" s="1"/>
  <c r="AA14" i="15"/>
  <c r="AH14" i="15" s="1"/>
  <c r="AB14" i="15"/>
  <c r="AC14" i="15"/>
  <c r="AD14" i="15"/>
  <c r="AE14" i="15"/>
  <c r="AF14" i="15"/>
  <c r="AI14" i="15"/>
  <c r="AK14" i="15"/>
  <c r="G15" i="15"/>
  <c r="H15" i="15"/>
  <c r="I15" i="15"/>
  <c r="J15" i="15"/>
  <c r="K15" i="15"/>
  <c r="L15" i="15"/>
  <c r="AA15" i="15"/>
  <c r="AB15" i="15"/>
  <c r="AC15" i="15"/>
  <c r="AD15" i="15"/>
  <c r="AE15" i="15"/>
  <c r="AF15" i="15"/>
  <c r="G16" i="15"/>
  <c r="H16" i="15"/>
  <c r="I16" i="15"/>
  <c r="J16" i="15"/>
  <c r="K16" i="15"/>
  <c r="L16" i="15"/>
  <c r="AA16" i="15"/>
  <c r="AB16" i="15"/>
  <c r="AC16" i="15"/>
  <c r="AD16" i="15"/>
  <c r="AE16" i="15"/>
  <c r="AF16" i="15"/>
  <c r="G17" i="15"/>
  <c r="H17" i="15"/>
  <c r="I17" i="15"/>
  <c r="J17" i="15"/>
  <c r="K17" i="15"/>
  <c r="L17" i="15"/>
  <c r="U17" i="15"/>
  <c r="AA17" i="15"/>
  <c r="AB17" i="15"/>
  <c r="AC17" i="15"/>
  <c r="AD17" i="15"/>
  <c r="AE17" i="15"/>
  <c r="AF17" i="15"/>
  <c r="G18" i="15"/>
  <c r="H18" i="15"/>
  <c r="I18" i="15"/>
  <c r="J18" i="15"/>
  <c r="K18" i="15"/>
  <c r="L18" i="15"/>
  <c r="U18" i="15"/>
  <c r="U19" i="15" s="1"/>
  <c r="U20" i="15" s="1"/>
  <c r="U21" i="15" s="1"/>
  <c r="U22" i="15" s="1"/>
  <c r="AA18" i="15"/>
  <c r="AB18" i="15"/>
  <c r="AC18" i="15"/>
  <c r="AD18" i="15"/>
  <c r="AE18" i="15"/>
  <c r="AF18" i="15"/>
  <c r="G19" i="15"/>
  <c r="H19" i="15"/>
  <c r="I19" i="15"/>
  <c r="J19" i="15"/>
  <c r="K19" i="15"/>
  <c r="L19" i="15"/>
  <c r="AA19" i="15"/>
  <c r="AB19" i="15"/>
  <c r="AC19" i="15"/>
  <c r="AD19" i="15"/>
  <c r="AE19" i="15"/>
  <c r="AF19" i="15"/>
  <c r="G20" i="15"/>
  <c r="H20" i="15"/>
  <c r="I20" i="15"/>
  <c r="J20" i="15"/>
  <c r="K20" i="15"/>
  <c r="L20" i="15"/>
  <c r="AA20" i="15"/>
  <c r="AB20" i="15"/>
  <c r="AC20" i="15"/>
  <c r="AD20" i="15"/>
  <c r="AE20" i="15"/>
  <c r="AF20" i="15"/>
  <c r="G21" i="15"/>
  <c r="H21" i="15"/>
  <c r="I21" i="15"/>
  <c r="J21" i="15"/>
  <c r="K21" i="15"/>
  <c r="L21" i="15"/>
  <c r="AA21" i="15"/>
  <c r="AB21" i="15"/>
  <c r="AC21" i="15"/>
  <c r="AD21" i="15"/>
  <c r="AE21" i="15"/>
  <c r="AF21" i="15"/>
  <c r="G22" i="15"/>
  <c r="L27" i="2" s="1"/>
  <c r="H22" i="15"/>
  <c r="I22" i="15"/>
  <c r="J22" i="15"/>
  <c r="P27" i="2" s="1"/>
  <c r="K22" i="15"/>
  <c r="Q27" i="2" s="1"/>
  <c r="L22" i="15"/>
  <c r="AA22" i="15"/>
  <c r="AB22" i="15"/>
  <c r="AC22" i="15"/>
  <c r="AD22" i="15"/>
  <c r="AE22" i="15"/>
  <c r="AF22" i="15"/>
  <c r="G23" i="15"/>
  <c r="H23" i="15"/>
  <c r="I23" i="15"/>
  <c r="J23" i="15"/>
  <c r="K23" i="15"/>
  <c r="L23" i="15"/>
  <c r="AA23" i="15"/>
  <c r="AB23" i="15"/>
  <c r="AC23" i="15"/>
  <c r="AD23" i="15"/>
  <c r="AE23" i="15"/>
  <c r="AF23" i="15"/>
  <c r="G24" i="15"/>
  <c r="H24" i="15"/>
  <c r="I24" i="15"/>
  <c r="J24" i="15"/>
  <c r="K24" i="15"/>
  <c r="L24" i="15"/>
  <c r="AA24" i="15"/>
  <c r="AB24" i="15"/>
  <c r="AC24" i="15"/>
  <c r="AD24" i="15"/>
  <c r="AE24" i="15"/>
  <c r="AF24" i="15"/>
  <c r="G25" i="15"/>
  <c r="H25" i="15"/>
  <c r="I25" i="15"/>
  <c r="J25" i="15"/>
  <c r="K25" i="15"/>
  <c r="L25" i="15"/>
  <c r="AA25" i="15"/>
  <c r="AB25" i="15"/>
  <c r="AC25" i="15"/>
  <c r="AD25" i="15"/>
  <c r="AE25" i="15"/>
  <c r="AF25" i="15"/>
  <c r="G26" i="15"/>
  <c r="H26" i="15"/>
  <c r="I26" i="15"/>
  <c r="J26" i="15"/>
  <c r="K26" i="15"/>
  <c r="L26" i="15"/>
  <c r="AA26" i="15"/>
  <c r="AB26" i="15"/>
  <c r="AC26" i="15"/>
  <c r="AD26" i="15"/>
  <c r="AE26" i="15"/>
  <c r="AF26" i="15"/>
  <c r="G27" i="15"/>
  <c r="H27" i="15"/>
  <c r="I27" i="15"/>
  <c r="J27" i="15"/>
  <c r="K27" i="15"/>
  <c r="L27" i="15"/>
  <c r="AA27" i="15"/>
  <c r="AB27" i="15"/>
  <c r="AC27" i="15"/>
  <c r="AD27" i="15"/>
  <c r="AE27" i="15"/>
  <c r="AF27" i="15"/>
  <c r="G28" i="15"/>
  <c r="H28" i="15"/>
  <c r="I28" i="15"/>
  <c r="J28" i="15"/>
  <c r="K28" i="15"/>
  <c r="L28" i="15"/>
  <c r="AA28" i="15"/>
  <c r="AB28" i="15"/>
  <c r="AC28" i="15"/>
  <c r="AD28" i="15"/>
  <c r="AE28" i="15"/>
  <c r="AF28" i="15"/>
  <c r="G29" i="15"/>
  <c r="H29" i="15"/>
  <c r="I29" i="15"/>
  <c r="J29" i="15"/>
  <c r="K29" i="15"/>
  <c r="L29" i="15"/>
  <c r="AA29" i="15"/>
  <c r="AB29" i="15"/>
  <c r="AC29" i="15"/>
  <c r="AD29" i="15"/>
  <c r="AE29" i="15"/>
  <c r="AF29" i="15"/>
  <c r="G30" i="15"/>
  <c r="H30" i="15"/>
  <c r="I30" i="15"/>
  <c r="J30" i="15"/>
  <c r="K30" i="15"/>
  <c r="L30" i="15"/>
  <c r="AA30" i="15"/>
  <c r="AB30" i="15"/>
  <c r="AC30" i="15"/>
  <c r="AD30" i="15"/>
  <c r="AE30" i="15"/>
  <c r="AF30" i="15"/>
  <c r="G31" i="15"/>
  <c r="H31" i="15"/>
  <c r="I31" i="15"/>
  <c r="J31" i="15"/>
  <c r="K31" i="15"/>
  <c r="L31" i="15"/>
  <c r="AA31" i="15"/>
  <c r="AB31" i="15"/>
  <c r="AC31" i="15"/>
  <c r="AD31" i="15"/>
  <c r="AE31" i="15"/>
  <c r="AF31" i="15"/>
  <c r="G32" i="15"/>
  <c r="H32" i="15"/>
  <c r="I32" i="15"/>
  <c r="J32" i="15"/>
  <c r="K32" i="15"/>
  <c r="L32" i="15"/>
  <c r="AA32" i="15"/>
  <c r="AB32" i="15"/>
  <c r="AC32" i="15"/>
  <c r="AD32" i="15"/>
  <c r="AE32" i="15"/>
  <c r="AF32" i="15"/>
  <c r="G33" i="15"/>
  <c r="H33" i="15"/>
  <c r="I33" i="15"/>
  <c r="J33" i="15"/>
  <c r="K33" i="15"/>
  <c r="L33" i="15"/>
  <c r="AA33" i="15"/>
  <c r="AB33" i="15"/>
  <c r="AC33" i="15"/>
  <c r="AD33" i="15"/>
  <c r="AE33" i="15"/>
  <c r="AF33" i="15"/>
  <c r="G34" i="15"/>
  <c r="H34" i="15"/>
  <c r="I34" i="15"/>
  <c r="J34" i="15"/>
  <c r="K34" i="15"/>
  <c r="L34" i="15"/>
  <c r="AA34" i="15"/>
  <c r="AB34" i="15"/>
  <c r="AC34" i="15"/>
  <c r="AD34" i="15"/>
  <c r="AE34" i="15"/>
  <c r="AF34" i="15"/>
  <c r="G35" i="15"/>
  <c r="H35" i="15"/>
  <c r="I35" i="15"/>
  <c r="J35" i="15"/>
  <c r="K35" i="15"/>
  <c r="L35" i="15"/>
  <c r="AA35" i="15"/>
  <c r="AB35" i="15"/>
  <c r="AC35" i="15"/>
  <c r="AD35" i="15"/>
  <c r="AE35" i="15"/>
  <c r="AF35" i="15"/>
  <c r="H2" i="18"/>
  <c r="I2" i="18"/>
  <c r="J2" i="18" s="1"/>
  <c r="AV18" i="18"/>
  <c r="F20" i="18"/>
  <c r="F25" i="18" s="1"/>
  <c r="F39" i="18" s="1"/>
  <c r="AT27" i="18"/>
  <c r="AU27" i="18"/>
  <c r="F34" i="18"/>
  <c r="D36" i="18"/>
  <c r="E36" i="18"/>
  <c r="F36" i="18"/>
  <c r="F37" i="18"/>
  <c r="B43" i="18"/>
  <c r="E44" i="18"/>
  <c r="C56" i="18"/>
  <c r="C57" i="18"/>
  <c r="J58" i="18"/>
  <c r="K58" i="18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AB58" i="18" s="1"/>
  <c r="AC58" i="18" s="1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E4" i="4"/>
  <c r="F4" i="4"/>
  <c r="G4" i="4" s="1"/>
  <c r="H4" i="4" s="1"/>
  <c r="I4" i="4" s="1"/>
  <c r="J4" i="4" s="1"/>
  <c r="K4" i="4" s="1"/>
  <c r="L4" i="4" s="1"/>
  <c r="M4" i="4" s="1"/>
  <c r="N4" i="4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J9" i="4"/>
  <c r="P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D14" i="4"/>
  <c r="E14" i="4"/>
  <c r="F14" i="4"/>
  <c r="G14" i="4"/>
  <c r="D15" i="4"/>
  <c r="E15" i="4"/>
  <c r="F15" i="4"/>
  <c r="G15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D33" i="4"/>
  <c r="F5" i="11"/>
  <c r="G5" i="11"/>
  <c r="H5" i="11"/>
  <c r="I5" i="11"/>
  <c r="J5" i="11" s="1"/>
  <c r="K5" i="1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E10" i="11"/>
  <c r="G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I33" i="11"/>
  <c r="E34" i="11"/>
  <c r="E35" i="11"/>
  <c r="D34" i="4" s="1"/>
  <c r="C51" i="11"/>
  <c r="C52" i="11"/>
  <c r="B55" i="11"/>
  <c r="C60" i="11"/>
  <c r="F62" i="11"/>
  <c r="G62" i="11" s="1"/>
  <c r="H62" i="11" s="1"/>
  <c r="I62" i="11" s="1"/>
  <c r="J62" i="11"/>
  <c r="K62" i="11" s="1"/>
  <c r="L62" i="11" s="1"/>
  <c r="M62" i="11" s="1"/>
  <c r="N62" i="11" s="1"/>
  <c r="O62" i="11" s="1"/>
  <c r="P62" i="11" s="1"/>
  <c r="Q62" i="11" s="1"/>
  <c r="R62" i="11" s="1"/>
  <c r="S62" i="11" s="1"/>
  <c r="T62" i="11" s="1"/>
  <c r="U62" i="11" s="1"/>
  <c r="V62" i="11" s="1"/>
  <c r="W62" i="11" s="1"/>
  <c r="X62" i="11" s="1"/>
  <c r="Y62" i="11" s="1"/>
  <c r="Z62" i="11" s="1"/>
  <c r="E66" i="11"/>
  <c r="Z66" i="11"/>
  <c r="C6" i="3"/>
  <c r="F9" i="3"/>
  <c r="G9" i="3"/>
  <c r="F23" i="3"/>
  <c r="G23" i="3"/>
  <c r="H23" i="3"/>
  <c r="I23" i="3"/>
  <c r="C25" i="3"/>
  <c r="G25" i="3"/>
  <c r="F42" i="3"/>
  <c r="G42" i="3"/>
  <c r="H42" i="3"/>
  <c r="I42" i="3"/>
  <c r="C44" i="3"/>
  <c r="F44" i="3"/>
  <c r="G44" i="3"/>
  <c r="F54" i="3"/>
  <c r="F57" i="3" s="1"/>
  <c r="F61" i="3"/>
  <c r="F63" i="3" s="1"/>
  <c r="G61" i="3"/>
  <c r="H61" i="3"/>
  <c r="I61" i="3"/>
  <c r="I10" i="13" s="1"/>
  <c r="C63" i="3"/>
  <c r="G63" i="3"/>
  <c r="H63" i="3"/>
  <c r="B46" i="1"/>
  <c r="L52" i="2" s="1"/>
  <c r="C46" i="1"/>
  <c r="D46" i="1"/>
  <c r="F46" i="1"/>
  <c r="D20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F5" i="13"/>
  <c r="G5" i="13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F10" i="13"/>
  <c r="G10" i="13"/>
  <c r="H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J11" i="13"/>
  <c r="I9" i="4" s="1"/>
  <c r="K11" i="13"/>
  <c r="L11" i="13"/>
  <c r="M11" i="13"/>
  <c r="L9" i="4" s="1"/>
  <c r="N11" i="13"/>
  <c r="M9" i="4" s="1"/>
  <c r="O11" i="13"/>
  <c r="P11" i="13"/>
  <c r="O9" i="4" s="1"/>
  <c r="Q11" i="13"/>
  <c r="R11" i="13"/>
  <c r="Q9" i="4" s="1"/>
  <c r="S11" i="13"/>
  <c r="R9" i="4" s="1"/>
  <c r="T11" i="13"/>
  <c r="S9" i="4" s="1"/>
  <c r="U11" i="13"/>
  <c r="V11" i="13"/>
  <c r="U9" i="4" s="1"/>
  <c r="W11" i="13"/>
  <c r="X11" i="13"/>
  <c r="W9" i="4" s="1"/>
  <c r="Y11" i="13"/>
  <c r="X9" i="4" s="1"/>
  <c r="Z11" i="13"/>
  <c r="Y9" i="4" s="1"/>
  <c r="E36" i="13"/>
  <c r="C51" i="13"/>
  <c r="C52" i="13"/>
  <c r="B55" i="13"/>
  <c r="C60" i="13"/>
  <c r="C76" i="13" s="1"/>
  <c r="F62" i="13"/>
  <c r="G62" i="13" s="1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Z66" i="13"/>
  <c r="F87" i="13"/>
  <c r="F89" i="13" s="1"/>
  <c r="G87" i="13"/>
  <c r="G89" i="13" s="1"/>
  <c r="F5" i="14"/>
  <c r="G5" i="14"/>
  <c r="H5" i="14"/>
  <c r="I5" i="14"/>
  <c r="J5" i="14" s="1"/>
  <c r="K5" i="14" s="1"/>
  <c r="L5" i="14" s="1"/>
  <c r="M5" i="14" s="1"/>
  <c r="N5" i="14" s="1"/>
  <c r="O5" i="14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F10" i="14"/>
  <c r="G10" i="14"/>
  <c r="I10" i="14"/>
  <c r="E19" i="14"/>
  <c r="E20" i="14" s="1"/>
  <c r="E39" i="14" s="1"/>
  <c r="E64" i="14" s="1"/>
  <c r="E67" i="14" s="1"/>
  <c r="E72" i="14" s="1"/>
  <c r="E36" i="14"/>
  <c r="C51" i="14"/>
  <c r="C52" i="14"/>
  <c r="B55" i="14"/>
  <c r="C60" i="14"/>
  <c r="C76" i="14" s="1"/>
  <c r="F62" i="14"/>
  <c r="G62" i="14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Z66" i="14"/>
  <c r="C75" i="14"/>
  <c r="T9" i="4" l="1"/>
  <c r="V9" i="4"/>
  <c r="N9" i="4"/>
  <c r="H10" i="9"/>
  <c r="H10" i="12"/>
  <c r="H10" i="11"/>
  <c r="H25" i="3"/>
  <c r="E76" i="14"/>
  <c r="K9" i="4"/>
  <c r="I10" i="12"/>
  <c r="I10" i="9"/>
  <c r="I10" i="11"/>
  <c r="E19" i="13"/>
  <c r="E20" i="13" s="1"/>
  <c r="E39" i="13" s="1"/>
  <c r="H9" i="3"/>
  <c r="H36" i="3" s="1"/>
  <c r="H39" i="3" s="1"/>
  <c r="G36" i="3"/>
  <c r="G39" i="3" s="1"/>
  <c r="G16" i="3"/>
  <c r="G19" i="3" s="1"/>
  <c r="F55" i="3"/>
  <c r="F58" i="3" s="1"/>
  <c r="F17" i="3"/>
  <c r="F20" i="3" s="1"/>
  <c r="G54" i="3"/>
  <c r="G57" i="3" s="1"/>
  <c r="F16" i="3"/>
  <c r="F19" i="3" s="1"/>
  <c r="G17" i="3"/>
  <c r="G20" i="3" s="1"/>
  <c r="H54" i="3"/>
  <c r="H57" i="3" s="1"/>
  <c r="H55" i="3"/>
  <c r="H58" i="3" s="1"/>
  <c r="F35" i="3"/>
  <c r="F38" i="3" s="1"/>
  <c r="F36" i="3"/>
  <c r="F39" i="3" s="1"/>
  <c r="G55" i="3"/>
  <c r="G58" i="3" s="1"/>
  <c r="H16" i="3"/>
  <c r="H19" i="3" s="1"/>
  <c r="G35" i="3"/>
  <c r="G38" i="3" s="1"/>
  <c r="C75" i="13"/>
  <c r="Z87" i="13"/>
  <c r="Z89" i="13" s="1"/>
  <c r="Z91" i="13" s="1"/>
  <c r="H44" i="3"/>
  <c r="H10" i="14"/>
  <c r="C215" i="6"/>
  <c r="C217" i="6" s="1"/>
  <c r="C214" i="6"/>
  <c r="R52" i="2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F35" i="9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M52" i="2"/>
  <c r="L39" i="2"/>
  <c r="Q52" i="2"/>
  <c r="F34" i="9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N52" i="2"/>
  <c r="P52" i="2"/>
  <c r="F35" i="1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Y35" i="11" s="1"/>
  <c r="Z35" i="11" s="1"/>
  <c r="C76" i="11"/>
  <c r="C75" i="11"/>
  <c r="E44" i="14"/>
  <c r="E49" i="14" s="1"/>
  <c r="F10" i="9"/>
  <c r="F10" i="10"/>
  <c r="F10" i="12"/>
  <c r="F25" i="3"/>
  <c r="F10" i="11"/>
  <c r="D8" i="4"/>
  <c r="M27" i="2"/>
  <c r="U23" i="15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N56" i="2"/>
  <c r="M62" i="2"/>
  <c r="N63" i="2"/>
  <c r="P64" i="2"/>
  <c r="R62" i="2"/>
  <c r="R56" i="2"/>
  <c r="L62" i="2"/>
  <c r="N62" i="2"/>
  <c r="R63" i="2"/>
  <c r="Q62" i="2"/>
  <c r="M64" i="2"/>
  <c r="P56" i="2"/>
  <c r="M63" i="2"/>
  <c r="R64" i="2"/>
  <c r="L56" i="2"/>
  <c r="Q63" i="2"/>
  <c r="M56" i="2"/>
  <c r="L64" i="2"/>
  <c r="P62" i="2"/>
  <c r="P63" i="2"/>
  <c r="Q56" i="2"/>
  <c r="L63" i="2"/>
  <c r="N64" i="2"/>
  <c r="Q64" i="2"/>
  <c r="B50" i="18"/>
  <c r="B75" i="18"/>
  <c r="D44" i="18" s="1"/>
  <c r="K2" i="18"/>
  <c r="L2" i="18" s="1"/>
  <c r="N27" i="2"/>
  <c r="G10" i="9"/>
  <c r="G10" i="12"/>
  <c r="AK13" i="15"/>
  <c r="AA76" i="7"/>
  <c r="AC72" i="7"/>
  <c r="B178" i="6"/>
  <c r="B182" i="6" s="1"/>
  <c r="B179" i="6"/>
  <c r="C166" i="6" s="1"/>
  <c r="P76" i="7"/>
  <c r="V66" i="7"/>
  <c r="B42" i="6"/>
  <c r="B43" i="6"/>
  <c r="C30" i="6" s="1"/>
  <c r="Q14" i="15"/>
  <c r="A15" i="15"/>
  <c r="N14" i="15"/>
  <c r="AL14" i="15"/>
  <c r="H72" i="7"/>
  <c r="O72" i="7"/>
  <c r="AB72" i="7"/>
  <c r="R72" i="7"/>
  <c r="N72" i="7"/>
  <c r="Z72" i="7"/>
  <c r="Q72" i="7"/>
  <c r="U72" i="7"/>
  <c r="V72" i="7"/>
  <c r="M72" i="7"/>
  <c r="R15" i="15"/>
  <c r="AM14" i="15"/>
  <c r="O14" i="15"/>
  <c r="S13" i="15"/>
  <c r="AH13" i="15"/>
  <c r="AM13" i="15"/>
  <c r="Q13" i="15"/>
  <c r="Q15" i="15"/>
  <c r="C46" i="2"/>
  <c r="W76" i="7"/>
  <c r="L76" i="7"/>
  <c r="N76" i="7"/>
  <c r="H76" i="7"/>
  <c r="V76" i="7"/>
  <c r="R76" i="7"/>
  <c r="C229" i="6"/>
  <c r="B230" i="6"/>
  <c r="B65" i="6"/>
  <c r="B69" i="6" s="1"/>
  <c r="B66" i="6"/>
  <c r="C53" i="6" s="1"/>
  <c r="K144" i="6"/>
  <c r="S127" i="6"/>
  <c r="R13" i="15"/>
  <c r="U76" i="7"/>
  <c r="G66" i="7"/>
  <c r="O66" i="7"/>
  <c r="W66" i="7"/>
  <c r="H66" i="7"/>
  <c r="P66" i="7"/>
  <c r="X66" i="7"/>
  <c r="Z66" i="7"/>
  <c r="K66" i="7"/>
  <c r="S66" i="7"/>
  <c r="AA66" i="7"/>
  <c r="Q66" i="7"/>
  <c r="U66" i="7"/>
  <c r="N66" i="7"/>
  <c r="Z62" i="7"/>
  <c r="Z55" i="7"/>
  <c r="Z73" i="7"/>
  <c r="Z76" i="7" s="1"/>
  <c r="R62" i="7"/>
  <c r="R66" i="7" s="1"/>
  <c r="R55" i="7"/>
  <c r="J62" i="7"/>
  <c r="J66" i="7" s="1"/>
  <c r="J55" i="7"/>
  <c r="K31" i="7"/>
  <c r="X27" i="7"/>
  <c r="X19" i="7"/>
  <c r="S14" i="15"/>
  <c r="K76" i="7"/>
  <c r="Y73" i="7"/>
  <c r="Y76" i="7" s="1"/>
  <c r="Y55" i="7"/>
  <c r="Q73" i="7"/>
  <c r="Q76" i="7" s="1"/>
  <c r="Q55" i="7"/>
  <c r="I73" i="7"/>
  <c r="I76" i="7" s="1"/>
  <c r="I55" i="7"/>
  <c r="I62" i="7"/>
  <c r="I66" i="7" s="1"/>
  <c r="R27" i="2"/>
  <c r="N15" i="15"/>
  <c r="AC76" i="7"/>
  <c r="S76" i="7"/>
  <c r="J76" i="7"/>
  <c r="L31" i="7"/>
  <c r="T31" i="7"/>
  <c r="AB31" i="7"/>
  <c r="M31" i="7"/>
  <c r="U31" i="7"/>
  <c r="AC31" i="7"/>
  <c r="O31" i="7"/>
  <c r="W31" i="7"/>
  <c r="H31" i="7"/>
  <c r="P31" i="7"/>
  <c r="X31" i="7"/>
  <c r="S31" i="7"/>
  <c r="I31" i="7"/>
  <c r="Y31" i="7"/>
  <c r="N31" i="7"/>
  <c r="R31" i="7"/>
  <c r="B202" i="6"/>
  <c r="C189" i="6" s="1"/>
  <c r="B201" i="6"/>
  <c r="B205" i="6" s="1"/>
  <c r="E126" i="6"/>
  <c r="P72" i="7"/>
  <c r="X72" i="7"/>
  <c r="K72" i="7"/>
  <c r="S72" i="7"/>
  <c r="AA72" i="7"/>
  <c r="L72" i="7"/>
  <c r="T72" i="7"/>
  <c r="M15" i="7"/>
  <c r="M26" i="7" s="1"/>
  <c r="U15" i="7"/>
  <c r="U26" i="7" s="1"/>
  <c r="N15" i="7"/>
  <c r="N26" i="7" s="1"/>
  <c r="O15" i="7"/>
  <c r="O26" i="7" s="1"/>
  <c r="G16" i="7"/>
  <c r="H15" i="7"/>
  <c r="H26" i="7" s="1"/>
  <c r="Q15" i="7"/>
  <c r="Q26" i="7" s="1"/>
  <c r="I15" i="7"/>
  <c r="I26" i="7" s="1"/>
  <c r="R15" i="7"/>
  <c r="R26" i="7" s="1"/>
  <c r="B207" i="6"/>
  <c r="C206" i="6"/>
  <c r="Y41" i="7"/>
  <c r="Q41" i="7"/>
  <c r="I41" i="7"/>
  <c r="Y37" i="7"/>
  <c r="Q37" i="7"/>
  <c r="I37" i="7"/>
  <c r="W19" i="7"/>
  <c r="O19" i="7"/>
  <c r="G19" i="7"/>
  <c r="X37" i="7"/>
  <c r="P37" i="7"/>
  <c r="H37" i="7"/>
  <c r="J47" i="6"/>
  <c r="V41" i="7"/>
  <c r="N41" i="7"/>
  <c r="V37" i="7"/>
  <c r="AB19" i="7"/>
  <c r="T19" i="7"/>
  <c r="L19" i="7"/>
  <c r="V111" i="6"/>
  <c r="F111" i="6"/>
  <c r="AC37" i="7"/>
  <c r="U37" i="7"/>
  <c r="AA19" i="7"/>
  <c r="S19" i="7"/>
  <c r="K19" i="7"/>
  <c r="L70" i="6"/>
  <c r="M47" i="6"/>
  <c r="D22" i="2"/>
  <c r="B76" i="6"/>
  <c r="B23" i="6"/>
  <c r="A24" i="6" s="1"/>
  <c r="N70" i="6"/>
  <c r="N144" i="6"/>
  <c r="D70" i="6"/>
  <c r="F144" i="6"/>
  <c r="V70" i="6"/>
  <c r="V144" i="6"/>
  <c r="M70" i="6"/>
  <c r="M144" i="6"/>
  <c r="E47" i="6"/>
  <c r="F51" i="5"/>
  <c r="U47" i="6"/>
  <c r="F36" i="6"/>
  <c r="A22" i="6"/>
  <c r="F31" i="6"/>
  <c r="AA142" i="6"/>
  <c r="S142" i="6"/>
  <c r="K142" i="6"/>
  <c r="C142" i="6"/>
  <c r="AJ124" i="6"/>
  <c r="AB124" i="6"/>
  <c r="T124" i="6"/>
  <c r="L124" i="6"/>
  <c r="B132" i="6" s="1"/>
  <c r="L9" i="6" s="1"/>
  <c r="C25" i="2" s="1"/>
  <c r="Z64" i="9"/>
  <c r="Z66" i="10"/>
  <c r="E44" i="12"/>
  <c r="E49" i="12" s="1"/>
  <c r="E64" i="12"/>
  <c r="E67" i="12" s="1"/>
  <c r="E72" i="12" s="1"/>
  <c r="E76" i="12" s="1"/>
  <c r="S54" i="6"/>
  <c r="P36" i="6"/>
  <c r="H36" i="6"/>
  <c r="R31" i="6"/>
  <c r="Z66" i="12"/>
  <c r="R59" i="2"/>
  <c r="V17" i="10"/>
  <c r="X17" i="10"/>
  <c r="I17" i="10"/>
  <c r="Y17" i="10"/>
  <c r="M17" i="10"/>
  <c r="N17" i="10"/>
  <c r="C75" i="9"/>
  <c r="C76" i="9"/>
  <c r="N59" i="2"/>
  <c r="M16" i="2"/>
  <c r="M58" i="2" s="1"/>
  <c r="M30" i="2"/>
  <c r="E11" i="10"/>
  <c r="P33" i="2"/>
  <c r="Q10" i="2"/>
  <c r="K17" i="10"/>
  <c r="S17" i="10"/>
  <c r="L17" i="10"/>
  <c r="T17" i="10"/>
  <c r="O17" i="10"/>
  <c r="W17" i="10"/>
  <c r="J17" i="10"/>
  <c r="R17" i="10"/>
  <c r="Z17" i="10"/>
  <c r="M34" i="2"/>
  <c r="N58" i="2"/>
  <c r="I17" i="16"/>
  <c r="K12" i="16"/>
  <c r="K14" i="16"/>
  <c r="E15" i="16"/>
  <c r="Q59" i="2"/>
  <c r="C17" i="16"/>
  <c r="L14" i="2"/>
  <c r="P19" i="2"/>
  <c r="K7" i="16"/>
  <c r="K9" i="16"/>
  <c r="K8" i="16"/>
  <c r="N34" i="2"/>
  <c r="E44" i="13" l="1"/>
  <c r="E49" i="13" s="1"/>
  <c r="E64" i="13"/>
  <c r="E67" i="13" s="1"/>
  <c r="E72" i="13" s="1"/>
  <c r="E76" i="13" s="1"/>
  <c r="A73" i="2"/>
  <c r="F59" i="5"/>
  <c r="F61" i="5" s="1"/>
  <c r="F65" i="5"/>
  <c r="F67" i="5" s="1"/>
  <c r="E28" i="11"/>
  <c r="F28" i="1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E22" i="2"/>
  <c r="E29" i="2"/>
  <c r="L77" i="2"/>
  <c r="L89" i="2"/>
  <c r="F25" i="9"/>
  <c r="E25" i="9"/>
  <c r="E29" i="9"/>
  <c r="F29" i="9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G30" i="14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F30" i="14"/>
  <c r="R77" i="2"/>
  <c r="R89" i="2"/>
  <c r="G25" i="14"/>
  <c r="F25" i="14"/>
  <c r="C220" i="6"/>
  <c r="C222" i="6" s="1"/>
  <c r="C219" i="6"/>
  <c r="C227" i="6" s="1"/>
  <c r="C237" i="6" s="1"/>
  <c r="K15" i="16"/>
  <c r="J126" i="6"/>
  <c r="E28" i="2"/>
  <c r="O15" i="15"/>
  <c r="AL15" i="15"/>
  <c r="A16" i="15"/>
  <c r="AH15" i="15"/>
  <c r="AI15" i="15"/>
  <c r="AJ15" i="15"/>
  <c r="AM15" i="15"/>
  <c r="P15" i="15"/>
  <c r="AK15" i="15"/>
  <c r="Q77" i="2"/>
  <c r="Q89" i="2"/>
  <c r="F25" i="13"/>
  <c r="G25" i="13"/>
  <c r="E29" i="10"/>
  <c r="F29" i="10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G28" i="14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F28" i="14"/>
  <c r="F30" i="13"/>
  <c r="G30" i="13"/>
  <c r="E54" i="14"/>
  <c r="E75" i="14" s="1"/>
  <c r="E51" i="14"/>
  <c r="Q33" i="2"/>
  <c r="R10" i="2"/>
  <c r="R33" i="2" s="1"/>
  <c r="E51" i="12"/>
  <c r="E54" i="12" s="1"/>
  <c r="E75" i="12" s="1"/>
  <c r="F28" i="9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E28" i="9"/>
  <c r="R17" i="12"/>
  <c r="Z17" i="12"/>
  <c r="K17" i="12"/>
  <c r="N17" i="12"/>
  <c r="V17" i="12"/>
  <c r="O17" i="12"/>
  <c r="J33" i="12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I33" i="12"/>
  <c r="Y17" i="12"/>
  <c r="K10" i="16"/>
  <c r="J17" i="9"/>
  <c r="R17" i="9"/>
  <c r="Z17" i="9"/>
  <c r="L16" i="2"/>
  <c r="N17" i="9"/>
  <c r="V17" i="9"/>
  <c r="L17" i="9"/>
  <c r="W17" i="9"/>
  <c r="L34" i="2"/>
  <c r="O17" i="9"/>
  <c r="Y17" i="9"/>
  <c r="S17" i="9"/>
  <c r="T17" i="9"/>
  <c r="U17" i="9"/>
  <c r="K17" i="9"/>
  <c r="Q17" i="9"/>
  <c r="L17" i="2"/>
  <c r="E11" i="9"/>
  <c r="F11" i="9"/>
  <c r="G11" i="9" s="1"/>
  <c r="H11" i="9" s="1"/>
  <c r="I17" i="9"/>
  <c r="M17" i="9"/>
  <c r="P17" i="9"/>
  <c r="X17" i="9"/>
  <c r="M17" i="2"/>
  <c r="K10" i="10"/>
  <c r="S10" i="10"/>
  <c r="L10" i="10"/>
  <c r="T10" i="10"/>
  <c r="G10" i="10"/>
  <c r="O10" i="10"/>
  <c r="W10" i="10"/>
  <c r="J10" i="10"/>
  <c r="R10" i="10"/>
  <c r="Z10" i="10"/>
  <c r="V10" i="10"/>
  <c r="H10" i="10"/>
  <c r="X10" i="10"/>
  <c r="I10" i="10"/>
  <c r="Y10" i="10"/>
  <c r="M10" i="10"/>
  <c r="G11" i="10"/>
  <c r="N10" i="10"/>
  <c r="P10" i="10"/>
  <c r="Q10" i="10"/>
  <c r="U10" i="10"/>
  <c r="R47" i="6"/>
  <c r="R126" i="6"/>
  <c r="G29" i="12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F29" i="12"/>
  <c r="P77" i="2"/>
  <c r="P89" i="2"/>
  <c r="G25" i="12"/>
  <c r="F25" i="12"/>
  <c r="F30" i="12"/>
  <c r="G30" i="12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G34" i="12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F35" i="12"/>
  <c r="G35" i="12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F34" i="12"/>
  <c r="F35" i="14"/>
  <c r="F34" i="14"/>
  <c r="G34" i="14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G35" i="14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G29" i="13"/>
  <c r="F29" i="13"/>
  <c r="P14" i="2"/>
  <c r="P34" i="2" s="1"/>
  <c r="J33" i="10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F34" i="10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I9" i="3"/>
  <c r="H35" i="3"/>
  <c r="H38" i="3" s="1"/>
  <c r="C9" i="2"/>
  <c r="E26" i="11"/>
  <c r="F26" i="11"/>
  <c r="E26" i="10"/>
  <c r="H47" i="6"/>
  <c r="S15" i="15"/>
  <c r="F44" i="18"/>
  <c r="F28" i="12"/>
  <c r="G28" i="12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E30" i="10"/>
  <c r="F30" i="10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F29" i="1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E29" i="11"/>
  <c r="D28" i="4" s="1"/>
  <c r="H17" i="3"/>
  <c r="H20" i="3" s="1"/>
  <c r="J33" i="11"/>
  <c r="K33" i="11" s="1"/>
  <c r="L33" i="11" s="1"/>
  <c r="M33" i="11" s="1"/>
  <c r="N33" i="11" s="1"/>
  <c r="O33" i="11" s="1"/>
  <c r="P33" i="11" s="1"/>
  <c r="Q33" i="11" s="1"/>
  <c r="R33" i="11" s="1"/>
  <c r="S33" i="11" s="1"/>
  <c r="T33" i="11" s="1"/>
  <c r="U33" i="11" s="1"/>
  <c r="V33" i="11" s="1"/>
  <c r="W33" i="11" s="1"/>
  <c r="X33" i="11" s="1"/>
  <c r="Y33" i="11" s="1"/>
  <c r="Z33" i="11" s="1"/>
  <c r="F34" i="1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 s="1"/>
  <c r="V34" i="11" s="1"/>
  <c r="W34" i="11" s="1"/>
  <c r="X34" i="11" s="1"/>
  <c r="Y34" i="11" s="1"/>
  <c r="Z34" i="11" s="1"/>
  <c r="E17" i="16"/>
  <c r="G12" i="16"/>
  <c r="G14" i="16"/>
  <c r="F30" i="1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E30" i="11"/>
  <c r="D29" i="4" s="1"/>
  <c r="E30" i="2"/>
  <c r="G17" i="8"/>
  <c r="O17" i="8"/>
  <c r="W17" i="8"/>
  <c r="K17" i="8"/>
  <c r="S17" i="8"/>
  <c r="F17" i="8"/>
  <c r="Q17" i="8"/>
  <c r="H17" i="8"/>
  <c r="R17" i="8"/>
  <c r="I17" i="8"/>
  <c r="T17" i="8"/>
  <c r="J17" i="8"/>
  <c r="U17" i="8"/>
  <c r="E17" i="8"/>
  <c r="M17" i="8"/>
  <c r="L17" i="8"/>
  <c r="V17" i="8"/>
  <c r="D17" i="8"/>
  <c r="Y17" i="8"/>
  <c r="N17" i="8"/>
  <c r="P17" i="8"/>
  <c r="X17" i="8"/>
  <c r="G13" i="16"/>
  <c r="P47" i="6"/>
  <c r="P126" i="6"/>
  <c r="AG13" i="18"/>
  <c r="C56" i="6"/>
  <c r="C58" i="6" s="1"/>
  <c r="C55" i="6"/>
  <c r="C168" i="6"/>
  <c r="M2" i="18"/>
  <c r="N2" i="18" s="1"/>
  <c r="F30" i="9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E30" i="9"/>
  <c r="F28" i="13"/>
  <c r="E27" i="4" s="1"/>
  <c r="G28" i="13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E28" i="10"/>
  <c r="N60" i="2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Q91" i="2"/>
  <c r="Q78" i="2"/>
  <c r="F26" i="13"/>
  <c r="C191" i="6"/>
  <c r="C192" i="6"/>
  <c r="C194" i="6" s="1"/>
  <c r="B46" i="6"/>
  <c r="E8" i="4"/>
  <c r="N39" i="2"/>
  <c r="P39" i="2"/>
  <c r="Q39" i="2"/>
  <c r="R39" i="2"/>
  <c r="M39" i="2"/>
  <c r="F47" i="6"/>
  <c r="J15" i="5"/>
  <c r="I126" i="6"/>
  <c r="B131" i="6" s="1"/>
  <c r="F9" i="6" s="1"/>
  <c r="B25" i="2" s="1"/>
  <c r="N78" i="2"/>
  <c r="N91" i="2"/>
  <c r="G26" i="11"/>
  <c r="H26" i="11" s="1"/>
  <c r="R91" i="2"/>
  <c r="R78" i="2"/>
  <c r="F26" i="14"/>
  <c r="G26" i="14" s="1"/>
  <c r="H26" i="14" s="1"/>
  <c r="M60" i="2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S70" i="6"/>
  <c r="S144" i="6"/>
  <c r="B149" i="6" s="1"/>
  <c r="F77" i="6"/>
  <c r="F93" i="6" s="1"/>
  <c r="F110" i="6" s="1"/>
  <c r="O77" i="6"/>
  <c r="E82" i="6"/>
  <c r="K13" i="18" s="1"/>
  <c r="M82" i="6"/>
  <c r="U82" i="6"/>
  <c r="B87" i="6"/>
  <c r="G77" i="6"/>
  <c r="P77" i="6"/>
  <c r="F82" i="6"/>
  <c r="M13" i="18" s="1"/>
  <c r="N82" i="6"/>
  <c r="H77" i="6"/>
  <c r="Q77" i="6"/>
  <c r="G82" i="6"/>
  <c r="O13" i="18" s="1"/>
  <c r="O82" i="6"/>
  <c r="I77" i="6"/>
  <c r="R77" i="6"/>
  <c r="H82" i="6"/>
  <c r="Q13" i="18" s="1"/>
  <c r="P82" i="6"/>
  <c r="AD128" i="6" s="1"/>
  <c r="N77" i="6"/>
  <c r="L82" i="6"/>
  <c r="S77" i="6"/>
  <c r="Q82" i="6"/>
  <c r="D77" i="6"/>
  <c r="U77" i="6"/>
  <c r="C82" i="6"/>
  <c r="S82" i="6"/>
  <c r="K77" i="6"/>
  <c r="J82" i="6"/>
  <c r="U13" i="18" s="1"/>
  <c r="E77" i="6"/>
  <c r="T82" i="6"/>
  <c r="J77" i="6"/>
  <c r="B79" i="6"/>
  <c r="B81" i="6" s="1"/>
  <c r="B84" i="6" s="1"/>
  <c r="B86" i="6" s="1"/>
  <c r="T77" i="6"/>
  <c r="D82" i="6"/>
  <c r="I13" i="18" s="1"/>
  <c r="C77" i="6"/>
  <c r="M77" i="6"/>
  <c r="I82" i="6"/>
  <c r="S13" i="18" s="1"/>
  <c r="R82" i="6"/>
  <c r="K82" i="6"/>
  <c r="W13" i="18" s="1"/>
  <c r="G38" i="7"/>
  <c r="G41" i="7" s="1"/>
  <c r="G27" i="7"/>
  <c r="G31" i="7" s="1"/>
  <c r="C32" i="6"/>
  <c r="C33" i="6"/>
  <c r="C35" i="6" s="1"/>
  <c r="B245" i="6"/>
  <c r="M77" i="2"/>
  <c r="M89" i="2"/>
  <c r="E25" i="10"/>
  <c r="F25" i="10"/>
  <c r="G29" i="14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F29" i="14"/>
  <c r="N89" i="2"/>
  <c r="N77" i="2"/>
  <c r="F25" i="11"/>
  <c r="E25" i="11"/>
  <c r="F35" i="13"/>
  <c r="E34" i="4" s="1"/>
  <c r="F34" i="13"/>
  <c r="G34" i="13"/>
  <c r="G35" i="13"/>
  <c r="P60" i="2" l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V15" i="4"/>
  <c r="L13" i="18"/>
  <c r="Y15" i="4"/>
  <c r="U15" i="4"/>
  <c r="Y8" i="4"/>
  <c r="C37" i="6"/>
  <c r="C38" i="6"/>
  <c r="C40" i="6" s="1"/>
  <c r="B88" i="6"/>
  <c r="B89" i="6"/>
  <c r="C76" i="6" s="1"/>
  <c r="AG128" i="6"/>
  <c r="R93" i="6"/>
  <c r="R110" i="6" s="1"/>
  <c r="J8" i="4"/>
  <c r="G25" i="10"/>
  <c r="R145" i="6"/>
  <c r="J93" i="6"/>
  <c r="J110" i="6" s="1"/>
  <c r="N15" i="5"/>
  <c r="AB128" i="6"/>
  <c r="AE13" i="18"/>
  <c r="F11" i="11"/>
  <c r="I11" i="11"/>
  <c r="G11" i="11"/>
  <c r="C204" i="6"/>
  <c r="C236" i="6" s="1"/>
  <c r="C60" i="6"/>
  <c r="C61" i="6"/>
  <c r="C63" i="6" s="1"/>
  <c r="X8" i="4"/>
  <c r="V8" i="4"/>
  <c r="I17" i="12"/>
  <c r="U17" i="12"/>
  <c r="J17" i="12"/>
  <c r="I15" i="4" s="1"/>
  <c r="H25" i="14"/>
  <c r="Z128" i="6"/>
  <c r="AC13" i="18"/>
  <c r="Q8" i="4"/>
  <c r="AC128" i="6"/>
  <c r="P93" i="6"/>
  <c r="P110" i="6" s="1"/>
  <c r="T15" i="5"/>
  <c r="L8" i="4"/>
  <c r="M59" i="2"/>
  <c r="I11" i="10"/>
  <c r="G93" i="6"/>
  <c r="G110" i="6" s="1"/>
  <c r="N13" i="18" s="1"/>
  <c r="L145" i="6"/>
  <c r="K15" i="5"/>
  <c r="D24" i="4"/>
  <c r="W128" i="6"/>
  <c r="M93" i="6"/>
  <c r="M110" i="6" s="1"/>
  <c r="Q15" i="5"/>
  <c r="E93" i="6"/>
  <c r="E110" i="6" s="1"/>
  <c r="J13" i="18" s="1"/>
  <c r="I15" i="5"/>
  <c r="S93" i="6"/>
  <c r="S110" i="6" s="1"/>
  <c r="AI128" i="6"/>
  <c r="W15" i="5"/>
  <c r="B94" i="6"/>
  <c r="B111" i="6" s="1"/>
  <c r="B177" i="6" s="1"/>
  <c r="B184" i="6" s="1"/>
  <c r="B247" i="6" s="1"/>
  <c r="B25" i="6"/>
  <c r="K33" i="10"/>
  <c r="H8" i="4"/>
  <c r="N8" i="4"/>
  <c r="X17" i="12"/>
  <c r="M17" i="12"/>
  <c r="G25" i="9"/>
  <c r="AK128" i="6"/>
  <c r="T93" i="6"/>
  <c r="T110" i="6" s="1"/>
  <c r="X15" i="5"/>
  <c r="J9" i="3"/>
  <c r="I36" i="3"/>
  <c r="I39" i="3" s="1"/>
  <c r="I35" i="3"/>
  <c r="I38" i="3" s="1"/>
  <c r="I44" i="3" s="1"/>
  <c r="I16" i="3"/>
  <c r="I19" i="3" s="1"/>
  <c r="I25" i="3" s="1"/>
  <c r="I55" i="3"/>
  <c r="I58" i="3" s="1"/>
  <c r="I54" i="3"/>
  <c r="I57" i="3" s="1"/>
  <c r="I63" i="3" s="1"/>
  <c r="I17" i="3"/>
  <c r="I20" i="3" s="1"/>
  <c r="M8" i="4"/>
  <c r="R8" i="4"/>
  <c r="H11" i="10"/>
  <c r="R34" i="2"/>
  <c r="I17" i="14"/>
  <c r="Q17" i="14"/>
  <c r="P15" i="4" s="1"/>
  <c r="Y17" i="14"/>
  <c r="R17" i="14"/>
  <c r="J17" i="14"/>
  <c r="Z17" i="14"/>
  <c r="L17" i="14"/>
  <c r="T17" i="14"/>
  <c r="S17" i="14"/>
  <c r="I33" i="14"/>
  <c r="I15" i="14"/>
  <c r="N17" i="14"/>
  <c r="P17" i="14"/>
  <c r="U17" i="14"/>
  <c r="V17" i="14"/>
  <c r="W17" i="14"/>
  <c r="X17" i="14"/>
  <c r="K17" i="14"/>
  <c r="M17" i="14"/>
  <c r="O17" i="14"/>
  <c r="J33" i="14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H128" i="6"/>
  <c r="AK13" i="18"/>
  <c r="C197" i="6"/>
  <c r="C199" i="6" s="1"/>
  <c r="C196" i="6"/>
  <c r="C225" i="6"/>
  <c r="D212" i="6" s="1"/>
  <c r="C224" i="6"/>
  <c r="AL128" i="6"/>
  <c r="AO13" i="18"/>
  <c r="L93" i="6"/>
  <c r="L110" i="6" s="1"/>
  <c r="Y13" i="18"/>
  <c r="P15" i="5"/>
  <c r="AE128" i="6"/>
  <c r="Q93" i="6"/>
  <c r="Q110" i="6" s="1"/>
  <c r="U15" i="5"/>
  <c r="AN128" i="6"/>
  <c r="AQ13" i="18"/>
  <c r="G26" i="13"/>
  <c r="P17" i="2"/>
  <c r="F11" i="12"/>
  <c r="T8" i="4"/>
  <c r="W8" i="4"/>
  <c r="F8" i="4"/>
  <c r="T15" i="4"/>
  <c r="W17" i="12"/>
  <c r="T17" i="12"/>
  <c r="F29" i="4"/>
  <c r="H30" i="13"/>
  <c r="H25" i="13"/>
  <c r="F24" i="4"/>
  <c r="D27" i="4"/>
  <c r="O93" i="6"/>
  <c r="O110" i="6" s="1"/>
  <c r="AA128" i="6"/>
  <c r="S15" i="5"/>
  <c r="F27" i="4"/>
  <c r="H28" i="13"/>
  <c r="AM128" i="6"/>
  <c r="U93" i="6"/>
  <c r="U110" i="6" s="1"/>
  <c r="Y15" i="5"/>
  <c r="H25" i="12"/>
  <c r="C45" i="6"/>
  <c r="P145" i="6"/>
  <c r="I93" i="6"/>
  <c r="I110" i="6" s="1"/>
  <c r="M15" i="5"/>
  <c r="Q34" i="2"/>
  <c r="N17" i="13"/>
  <c r="M15" i="4" s="1"/>
  <c r="V17" i="13"/>
  <c r="O17" i="13"/>
  <c r="N15" i="4" s="1"/>
  <c r="W17" i="13"/>
  <c r="P17" i="13"/>
  <c r="X17" i="13"/>
  <c r="I17" i="13"/>
  <c r="Q17" i="13"/>
  <c r="Y17" i="13"/>
  <c r="X15" i="4" s="1"/>
  <c r="L17" i="13"/>
  <c r="M17" i="13"/>
  <c r="I15" i="13"/>
  <c r="H87" i="13" s="1"/>
  <c r="H89" i="13" s="1"/>
  <c r="U17" i="13"/>
  <c r="K17" i="13"/>
  <c r="J15" i="4" s="1"/>
  <c r="J33" i="13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R17" i="13"/>
  <c r="Q15" i="4" s="1"/>
  <c r="T17" i="13"/>
  <c r="I33" i="13"/>
  <c r="H32" i="4" s="1"/>
  <c r="S17" i="13"/>
  <c r="J17" i="13"/>
  <c r="Z17" i="13"/>
  <c r="AF128" i="6"/>
  <c r="AI13" i="18"/>
  <c r="G25" i="11"/>
  <c r="C93" i="6"/>
  <c r="C110" i="6" s="1"/>
  <c r="E13" i="18"/>
  <c r="E15" i="5"/>
  <c r="N93" i="6"/>
  <c r="N110" i="6" s="1"/>
  <c r="Y128" i="6"/>
  <c r="R15" i="5"/>
  <c r="X128" i="6"/>
  <c r="AA13" i="18"/>
  <c r="F11" i="10"/>
  <c r="O2" i="18"/>
  <c r="P2" i="18" s="1"/>
  <c r="C228" i="6"/>
  <c r="C11" i="2"/>
  <c r="E28" i="4"/>
  <c r="P8" i="4"/>
  <c r="G8" i="4"/>
  <c r="S8" i="4"/>
  <c r="Q17" i="12"/>
  <c r="L17" i="12"/>
  <c r="E29" i="4"/>
  <c r="E24" i="4"/>
  <c r="D9" i="4"/>
  <c r="G13" i="18"/>
  <c r="G15" i="5"/>
  <c r="I11" i="13"/>
  <c r="F11" i="13"/>
  <c r="D93" i="6"/>
  <c r="D110" i="6" s="1"/>
  <c r="H15" i="5"/>
  <c r="V15" i="5"/>
  <c r="I8" i="4"/>
  <c r="I11" i="9"/>
  <c r="L59" i="2"/>
  <c r="L60" i="2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F34" i="4"/>
  <c r="H35" i="13"/>
  <c r="F33" i="4"/>
  <c r="H34" i="13"/>
  <c r="H13" i="18"/>
  <c r="T145" i="6"/>
  <c r="K93" i="6"/>
  <c r="K110" i="6" s="1"/>
  <c r="O15" i="5"/>
  <c r="H93" i="6"/>
  <c r="H110" i="6" s="1"/>
  <c r="N145" i="6"/>
  <c r="L15" i="5"/>
  <c r="E33" i="4"/>
  <c r="AJ128" i="6"/>
  <c r="AM13" i="18"/>
  <c r="I26" i="11"/>
  <c r="F11" i="14"/>
  <c r="I11" i="14"/>
  <c r="F79" i="18"/>
  <c r="F28" i="4"/>
  <c r="H29" i="13"/>
  <c r="O8" i="4"/>
  <c r="U8" i="4"/>
  <c r="K8" i="4"/>
  <c r="P17" i="12"/>
  <c r="O15" i="4" s="1"/>
  <c r="S17" i="12"/>
  <c r="AJ16" i="15"/>
  <c r="A17" i="15"/>
  <c r="Q16" i="15"/>
  <c r="R16" i="15"/>
  <c r="AH16" i="15"/>
  <c r="AK16" i="15"/>
  <c r="S16" i="15"/>
  <c r="O16" i="15"/>
  <c r="AM16" i="15"/>
  <c r="AL16" i="15"/>
  <c r="AI16" i="15"/>
  <c r="N16" i="15"/>
  <c r="P16" i="15"/>
  <c r="E51" i="13"/>
  <c r="E54" i="13" s="1"/>
  <c r="E75" i="13" s="1"/>
  <c r="C69" i="6" l="1"/>
  <c r="H26" i="13"/>
  <c r="B150" i="6"/>
  <c r="G28" i="4"/>
  <c r="I29" i="13"/>
  <c r="B11" i="2"/>
  <c r="G14" i="2"/>
  <c r="B8" i="2"/>
  <c r="AA66" i="5"/>
  <c r="C99" i="6"/>
  <c r="G24" i="4"/>
  <c r="I25" i="13"/>
  <c r="C78" i="6"/>
  <c r="C79" i="6"/>
  <c r="C81" i="6" s="1"/>
  <c r="G33" i="4"/>
  <c r="I34" i="13"/>
  <c r="L91" i="2"/>
  <c r="F26" i="9"/>
  <c r="I26" i="9"/>
  <c r="L78" i="2"/>
  <c r="E26" i="9"/>
  <c r="G11" i="13"/>
  <c r="B9" i="2"/>
  <c r="H25" i="11"/>
  <c r="G27" i="4"/>
  <c r="I28" i="13"/>
  <c r="G11" i="12"/>
  <c r="H15" i="4"/>
  <c r="B136" i="6"/>
  <c r="B92" i="6"/>
  <c r="E16" i="5"/>
  <c r="G11" i="14"/>
  <c r="E9" i="4"/>
  <c r="I25" i="14"/>
  <c r="P59" i="2"/>
  <c r="I11" i="12"/>
  <c r="H9" i="4"/>
  <c r="I15" i="9"/>
  <c r="I15" i="10"/>
  <c r="I15" i="11"/>
  <c r="I15" i="12"/>
  <c r="G34" i="4"/>
  <c r="I35" i="13"/>
  <c r="C68" i="6"/>
  <c r="C100" i="6" s="1"/>
  <c r="S15" i="4"/>
  <c r="L15" i="4"/>
  <c r="I32" i="4"/>
  <c r="R60" i="2"/>
  <c r="K9" i="3"/>
  <c r="J35" i="3"/>
  <c r="J38" i="3" s="1"/>
  <c r="J44" i="3" s="1"/>
  <c r="J15" i="14" s="1"/>
  <c r="J17" i="3"/>
  <c r="J20" i="3" s="1"/>
  <c r="J54" i="3"/>
  <c r="J57" i="3" s="1"/>
  <c r="J63" i="3" s="1"/>
  <c r="J15" i="13" s="1"/>
  <c r="J16" i="3"/>
  <c r="J19" i="3" s="1"/>
  <c r="J25" i="3" s="1"/>
  <c r="J55" i="3"/>
  <c r="J58" i="3" s="1"/>
  <c r="J36" i="3"/>
  <c r="J39" i="3" s="1"/>
  <c r="C65" i="6"/>
  <c r="C66" i="6"/>
  <c r="D53" i="6" s="1"/>
  <c r="V25" i="6"/>
  <c r="A26" i="6" s="1"/>
  <c r="Q60" i="2"/>
  <c r="G29" i="4"/>
  <c r="I30" i="13"/>
  <c r="H11" i="11"/>
  <c r="C42" i="6"/>
  <c r="C46" i="6" s="1"/>
  <c r="C43" i="6"/>
  <c r="D30" i="6" s="1"/>
  <c r="O17" i="15"/>
  <c r="A18" i="15"/>
  <c r="P17" i="15"/>
  <c r="Q17" i="15"/>
  <c r="AM17" i="15"/>
  <c r="S17" i="15"/>
  <c r="AH17" i="15"/>
  <c r="AK17" i="15"/>
  <c r="AL17" i="15"/>
  <c r="N17" i="15"/>
  <c r="AJ17" i="15"/>
  <c r="AI17" i="15"/>
  <c r="R17" i="15"/>
  <c r="K15" i="4"/>
  <c r="P13" i="18"/>
  <c r="Q2" i="18"/>
  <c r="R2" i="18" s="1"/>
  <c r="D214" i="6"/>
  <c r="D215" i="6"/>
  <c r="D217" i="6" s="1"/>
  <c r="H25" i="9"/>
  <c r="M91" i="2"/>
  <c r="M78" i="2"/>
  <c r="G26" i="10"/>
  <c r="H26" i="10" s="1"/>
  <c r="I26" i="10"/>
  <c r="F26" i="10"/>
  <c r="R15" i="4"/>
  <c r="I25" i="12"/>
  <c r="C202" i="6"/>
  <c r="D189" i="6" s="1"/>
  <c r="C201" i="6"/>
  <c r="C205" i="6" s="1"/>
  <c r="W15" i="4"/>
  <c r="L33" i="10"/>
  <c r="J32" i="4"/>
  <c r="H25" i="10"/>
  <c r="M33" i="10" l="1"/>
  <c r="K32" i="4"/>
  <c r="C83" i="6"/>
  <c r="C84" i="6"/>
  <c r="C86" i="6" s="1"/>
  <c r="D25" i="4"/>
  <c r="C91" i="6"/>
  <c r="C101" i="6" s="1"/>
  <c r="B138" i="6"/>
  <c r="E14" i="5" s="1"/>
  <c r="E14" i="18"/>
  <c r="C104" i="6"/>
  <c r="C108" i="6"/>
  <c r="J29" i="13"/>
  <c r="H28" i="4"/>
  <c r="R13" i="18"/>
  <c r="S2" i="18"/>
  <c r="T2" i="18" s="1"/>
  <c r="D191" i="6"/>
  <c r="D192" i="6"/>
  <c r="D194" i="6" s="1"/>
  <c r="H11" i="13"/>
  <c r="O18" i="15"/>
  <c r="Q18" i="15"/>
  <c r="N18" i="15"/>
  <c r="A19" i="15"/>
  <c r="AK18" i="15"/>
  <c r="AJ18" i="15"/>
  <c r="AL18" i="15"/>
  <c r="AM18" i="15"/>
  <c r="AH18" i="15"/>
  <c r="S18" i="15"/>
  <c r="AI18" i="15"/>
  <c r="R18" i="15"/>
  <c r="P18" i="15"/>
  <c r="H29" i="4"/>
  <c r="J30" i="13"/>
  <c r="J26" i="14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I26" i="14"/>
  <c r="I25" i="10"/>
  <c r="J25" i="12"/>
  <c r="J15" i="10"/>
  <c r="J15" i="11"/>
  <c r="J15" i="9"/>
  <c r="J15" i="12"/>
  <c r="I25" i="11"/>
  <c r="H27" i="4"/>
  <c r="J28" i="13"/>
  <c r="I25" i="9"/>
  <c r="D32" i="6"/>
  <c r="D33" i="6"/>
  <c r="D35" i="6" s="1"/>
  <c r="V82" i="6"/>
  <c r="V77" i="6"/>
  <c r="I87" i="13"/>
  <c r="I89" i="13" s="1"/>
  <c r="P78" i="2"/>
  <c r="F26" i="12"/>
  <c r="I26" i="12"/>
  <c r="P91" i="2"/>
  <c r="D219" i="6"/>
  <c r="D227" i="6" s="1"/>
  <c r="D237" i="6" s="1"/>
  <c r="D220" i="6"/>
  <c r="D222" i="6" s="1"/>
  <c r="H11" i="14"/>
  <c r="G26" i="9"/>
  <c r="J26" i="13"/>
  <c r="I26" i="13"/>
  <c r="D55" i="6"/>
  <c r="D56" i="6"/>
  <c r="D58" i="6" s="1"/>
  <c r="H13" i="4"/>
  <c r="J25" i="14"/>
  <c r="H11" i="12"/>
  <c r="F9" i="4"/>
  <c r="L9" i="3"/>
  <c r="K54" i="3"/>
  <c r="K57" i="3" s="1"/>
  <c r="K63" i="3" s="1"/>
  <c r="K15" i="13" s="1"/>
  <c r="K35" i="3"/>
  <c r="K38" i="3" s="1"/>
  <c r="K44" i="3" s="1"/>
  <c r="K15" i="14" s="1"/>
  <c r="K36" i="3"/>
  <c r="K39" i="3" s="1"/>
  <c r="K55" i="3"/>
  <c r="K58" i="3" s="1"/>
  <c r="K17" i="3"/>
  <c r="K20" i="3" s="1"/>
  <c r="K16" i="3"/>
  <c r="K19" i="3" s="1"/>
  <c r="K25" i="3" s="1"/>
  <c r="H34" i="4"/>
  <c r="J35" i="13"/>
  <c r="B109" i="6"/>
  <c r="D44" i="4"/>
  <c r="H33" i="4"/>
  <c r="J34" i="13"/>
  <c r="H24" i="4"/>
  <c r="J25" i="13"/>
  <c r="F11" i="2"/>
  <c r="G8" i="2"/>
  <c r="D60" i="2"/>
  <c r="K25" i="13" l="1"/>
  <c r="K25" i="14"/>
  <c r="V93" i="6"/>
  <c r="V110" i="6" s="1"/>
  <c r="AO128" i="6"/>
  <c r="Z15" i="5"/>
  <c r="AB15" i="5" s="1"/>
  <c r="U2" i="18"/>
  <c r="V2" i="18" s="1"/>
  <c r="T13" i="18"/>
  <c r="AP128" i="6"/>
  <c r="AS13" i="18"/>
  <c r="AB14" i="5"/>
  <c r="E12" i="18"/>
  <c r="I33" i="4"/>
  <c r="K34" i="13"/>
  <c r="D38" i="6"/>
  <c r="D40" i="6" s="1"/>
  <c r="D37" i="6"/>
  <c r="I29" i="4"/>
  <c r="K30" i="13"/>
  <c r="H26" i="9"/>
  <c r="G26" i="12"/>
  <c r="E25" i="4"/>
  <c r="D45" i="6"/>
  <c r="J25" i="11"/>
  <c r="I13" i="4"/>
  <c r="N33" i="10"/>
  <c r="L32" i="4"/>
  <c r="E46" i="11"/>
  <c r="E46" i="10"/>
  <c r="E45" i="9"/>
  <c r="D61" i="6"/>
  <c r="D63" i="6" s="1"/>
  <c r="D60" i="6"/>
  <c r="J25" i="9"/>
  <c r="K15" i="10"/>
  <c r="K15" i="9"/>
  <c r="K15" i="11"/>
  <c r="K15" i="12"/>
  <c r="F8" i="2"/>
  <c r="B18" i="7"/>
  <c r="J87" i="13"/>
  <c r="J89" i="13" s="1"/>
  <c r="D68" i="6"/>
  <c r="D100" i="6" s="1"/>
  <c r="K25" i="12"/>
  <c r="A20" i="15"/>
  <c r="AH19" i="15"/>
  <c r="AI19" i="15"/>
  <c r="P19" i="15"/>
  <c r="AM19" i="15"/>
  <c r="O19" i="15"/>
  <c r="AL19" i="15"/>
  <c r="S19" i="15"/>
  <c r="AJ19" i="15"/>
  <c r="Q19" i="15"/>
  <c r="AK19" i="15"/>
  <c r="R19" i="15"/>
  <c r="N19" i="15"/>
  <c r="D197" i="6"/>
  <c r="D199" i="6" s="1"/>
  <c r="D196" i="6"/>
  <c r="I28" i="4"/>
  <c r="K29" i="13"/>
  <c r="I34" i="4"/>
  <c r="K35" i="13"/>
  <c r="M9" i="3"/>
  <c r="L16" i="3"/>
  <c r="L19" i="3" s="1"/>
  <c r="L25" i="3" s="1"/>
  <c r="L35" i="3"/>
  <c r="L38" i="3" s="1"/>
  <c r="L44" i="3" s="1"/>
  <c r="L15" i="14" s="1"/>
  <c r="L54" i="3"/>
  <c r="L57" i="3" s="1"/>
  <c r="L63" i="3" s="1"/>
  <c r="L15" i="13" s="1"/>
  <c r="L55" i="3"/>
  <c r="L58" i="3" s="1"/>
  <c r="L17" i="3"/>
  <c r="L20" i="3" s="1"/>
  <c r="L36" i="3"/>
  <c r="L39" i="3" s="1"/>
  <c r="H25" i="4"/>
  <c r="I27" i="4"/>
  <c r="K28" i="13"/>
  <c r="J25" i="10"/>
  <c r="D204" i="6"/>
  <c r="D236" i="6" s="1"/>
  <c r="C88" i="6"/>
  <c r="C92" i="6" s="1"/>
  <c r="C89" i="6"/>
  <c r="D76" i="6" s="1"/>
  <c r="I25" i="4"/>
  <c r="K26" i="13"/>
  <c r="D224" i="6"/>
  <c r="D228" i="6" s="1"/>
  <c r="D225" i="6"/>
  <c r="E212" i="6" s="1"/>
  <c r="G12" i="2"/>
  <c r="G14" i="5"/>
  <c r="G12" i="18" s="1"/>
  <c r="D136" i="6"/>
  <c r="C240" i="6"/>
  <c r="G16" i="5"/>
  <c r="G14" i="18"/>
  <c r="G9" i="4"/>
  <c r="E215" i="6" l="1"/>
  <c r="E217" i="6" s="1"/>
  <c r="E214" i="6"/>
  <c r="J28" i="4"/>
  <c r="L29" i="13"/>
  <c r="A21" i="15"/>
  <c r="AJ20" i="15"/>
  <c r="Q20" i="15"/>
  <c r="AH20" i="15"/>
  <c r="R20" i="15"/>
  <c r="P20" i="15"/>
  <c r="N20" i="15"/>
  <c r="AK20" i="15"/>
  <c r="AM20" i="15"/>
  <c r="S20" i="15"/>
  <c r="O20" i="15"/>
  <c r="AL20" i="15"/>
  <c r="AI20" i="15"/>
  <c r="B41" i="2"/>
  <c r="N18" i="7"/>
  <c r="N20" i="7" s="1"/>
  <c r="V18" i="7"/>
  <c r="V20" i="7" s="1"/>
  <c r="I18" i="7"/>
  <c r="I20" i="7" s="1"/>
  <c r="R18" i="7"/>
  <c r="R20" i="7" s="1"/>
  <c r="AA18" i="7"/>
  <c r="AA20" i="7" s="1"/>
  <c r="J18" i="7"/>
  <c r="J20" i="7" s="1"/>
  <c r="S18" i="7"/>
  <c r="S20" i="7" s="1"/>
  <c r="AB18" i="7"/>
  <c r="AB20" i="7" s="1"/>
  <c r="B42" i="7"/>
  <c r="L18" i="7"/>
  <c r="L20" i="7" s="1"/>
  <c r="U18" i="7"/>
  <c r="U20" i="7" s="1"/>
  <c r="B20" i="7"/>
  <c r="M18" i="7"/>
  <c r="M20" i="7" s="1"/>
  <c r="W18" i="7"/>
  <c r="W20" i="7" s="1"/>
  <c r="T18" i="7"/>
  <c r="T20" i="7" s="1"/>
  <c r="G18" i="7"/>
  <c r="G20" i="7" s="1"/>
  <c r="Y18" i="7"/>
  <c r="Y20" i="7" s="1"/>
  <c r="O18" i="7"/>
  <c r="O20" i="7" s="1"/>
  <c r="B30" i="7"/>
  <c r="Q18" i="7"/>
  <c r="Q20" i="7" s="1"/>
  <c r="P18" i="7"/>
  <c r="P20" i="7" s="1"/>
  <c r="X18" i="7"/>
  <c r="X20" i="7" s="1"/>
  <c r="Z18" i="7"/>
  <c r="Z20" i="7" s="1"/>
  <c r="K18" i="7"/>
  <c r="K20" i="7" s="1"/>
  <c r="H18" i="7"/>
  <c r="H20" i="7" s="1"/>
  <c r="AC18" i="7"/>
  <c r="AC20" i="7" s="1"/>
  <c r="J29" i="4"/>
  <c r="L30" i="13"/>
  <c r="J33" i="4"/>
  <c r="L34" i="13"/>
  <c r="K25" i="11"/>
  <c r="F66" i="13"/>
  <c r="F66" i="14"/>
  <c r="F66" i="12"/>
  <c r="F64" i="9"/>
  <c r="F66" i="11"/>
  <c r="F66" i="10"/>
  <c r="J25" i="4"/>
  <c r="L26" i="13"/>
  <c r="K25" i="10"/>
  <c r="K87" i="13"/>
  <c r="K89" i="13" s="1"/>
  <c r="L25" i="12"/>
  <c r="K25" i="9"/>
  <c r="AV12" i="18"/>
  <c r="L25" i="14"/>
  <c r="D202" i="6"/>
  <c r="E189" i="6" s="1"/>
  <c r="D201" i="6"/>
  <c r="D205" i="6" s="1"/>
  <c r="D99" i="6"/>
  <c r="C136" i="6"/>
  <c r="A58" i="4" s="1"/>
  <c r="C138" i="6"/>
  <c r="J27" i="4"/>
  <c r="L28" i="13"/>
  <c r="G27" i="18"/>
  <c r="N9" i="3"/>
  <c r="M16" i="3"/>
  <c r="M19" i="3" s="1"/>
  <c r="M25" i="3" s="1"/>
  <c r="M17" i="3"/>
  <c r="M20" i="3" s="1"/>
  <c r="M54" i="3"/>
  <c r="M57" i="3" s="1"/>
  <c r="M63" i="3" s="1"/>
  <c r="M15" i="13" s="1"/>
  <c r="M55" i="3"/>
  <c r="M58" i="3" s="1"/>
  <c r="M35" i="3"/>
  <c r="M38" i="3" s="1"/>
  <c r="M44" i="3" s="1"/>
  <c r="M15" i="14" s="1"/>
  <c r="M36" i="3"/>
  <c r="M39" i="3" s="1"/>
  <c r="J13" i="4"/>
  <c r="O33" i="10"/>
  <c r="M32" i="4"/>
  <c r="W2" i="18"/>
  <c r="X2" i="18" s="1"/>
  <c r="V13" i="18"/>
  <c r="D78" i="6"/>
  <c r="D79" i="6"/>
  <c r="D81" i="6" s="1"/>
  <c r="J34" i="4"/>
  <c r="L35" i="13"/>
  <c r="D66" i="6"/>
  <c r="E53" i="6" s="1"/>
  <c r="D65" i="6"/>
  <c r="D69" i="6" s="1"/>
  <c r="L15" i="9"/>
  <c r="L15" i="10"/>
  <c r="L15" i="11"/>
  <c r="L15" i="12"/>
  <c r="L25" i="13"/>
  <c r="D43" i="6"/>
  <c r="E30" i="6" s="1"/>
  <c r="D42" i="6"/>
  <c r="D46" i="6" s="1"/>
  <c r="I24" i="4"/>
  <c r="F12" i="2"/>
  <c r="G9" i="2"/>
  <c r="C109" i="6"/>
  <c r="E44" i="4"/>
  <c r="H26" i="12"/>
  <c r="F25" i="4"/>
  <c r="B133" i="6"/>
  <c r="R9" i="6" s="1"/>
  <c r="D25" i="2" s="1"/>
  <c r="L87" i="13" l="1"/>
  <c r="L89" i="13" s="1"/>
  <c r="E191" i="6"/>
  <c r="E192" i="6"/>
  <c r="E194" i="6" s="1"/>
  <c r="L30" i="7"/>
  <c r="L32" i="7" s="1"/>
  <c r="T30" i="7"/>
  <c r="T32" i="7" s="1"/>
  <c r="AB30" i="7"/>
  <c r="AB32" i="7" s="1"/>
  <c r="M30" i="7"/>
  <c r="M32" i="7" s="1"/>
  <c r="U30" i="7"/>
  <c r="U32" i="7" s="1"/>
  <c r="AC30" i="7"/>
  <c r="AC32" i="7" s="1"/>
  <c r="G30" i="7"/>
  <c r="G32" i="7" s="1"/>
  <c r="O30" i="7"/>
  <c r="O32" i="7" s="1"/>
  <c r="W30" i="7"/>
  <c r="W32" i="7" s="1"/>
  <c r="B32" i="7"/>
  <c r="H30" i="7"/>
  <c r="H32" i="7" s="1"/>
  <c r="P30" i="7"/>
  <c r="P32" i="7" s="1"/>
  <c r="X30" i="7"/>
  <c r="X32" i="7" s="1"/>
  <c r="K30" i="7"/>
  <c r="K32" i="7" s="1"/>
  <c r="AA30" i="7"/>
  <c r="AA32" i="7" s="1"/>
  <c r="Q30" i="7"/>
  <c r="Q32" i="7" s="1"/>
  <c r="V30" i="7"/>
  <c r="V32" i="7" s="1"/>
  <c r="J30" i="7"/>
  <c r="J32" i="7" s="1"/>
  <c r="Z30" i="7"/>
  <c r="Z32" i="7" s="1"/>
  <c r="Y30" i="7"/>
  <c r="Y32" i="7" s="1"/>
  <c r="R30" i="7"/>
  <c r="R32" i="7" s="1"/>
  <c r="S30" i="7"/>
  <c r="S32" i="7" s="1"/>
  <c r="N30" i="7"/>
  <c r="N32" i="7" s="1"/>
  <c r="I30" i="7"/>
  <c r="I32" i="7" s="1"/>
  <c r="AM21" i="15"/>
  <c r="A22" i="15"/>
  <c r="S21" i="15"/>
  <c r="AH21" i="15"/>
  <c r="AI21" i="15"/>
  <c r="P21" i="15"/>
  <c r="AL21" i="15"/>
  <c r="N21" i="15"/>
  <c r="Q21" i="15"/>
  <c r="R21" i="15"/>
  <c r="AJ21" i="15"/>
  <c r="AK21" i="15"/>
  <c r="O21" i="15"/>
  <c r="G25" i="4"/>
  <c r="K13" i="4"/>
  <c r="M25" i="14"/>
  <c r="K28" i="4"/>
  <c r="M29" i="13"/>
  <c r="B45" i="2"/>
  <c r="N40" i="7"/>
  <c r="N42" i="7" s="1"/>
  <c r="R40" i="7"/>
  <c r="R42" i="7" s="1"/>
  <c r="K40" i="7"/>
  <c r="K42" i="7" s="1"/>
  <c r="B44" i="7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A40" i="7"/>
  <c r="AA42" i="7" s="1"/>
  <c r="Z40" i="7"/>
  <c r="Z42" i="7" s="1"/>
  <c r="L40" i="7"/>
  <c r="L42" i="7" s="1"/>
  <c r="T40" i="7"/>
  <c r="T42" i="7" s="1"/>
  <c r="J40" i="7"/>
  <c r="J42" i="7" s="1"/>
  <c r="S40" i="7"/>
  <c r="S42" i="7" s="1"/>
  <c r="O40" i="7"/>
  <c r="O42" i="7" s="1"/>
  <c r="AB40" i="7"/>
  <c r="AB42" i="7" s="1"/>
  <c r="M40" i="7"/>
  <c r="M42" i="7" s="1"/>
  <c r="W40" i="7"/>
  <c r="W42" i="7" s="1"/>
  <c r="G40" i="7"/>
  <c r="G42" i="7" s="1"/>
  <c r="U40" i="7"/>
  <c r="U42" i="7" s="1"/>
  <c r="Q40" i="7"/>
  <c r="Q42" i="7" s="1"/>
  <c r="AC40" i="7"/>
  <c r="AC42" i="7" s="1"/>
  <c r="Y40" i="7"/>
  <c r="Y42" i="7" s="1"/>
  <c r="V40" i="7"/>
  <c r="V42" i="7" s="1"/>
  <c r="H40" i="7"/>
  <c r="H42" i="7" s="1"/>
  <c r="X40" i="7"/>
  <c r="X42" i="7" s="1"/>
  <c r="I40" i="7"/>
  <c r="I42" i="7" s="1"/>
  <c r="P40" i="7"/>
  <c r="P42" i="7" s="1"/>
  <c r="D91" i="6"/>
  <c r="L25" i="9"/>
  <c r="K33" i="4"/>
  <c r="M34" i="13"/>
  <c r="E219" i="6"/>
  <c r="E220" i="6"/>
  <c r="E222" i="6" s="1"/>
  <c r="F45" i="9"/>
  <c r="F46" i="10"/>
  <c r="F46" i="12"/>
  <c r="F46" i="11"/>
  <c r="F46" i="14"/>
  <c r="F46" i="13"/>
  <c r="K34" i="4"/>
  <c r="M35" i="13"/>
  <c r="P33" i="10"/>
  <c r="N32" i="4"/>
  <c r="M15" i="9"/>
  <c r="M15" i="10"/>
  <c r="M15" i="11"/>
  <c r="M15" i="12"/>
  <c r="L25" i="11"/>
  <c r="K24" i="4" s="1"/>
  <c r="J24" i="4"/>
  <c r="K27" i="4"/>
  <c r="M28" i="13"/>
  <c r="L25" i="10"/>
  <c r="K29" i="4"/>
  <c r="M30" i="13"/>
  <c r="M25" i="12"/>
  <c r="M25" i="13"/>
  <c r="F9" i="2"/>
  <c r="F14" i="2" s="1"/>
  <c r="B54" i="7"/>
  <c r="D84" i="6"/>
  <c r="D86" i="6" s="1"/>
  <c r="D83" i="6"/>
  <c r="I14" i="18" s="1"/>
  <c r="O9" i="3"/>
  <c r="N16" i="3"/>
  <c r="N19" i="3" s="1"/>
  <c r="N25" i="3" s="1"/>
  <c r="N35" i="3"/>
  <c r="N38" i="3" s="1"/>
  <c r="N44" i="3" s="1"/>
  <c r="N15" i="14" s="1"/>
  <c r="N17" i="3"/>
  <c r="N20" i="3" s="1"/>
  <c r="N55" i="3"/>
  <c r="N58" i="3" s="1"/>
  <c r="N54" i="3"/>
  <c r="N57" i="3" s="1"/>
  <c r="N63" i="3" s="1"/>
  <c r="N15" i="13" s="1"/>
  <c r="N36" i="3"/>
  <c r="N39" i="3" s="1"/>
  <c r="E227" i="6"/>
  <c r="E237" i="6" s="1"/>
  <c r="E32" i="6"/>
  <c r="E33" i="6"/>
  <c r="E35" i="6" s="1"/>
  <c r="E56" i="6"/>
  <c r="E58" i="6" s="1"/>
  <c r="E55" i="6"/>
  <c r="Y2" i="18"/>
  <c r="Z2" i="18" s="1"/>
  <c r="X13" i="18"/>
  <c r="K25" i="4"/>
  <c r="M26" i="13"/>
  <c r="G22" i="7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Z13" i="18" l="1"/>
  <c r="AA2" i="18"/>
  <c r="AB2" i="18" s="1"/>
  <c r="L28" i="4"/>
  <c r="N29" i="13"/>
  <c r="D101" i="6"/>
  <c r="D106" i="6" s="1"/>
  <c r="D108" i="6"/>
  <c r="H16" i="5"/>
  <c r="E197" i="6"/>
  <c r="E199" i="6" s="1"/>
  <c r="E196" i="6"/>
  <c r="L33" i="4"/>
  <c r="N34" i="13"/>
  <c r="E60" i="6"/>
  <c r="E61" i="6"/>
  <c r="E63" i="6" s="1"/>
  <c r="H14" i="18"/>
  <c r="I27" i="18"/>
  <c r="L34" i="4"/>
  <c r="N35" i="13"/>
  <c r="E224" i="6"/>
  <c r="E228" i="6" s="1"/>
  <c r="E225" i="6"/>
  <c r="F212" i="6" s="1"/>
  <c r="A23" i="15"/>
  <c r="N22" i="15"/>
  <c r="E12" i="9" s="1"/>
  <c r="Q22" i="15"/>
  <c r="F12" i="12" s="1"/>
  <c r="R22" i="15"/>
  <c r="F12" i="13" s="1"/>
  <c r="AI22" i="15"/>
  <c r="AJ22" i="15"/>
  <c r="AK22" i="15"/>
  <c r="F27" i="12" s="1"/>
  <c r="O22" i="15"/>
  <c r="AM22" i="15"/>
  <c r="F27" i="14" s="1"/>
  <c r="P22" i="15"/>
  <c r="E12" i="11" s="1"/>
  <c r="AH22" i="15"/>
  <c r="AL22" i="15"/>
  <c r="F27" i="13" s="1"/>
  <c r="S22" i="15"/>
  <c r="F12" i="14" s="1"/>
  <c r="F12" i="10"/>
  <c r="L13" i="4"/>
  <c r="E68" i="6"/>
  <c r="E100" i="6" s="1"/>
  <c r="L24" i="4"/>
  <c r="N25" i="13"/>
  <c r="N25" i="14"/>
  <c r="L25" i="4"/>
  <c r="N26" i="13"/>
  <c r="E38" i="6"/>
  <c r="E40" i="6" s="1"/>
  <c r="E37" i="6"/>
  <c r="D89" i="6"/>
  <c r="E76" i="6" s="1"/>
  <c r="D88" i="6"/>
  <c r="D92" i="6" s="1"/>
  <c r="M25" i="9"/>
  <c r="N28" i="13"/>
  <c r="L27" i="4"/>
  <c r="N15" i="10"/>
  <c r="N15" i="11"/>
  <c r="N15" i="9"/>
  <c r="N15" i="12"/>
  <c r="P9" i="3"/>
  <c r="O36" i="3"/>
  <c r="O39" i="3" s="1"/>
  <c r="O55" i="3"/>
  <c r="O58" i="3" s="1"/>
  <c r="O54" i="3"/>
  <c r="O57" i="3" s="1"/>
  <c r="O63" i="3" s="1"/>
  <c r="O15" i="13" s="1"/>
  <c r="O35" i="3"/>
  <c r="O38" i="3" s="1"/>
  <c r="O44" i="3" s="1"/>
  <c r="O15" i="14" s="1"/>
  <c r="O16" i="3"/>
  <c r="O19" i="3" s="1"/>
  <c r="O25" i="3" s="1"/>
  <c r="O17" i="3"/>
  <c r="O20" i="3" s="1"/>
  <c r="L29" i="4"/>
  <c r="N30" i="13"/>
  <c r="M25" i="11"/>
  <c r="Q33" i="10"/>
  <c r="O32" i="4"/>
  <c r="E45" i="6"/>
  <c r="M87" i="13"/>
  <c r="M89" i="13" s="1"/>
  <c r="C41" i="2"/>
  <c r="N54" i="7"/>
  <c r="N56" i="7" s="1"/>
  <c r="K34" i="8" s="1"/>
  <c r="V54" i="7"/>
  <c r="V56" i="7" s="1"/>
  <c r="S34" i="8" s="1"/>
  <c r="B56" i="7"/>
  <c r="G54" i="7"/>
  <c r="G56" i="7" s="1"/>
  <c r="D34" i="8" s="1"/>
  <c r="O54" i="7"/>
  <c r="O56" i="7" s="1"/>
  <c r="L34" i="8" s="1"/>
  <c r="W54" i="7"/>
  <c r="W56" i="7" s="1"/>
  <c r="T34" i="8" s="1"/>
  <c r="I54" i="7"/>
  <c r="I56" i="7" s="1"/>
  <c r="F34" i="8" s="1"/>
  <c r="Q54" i="7"/>
  <c r="Q56" i="7" s="1"/>
  <c r="N34" i="8" s="1"/>
  <c r="Y54" i="7"/>
  <c r="Y56" i="7" s="1"/>
  <c r="V34" i="8" s="1"/>
  <c r="J54" i="7"/>
  <c r="J56" i="7" s="1"/>
  <c r="G34" i="8" s="1"/>
  <c r="R54" i="7"/>
  <c r="R56" i="7" s="1"/>
  <c r="O34" i="8" s="1"/>
  <c r="Z54" i="7"/>
  <c r="Z56" i="7" s="1"/>
  <c r="W34" i="8" s="1"/>
  <c r="H54" i="7"/>
  <c r="H56" i="7" s="1"/>
  <c r="E34" i="8" s="1"/>
  <c r="X54" i="7"/>
  <c r="X56" i="7" s="1"/>
  <c r="U34" i="8" s="1"/>
  <c r="L54" i="7"/>
  <c r="L56" i="7" s="1"/>
  <c r="I34" i="8" s="1"/>
  <c r="AB54" i="7"/>
  <c r="AB56" i="7" s="1"/>
  <c r="Y34" i="8" s="1"/>
  <c r="U54" i="7"/>
  <c r="U56" i="7" s="1"/>
  <c r="R34" i="8" s="1"/>
  <c r="B65" i="7"/>
  <c r="T54" i="7"/>
  <c r="T56" i="7" s="1"/>
  <c r="Q34" i="8" s="1"/>
  <c r="AA54" i="7"/>
  <c r="AA56" i="7" s="1"/>
  <c r="X34" i="8" s="1"/>
  <c r="B75" i="7"/>
  <c r="AC54" i="7"/>
  <c r="AC56" i="7" s="1"/>
  <c r="S54" i="7"/>
  <c r="S56" i="7" s="1"/>
  <c r="P34" i="8" s="1"/>
  <c r="K54" i="7"/>
  <c r="K56" i="7" s="1"/>
  <c r="H34" i="8" s="1"/>
  <c r="M54" i="7"/>
  <c r="M56" i="7" s="1"/>
  <c r="J34" i="8" s="1"/>
  <c r="P54" i="7"/>
  <c r="P56" i="7" s="1"/>
  <c r="M34" i="8" s="1"/>
  <c r="N25" i="12"/>
  <c r="M25" i="10"/>
  <c r="G34" i="7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G12" i="13" l="1"/>
  <c r="J16" i="13"/>
  <c r="G12" i="14"/>
  <c r="J16" i="14"/>
  <c r="G12" i="12"/>
  <c r="J16" i="12"/>
  <c r="F27" i="11"/>
  <c r="E27" i="11"/>
  <c r="M13" i="4"/>
  <c r="N25" i="9"/>
  <c r="M25" i="4"/>
  <c r="O26" i="13"/>
  <c r="G27" i="13"/>
  <c r="F27" i="10"/>
  <c r="E27" i="10"/>
  <c r="E36" i="10" s="1"/>
  <c r="O15" i="10"/>
  <c r="O15" i="9"/>
  <c r="O15" i="11"/>
  <c r="O15" i="12"/>
  <c r="M33" i="4"/>
  <c r="O34" i="13"/>
  <c r="G58" i="7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M29" i="4"/>
  <c r="O30" i="13"/>
  <c r="Q9" i="3"/>
  <c r="P35" i="3"/>
  <c r="P38" i="3" s="1"/>
  <c r="P44" i="3" s="1"/>
  <c r="P15" i="14" s="1"/>
  <c r="P17" i="3"/>
  <c r="P20" i="3" s="1"/>
  <c r="P36" i="3"/>
  <c r="P39" i="3" s="1"/>
  <c r="P16" i="3"/>
  <c r="P19" i="3" s="1"/>
  <c r="P25" i="3" s="1"/>
  <c r="P54" i="3"/>
  <c r="P57" i="3" s="1"/>
  <c r="P63" i="3" s="1"/>
  <c r="P15" i="13" s="1"/>
  <c r="P55" i="3"/>
  <c r="P58" i="3" s="1"/>
  <c r="F44" i="4"/>
  <c r="D109" i="6"/>
  <c r="F12" i="11"/>
  <c r="A24" i="15"/>
  <c r="O23" i="15"/>
  <c r="AI23" i="15"/>
  <c r="AM23" i="15"/>
  <c r="AL23" i="15"/>
  <c r="P23" i="15"/>
  <c r="R23" i="15"/>
  <c r="S23" i="15"/>
  <c r="AH23" i="15"/>
  <c r="AK23" i="15"/>
  <c r="N23" i="15"/>
  <c r="Q23" i="15"/>
  <c r="AJ23" i="15"/>
  <c r="M34" i="4"/>
  <c r="O35" i="13"/>
  <c r="E201" i="6"/>
  <c r="E205" i="6" s="1"/>
  <c r="E202" i="6"/>
  <c r="F189" i="6" s="1"/>
  <c r="AB13" i="18"/>
  <c r="AC2" i="18"/>
  <c r="AD2" i="18" s="1"/>
  <c r="N87" i="13"/>
  <c r="N89" i="13" s="1"/>
  <c r="M27" i="4"/>
  <c r="O28" i="13"/>
  <c r="G12" i="10"/>
  <c r="P16" i="10"/>
  <c r="T16" i="10"/>
  <c r="N16" i="10"/>
  <c r="J16" i="10"/>
  <c r="Q16" i="10"/>
  <c r="V16" i="10"/>
  <c r="Z16" i="10"/>
  <c r="O16" i="10"/>
  <c r="S16" i="10"/>
  <c r="K16" i="10"/>
  <c r="M16" i="10"/>
  <c r="Y16" i="10"/>
  <c r="L16" i="10"/>
  <c r="R16" i="10"/>
  <c r="W16" i="10"/>
  <c r="X16" i="10"/>
  <c r="U16" i="10"/>
  <c r="C45" i="2"/>
  <c r="G75" i="7"/>
  <c r="G77" i="7" s="1"/>
  <c r="D40" i="4" s="1"/>
  <c r="B77" i="7"/>
  <c r="G79" i="7" s="1"/>
  <c r="J75" i="7"/>
  <c r="J77" i="7" s="1"/>
  <c r="G40" i="4" s="1"/>
  <c r="W75" i="7"/>
  <c r="W77" i="7" s="1"/>
  <c r="T40" i="4" s="1"/>
  <c r="I75" i="7"/>
  <c r="I77" i="7" s="1"/>
  <c r="F40" i="4" s="1"/>
  <c r="Y75" i="7"/>
  <c r="Y77" i="7" s="1"/>
  <c r="V40" i="4" s="1"/>
  <c r="U75" i="7"/>
  <c r="U77" i="7" s="1"/>
  <c r="R40" i="4" s="1"/>
  <c r="AC75" i="7"/>
  <c r="AC77" i="7" s="1"/>
  <c r="O75" i="7"/>
  <c r="O77" i="7" s="1"/>
  <c r="L40" i="4" s="1"/>
  <c r="Z75" i="7"/>
  <c r="Z77" i="7" s="1"/>
  <c r="W40" i="4" s="1"/>
  <c r="K75" i="7"/>
  <c r="K77" i="7" s="1"/>
  <c r="H40" i="4" s="1"/>
  <c r="P75" i="7"/>
  <c r="P77" i="7" s="1"/>
  <c r="M40" i="4" s="1"/>
  <c r="AB75" i="7"/>
  <c r="AB77" i="7" s="1"/>
  <c r="Y40" i="4" s="1"/>
  <c r="H75" i="7"/>
  <c r="H77" i="7" s="1"/>
  <c r="E40" i="4" s="1"/>
  <c r="N75" i="7"/>
  <c r="N77" i="7" s="1"/>
  <c r="K40" i="4" s="1"/>
  <c r="X75" i="7"/>
  <c r="X77" i="7" s="1"/>
  <c r="U40" i="4" s="1"/>
  <c r="L75" i="7"/>
  <c r="L77" i="7" s="1"/>
  <c r="I40" i="4" s="1"/>
  <c r="S75" i="7"/>
  <c r="S77" i="7" s="1"/>
  <c r="P40" i="4" s="1"/>
  <c r="R75" i="7"/>
  <c r="R77" i="7" s="1"/>
  <c r="O40" i="4" s="1"/>
  <c r="AA75" i="7"/>
  <c r="AA77" i="7" s="1"/>
  <c r="X40" i="4" s="1"/>
  <c r="M75" i="7"/>
  <c r="M77" i="7" s="1"/>
  <c r="J40" i="4" s="1"/>
  <c r="Q75" i="7"/>
  <c r="Q77" i="7" s="1"/>
  <c r="N40" i="4" s="1"/>
  <c r="V75" i="7"/>
  <c r="V77" i="7" s="1"/>
  <c r="S40" i="4" s="1"/>
  <c r="T75" i="7"/>
  <c r="T77" i="7" s="1"/>
  <c r="Q40" i="4" s="1"/>
  <c r="F215" i="6"/>
  <c r="F217" i="6" s="1"/>
  <c r="F214" i="6"/>
  <c r="E99" i="6"/>
  <c r="G27" i="14"/>
  <c r="O25" i="12"/>
  <c r="G65" i="7"/>
  <c r="G67" i="7" s="1"/>
  <c r="D13" i="8" s="1"/>
  <c r="O65" i="7"/>
  <c r="O67" i="7" s="1"/>
  <c r="L13" i="8" s="1"/>
  <c r="W65" i="7"/>
  <c r="W67" i="7" s="1"/>
  <c r="T13" i="8" s="1"/>
  <c r="H65" i="7"/>
  <c r="H67" i="7" s="1"/>
  <c r="E13" i="8" s="1"/>
  <c r="P65" i="7"/>
  <c r="P67" i="7" s="1"/>
  <c r="M13" i="8" s="1"/>
  <c r="X65" i="7"/>
  <c r="X67" i="7" s="1"/>
  <c r="U13" i="8" s="1"/>
  <c r="J65" i="7"/>
  <c r="J67" i="7" s="1"/>
  <c r="G13" i="8" s="1"/>
  <c r="R65" i="7"/>
  <c r="R67" i="7" s="1"/>
  <c r="O13" i="8" s="1"/>
  <c r="Z65" i="7"/>
  <c r="Z67" i="7" s="1"/>
  <c r="W13" i="8" s="1"/>
  <c r="K65" i="7"/>
  <c r="K67" i="7" s="1"/>
  <c r="H13" i="8" s="1"/>
  <c r="S65" i="7"/>
  <c r="S67" i="7" s="1"/>
  <c r="P13" i="8" s="1"/>
  <c r="AA65" i="7"/>
  <c r="AA67" i="7" s="1"/>
  <c r="X13" i="8" s="1"/>
  <c r="I65" i="7"/>
  <c r="I67" i="7" s="1"/>
  <c r="F13" i="8" s="1"/>
  <c r="Y65" i="7"/>
  <c r="Y67" i="7" s="1"/>
  <c r="V13" i="8" s="1"/>
  <c r="M65" i="7"/>
  <c r="M67" i="7" s="1"/>
  <c r="J13" i="8" s="1"/>
  <c r="AC65" i="7"/>
  <c r="AC67" i="7" s="1"/>
  <c r="V65" i="7"/>
  <c r="V67" i="7" s="1"/>
  <c r="S13" i="8" s="1"/>
  <c r="B67" i="7"/>
  <c r="U65" i="7"/>
  <c r="U67" i="7" s="1"/>
  <c r="R13" i="8" s="1"/>
  <c r="AB65" i="7"/>
  <c r="AB67" i="7" s="1"/>
  <c r="Y13" i="8" s="1"/>
  <c r="T65" i="7"/>
  <c r="T67" i="7" s="1"/>
  <c r="Q13" i="8" s="1"/>
  <c r="L65" i="7"/>
  <c r="L67" i="7" s="1"/>
  <c r="I13" i="8" s="1"/>
  <c r="N65" i="7"/>
  <c r="N67" i="7" s="1"/>
  <c r="K13" i="8" s="1"/>
  <c r="Q65" i="7"/>
  <c r="Q67" i="7" s="1"/>
  <c r="N13" i="8" s="1"/>
  <c r="E78" i="6"/>
  <c r="E79" i="6"/>
  <c r="E81" i="6" s="1"/>
  <c r="O25" i="13"/>
  <c r="G27" i="12"/>
  <c r="E12" i="10"/>
  <c r="E204" i="6"/>
  <c r="E236" i="6" s="1"/>
  <c r="E43" i="6"/>
  <c r="F30" i="6" s="1"/>
  <c r="E42" i="6"/>
  <c r="E46" i="6" s="1"/>
  <c r="R33" i="10"/>
  <c r="P32" i="4"/>
  <c r="E27" i="9"/>
  <c r="E36" i="9" s="1"/>
  <c r="F27" i="9"/>
  <c r="M28" i="4"/>
  <c r="O29" i="13"/>
  <c r="N25" i="10"/>
  <c r="N25" i="11"/>
  <c r="M24" i="4" s="1"/>
  <c r="O25" i="14"/>
  <c r="E65" i="6"/>
  <c r="E69" i="6" s="1"/>
  <c r="E66" i="6"/>
  <c r="F53" i="6" s="1"/>
  <c r="F12" i="9"/>
  <c r="E10" i="4" s="1"/>
  <c r="G64" i="9"/>
  <c r="G66" i="10"/>
  <c r="G66" i="12"/>
  <c r="G66" i="11"/>
  <c r="G66" i="13"/>
  <c r="G66" i="14"/>
  <c r="H27" i="18"/>
  <c r="S33" i="10" l="1"/>
  <c r="Q32" i="4"/>
  <c r="P25" i="13"/>
  <c r="N24" i="4"/>
  <c r="P25" i="12"/>
  <c r="R41" i="9"/>
  <c r="R41" i="10"/>
  <c r="R41" i="11"/>
  <c r="Q12" i="8"/>
  <c r="Q33" i="8" s="1"/>
  <c r="R41" i="13"/>
  <c r="R41" i="12"/>
  <c r="R41" i="14"/>
  <c r="V41" i="9"/>
  <c r="V41" i="10"/>
  <c r="V41" i="11"/>
  <c r="U12" i="8"/>
  <c r="U33" i="8" s="1"/>
  <c r="V41" i="14"/>
  <c r="V41" i="12"/>
  <c r="V41" i="13"/>
  <c r="N34" i="4"/>
  <c r="P35" i="13"/>
  <c r="R9" i="3"/>
  <c r="Q17" i="3"/>
  <c r="Q20" i="3" s="1"/>
  <c r="Q36" i="3"/>
  <c r="Q39" i="3" s="1"/>
  <c r="Q35" i="3"/>
  <c r="Q38" i="3" s="1"/>
  <c r="Q44" i="3" s="1"/>
  <c r="Q15" i="14" s="1"/>
  <c r="Q54" i="3"/>
  <c r="Q57" i="3" s="1"/>
  <c r="Q63" i="3" s="1"/>
  <c r="Q15" i="13" s="1"/>
  <c r="Q16" i="3"/>
  <c r="Q19" i="3" s="1"/>
  <c r="Q25" i="3" s="1"/>
  <c r="Q55" i="3"/>
  <c r="Q58" i="3" s="1"/>
  <c r="N25" i="4"/>
  <c r="P26" i="13"/>
  <c r="E19" i="9"/>
  <c r="E20" i="9" s="1"/>
  <c r="E39" i="9" s="1"/>
  <c r="K16" i="14"/>
  <c r="T41" i="10"/>
  <c r="T41" i="11"/>
  <c r="S12" i="8"/>
  <c r="S33" i="8" s="1"/>
  <c r="T41" i="9"/>
  <c r="T41" i="13"/>
  <c r="T41" i="12"/>
  <c r="T41" i="14"/>
  <c r="L41" i="10"/>
  <c r="L41" i="11"/>
  <c r="K12" i="8"/>
  <c r="K33" i="8" s="1"/>
  <c r="L41" i="9"/>
  <c r="L41" i="12"/>
  <c r="L41" i="13"/>
  <c r="L41" i="14"/>
  <c r="S41" i="10"/>
  <c r="S41" i="11"/>
  <c r="R12" i="8"/>
  <c r="R33" i="8" s="1"/>
  <c r="S41" i="9"/>
  <c r="S41" i="14"/>
  <c r="S41" i="12"/>
  <c r="S41" i="13"/>
  <c r="G45" i="9"/>
  <c r="G46" i="10"/>
  <c r="G46" i="12"/>
  <c r="G46" i="11"/>
  <c r="G46" i="13"/>
  <c r="G46" i="14"/>
  <c r="N29" i="4"/>
  <c r="P30" i="13"/>
  <c r="N13" i="4"/>
  <c r="F33" i="6"/>
  <c r="F35" i="6" s="1"/>
  <c r="F32" i="6"/>
  <c r="H27" i="14"/>
  <c r="W41" i="10"/>
  <c r="W41" i="11"/>
  <c r="V12" i="8"/>
  <c r="V33" i="8" s="1"/>
  <c r="W41" i="9"/>
  <c r="W41" i="14"/>
  <c r="W41" i="12"/>
  <c r="W41" i="13"/>
  <c r="O25" i="9"/>
  <c r="F56" i="6"/>
  <c r="F58" i="6" s="1"/>
  <c r="F55" i="6"/>
  <c r="N28" i="4"/>
  <c r="P29" i="13"/>
  <c r="Z41" i="9"/>
  <c r="Z41" i="10"/>
  <c r="Z41" i="11"/>
  <c r="Y12" i="8"/>
  <c r="Y33" i="8" s="1"/>
  <c r="Z41" i="14"/>
  <c r="Z41" i="13"/>
  <c r="Z41" i="12"/>
  <c r="G41" i="9"/>
  <c r="G41" i="10"/>
  <c r="G41" i="11"/>
  <c r="F12" i="8"/>
  <c r="F33" i="8" s="1"/>
  <c r="G41" i="12"/>
  <c r="G41" i="14"/>
  <c r="G41" i="13"/>
  <c r="AE2" i="18"/>
  <c r="AF2" i="18" s="1"/>
  <c r="AD13" i="18"/>
  <c r="O87" i="13"/>
  <c r="O89" i="13" s="1"/>
  <c r="G27" i="11"/>
  <c r="H12" i="14"/>
  <c r="D10" i="4"/>
  <c r="E19" i="10"/>
  <c r="E20" i="10" s="1"/>
  <c r="E39" i="10" s="1"/>
  <c r="Y41" i="9"/>
  <c r="Y41" i="10"/>
  <c r="Y41" i="11"/>
  <c r="X12" i="8"/>
  <c r="X33" i="8" s="1"/>
  <c r="Y41" i="12"/>
  <c r="Y41" i="14"/>
  <c r="Y41" i="13"/>
  <c r="N41" i="9"/>
  <c r="N41" i="10"/>
  <c r="M12" i="8"/>
  <c r="M33" i="8" s="1"/>
  <c r="N41" i="11"/>
  <c r="N41" i="12"/>
  <c r="N41" i="13"/>
  <c r="N41" i="14"/>
  <c r="U41" i="9"/>
  <c r="U41" i="10"/>
  <c r="U41" i="11"/>
  <c r="T12" i="8"/>
  <c r="T33" i="8" s="1"/>
  <c r="U41" i="14"/>
  <c r="U41" i="13"/>
  <c r="U41" i="12"/>
  <c r="P15" i="9"/>
  <c r="P15" i="10"/>
  <c r="P15" i="11"/>
  <c r="P15" i="12"/>
  <c r="N33" i="4"/>
  <c r="P34" i="13"/>
  <c r="G27" i="10"/>
  <c r="K16" i="12"/>
  <c r="O25" i="10"/>
  <c r="F41" i="9"/>
  <c r="F41" i="10"/>
  <c r="F41" i="11"/>
  <c r="E12" i="8"/>
  <c r="E33" i="8" s="1"/>
  <c r="F41" i="13"/>
  <c r="F41" i="12"/>
  <c r="F41" i="14"/>
  <c r="E84" i="6"/>
  <c r="E86" i="6" s="1"/>
  <c r="E83" i="6"/>
  <c r="K14" i="18" s="1"/>
  <c r="K41" i="9"/>
  <c r="K41" i="10"/>
  <c r="K41" i="11"/>
  <c r="J12" i="8"/>
  <c r="J33" i="8" s="1"/>
  <c r="K41" i="14"/>
  <c r="K41" i="13"/>
  <c r="K41" i="12"/>
  <c r="G27" i="9"/>
  <c r="F26" i="4" s="1"/>
  <c r="G69" i="7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P41" i="10"/>
  <c r="O12" i="8"/>
  <c r="O33" i="8" s="1"/>
  <c r="P41" i="11"/>
  <c r="P41" i="9"/>
  <c r="P41" i="14"/>
  <c r="P41" i="12"/>
  <c r="P41" i="13"/>
  <c r="I41" i="10"/>
  <c r="H12" i="8"/>
  <c r="H33" i="8" s="1"/>
  <c r="I41" i="11"/>
  <c r="I41" i="9"/>
  <c r="I41" i="14"/>
  <c r="I41" i="12"/>
  <c r="I41" i="13"/>
  <c r="H41" i="10"/>
  <c r="G12" i="8"/>
  <c r="G33" i="8" s="1"/>
  <c r="H41" i="11"/>
  <c r="H41" i="9"/>
  <c r="H41" i="14"/>
  <c r="H41" i="12"/>
  <c r="H41" i="13"/>
  <c r="H12" i="10"/>
  <c r="H12" i="12"/>
  <c r="K16" i="13"/>
  <c r="O25" i="11"/>
  <c r="O41" i="9"/>
  <c r="O41" i="10"/>
  <c r="O41" i="11"/>
  <c r="N12" i="8"/>
  <c r="N33" i="8" s="1"/>
  <c r="O41" i="13"/>
  <c r="O41" i="12"/>
  <c r="O41" i="14"/>
  <c r="D26" i="4"/>
  <c r="D35" i="4" s="1"/>
  <c r="E36" i="11"/>
  <c r="P25" i="14"/>
  <c r="H27" i="12"/>
  <c r="F227" i="6"/>
  <c r="F237" i="6" s="1"/>
  <c r="Q41" i="9"/>
  <c r="Q41" i="10"/>
  <c r="Q41" i="11"/>
  <c r="P12" i="8"/>
  <c r="P33" i="8" s="1"/>
  <c r="Q41" i="12"/>
  <c r="Q41" i="14"/>
  <c r="Q41" i="13"/>
  <c r="X41" i="10"/>
  <c r="W12" i="8"/>
  <c r="W33" i="8" s="1"/>
  <c r="X41" i="11"/>
  <c r="X41" i="9"/>
  <c r="X41" i="13"/>
  <c r="X41" i="14"/>
  <c r="X41" i="12"/>
  <c r="H79" i="7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P28" i="13"/>
  <c r="N27" i="4"/>
  <c r="F191" i="6"/>
  <c r="F192" i="6"/>
  <c r="F194" i="6" s="1"/>
  <c r="R24" i="15"/>
  <c r="AH24" i="15"/>
  <c r="AJ24" i="15"/>
  <c r="P24" i="15"/>
  <c r="A25" i="15"/>
  <c r="N24" i="15"/>
  <c r="AM24" i="15"/>
  <c r="AL24" i="15"/>
  <c r="AI24" i="15"/>
  <c r="S24" i="15"/>
  <c r="O24" i="15"/>
  <c r="AK24" i="15"/>
  <c r="Q24" i="15"/>
  <c r="H27" i="13"/>
  <c r="E19" i="11"/>
  <c r="E20" i="11" s="1"/>
  <c r="E39" i="11" s="1"/>
  <c r="G12" i="9"/>
  <c r="J16" i="9"/>
  <c r="F219" i="6"/>
  <c r="F220" i="6"/>
  <c r="F222" i="6" s="1"/>
  <c r="J41" i="9"/>
  <c r="J41" i="10"/>
  <c r="J41" i="11"/>
  <c r="I12" i="8"/>
  <c r="I33" i="8" s="1"/>
  <c r="J41" i="13"/>
  <c r="J41" i="12"/>
  <c r="J41" i="14"/>
  <c r="M41" i="10"/>
  <c r="M41" i="11"/>
  <c r="L12" i="8"/>
  <c r="L33" i="8" s="1"/>
  <c r="M41" i="9"/>
  <c r="M41" i="14"/>
  <c r="M41" i="12"/>
  <c r="M41" i="13"/>
  <c r="E41" i="10"/>
  <c r="E41" i="9"/>
  <c r="E41" i="11"/>
  <c r="D12" i="8"/>
  <c r="D33" i="8" s="1"/>
  <c r="G12" i="11"/>
  <c r="F10" i="4" s="1"/>
  <c r="J16" i="11"/>
  <c r="E26" i="4"/>
  <c r="H12" i="13"/>
  <c r="E44" i="10" l="1"/>
  <c r="E49" i="10" s="1"/>
  <c r="E64" i="10"/>
  <c r="E67" i="10" s="1"/>
  <c r="Q25" i="12"/>
  <c r="O29" i="4"/>
  <c r="Q30" i="13"/>
  <c r="I12" i="13"/>
  <c r="I16" i="13"/>
  <c r="P25" i="11"/>
  <c r="I12" i="14"/>
  <c r="I16" i="14"/>
  <c r="Q29" i="13"/>
  <c r="O28" i="4"/>
  <c r="K27" i="18"/>
  <c r="E91" i="6"/>
  <c r="I27" i="14"/>
  <c r="O34" i="4"/>
  <c r="Q35" i="13"/>
  <c r="K16" i="9"/>
  <c r="F196" i="6"/>
  <c r="I27" i="12"/>
  <c r="E89" i="6"/>
  <c r="F76" i="6" s="1"/>
  <c r="E88" i="6"/>
  <c r="H27" i="10"/>
  <c r="E92" i="6"/>
  <c r="H27" i="11"/>
  <c r="F68" i="6"/>
  <c r="F100" i="6" s="1"/>
  <c r="H27" i="9"/>
  <c r="O25" i="4"/>
  <c r="Q26" i="13"/>
  <c r="L16" i="12"/>
  <c r="AG2" i="18"/>
  <c r="AH2" i="18" s="1"/>
  <c r="AF13" i="18"/>
  <c r="S9" i="3"/>
  <c r="R36" i="3"/>
  <c r="R39" i="3" s="1"/>
  <c r="R17" i="3"/>
  <c r="R20" i="3" s="1"/>
  <c r="R35" i="3"/>
  <c r="R38" i="3" s="1"/>
  <c r="R44" i="3" s="1"/>
  <c r="R15" i="14" s="1"/>
  <c r="R54" i="3"/>
  <c r="R57" i="3" s="1"/>
  <c r="R63" i="3" s="1"/>
  <c r="R15" i="13" s="1"/>
  <c r="R55" i="3"/>
  <c r="R58" i="3" s="1"/>
  <c r="R16" i="3"/>
  <c r="R19" i="3" s="1"/>
  <c r="R25" i="3" s="1"/>
  <c r="I27" i="13"/>
  <c r="F204" i="6"/>
  <c r="L16" i="13"/>
  <c r="O33" i="4"/>
  <c r="Q34" i="13"/>
  <c r="F60" i="6"/>
  <c r="F61" i="6"/>
  <c r="F63" i="6" s="1"/>
  <c r="F38" i="6"/>
  <c r="F40" i="6" s="1"/>
  <c r="F37" i="6"/>
  <c r="F45" i="6" s="1"/>
  <c r="Q15" i="10"/>
  <c r="Q15" i="9"/>
  <c r="Q15" i="11"/>
  <c r="Q15" i="12"/>
  <c r="T33" i="10"/>
  <c r="R32" i="4"/>
  <c r="E64" i="11"/>
  <c r="E67" i="11" s="1"/>
  <c r="E44" i="11"/>
  <c r="E49" i="11" s="1"/>
  <c r="I12" i="12"/>
  <c r="I16" i="12"/>
  <c r="F224" i="6"/>
  <c r="F228" i="6" s="1"/>
  <c r="F225" i="6"/>
  <c r="G212" i="6" s="1"/>
  <c r="P25" i="10"/>
  <c r="D18" i="4"/>
  <c r="P25" i="9"/>
  <c r="L16" i="14"/>
  <c r="P87" i="13"/>
  <c r="P89" i="13" s="1"/>
  <c r="O13" i="4"/>
  <c r="K16" i="11"/>
  <c r="Q25" i="13"/>
  <c r="H12" i="11"/>
  <c r="Q25" i="14"/>
  <c r="I12" i="10"/>
  <c r="I16" i="10"/>
  <c r="H12" i="9"/>
  <c r="AI25" i="15"/>
  <c r="S25" i="15"/>
  <c r="AH25" i="15"/>
  <c r="Q25" i="15"/>
  <c r="A26" i="15"/>
  <c r="O25" i="15"/>
  <c r="AM25" i="15"/>
  <c r="P25" i="15"/>
  <c r="N25" i="15"/>
  <c r="AK25" i="15"/>
  <c r="R25" i="15"/>
  <c r="AL25" i="15"/>
  <c r="AJ25" i="15"/>
  <c r="O27" i="4"/>
  <c r="Q28" i="13"/>
  <c r="D19" i="4"/>
  <c r="D38" i="4" s="1"/>
  <c r="E62" i="9"/>
  <c r="E67" i="9" s="1"/>
  <c r="E43" i="9"/>
  <c r="E47" i="9" s="1"/>
  <c r="I14" i="4"/>
  <c r="F99" i="6" l="1"/>
  <c r="F69" i="6"/>
  <c r="I12" i="9"/>
  <c r="I16" i="9"/>
  <c r="L16" i="11"/>
  <c r="J14" i="4"/>
  <c r="Q25" i="10"/>
  <c r="P24" i="4" s="1"/>
  <c r="F43" i="6"/>
  <c r="G30" i="6" s="1"/>
  <c r="F42" i="6"/>
  <c r="F46" i="6" s="1"/>
  <c r="E101" i="6"/>
  <c r="E106" i="6" s="1"/>
  <c r="I16" i="5"/>
  <c r="E108" i="6"/>
  <c r="J14" i="18" s="1"/>
  <c r="AK26" i="15"/>
  <c r="A27" i="15"/>
  <c r="Q26" i="15"/>
  <c r="AI26" i="15"/>
  <c r="R26" i="15"/>
  <c r="N26" i="15"/>
  <c r="S26" i="15"/>
  <c r="AM26" i="15"/>
  <c r="P26" i="15"/>
  <c r="AH26" i="15"/>
  <c r="AL26" i="15"/>
  <c r="O26" i="15"/>
  <c r="AJ26" i="15"/>
  <c r="F65" i="6"/>
  <c r="F66" i="6"/>
  <c r="G53" i="6" s="1"/>
  <c r="I27" i="9"/>
  <c r="I12" i="11"/>
  <c r="I16" i="11"/>
  <c r="H14" i="4" s="1"/>
  <c r="M16" i="14"/>
  <c r="U33" i="10"/>
  <c r="S32" i="4"/>
  <c r="I27" i="10"/>
  <c r="Q25" i="11"/>
  <c r="E49" i="9"/>
  <c r="P33" i="4"/>
  <c r="R34" i="13"/>
  <c r="H26" i="4"/>
  <c r="J27" i="13"/>
  <c r="T9" i="3"/>
  <c r="S17" i="3"/>
  <c r="S20" i="3" s="1"/>
  <c r="S55" i="3"/>
  <c r="S58" i="3" s="1"/>
  <c r="S54" i="3"/>
  <c r="S57" i="3" s="1"/>
  <c r="S63" i="3" s="1"/>
  <c r="S15" i="13" s="1"/>
  <c r="S35" i="3"/>
  <c r="S38" i="3" s="1"/>
  <c r="S44" i="3" s="1"/>
  <c r="S15" i="14" s="1"/>
  <c r="S36" i="3"/>
  <c r="S39" i="3" s="1"/>
  <c r="S16" i="3"/>
  <c r="S19" i="3" s="1"/>
  <c r="S25" i="3" s="1"/>
  <c r="M16" i="12"/>
  <c r="L16" i="9"/>
  <c r="D10" i="5"/>
  <c r="D8" i="18"/>
  <c r="D42" i="4"/>
  <c r="D48" i="4" s="1"/>
  <c r="G10" i="4"/>
  <c r="Q25" i="9"/>
  <c r="G26" i="4"/>
  <c r="P25" i="4"/>
  <c r="R26" i="13"/>
  <c r="F79" i="6"/>
  <c r="F81" i="6" s="1"/>
  <c r="F78" i="6"/>
  <c r="P34" i="4"/>
  <c r="R35" i="13"/>
  <c r="P28" i="4"/>
  <c r="R29" i="13"/>
  <c r="R25" i="12"/>
  <c r="G44" i="4"/>
  <c r="E109" i="6"/>
  <c r="P29" i="4"/>
  <c r="R30" i="13"/>
  <c r="G215" i="6"/>
  <c r="G217" i="6" s="1"/>
  <c r="G214" i="6"/>
  <c r="R25" i="14"/>
  <c r="P13" i="4"/>
  <c r="AH13" i="18"/>
  <c r="AI2" i="18"/>
  <c r="AJ2" i="18" s="1"/>
  <c r="J27" i="12"/>
  <c r="E51" i="10"/>
  <c r="E52" i="10" s="1"/>
  <c r="R25" i="13"/>
  <c r="H10" i="4"/>
  <c r="O24" i="4"/>
  <c r="R15" i="10"/>
  <c r="R15" i="11"/>
  <c r="R15" i="9"/>
  <c r="R15" i="12"/>
  <c r="P27" i="4"/>
  <c r="R28" i="13"/>
  <c r="E51" i="11"/>
  <c r="E52" i="11" s="1"/>
  <c r="E54" i="11" s="1"/>
  <c r="E75" i="11" s="1"/>
  <c r="M16" i="13"/>
  <c r="Q87" i="13"/>
  <c r="Q89" i="13" s="1"/>
  <c r="I27" i="11"/>
  <c r="J27" i="14"/>
  <c r="G219" i="6" l="1"/>
  <c r="G227" i="6" s="1"/>
  <c r="G237" i="6" s="1"/>
  <c r="G220" i="6"/>
  <c r="G222" i="6" s="1"/>
  <c r="D11" i="18"/>
  <c r="K27" i="13"/>
  <c r="E54" i="10"/>
  <c r="E75" i="10" s="1"/>
  <c r="D13" i="5"/>
  <c r="N16" i="13"/>
  <c r="A28" i="15"/>
  <c r="O27" i="15"/>
  <c r="AL27" i="15"/>
  <c r="S27" i="15"/>
  <c r="AI27" i="15"/>
  <c r="AJ27" i="15"/>
  <c r="R27" i="15"/>
  <c r="AK27" i="15"/>
  <c r="AM27" i="15"/>
  <c r="N27" i="15"/>
  <c r="AH27" i="15"/>
  <c r="Q27" i="15"/>
  <c r="P27" i="15"/>
  <c r="S25" i="13"/>
  <c r="H45" i="9"/>
  <c r="H46" i="10"/>
  <c r="H46" i="12"/>
  <c r="H46" i="11"/>
  <c r="H46" i="13"/>
  <c r="H46" i="14"/>
  <c r="R25" i="9"/>
  <c r="M16" i="9"/>
  <c r="R25" i="11"/>
  <c r="N16" i="14"/>
  <c r="D50" i="4"/>
  <c r="K27" i="14"/>
  <c r="R87" i="13"/>
  <c r="R89" i="13" s="1"/>
  <c r="J27" i="11"/>
  <c r="F84" i="6"/>
  <c r="F86" i="6" s="1"/>
  <c r="F83" i="6"/>
  <c r="M14" i="18" s="1"/>
  <c r="J27" i="9"/>
  <c r="J27" i="18"/>
  <c r="Q27" i="4"/>
  <c r="S28" i="13"/>
  <c r="S15" i="9"/>
  <c r="S15" i="10"/>
  <c r="S15" i="11"/>
  <c r="S15" i="12"/>
  <c r="Q29" i="4"/>
  <c r="S30" i="13"/>
  <c r="V33" i="10"/>
  <c r="T32" i="4"/>
  <c r="Q25" i="4"/>
  <c r="S26" i="13"/>
  <c r="U9" i="3"/>
  <c r="T17" i="3"/>
  <c r="T20" i="3" s="1"/>
  <c r="T36" i="3"/>
  <c r="T39" i="3" s="1"/>
  <c r="T16" i="3"/>
  <c r="T19" i="3" s="1"/>
  <c r="T25" i="3" s="1"/>
  <c r="T55" i="3"/>
  <c r="T58" i="3" s="1"/>
  <c r="T35" i="3"/>
  <c r="T38" i="3" s="1"/>
  <c r="T44" i="3" s="1"/>
  <c r="T15" i="14" s="1"/>
  <c r="T54" i="3"/>
  <c r="T57" i="3" s="1"/>
  <c r="T63" i="3" s="1"/>
  <c r="T15" i="13" s="1"/>
  <c r="G56" i="6"/>
  <c r="G58" i="6" s="1"/>
  <c r="G55" i="6"/>
  <c r="H64" i="9"/>
  <c r="H66" i="10"/>
  <c r="H66" i="12"/>
  <c r="H66" i="14"/>
  <c r="H66" i="11"/>
  <c r="H66" i="13"/>
  <c r="Q28" i="4"/>
  <c r="S29" i="13"/>
  <c r="G33" i="6"/>
  <c r="G35" i="6" s="1"/>
  <c r="G32" i="6"/>
  <c r="Q34" i="4"/>
  <c r="S35" i="13"/>
  <c r="Q33" i="4"/>
  <c r="S34" i="13"/>
  <c r="R25" i="10"/>
  <c r="Q24" i="4" s="1"/>
  <c r="Q13" i="4"/>
  <c r="K27" i="12"/>
  <c r="AK2" i="18"/>
  <c r="AL2" i="18" s="1"/>
  <c r="AJ13" i="18"/>
  <c r="S25" i="14"/>
  <c r="S25" i="12"/>
  <c r="D11" i="8"/>
  <c r="N16" i="12"/>
  <c r="E50" i="9"/>
  <c r="J27" i="10"/>
  <c r="M16" i="11"/>
  <c r="K14" i="4"/>
  <c r="L27" i="12" l="1"/>
  <c r="R13" i="4"/>
  <c r="C102" i="6"/>
  <c r="E11" i="18"/>
  <c r="AV11" i="18" s="1"/>
  <c r="T25" i="14"/>
  <c r="M27" i="18"/>
  <c r="R33" i="4"/>
  <c r="T34" i="13"/>
  <c r="W33" i="10"/>
  <c r="U32" i="4"/>
  <c r="L27" i="14"/>
  <c r="AL13" i="18"/>
  <c r="AM2" i="18"/>
  <c r="AN2" i="18" s="1"/>
  <c r="R28" i="4"/>
  <c r="T29" i="13"/>
  <c r="T30" i="13"/>
  <c r="R29" i="4"/>
  <c r="K27" i="9"/>
  <c r="O16" i="12"/>
  <c r="T15" i="9"/>
  <c r="T15" i="10"/>
  <c r="T15" i="11"/>
  <c r="T15" i="12"/>
  <c r="F89" i="6"/>
  <c r="G76" i="6" s="1"/>
  <c r="F88" i="6"/>
  <c r="F92" i="6" s="1"/>
  <c r="S25" i="9"/>
  <c r="R34" i="4"/>
  <c r="T35" i="13"/>
  <c r="G68" i="6"/>
  <c r="G100" i="6" s="1"/>
  <c r="V9" i="3"/>
  <c r="U54" i="3"/>
  <c r="U57" i="3" s="1"/>
  <c r="U63" i="3" s="1"/>
  <c r="U15" i="13" s="1"/>
  <c r="U36" i="3"/>
  <c r="U39" i="3" s="1"/>
  <c r="U16" i="3"/>
  <c r="U19" i="3" s="1"/>
  <c r="U25" i="3" s="1"/>
  <c r="U55" i="3"/>
  <c r="U58" i="3" s="1"/>
  <c r="U35" i="3"/>
  <c r="U38" i="3" s="1"/>
  <c r="U44" i="3" s="1"/>
  <c r="U15" i="14" s="1"/>
  <c r="U17" i="3"/>
  <c r="U20" i="3" s="1"/>
  <c r="K27" i="11"/>
  <c r="J26" i="4" s="1"/>
  <c r="O16" i="14"/>
  <c r="F91" i="6"/>
  <c r="L27" i="13"/>
  <c r="S25" i="10"/>
  <c r="O16" i="13"/>
  <c r="D32" i="8"/>
  <c r="D14" i="8"/>
  <c r="D16" i="8" s="1"/>
  <c r="D18" i="8" s="1"/>
  <c r="T25" i="12"/>
  <c r="G60" i="6"/>
  <c r="G61" i="6"/>
  <c r="G63" i="6" s="1"/>
  <c r="S25" i="11"/>
  <c r="R24" i="4"/>
  <c r="T25" i="13"/>
  <c r="C13" i="5"/>
  <c r="E13" i="5"/>
  <c r="AB13" i="5" s="1"/>
  <c r="I26" i="4"/>
  <c r="G38" i="6"/>
  <c r="G40" i="6" s="1"/>
  <c r="G37" i="6"/>
  <c r="N16" i="11"/>
  <c r="L14" i="4"/>
  <c r="N16" i="9"/>
  <c r="G224" i="6"/>
  <c r="G228" i="6" s="1"/>
  <c r="G225" i="6"/>
  <c r="H212" i="6" s="1"/>
  <c r="R27" i="4"/>
  <c r="T28" i="13"/>
  <c r="K27" i="10"/>
  <c r="D51" i="4"/>
  <c r="D53" i="4" s="1"/>
  <c r="E52" i="9"/>
  <c r="E75" i="9" s="1"/>
  <c r="S87" i="13"/>
  <c r="S89" i="13" s="1"/>
  <c r="R25" i="4"/>
  <c r="T26" i="13"/>
  <c r="R28" i="15"/>
  <c r="AJ28" i="15"/>
  <c r="S28" i="15"/>
  <c r="AK28" i="15"/>
  <c r="AM28" i="15"/>
  <c r="A29" i="15"/>
  <c r="P28" i="15"/>
  <c r="AL28" i="15"/>
  <c r="AI28" i="15"/>
  <c r="Q28" i="15"/>
  <c r="AH28" i="15"/>
  <c r="N28" i="15"/>
  <c r="O28" i="15"/>
  <c r="D18" i="5"/>
  <c r="D16" i="18"/>
  <c r="H44" i="4" l="1"/>
  <c r="F109" i="6"/>
  <c r="U25" i="12"/>
  <c r="G43" i="6"/>
  <c r="H30" i="6" s="1"/>
  <c r="G42" i="6"/>
  <c r="L27" i="10"/>
  <c r="G45" i="6"/>
  <c r="S27" i="4"/>
  <c r="U28" i="13"/>
  <c r="T25" i="11"/>
  <c r="S29" i="4"/>
  <c r="U30" i="13"/>
  <c r="M27" i="14"/>
  <c r="U25" i="14"/>
  <c r="O16" i="11"/>
  <c r="M14" i="4"/>
  <c r="AO2" i="18"/>
  <c r="AP2" i="18" s="1"/>
  <c r="AN13" i="18"/>
  <c r="G79" i="6"/>
  <c r="G81" i="6" s="1"/>
  <c r="G78" i="6"/>
  <c r="O16" i="9"/>
  <c r="L27" i="11"/>
  <c r="F101" i="6"/>
  <c r="F106" i="6" s="1"/>
  <c r="J16" i="5"/>
  <c r="F108" i="6"/>
  <c r="L14" i="18" s="1"/>
  <c r="S34" i="4"/>
  <c r="U35" i="13"/>
  <c r="S28" i="4"/>
  <c r="U29" i="13"/>
  <c r="P16" i="14"/>
  <c r="T87" i="13"/>
  <c r="T89" i="13" s="1"/>
  <c r="D20" i="18"/>
  <c r="D39" i="5"/>
  <c r="D22" i="5"/>
  <c r="P16" i="13"/>
  <c r="L27" i="9"/>
  <c r="X33" i="10"/>
  <c r="V32" i="4"/>
  <c r="M27" i="12"/>
  <c r="U25" i="13"/>
  <c r="C238" i="6"/>
  <c r="D23" i="8"/>
  <c r="D26" i="8" s="1"/>
  <c r="D28" i="8" s="1"/>
  <c r="D21" i="8"/>
  <c r="W9" i="3"/>
  <c r="V16" i="3"/>
  <c r="V19" i="3" s="1"/>
  <c r="V25" i="3" s="1"/>
  <c r="V17" i="3"/>
  <c r="V20" i="3" s="1"/>
  <c r="V54" i="3"/>
  <c r="V57" i="3" s="1"/>
  <c r="V63" i="3" s="1"/>
  <c r="V15" i="13" s="1"/>
  <c r="V36" i="3"/>
  <c r="V39" i="3" s="1"/>
  <c r="V35" i="3"/>
  <c r="V38" i="3" s="1"/>
  <c r="V44" i="3" s="1"/>
  <c r="V15" i="14" s="1"/>
  <c r="V55" i="3"/>
  <c r="V58" i="3" s="1"/>
  <c r="M27" i="13"/>
  <c r="P16" i="12"/>
  <c r="G46" i="6"/>
  <c r="Q29" i="15"/>
  <c r="S29" i="15"/>
  <c r="AH29" i="15"/>
  <c r="P29" i="15"/>
  <c r="N29" i="15"/>
  <c r="AK29" i="15"/>
  <c r="O29" i="15"/>
  <c r="AL29" i="15"/>
  <c r="A30" i="15"/>
  <c r="AM29" i="15"/>
  <c r="AI29" i="15"/>
  <c r="R29" i="15"/>
  <c r="AJ29" i="15"/>
  <c r="G65" i="6"/>
  <c r="G69" i="6" s="1"/>
  <c r="G66" i="6"/>
  <c r="H53" i="6" s="1"/>
  <c r="S25" i="4"/>
  <c r="U26" i="13"/>
  <c r="H214" i="6"/>
  <c r="H215" i="6"/>
  <c r="H217" i="6" s="1"/>
  <c r="T25" i="10"/>
  <c r="U15" i="9"/>
  <c r="U15" i="10"/>
  <c r="U15" i="11"/>
  <c r="U15" i="12"/>
  <c r="T25" i="9"/>
  <c r="S13" i="4"/>
  <c r="S33" i="4"/>
  <c r="U34" i="13"/>
  <c r="D24" i="5" l="1"/>
  <c r="D35" i="8"/>
  <c r="D36" i="8" s="1"/>
  <c r="D39" i="8" s="1"/>
  <c r="D34" i="18"/>
  <c r="AP13" i="18"/>
  <c r="AQ2" i="18"/>
  <c r="AR2" i="18" s="1"/>
  <c r="U87" i="13"/>
  <c r="U89" i="13" s="1"/>
  <c r="I64" i="9"/>
  <c r="I66" i="10"/>
  <c r="I66" i="12"/>
  <c r="I66" i="11"/>
  <c r="I66" i="14"/>
  <c r="I66" i="13"/>
  <c r="P16" i="9"/>
  <c r="T29" i="4"/>
  <c r="V30" i="13"/>
  <c r="T25" i="4"/>
  <c r="V26" i="13"/>
  <c r="AK30" i="15"/>
  <c r="Q30" i="15"/>
  <c r="O30" i="15"/>
  <c r="A31" i="15"/>
  <c r="AL30" i="15"/>
  <c r="N30" i="15"/>
  <c r="AM30" i="15"/>
  <c r="AJ30" i="15"/>
  <c r="AH30" i="15"/>
  <c r="R30" i="15"/>
  <c r="P30" i="15"/>
  <c r="AI30" i="15"/>
  <c r="S30" i="15"/>
  <c r="N27" i="13"/>
  <c r="V15" i="10"/>
  <c r="V15" i="11"/>
  <c r="V15" i="9"/>
  <c r="V15" i="12"/>
  <c r="Y33" i="10"/>
  <c r="W32" i="4"/>
  <c r="Q16" i="13"/>
  <c r="M27" i="11"/>
  <c r="L26" i="4" s="1"/>
  <c r="G99" i="6"/>
  <c r="N27" i="12"/>
  <c r="T28" i="4"/>
  <c r="V29" i="13"/>
  <c r="N27" i="14"/>
  <c r="X9" i="3"/>
  <c r="W17" i="3"/>
  <c r="W20" i="3" s="1"/>
  <c r="W54" i="3"/>
  <c r="W57" i="3" s="1"/>
  <c r="W63" i="3" s="1"/>
  <c r="W15" i="13" s="1"/>
  <c r="W35" i="3"/>
  <c r="W38" i="3" s="1"/>
  <c r="W44" i="3" s="1"/>
  <c r="W15" i="14" s="1"/>
  <c r="W16" i="3"/>
  <c r="W19" i="3" s="1"/>
  <c r="W25" i="3" s="1"/>
  <c r="W36" i="3"/>
  <c r="W39" i="3" s="1"/>
  <c r="W55" i="3"/>
  <c r="W58" i="3" s="1"/>
  <c r="G84" i="6"/>
  <c r="G86" i="6" s="1"/>
  <c r="G83" i="6"/>
  <c r="O14" i="18" s="1"/>
  <c r="P16" i="11"/>
  <c r="N14" i="4"/>
  <c r="U25" i="11"/>
  <c r="M27" i="10"/>
  <c r="H220" i="6"/>
  <c r="H222" i="6" s="1"/>
  <c r="H219" i="6"/>
  <c r="U25" i="9"/>
  <c r="V34" i="13"/>
  <c r="T33" i="4"/>
  <c r="T13" i="4"/>
  <c r="H55" i="6"/>
  <c r="H56" i="6"/>
  <c r="H58" i="6" s="1"/>
  <c r="V25" i="13"/>
  <c r="T34" i="4"/>
  <c r="V35" i="13"/>
  <c r="V25" i="14"/>
  <c r="I45" i="9"/>
  <c r="I46" i="10"/>
  <c r="I46" i="12"/>
  <c r="I46" i="11"/>
  <c r="I46" i="13"/>
  <c r="I46" i="14"/>
  <c r="Q16" i="12"/>
  <c r="U25" i="10"/>
  <c r="Q16" i="14"/>
  <c r="L27" i="18"/>
  <c r="V25" i="12"/>
  <c r="H227" i="6"/>
  <c r="H237" i="6" s="1"/>
  <c r="K26" i="4"/>
  <c r="D24" i="8"/>
  <c r="E20" i="8" s="1"/>
  <c r="S24" i="4"/>
  <c r="M27" i="9"/>
  <c r="T27" i="4"/>
  <c r="V28" i="13"/>
  <c r="H33" i="6"/>
  <c r="H35" i="6" s="1"/>
  <c r="H32" i="6"/>
  <c r="O27" i="18" l="1"/>
  <c r="U28" i="4"/>
  <c r="W29" i="13"/>
  <c r="N27" i="10"/>
  <c r="V25" i="11"/>
  <c r="W28" i="13"/>
  <c r="U27" i="4"/>
  <c r="U34" i="4"/>
  <c r="W35" i="13"/>
  <c r="W15" i="9"/>
  <c r="W15" i="10"/>
  <c r="W15" i="11"/>
  <c r="W15" i="12"/>
  <c r="O27" i="12"/>
  <c r="G91" i="6"/>
  <c r="O27" i="13"/>
  <c r="W25" i="12"/>
  <c r="V25" i="9"/>
  <c r="G89" i="6"/>
  <c r="H76" i="6" s="1"/>
  <c r="G88" i="6"/>
  <c r="H45" i="6"/>
  <c r="H38" i="6"/>
  <c r="H40" i="6" s="1"/>
  <c r="H37" i="6"/>
  <c r="R16" i="12"/>
  <c r="U25" i="4"/>
  <c r="W26" i="13"/>
  <c r="H225" i="6"/>
  <c r="I212" i="6" s="1"/>
  <c r="H224" i="6"/>
  <c r="H228" i="6" s="1"/>
  <c r="G92" i="6"/>
  <c r="Z33" i="10"/>
  <c r="Y32" i="4" s="1"/>
  <c r="X32" i="4"/>
  <c r="W25" i="14"/>
  <c r="N27" i="11"/>
  <c r="R16" i="14"/>
  <c r="V87" i="13"/>
  <c r="V89" i="13" s="1"/>
  <c r="D25" i="5"/>
  <c r="D41" i="8"/>
  <c r="D44" i="8"/>
  <c r="N27" i="9"/>
  <c r="V25" i="10"/>
  <c r="U33" i="4"/>
  <c r="W34" i="13"/>
  <c r="Y9" i="3"/>
  <c r="X54" i="3"/>
  <c r="X57" i="3" s="1"/>
  <c r="X63" i="3" s="1"/>
  <c r="X15" i="13" s="1"/>
  <c r="X36" i="3"/>
  <c r="X39" i="3" s="1"/>
  <c r="X16" i="3"/>
  <c r="X19" i="3" s="1"/>
  <c r="X25" i="3" s="1"/>
  <c r="X35" i="3"/>
  <c r="X38" i="3" s="1"/>
  <c r="X44" i="3" s="1"/>
  <c r="X15" i="14" s="1"/>
  <c r="X55" i="3"/>
  <c r="X58" i="3" s="1"/>
  <c r="X17" i="3"/>
  <c r="X20" i="3" s="1"/>
  <c r="T24" i="4"/>
  <c r="U13" i="4"/>
  <c r="H61" i="6"/>
  <c r="H63" i="6" s="1"/>
  <c r="H60" i="6"/>
  <c r="H68" i="6" s="1"/>
  <c r="H100" i="6" s="1"/>
  <c r="R16" i="13"/>
  <c r="Q16" i="9"/>
  <c r="U24" i="4"/>
  <c r="W25" i="13"/>
  <c r="Q16" i="11"/>
  <c r="O14" i="4"/>
  <c r="O27" i="14"/>
  <c r="A32" i="15"/>
  <c r="AJ31" i="15"/>
  <c r="AL31" i="15"/>
  <c r="AI31" i="15"/>
  <c r="S31" i="15"/>
  <c r="P31" i="15"/>
  <c r="AH31" i="15"/>
  <c r="O31" i="15"/>
  <c r="R31" i="15"/>
  <c r="Q31" i="15"/>
  <c r="AM31" i="15"/>
  <c r="AK31" i="15"/>
  <c r="N31" i="15"/>
  <c r="U29" i="4"/>
  <c r="W30" i="13"/>
  <c r="AS2" i="18"/>
  <c r="AT2" i="18" s="1"/>
  <c r="AU2" i="18" s="1"/>
  <c r="AR13" i="18"/>
  <c r="D41" i="5"/>
  <c r="S16" i="14" l="1"/>
  <c r="H99" i="6"/>
  <c r="AV13" i="18"/>
  <c r="V28" i="4"/>
  <c r="X29" i="13"/>
  <c r="V29" i="4"/>
  <c r="X30" i="13"/>
  <c r="X25" i="13"/>
  <c r="S16" i="13"/>
  <c r="G109" i="6"/>
  <c r="I44" i="4"/>
  <c r="W25" i="10"/>
  <c r="H79" i="6"/>
  <c r="H81" i="6" s="1"/>
  <c r="H78" i="6"/>
  <c r="P27" i="13"/>
  <c r="V13" i="4"/>
  <c r="H66" i="6"/>
  <c r="I53" i="6" s="1"/>
  <c r="H65" i="6"/>
  <c r="H69" i="6" s="1"/>
  <c r="D42" i="5"/>
  <c r="D23" i="18"/>
  <c r="E70" i="9"/>
  <c r="E72" i="9" s="1"/>
  <c r="E76" i="9" s="1"/>
  <c r="E70" i="10"/>
  <c r="E72" i="10" s="1"/>
  <c r="E76" i="10" s="1"/>
  <c r="E70" i="11"/>
  <c r="E72" i="11" s="1"/>
  <c r="E76" i="11" s="1"/>
  <c r="D27" i="5"/>
  <c r="X28" i="13"/>
  <c r="V27" i="4"/>
  <c r="A33" i="15"/>
  <c r="AK32" i="15"/>
  <c r="S32" i="15"/>
  <c r="AJ32" i="15"/>
  <c r="R32" i="15"/>
  <c r="Q32" i="15"/>
  <c r="AH32" i="15"/>
  <c r="AM32" i="15"/>
  <c r="O32" i="15"/>
  <c r="AI32" i="15"/>
  <c r="N32" i="15"/>
  <c r="P32" i="15"/>
  <c r="AL32" i="15"/>
  <c r="R16" i="11"/>
  <c r="P14" i="4"/>
  <c r="R16" i="9"/>
  <c r="X15" i="9"/>
  <c r="X15" i="10"/>
  <c r="X15" i="11"/>
  <c r="X15" i="12"/>
  <c r="O27" i="11"/>
  <c r="W25" i="9"/>
  <c r="M26" i="4"/>
  <c r="S16" i="12"/>
  <c r="G101" i="6"/>
  <c r="G106" i="6" s="1"/>
  <c r="K16" i="5"/>
  <c r="G108" i="6"/>
  <c r="N14" i="18" s="1"/>
  <c r="N27" i="18" s="1"/>
  <c r="W25" i="11"/>
  <c r="V24" i="4" s="1"/>
  <c r="W87" i="13"/>
  <c r="W89" i="13" s="1"/>
  <c r="O27" i="9"/>
  <c r="X25" i="14"/>
  <c r="I214" i="6"/>
  <c r="I215" i="6"/>
  <c r="I217" i="6" s="1"/>
  <c r="V34" i="4"/>
  <c r="X35" i="13"/>
  <c r="Z9" i="3"/>
  <c r="Y16" i="3"/>
  <c r="Y19" i="3" s="1"/>
  <c r="Y25" i="3" s="1"/>
  <c r="Y54" i="3"/>
  <c r="Y57" i="3" s="1"/>
  <c r="Y63" i="3" s="1"/>
  <c r="Y15" i="13" s="1"/>
  <c r="Y17" i="3"/>
  <c r="Y20" i="3" s="1"/>
  <c r="Y35" i="3"/>
  <c r="Y38" i="3" s="1"/>
  <c r="Y44" i="3" s="1"/>
  <c r="Y15" i="14" s="1"/>
  <c r="Y55" i="3"/>
  <c r="Y58" i="3" s="1"/>
  <c r="Y36" i="3"/>
  <c r="Y39" i="3" s="1"/>
  <c r="V25" i="4"/>
  <c r="X26" i="13"/>
  <c r="H43" i="6"/>
  <c r="I30" i="6" s="1"/>
  <c r="H42" i="6"/>
  <c r="H46" i="6" s="1"/>
  <c r="X25" i="12"/>
  <c r="P27" i="14"/>
  <c r="V33" i="4"/>
  <c r="X34" i="13"/>
  <c r="P27" i="12"/>
  <c r="O27" i="10"/>
  <c r="X25" i="9" l="1"/>
  <c r="Y25" i="12"/>
  <c r="P27" i="9"/>
  <c r="J64" i="9"/>
  <c r="J66" i="10"/>
  <c r="J66" i="12"/>
  <c r="J66" i="11"/>
  <c r="J66" i="14"/>
  <c r="J66" i="13"/>
  <c r="W13" i="4"/>
  <c r="S16" i="11"/>
  <c r="Q14" i="4"/>
  <c r="D44" i="5"/>
  <c r="D49" i="5"/>
  <c r="D51" i="5" s="1"/>
  <c r="D30" i="5"/>
  <c r="I56" i="6"/>
  <c r="I58" i="6" s="1"/>
  <c r="I55" i="6"/>
  <c r="I220" i="6"/>
  <c r="I222" i="6" s="1"/>
  <c r="I219" i="6"/>
  <c r="I227" i="6" s="1"/>
  <c r="I237" i="6" s="1"/>
  <c r="H83" i="6"/>
  <c r="Q14" i="18" s="1"/>
  <c r="H84" i="6"/>
  <c r="H86" i="6" s="1"/>
  <c r="J45" i="9"/>
  <c r="J46" i="10"/>
  <c r="J46" i="12"/>
  <c r="J46" i="14"/>
  <c r="J46" i="11"/>
  <c r="J46" i="13"/>
  <c r="W29" i="4"/>
  <c r="Y30" i="13"/>
  <c r="X87" i="13"/>
  <c r="X89" i="13" s="1"/>
  <c r="Y15" i="9"/>
  <c r="Y15" i="10"/>
  <c r="Y15" i="11"/>
  <c r="Y15" i="12"/>
  <c r="X25" i="10"/>
  <c r="W25" i="4"/>
  <c r="Y26" i="13"/>
  <c r="Z35" i="3"/>
  <c r="Z38" i="3" s="1"/>
  <c r="Z44" i="3" s="1"/>
  <c r="Z15" i="14" s="1"/>
  <c r="Z17" i="3"/>
  <c r="Z20" i="3" s="1"/>
  <c r="Z36" i="3"/>
  <c r="Z39" i="3" s="1"/>
  <c r="Z16" i="3"/>
  <c r="Z19" i="3" s="1"/>
  <c r="Z25" i="3" s="1"/>
  <c r="Z55" i="3"/>
  <c r="Z58" i="3" s="1"/>
  <c r="Z54" i="3"/>
  <c r="Z57" i="3" s="1"/>
  <c r="Z63" i="3" s="1"/>
  <c r="Z15" i="13" s="1"/>
  <c r="Y25" i="14"/>
  <c r="T16" i="12"/>
  <c r="S16" i="9"/>
  <c r="D37" i="18"/>
  <c r="D25" i="18"/>
  <c r="P27" i="11"/>
  <c r="O33" i="15"/>
  <c r="A34" i="15"/>
  <c r="P33" i="15"/>
  <c r="AM33" i="15"/>
  <c r="AK33" i="15"/>
  <c r="AL33" i="15"/>
  <c r="S33" i="15"/>
  <c r="AH33" i="15"/>
  <c r="AJ33" i="15"/>
  <c r="AI33" i="15"/>
  <c r="R33" i="15"/>
  <c r="N33" i="15"/>
  <c r="Q33" i="15"/>
  <c r="T16" i="13"/>
  <c r="Q27" i="12"/>
  <c r="I33" i="6"/>
  <c r="I35" i="6" s="1"/>
  <c r="I32" i="6"/>
  <c r="O26" i="4"/>
  <c r="Q27" i="13"/>
  <c r="W24" i="4"/>
  <c r="Y25" i="13"/>
  <c r="T16" i="14"/>
  <c r="W33" i="4"/>
  <c r="Y34" i="13"/>
  <c r="Y29" i="13"/>
  <c r="W28" i="4"/>
  <c r="W34" i="4"/>
  <c r="Y35" i="13"/>
  <c r="X25" i="11"/>
  <c r="P27" i="10"/>
  <c r="Q27" i="14"/>
  <c r="W27" i="4"/>
  <c r="Y28" i="13"/>
  <c r="N26" i="4"/>
  <c r="Y87" i="13" l="1"/>
  <c r="Y89" i="13" s="1"/>
  <c r="Z25" i="12"/>
  <c r="Y25" i="11"/>
  <c r="Y25" i="10"/>
  <c r="Z15" i="10"/>
  <c r="Z15" i="11"/>
  <c r="Z15" i="9"/>
  <c r="Z15" i="12"/>
  <c r="D59" i="5"/>
  <c r="D61" i="5" s="1"/>
  <c r="D65" i="5"/>
  <c r="D67" i="5" s="1"/>
  <c r="R27" i="13"/>
  <c r="Q27" i="11"/>
  <c r="Q27" i="9"/>
  <c r="X27" i="4"/>
  <c r="Z28" i="13"/>
  <c r="Y27" i="4" s="1"/>
  <c r="T16" i="9"/>
  <c r="I225" i="6"/>
  <c r="J212" i="6" s="1"/>
  <c r="I224" i="6"/>
  <c r="I228" i="6" s="1"/>
  <c r="U16" i="13"/>
  <c r="Q27" i="10"/>
  <c r="X28" i="4"/>
  <c r="Z29" i="13"/>
  <c r="Y28" i="4" s="1"/>
  <c r="U16" i="14"/>
  <c r="I45" i="6"/>
  <c r="D39" i="18"/>
  <c r="D43" i="18"/>
  <c r="U16" i="12"/>
  <c r="X13" i="4"/>
  <c r="H91" i="6"/>
  <c r="X34" i="4"/>
  <c r="Z35" i="13"/>
  <c r="Y34" i="4" s="1"/>
  <c r="H88" i="6"/>
  <c r="H92" i="6" s="1"/>
  <c r="H89" i="6"/>
  <c r="I76" i="6" s="1"/>
  <c r="Z25" i="13"/>
  <c r="I37" i="6"/>
  <c r="I38" i="6"/>
  <c r="I40" i="6" s="1"/>
  <c r="Z25" i="14"/>
  <c r="Z26" i="13"/>
  <c r="Y25" i="4" s="1"/>
  <c r="X25" i="4"/>
  <c r="O34" i="15"/>
  <c r="Q34" i="15"/>
  <c r="N34" i="15"/>
  <c r="AK34" i="15"/>
  <c r="AL34" i="15"/>
  <c r="A35" i="15"/>
  <c r="AH34" i="15"/>
  <c r="AM34" i="15"/>
  <c r="AJ34" i="15"/>
  <c r="R34" i="15"/>
  <c r="AI34" i="15"/>
  <c r="P34" i="15"/>
  <c r="S34" i="15"/>
  <c r="R27" i="12"/>
  <c r="R27" i="14"/>
  <c r="X29" i="4"/>
  <c r="Z30" i="13"/>
  <c r="Y29" i="4" s="1"/>
  <c r="Q27" i="18"/>
  <c r="Y25" i="9"/>
  <c r="X33" i="4"/>
  <c r="Z34" i="13"/>
  <c r="Y33" i="4" s="1"/>
  <c r="I60" i="6"/>
  <c r="I68" i="6" s="1"/>
  <c r="I100" i="6" s="1"/>
  <c r="I61" i="6"/>
  <c r="I63" i="6" s="1"/>
  <c r="T16" i="11"/>
  <c r="R14" i="4"/>
  <c r="H109" i="6" l="1"/>
  <c r="J44" i="4"/>
  <c r="R27" i="10"/>
  <c r="U16" i="11"/>
  <c r="S14" i="4"/>
  <c r="U16" i="9"/>
  <c r="I65" i="6"/>
  <c r="I66" i="6"/>
  <c r="J53" i="6" s="1"/>
  <c r="S27" i="12"/>
  <c r="AH35" i="15"/>
  <c r="AI35" i="15"/>
  <c r="O35" i="15"/>
  <c r="AL35" i="15"/>
  <c r="P35" i="15"/>
  <c r="AM35" i="15"/>
  <c r="N35" i="15"/>
  <c r="AK35" i="15"/>
  <c r="R35" i="15"/>
  <c r="S35" i="15"/>
  <c r="AJ35" i="15"/>
  <c r="Q35" i="15"/>
  <c r="I69" i="6"/>
  <c r="I42" i="6"/>
  <c r="I46" i="6" s="1"/>
  <c r="I43" i="6"/>
  <c r="J30" i="6" s="1"/>
  <c r="Z25" i="9"/>
  <c r="H101" i="6"/>
  <c r="H106" i="6" s="1"/>
  <c r="L16" i="5"/>
  <c r="H108" i="6"/>
  <c r="P14" i="18" s="1"/>
  <c r="P27" i="18" s="1"/>
  <c r="V16" i="12"/>
  <c r="V16" i="14"/>
  <c r="V16" i="13"/>
  <c r="Y13" i="4"/>
  <c r="D45" i="18"/>
  <c r="D79" i="18" s="1"/>
  <c r="S27" i="13"/>
  <c r="Z25" i="10"/>
  <c r="I99" i="6"/>
  <c r="R27" i="9"/>
  <c r="J214" i="6"/>
  <c r="J215" i="6"/>
  <c r="J217" i="6" s="1"/>
  <c r="P26" i="4"/>
  <c r="S27" i="14"/>
  <c r="I79" i="6"/>
  <c r="I81" i="6" s="1"/>
  <c r="I78" i="6"/>
  <c r="X24" i="4"/>
  <c r="R27" i="11"/>
  <c r="Q26" i="4" s="1"/>
  <c r="Z25" i="11"/>
  <c r="T27" i="12" l="1"/>
  <c r="V16" i="11"/>
  <c r="T14" i="4"/>
  <c r="W16" i="13"/>
  <c r="K64" i="9"/>
  <c r="K66" i="10"/>
  <c r="K66" i="12"/>
  <c r="K66" i="11"/>
  <c r="K66" i="14"/>
  <c r="K66" i="13"/>
  <c r="S27" i="11"/>
  <c r="S27" i="9"/>
  <c r="R26" i="4" s="1"/>
  <c r="T27" i="13"/>
  <c r="J219" i="6"/>
  <c r="J227" i="6" s="1"/>
  <c r="J237" i="6" s="1"/>
  <c r="J220" i="6"/>
  <c r="J222" i="6" s="1"/>
  <c r="J33" i="6"/>
  <c r="J35" i="6" s="1"/>
  <c r="J32" i="6"/>
  <c r="V16" i="9"/>
  <c r="J56" i="6"/>
  <c r="J58" i="6" s="1"/>
  <c r="J55" i="6"/>
  <c r="K45" i="9"/>
  <c r="K46" i="10"/>
  <c r="K46" i="12"/>
  <c r="K46" i="11"/>
  <c r="K46" i="14"/>
  <c r="K46" i="13"/>
  <c r="I83" i="6"/>
  <c r="S14" i="18" s="1"/>
  <c r="I84" i="6"/>
  <c r="I86" i="6" s="1"/>
  <c r="W16" i="14"/>
  <c r="Y24" i="4"/>
  <c r="S27" i="10"/>
  <c r="T27" i="14"/>
  <c r="W16" i="12"/>
  <c r="U27" i="14" l="1"/>
  <c r="X16" i="14"/>
  <c r="W16" i="9"/>
  <c r="J224" i="6"/>
  <c r="J225" i="6"/>
  <c r="K212" i="6" s="1"/>
  <c r="W16" i="11"/>
  <c r="U14" i="4"/>
  <c r="I88" i="6"/>
  <c r="I89" i="6"/>
  <c r="J76" i="6" s="1"/>
  <c r="J60" i="6"/>
  <c r="J68" i="6" s="1"/>
  <c r="J100" i="6" s="1"/>
  <c r="J61" i="6"/>
  <c r="J63" i="6" s="1"/>
  <c r="J228" i="6"/>
  <c r="X16" i="13"/>
  <c r="T27" i="10"/>
  <c r="T27" i="11"/>
  <c r="U27" i="12"/>
  <c r="J37" i="6"/>
  <c r="J45" i="6" s="1"/>
  <c r="J38" i="6"/>
  <c r="J40" i="6" s="1"/>
  <c r="I92" i="6"/>
  <c r="T27" i="9"/>
  <c r="S27" i="18"/>
  <c r="X16" i="12"/>
  <c r="I91" i="6"/>
  <c r="S26" i="4"/>
  <c r="U27" i="13"/>
  <c r="J99" i="6" l="1"/>
  <c r="Y16" i="12"/>
  <c r="I109" i="6"/>
  <c r="K44" i="4"/>
  <c r="U27" i="11"/>
  <c r="J65" i="6"/>
  <c r="J66" i="6"/>
  <c r="K53" i="6" s="1"/>
  <c r="V27" i="13"/>
  <c r="U27" i="10"/>
  <c r="T26" i="4" s="1"/>
  <c r="I101" i="6"/>
  <c r="I106" i="6" s="1"/>
  <c r="M16" i="5"/>
  <c r="I108" i="6"/>
  <c r="R14" i="18" s="1"/>
  <c r="R27" i="18" s="1"/>
  <c r="U27" i="9"/>
  <c r="J78" i="6"/>
  <c r="J79" i="6"/>
  <c r="J81" i="6" s="1"/>
  <c r="V27" i="14"/>
  <c r="J42" i="6"/>
  <c r="J46" i="6" s="1"/>
  <c r="J43" i="6"/>
  <c r="K30" i="6" s="1"/>
  <c r="Y16" i="14"/>
  <c r="K215" i="6"/>
  <c r="K217" i="6" s="1"/>
  <c r="K214" i="6"/>
  <c r="J69" i="6"/>
  <c r="V27" i="12"/>
  <c r="X16" i="11"/>
  <c r="V14" i="4"/>
  <c r="Y16" i="13"/>
  <c r="X16" i="9"/>
  <c r="J91" i="6" l="1"/>
  <c r="K220" i="6"/>
  <c r="K222" i="6" s="1"/>
  <c r="K219" i="6"/>
  <c r="W27" i="14"/>
  <c r="W27" i="13"/>
  <c r="L45" i="9"/>
  <c r="L46" i="10"/>
  <c r="L46" i="12"/>
  <c r="L46" i="11"/>
  <c r="L46" i="14"/>
  <c r="L46" i="13"/>
  <c r="Y16" i="9"/>
  <c r="Y16" i="11"/>
  <c r="W14" i="4"/>
  <c r="J83" i="6"/>
  <c r="U14" i="18" s="1"/>
  <c r="J84" i="6"/>
  <c r="J86" i="6" s="1"/>
  <c r="Z16" i="13"/>
  <c r="K32" i="6"/>
  <c r="K33" i="6"/>
  <c r="K35" i="6" s="1"/>
  <c r="Z16" i="12"/>
  <c r="W27" i="12"/>
  <c r="V27" i="9"/>
  <c r="Z16" i="14"/>
  <c r="V27" i="10"/>
  <c r="K55" i="6"/>
  <c r="K56" i="6"/>
  <c r="K58" i="6" s="1"/>
  <c r="L64" i="9"/>
  <c r="L66" i="10"/>
  <c r="L66" i="12"/>
  <c r="L66" i="11"/>
  <c r="L66" i="14"/>
  <c r="L66" i="13"/>
  <c r="V27" i="11"/>
  <c r="K37" i="6" l="1"/>
  <c r="K38" i="6"/>
  <c r="K40" i="6" s="1"/>
  <c r="W27" i="9"/>
  <c r="K225" i="6"/>
  <c r="L212" i="6" s="1"/>
  <c r="K224" i="6"/>
  <c r="K228" i="6" s="1"/>
  <c r="J88" i="6"/>
  <c r="J92" i="6" s="1"/>
  <c r="J89" i="6"/>
  <c r="K76" i="6" s="1"/>
  <c r="Z16" i="9"/>
  <c r="K45" i="6"/>
  <c r="Z16" i="11"/>
  <c r="X14" i="4"/>
  <c r="W27" i="10"/>
  <c r="K227" i="6"/>
  <c r="K237" i="6" s="1"/>
  <c r="J101" i="6"/>
  <c r="J106" i="6" s="1"/>
  <c r="N16" i="5"/>
  <c r="J108" i="6"/>
  <c r="U27" i="18"/>
  <c r="T14" i="18"/>
  <c r="T27" i="18" s="1"/>
  <c r="X27" i="13"/>
  <c r="W27" i="11"/>
  <c r="X27" i="12"/>
  <c r="K61" i="6"/>
  <c r="K63" i="6" s="1"/>
  <c r="K60" i="6"/>
  <c r="U26" i="4"/>
  <c r="X27" i="14"/>
  <c r="K99" i="6" l="1"/>
  <c r="L214" i="6"/>
  <c r="L215" i="6"/>
  <c r="L217" i="6" s="1"/>
  <c r="K65" i="6"/>
  <c r="K69" i="6" s="1"/>
  <c r="K66" i="6"/>
  <c r="L53" i="6" s="1"/>
  <c r="K68" i="6"/>
  <c r="K100" i="6" s="1"/>
  <c r="X27" i="11"/>
  <c r="W26" i="4"/>
  <c r="Y27" i="13"/>
  <c r="X27" i="10"/>
  <c r="X27" i="9"/>
  <c r="Y27" i="14"/>
  <c r="Y27" i="12"/>
  <c r="V26" i="4"/>
  <c r="M64" i="9"/>
  <c r="M66" i="10"/>
  <c r="M66" i="12"/>
  <c r="M66" i="11"/>
  <c r="M66" i="13"/>
  <c r="M66" i="14"/>
  <c r="K42" i="6"/>
  <c r="K46" i="6" s="1"/>
  <c r="K43" i="6"/>
  <c r="L30" i="6" s="1"/>
  <c r="K78" i="6"/>
  <c r="K79" i="6"/>
  <c r="K81" i="6" s="1"/>
  <c r="Y14" i="4"/>
  <c r="J109" i="6"/>
  <c r="L44" i="4"/>
  <c r="Z27" i="13" l="1"/>
  <c r="L219" i="6"/>
  <c r="L220" i="6"/>
  <c r="L222" i="6" s="1"/>
  <c r="Y27" i="9"/>
  <c r="Z27" i="12"/>
  <c r="Y27" i="11"/>
  <c r="Y27" i="10"/>
  <c r="K83" i="6"/>
  <c r="W14" i="18" s="1"/>
  <c r="K84" i="6"/>
  <c r="K86" i="6" s="1"/>
  <c r="L32" i="6"/>
  <c r="L33" i="6"/>
  <c r="L35" i="6" s="1"/>
  <c r="Z27" i="14"/>
  <c r="L227" i="6"/>
  <c r="L237" i="6" s="1"/>
  <c r="M45" i="9"/>
  <c r="M46" i="10"/>
  <c r="M46" i="12"/>
  <c r="M46" i="11"/>
  <c r="M46" i="14"/>
  <c r="M46" i="13"/>
  <c r="L55" i="6"/>
  <c r="L56" i="6"/>
  <c r="L58" i="6" s="1"/>
  <c r="Z27" i="9" l="1"/>
  <c r="X26" i="4"/>
  <c r="Z27" i="10"/>
  <c r="L38" i="6"/>
  <c r="L40" i="6" s="1"/>
  <c r="L37" i="6"/>
  <c r="K91" i="6"/>
  <c r="L61" i="6"/>
  <c r="L63" i="6" s="1"/>
  <c r="L60" i="6"/>
  <c r="Z27" i="11"/>
  <c r="K92" i="6"/>
  <c r="K88" i="6"/>
  <c r="K89" i="6"/>
  <c r="L76" i="6" s="1"/>
  <c r="L224" i="6"/>
  <c r="L228" i="6" s="1"/>
  <c r="L225" i="6"/>
  <c r="M212" i="6" s="1"/>
  <c r="L68" i="6"/>
  <c r="L100" i="6" s="1"/>
  <c r="W27" i="18"/>
  <c r="K109" i="6" l="1"/>
  <c r="M44" i="4"/>
  <c r="M214" i="6"/>
  <c r="L45" i="6"/>
  <c r="L43" i="6"/>
  <c r="M30" i="6" s="1"/>
  <c r="L42" i="6"/>
  <c r="L46" i="6" s="1"/>
  <c r="Y26" i="4"/>
  <c r="L78" i="6"/>
  <c r="L79" i="6"/>
  <c r="L81" i="6" s="1"/>
  <c r="L66" i="6"/>
  <c r="M53" i="6" s="1"/>
  <c r="L65" i="6"/>
  <c r="L69" i="6" s="1"/>
  <c r="K101" i="6"/>
  <c r="K106" i="6" s="1"/>
  <c r="O16" i="5"/>
  <c r="K108" i="6"/>
  <c r="V14" i="18" s="1"/>
  <c r="V27" i="18" s="1"/>
  <c r="M32" i="6" l="1"/>
  <c r="M33" i="6"/>
  <c r="M35" i="6" s="1"/>
  <c r="N45" i="9"/>
  <c r="N46" i="10"/>
  <c r="N46" i="12"/>
  <c r="N46" i="11"/>
  <c r="N46" i="13"/>
  <c r="N46" i="14"/>
  <c r="M55" i="6"/>
  <c r="M56" i="6"/>
  <c r="M58" i="6" s="1"/>
  <c r="L84" i="6"/>
  <c r="L86" i="6" s="1"/>
  <c r="L83" i="6"/>
  <c r="Y14" i="18" s="1"/>
  <c r="N64" i="9"/>
  <c r="N66" i="10"/>
  <c r="N66" i="12"/>
  <c r="N66" i="13"/>
  <c r="N66" i="11"/>
  <c r="N66" i="14"/>
  <c r="L99" i="6"/>
  <c r="Y27" i="18" l="1"/>
  <c r="L89" i="6"/>
  <c r="M76" i="6" s="1"/>
  <c r="L88" i="6"/>
  <c r="L92" i="6" s="1"/>
  <c r="L91" i="6"/>
  <c r="M60" i="6"/>
  <c r="M61" i="6"/>
  <c r="M63" i="6" s="1"/>
  <c r="M68" i="6"/>
  <c r="M100" i="6" s="1"/>
  <c r="X146" i="6" s="1"/>
  <c r="M38" i="6"/>
  <c r="M40" i="6" s="1"/>
  <c r="M37" i="6"/>
  <c r="M46" i="6" l="1"/>
  <c r="L109" i="6"/>
  <c r="N44" i="4"/>
  <c r="M65" i="6"/>
  <c r="M69" i="6" s="1"/>
  <c r="M66" i="6"/>
  <c r="N53" i="6" s="1"/>
  <c r="M45" i="6"/>
  <c r="L101" i="6"/>
  <c r="L106" i="6" s="1"/>
  <c r="L108" i="6"/>
  <c r="X14" i="18" s="1"/>
  <c r="X27" i="18" s="1"/>
  <c r="P16" i="5"/>
  <c r="M43" i="6"/>
  <c r="N30" i="6" s="1"/>
  <c r="M42" i="6"/>
  <c r="M78" i="6"/>
  <c r="M79" i="6"/>
  <c r="M81" i="6" s="1"/>
  <c r="M84" i="6" l="1"/>
  <c r="M86" i="6" s="1"/>
  <c r="M83" i="6"/>
  <c r="AA14" i="18" s="1"/>
  <c r="M99" i="6"/>
  <c r="M91" i="6"/>
  <c r="M101" i="6" s="1"/>
  <c r="N56" i="6"/>
  <c r="N58" i="6" s="1"/>
  <c r="N55" i="6"/>
  <c r="N33" i="6"/>
  <c r="N35" i="6" s="1"/>
  <c r="N32" i="6"/>
  <c r="O45" i="9"/>
  <c r="O46" i="10"/>
  <c r="O46" i="12"/>
  <c r="O46" i="11"/>
  <c r="O46" i="13"/>
  <c r="O46" i="14"/>
  <c r="O64" i="9"/>
  <c r="O66" i="10"/>
  <c r="O66" i="12"/>
  <c r="O66" i="11"/>
  <c r="O66" i="13"/>
  <c r="O66" i="14"/>
  <c r="Q16" i="5" l="1"/>
  <c r="N38" i="6"/>
  <c r="N40" i="6" s="1"/>
  <c r="N37" i="6"/>
  <c r="AA27" i="18"/>
  <c r="Z14" i="18"/>
  <c r="Z27" i="18" s="1"/>
  <c r="N60" i="6"/>
  <c r="N61" i="6"/>
  <c r="N63" i="6" s="1"/>
  <c r="N68" i="6"/>
  <c r="N100" i="6" s="1"/>
  <c r="Z146" i="6" s="1"/>
  <c r="M89" i="6"/>
  <c r="N76" i="6" s="1"/>
  <c r="M88" i="6"/>
  <c r="M92" i="6" s="1"/>
  <c r="M106" i="6"/>
  <c r="M108" i="6"/>
  <c r="N69" i="6" l="1"/>
  <c r="N65" i="6"/>
  <c r="N66" i="6"/>
  <c r="O53" i="6" s="1"/>
  <c r="M109" i="6"/>
  <c r="O44" i="4"/>
  <c r="N79" i="6"/>
  <c r="N81" i="6" s="1"/>
  <c r="N78" i="6"/>
  <c r="N43" i="6"/>
  <c r="O30" i="6" s="1"/>
  <c r="N42" i="6"/>
  <c r="N46" i="6" s="1"/>
  <c r="N45" i="6"/>
  <c r="P64" i="9"/>
  <c r="P66" i="10"/>
  <c r="P66" i="12"/>
  <c r="P66" i="14"/>
  <c r="P66" i="13"/>
  <c r="P66" i="11"/>
  <c r="N84" i="6" l="1"/>
  <c r="N86" i="6" s="1"/>
  <c r="N83" i="6"/>
  <c r="AC14" i="18" s="1"/>
  <c r="P45" i="9"/>
  <c r="P46" i="10"/>
  <c r="P46" i="12"/>
  <c r="P46" i="11"/>
  <c r="P46" i="13"/>
  <c r="P46" i="14"/>
  <c r="O56" i="6"/>
  <c r="O58" i="6" s="1"/>
  <c r="O55" i="6"/>
  <c r="N99" i="6"/>
  <c r="O33" i="6"/>
  <c r="O35" i="6" s="1"/>
  <c r="O32" i="6"/>
  <c r="AC27" i="18" l="1"/>
  <c r="O60" i="6"/>
  <c r="O68" i="6" s="1"/>
  <c r="O100" i="6" s="1"/>
  <c r="AB146" i="6" s="1"/>
  <c r="O61" i="6"/>
  <c r="O63" i="6" s="1"/>
  <c r="N89" i="6"/>
  <c r="O76" i="6" s="1"/>
  <c r="N88" i="6"/>
  <c r="N92" i="6" s="1"/>
  <c r="O38" i="6"/>
  <c r="O40" i="6" s="1"/>
  <c r="O37" i="6"/>
  <c r="N91" i="6"/>
  <c r="O43" i="6" l="1"/>
  <c r="P30" i="6" s="1"/>
  <c r="O42" i="6"/>
  <c r="O45" i="6"/>
  <c r="O46" i="6"/>
  <c r="N101" i="6"/>
  <c r="N106" i="6" s="1"/>
  <c r="N108" i="6"/>
  <c r="AB14" i="18" s="1"/>
  <c r="AB27" i="18" s="1"/>
  <c r="R16" i="5"/>
  <c r="N109" i="6"/>
  <c r="P44" i="4"/>
  <c r="O79" i="6"/>
  <c r="O81" i="6" s="1"/>
  <c r="O78" i="6"/>
  <c r="O65" i="6"/>
  <c r="O69" i="6" s="1"/>
  <c r="O66" i="6"/>
  <c r="P53" i="6" s="1"/>
  <c r="P55" i="6" l="1"/>
  <c r="P56" i="6"/>
  <c r="P58" i="6" s="1"/>
  <c r="O99" i="6"/>
  <c r="Q45" i="9"/>
  <c r="Q46" i="10"/>
  <c r="Q46" i="12"/>
  <c r="Q46" i="11"/>
  <c r="Q46" i="13"/>
  <c r="Q46" i="14"/>
  <c r="O84" i="6"/>
  <c r="O86" i="6" s="1"/>
  <c r="O83" i="6"/>
  <c r="AE14" i="18" s="1"/>
  <c r="P33" i="6"/>
  <c r="P35" i="6" s="1"/>
  <c r="P32" i="6"/>
  <c r="Q64" i="9"/>
  <c r="Q66" i="10"/>
  <c r="Q66" i="12"/>
  <c r="Q66" i="11"/>
  <c r="Q66" i="13"/>
  <c r="Q66" i="14"/>
  <c r="P38" i="6" l="1"/>
  <c r="P40" i="6" s="1"/>
  <c r="P37" i="6"/>
  <c r="AE27" i="18"/>
  <c r="O89" i="6"/>
  <c r="P76" i="6" s="1"/>
  <c r="O88" i="6"/>
  <c r="O92" i="6" s="1"/>
  <c r="P61" i="6"/>
  <c r="P63" i="6" s="1"/>
  <c r="P60" i="6"/>
  <c r="O91" i="6"/>
  <c r="P68" i="6"/>
  <c r="P100" i="6" s="1"/>
  <c r="AD146" i="6" s="1"/>
  <c r="B151" i="6" s="1"/>
  <c r="P45" i="6"/>
  <c r="O109" i="6" l="1"/>
  <c r="Q44" i="4"/>
  <c r="P79" i="6"/>
  <c r="P81" i="6" s="1"/>
  <c r="P78" i="6"/>
  <c r="P66" i="6"/>
  <c r="Q53" i="6" s="1"/>
  <c r="P65" i="6"/>
  <c r="P69" i="6" s="1"/>
  <c r="P43" i="6"/>
  <c r="Q30" i="6" s="1"/>
  <c r="P42" i="6"/>
  <c r="P46" i="6" s="1"/>
  <c r="P99" i="6"/>
  <c r="O101" i="6"/>
  <c r="O106" i="6" s="1"/>
  <c r="O108" i="6"/>
  <c r="AD14" i="18" s="1"/>
  <c r="AD27" i="18" s="1"/>
  <c r="S16" i="5"/>
  <c r="R64" i="9" l="1"/>
  <c r="R66" i="10"/>
  <c r="R66" i="12"/>
  <c r="R66" i="11"/>
  <c r="R66" i="13"/>
  <c r="R66" i="14"/>
  <c r="P84" i="6"/>
  <c r="P86" i="6" s="1"/>
  <c r="P83" i="6"/>
  <c r="AG14" i="18" s="1"/>
  <c r="Q56" i="6"/>
  <c r="Q58" i="6" s="1"/>
  <c r="Q55" i="6"/>
  <c r="R45" i="9"/>
  <c r="R46" i="10"/>
  <c r="R46" i="12"/>
  <c r="R46" i="14"/>
  <c r="R46" i="13"/>
  <c r="R46" i="11"/>
  <c r="Q33" i="6"/>
  <c r="Q35" i="6" s="1"/>
  <c r="Q32" i="6"/>
  <c r="P91" i="6"/>
  <c r="Q37" i="6" l="1"/>
  <c r="Q38" i="6"/>
  <c r="Q40" i="6" s="1"/>
  <c r="Q60" i="6"/>
  <c r="Q61" i="6"/>
  <c r="Q63" i="6" s="1"/>
  <c r="Q45" i="6"/>
  <c r="P101" i="6"/>
  <c r="P106" i="6" s="1"/>
  <c r="P108" i="6"/>
  <c r="T16" i="5"/>
  <c r="AG27" i="18"/>
  <c r="AF14" i="18"/>
  <c r="AF27" i="18" s="1"/>
  <c r="P89" i="6"/>
  <c r="Q76" i="6" s="1"/>
  <c r="P88" i="6"/>
  <c r="P92" i="6" s="1"/>
  <c r="Q69" i="6" l="1"/>
  <c r="Q79" i="6"/>
  <c r="Q81" i="6" s="1"/>
  <c r="Q78" i="6"/>
  <c r="Q65" i="6"/>
  <c r="Q66" i="6"/>
  <c r="R53" i="6" s="1"/>
  <c r="P109" i="6"/>
  <c r="R44" i="4"/>
  <c r="Q68" i="6"/>
  <c r="Q100" i="6" s="1"/>
  <c r="Q42" i="6"/>
  <c r="Q46" i="6" s="1"/>
  <c r="Q43" i="6"/>
  <c r="R30" i="6" s="1"/>
  <c r="Q99" i="6"/>
  <c r="S64" i="9"/>
  <c r="S66" i="10"/>
  <c r="S66" i="12"/>
  <c r="S66" i="11"/>
  <c r="S66" i="14"/>
  <c r="S66" i="13"/>
  <c r="R33" i="6" l="1"/>
  <c r="R35" i="6" s="1"/>
  <c r="R32" i="6"/>
  <c r="S45" i="9"/>
  <c r="S46" i="10"/>
  <c r="S46" i="12"/>
  <c r="S46" i="11"/>
  <c r="S46" i="14"/>
  <c r="S46" i="13"/>
  <c r="Q91" i="6"/>
  <c r="Q101" i="6" s="1"/>
  <c r="Q106" i="6" s="1"/>
  <c r="R56" i="6"/>
  <c r="R58" i="6" s="1"/>
  <c r="R55" i="6"/>
  <c r="Q108" i="6"/>
  <c r="U16" i="5"/>
  <c r="Q83" i="6"/>
  <c r="AI14" i="18" s="1"/>
  <c r="Q84" i="6"/>
  <c r="Q86" i="6" s="1"/>
  <c r="R37" i="6" l="1"/>
  <c r="R45" i="6" s="1"/>
  <c r="R38" i="6"/>
  <c r="R40" i="6" s="1"/>
  <c r="Q88" i="6"/>
  <c r="Q92" i="6" s="1"/>
  <c r="Q89" i="6"/>
  <c r="R76" i="6" s="1"/>
  <c r="R60" i="6"/>
  <c r="R68" i="6" s="1"/>
  <c r="R100" i="6" s="1"/>
  <c r="R61" i="6"/>
  <c r="R63" i="6" s="1"/>
  <c r="AI27" i="18"/>
  <c r="AH14" i="18"/>
  <c r="AH27" i="18" s="1"/>
  <c r="T64" i="9"/>
  <c r="T66" i="12"/>
  <c r="T66" i="10"/>
  <c r="T66" i="11"/>
  <c r="T66" i="13"/>
  <c r="T66" i="14"/>
  <c r="R99" i="6" l="1"/>
  <c r="S44" i="4"/>
  <c r="Q109" i="6"/>
  <c r="R42" i="6"/>
  <c r="R43" i="6"/>
  <c r="S30" i="6" s="1"/>
  <c r="R65" i="6"/>
  <c r="R69" i="6" s="1"/>
  <c r="R66" i="6"/>
  <c r="S53" i="6" s="1"/>
  <c r="R46" i="6"/>
  <c r="R78" i="6"/>
  <c r="R79" i="6"/>
  <c r="R81" i="6" s="1"/>
  <c r="S55" i="6" l="1"/>
  <c r="S56" i="6"/>
  <c r="S58" i="6" s="1"/>
  <c r="R83" i="6"/>
  <c r="AK14" i="18" s="1"/>
  <c r="R84" i="6"/>
  <c r="R86" i="6" s="1"/>
  <c r="S32" i="6"/>
  <c r="S33" i="6"/>
  <c r="S35" i="6" s="1"/>
  <c r="R91" i="6"/>
  <c r="T45" i="9"/>
  <c r="T46" i="10"/>
  <c r="T46" i="12"/>
  <c r="T46" i="13"/>
  <c r="T46" i="11"/>
  <c r="T46" i="14"/>
  <c r="R101" i="6" l="1"/>
  <c r="R106" i="6" s="1"/>
  <c r="V16" i="5"/>
  <c r="R108" i="6"/>
  <c r="AK27" i="18"/>
  <c r="AJ14" i="18"/>
  <c r="AJ27" i="18" s="1"/>
  <c r="S37" i="6"/>
  <c r="S38" i="6"/>
  <c r="S40" i="6" s="1"/>
  <c r="R88" i="6"/>
  <c r="R89" i="6"/>
  <c r="S76" i="6" s="1"/>
  <c r="R92" i="6"/>
  <c r="S60" i="6"/>
  <c r="S61" i="6"/>
  <c r="S63" i="6" s="1"/>
  <c r="S68" i="6"/>
  <c r="S100" i="6" s="1"/>
  <c r="S78" i="6" l="1"/>
  <c r="S79" i="6"/>
  <c r="S81" i="6" s="1"/>
  <c r="R109" i="6"/>
  <c r="T44" i="4"/>
  <c r="S66" i="6"/>
  <c r="T53" i="6" s="1"/>
  <c r="S65" i="6"/>
  <c r="S69" i="6" s="1"/>
  <c r="U64" i="9"/>
  <c r="U66" i="10"/>
  <c r="U66" i="12"/>
  <c r="U66" i="11"/>
  <c r="U66" i="13"/>
  <c r="U66" i="14"/>
  <c r="S45" i="6"/>
  <c r="S42" i="6"/>
  <c r="S46" i="6" s="1"/>
  <c r="S43" i="6"/>
  <c r="T30" i="6" s="1"/>
  <c r="T55" i="6" l="1"/>
  <c r="T56" i="6"/>
  <c r="T58" i="6" s="1"/>
  <c r="S91" i="6"/>
  <c r="S101" i="6" s="1"/>
  <c r="T32" i="6"/>
  <c r="T33" i="6"/>
  <c r="T35" i="6" s="1"/>
  <c r="S99" i="6"/>
  <c r="S83" i="6"/>
  <c r="AM14" i="18" s="1"/>
  <c r="S84" i="6"/>
  <c r="S86" i="6" s="1"/>
  <c r="U45" i="9"/>
  <c r="U46" i="10"/>
  <c r="U46" i="12"/>
  <c r="U46" i="11"/>
  <c r="U46" i="14"/>
  <c r="U46" i="13"/>
  <c r="T38" i="6" l="1"/>
  <c r="T40" i="6" s="1"/>
  <c r="T37" i="6"/>
  <c r="AM27" i="18"/>
  <c r="AL14" i="18"/>
  <c r="AL27" i="18" s="1"/>
  <c r="S108" i="6"/>
  <c r="T68" i="6"/>
  <c r="T100" i="6" s="1"/>
  <c r="T45" i="6"/>
  <c r="S88" i="6"/>
  <c r="S92" i="6" s="1"/>
  <c r="S89" i="6"/>
  <c r="T76" i="6" s="1"/>
  <c r="T61" i="6"/>
  <c r="T63" i="6" s="1"/>
  <c r="T60" i="6"/>
  <c r="S106" i="6"/>
  <c r="W16" i="5"/>
  <c r="S109" i="6" l="1"/>
  <c r="U44" i="4"/>
  <c r="V64" i="9"/>
  <c r="V66" i="10"/>
  <c r="V66" i="12"/>
  <c r="V66" i="13"/>
  <c r="V66" i="14"/>
  <c r="V66" i="11"/>
  <c r="T78" i="6"/>
  <c r="T79" i="6"/>
  <c r="T81" i="6" s="1"/>
  <c r="T66" i="6"/>
  <c r="U53" i="6" s="1"/>
  <c r="T65" i="6"/>
  <c r="T69" i="6" s="1"/>
  <c r="T99" i="6"/>
  <c r="T43" i="6"/>
  <c r="U30" i="6" s="1"/>
  <c r="T42" i="6"/>
  <c r="T46" i="6" s="1"/>
  <c r="U56" i="6" l="1"/>
  <c r="U58" i="6" s="1"/>
  <c r="U55" i="6"/>
  <c r="T84" i="6"/>
  <c r="T86" i="6" s="1"/>
  <c r="T83" i="6"/>
  <c r="AO14" i="18" s="1"/>
  <c r="T91" i="6"/>
  <c r="V45" i="9"/>
  <c r="V46" i="10"/>
  <c r="V46" i="12"/>
  <c r="V46" i="11"/>
  <c r="V46" i="13"/>
  <c r="V46" i="14"/>
  <c r="U32" i="6"/>
  <c r="U33" i="6"/>
  <c r="U35" i="6" s="1"/>
  <c r="AO27" i="18" l="1"/>
  <c r="U60" i="6"/>
  <c r="U61" i="6"/>
  <c r="U63" i="6" s="1"/>
  <c r="U38" i="6"/>
  <c r="U40" i="6" s="1"/>
  <c r="U37" i="6"/>
  <c r="T101" i="6"/>
  <c r="T106" i="6" s="1"/>
  <c r="X16" i="5"/>
  <c r="T108" i="6"/>
  <c r="AN14" i="18" s="1"/>
  <c r="AN27" i="18" s="1"/>
  <c r="U68" i="6"/>
  <c r="U100" i="6" s="1"/>
  <c r="T89" i="6"/>
  <c r="U76" i="6" s="1"/>
  <c r="T88" i="6"/>
  <c r="T92" i="6" s="1"/>
  <c r="T109" i="6" l="1"/>
  <c r="V44" i="4"/>
  <c r="W64" i="9"/>
  <c r="W66" i="10"/>
  <c r="W66" i="12"/>
  <c r="W66" i="11"/>
  <c r="W66" i="13"/>
  <c r="W66" i="14"/>
  <c r="U78" i="6"/>
  <c r="U79" i="6"/>
  <c r="U81" i="6" s="1"/>
  <c r="U45" i="6"/>
  <c r="U43" i="6"/>
  <c r="V30" i="6" s="1"/>
  <c r="U42" i="6"/>
  <c r="U46" i="6"/>
  <c r="U65" i="6"/>
  <c r="U69" i="6" s="1"/>
  <c r="U66" i="6"/>
  <c r="V53" i="6" s="1"/>
  <c r="V56" i="6" l="1"/>
  <c r="V58" i="6" s="1"/>
  <c r="V55" i="6"/>
  <c r="W45" i="9"/>
  <c r="W46" i="10"/>
  <c r="W46" i="12"/>
  <c r="W46" i="11"/>
  <c r="W46" i="13"/>
  <c r="W46" i="14"/>
  <c r="U99" i="6"/>
  <c r="V33" i="6"/>
  <c r="V35" i="6" s="1"/>
  <c r="V32" i="6"/>
  <c r="U84" i="6"/>
  <c r="U86" i="6" s="1"/>
  <c r="U83" i="6"/>
  <c r="AQ14" i="18" s="1"/>
  <c r="AQ27" i="18" l="1"/>
  <c r="U89" i="6"/>
  <c r="V76" i="6" s="1"/>
  <c r="U88" i="6"/>
  <c r="U92" i="6" s="1"/>
  <c r="V45" i="6"/>
  <c r="V38" i="6"/>
  <c r="V40" i="6" s="1"/>
  <c r="V37" i="6"/>
  <c r="U91" i="6"/>
  <c r="V60" i="6"/>
  <c r="V68" i="6" s="1"/>
  <c r="V100" i="6" s="1"/>
  <c r="V61" i="6"/>
  <c r="V63" i="6" s="1"/>
  <c r="U109" i="6" l="1"/>
  <c r="W44" i="4"/>
  <c r="V43" i="6"/>
  <c r="V42" i="6"/>
  <c r="V46" i="6" s="1"/>
  <c r="V79" i="6"/>
  <c r="V81" i="6" s="1"/>
  <c r="V78" i="6"/>
  <c r="V65" i="6"/>
  <c r="V69" i="6" s="1"/>
  <c r="V66" i="6"/>
  <c r="V99" i="6"/>
  <c r="U101" i="6"/>
  <c r="U106" i="6" s="1"/>
  <c r="U108" i="6"/>
  <c r="AP14" i="18" s="1"/>
  <c r="AP27" i="18" s="1"/>
  <c r="Y16" i="5"/>
  <c r="X64" i="9" l="1"/>
  <c r="X66" i="10"/>
  <c r="X66" i="12"/>
  <c r="X66" i="14"/>
  <c r="X66" i="13"/>
  <c r="X66" i="11"/>
  <c r="V84" i="6"/>
  <c r="V86" i="6" s="1"/>
  <c r="V83" i="6"/>
  <c r="AS14" i="18" s="1"/>
  <c r="X45" i="9"/>
  <c r="X46" i="10"/>
  <c r="X46" i="12"/>
  <c r="X46" i="11"/>
  <c r="X46" i="13"/>
  <c r="X46" i="14"/>
  <c r="AS27" i="18" l="1"/>
  <c r="V91" i="6"/>
  <c r="V89" i="6"/>
  <c r="V88" i="6"/>
  <c r="V92" i="6" s="1"/>
  <c r="V109" i="6" l="1"/>
  <c r="X44" i="4"/>
  <c r="V101" i="6"/>
  <c r="V106" i="6" s="1"/>
  <c r="V108" i="6"/>
  <c r="AR14" i="18" s="1"/>
  <c r="Z16" i="5"/>
  <c r="Y64" i="9" l="1"/>
  <c r="Y66" i="10"/>
  <c r="Y66" i="12"/>
  <c r="Y66" i="11"/>
  <c r="Y66" i="13"/>
  <c r="Y66" i="14"/>
  <c r="AB16" i="5"/>
  <c r="AR27" i="18"/>
  <c r="AV14" i="18"/>
  <c r="Y31" i="4"/>
  <c r="AH31" i="4"/>
  <c r="AP31" i="4"/>
  <c r="AA31" i="4"/>
  <c r="AI31" i="4"/>
  <c r="AQ31" i="4"/>
  <c r="AB31" i="4"/>
  <c r="AJ31" i="4"/>
  <c r="AR31" i="4"/>
  <c r="AC31" i="4"/>
  <c r="AK31" i="4"/>
  <c r="AS31" i="4"/>
  <c r="X31" i="4"/>
  <c r="AG31" i="4"/>
  <c r="AO31" i="4"/>
  <c r="AD31" i="4"/>
  <c r="AV31" i="4"/>
  <c r="AE31" i="4"/>
  <c r="AL31" i="4"/>
  <c r="AN31" i="4"/>
  <c r="AF31" i="4"/>
  <c r="AM31" i="4"/>
  <c r="AT31" i="4"/>
  <c r="AU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W31" i="4"/>
  <c r="U31" i="4"/>
  <c r="V31" i="4"/>
  <c r="Y45" i="9"/>
  <c r="Y46" i="10"/>
  <c r="Y46" i="12"/>
  <c r="Y46" i="11"/>
  <c r="Y46" i="13"/>
  <c r="Y46" i="14"/>
  <c r="T32" i="9" l="1"/>
  <c r="T32" i="10"/>
  <c r="T32" i="12"/>
  <c r="T32" i="11"/>
  <c r="T32" i="14"/>
  <c r="T32" i="13"/>
  <c r="S35" i="4"/>
  <c r="K32" i="9"/>
  <c r="K32" i="10"/>
  <c r="K32" i="12"/>
  <c r="K32" i="11"/>
  <c r="K32" i="14"/>
  <c r="K32" i="13"/>
  <c r="J35" i="4"/>
  <c r="Y32" i="9"/>
  <c r="Y32" i="10"/>
  <c r="Y32" i="12"/>
  <c r="Y32" i="13"/>
  <c r="Y32" i="11"/>
  <c r="Y32" i="14"/>
  <c r="X35" i="4"/>
  <c r="J32" i="9"/>
  <c r="J32" i="10"/>
  <c r="J32" i="12"/>
  <c r="J32" i="14"/>
  <c r="J32" i="11"/>
  <c r="J32" i="13"/>
  <c r="I35" i="4"/>
  <c r="U32" i="10"/>
  <c r="U32" i="12"/>
  <c r="U32" i="9"/>
  <c r="U32" i="11"/>
  <c r="U32" i="14"/>
  <c r="U32" i="13"/>
  <c r="T35" i="4"/>
  <c r="M32" i="9"/>
  <c r="M32" i="10"/>
  <c r="M32" i="12"/>
  <c r="M32" i="11"/>
  <c r="M32" i="14"/>
  <c r="M32" i="13"/>
  <c r="L35" i="4"/>
  <c r="I32" i="9"/>
  <c r="I32" i="10"/>
  <c r="I32" i="12"/>
  <c r="I32" i="11"/>
  <c r="I32" i="13"/>
  <c r="I32" i="14"/>
  <c r="H35" i="4"/>
  <c r="W32" i="9"/>
  <c r="W32" i="10"/>
  <c r="W32" i="12"/>
  <c r="W32" i="11"/>
  <c r="W32" i="13"/>
  <c r="W32" i="14"/>
  <c r="V35" i="4"/>
  <c r="H32" i="9"/>
  <c r="H32" i="10"/>
  <c r="H32" i="12"/>
  <c r="H32" i="11"/>
  <c r="H32" i="13"/>
  <c r="H32" i="14"/>
  <c r="G35" i="4"/>
  <c r="L32" i="9"/>
  <c r="L32" i="10"/>
  <c r="L32" i="12"/>
  <c r="L32" i="11"/>
  <c r="L32" i="13"/>
  <c r="L32" i="14"/>
  <c r="K35" i="4"/>
  <c r="Q32" i="9"/>
  <c r="Q32" i="10"/>
  <c r="Q32" i="12"/>
  <c r="Q32" i="11"/>
  <c r="Q32" i="13"/>
  <c r="Q32" i="14"/>
  <c r="P35" i="4"/>
  <c r="V32" i="10"/>
  <c r="V32" i="12"/>
  <c r="V32" i="9"/>
  <c r="V32" i="11"/>
  <c r="V32" i="13"/>
  <c r="V32" i="14"/>
  <c r="U35" i="4"/>
  <c r="G32" i="9"/>
  <c r="G32" i="10"/>
  <c r="G32" i="12"/>
  <c r="G32" i="11"/>
  <c r="G32" i="13"/>
  <c r="G32" i="14"/>
  <c r="F35" i="4"/>
  <c r="Z32" i="9"/>
  <c r="Z32" i="10"/>
  <c r="Z32" i="12"/>
  <c r="Z32" i="11"/>
  <c r="Z32" i="14"/>
  <c r="Z32" i="13"/>
  <c r="Y35" i="4"/>
  <c r="S32" i="9"/>
  <c r="S32" i="10"/>
  <c r="S32" i="12"/>
  <c r="S32" i="11"/>
  <c r="S32" i="13"/>
  <c r="S32" i="14"/>
  <c r="R35" i="4"/>
  <c r="R32" i="9"/>
  <c r="R32" i="12"/>
  <c r="R32" i="10"/>
  <c r="R32" i="14"/>
  <c r="R32" i="13"/>
  <c r="R32" i="11"/>
  <c r="Q35" i="4"/>
  <c r="P32" i="9"/>
  <c r="P32" i="10"/>
  <c r="P32" i="12"/>
  <c r="P32" i="11"/>
  <c r="P32" i="13"/>
  <c r="P32" i="14"/>
  <c r="O35" i="4"/>
  <c r="O32" i="9"/>
  <c r="O32" i="10"/>
  <c r="O32" i="12"/>
  <c r="O32" i="11"/>
  <c r="O32" i="13"/>
  <c r="O32" i="14"/>
  <c r="N35" i="4"/>
  <c r="X32" i="9"/>
  <c r="X32" i="12"/>
  <c r="X32" i="10"/>
  <c r="X32" i="11"/>
  <c r="X32" i="13"/>
  <c r="X32" i="14"/>
  <c r="W35" i="4"/>
  <c r="N32" i="9"/>
  <c r="N32" i="10"/>
  <c r="N32" i="12"/>
  <c r="N32" i="11"/>
  <c r="N32" i="14"/>
  <c r="N32" i="13"/>
  <c r="M35" i="4"/>
  <c r="S19" i="11" l="1"/>
  <c r="S20" i="11" s="1"/>
  <c r="S36" i="11"/>
  <c r="V19" i="10"/>
  <c r="V36" i="10"/>
  <c r="I19" i="11"/>
  <c r="I20" i="11" s="1"/>
  <c r="I36" i="11"/>
  <c r="J19" i="10"/>
  <c r="J36" i="10"/>
  <c r="P36" i="13"/>
  <c r="P19" i="13"/>
  <c r="P20" i="13" s="1"/>
  <c r="P39" i="13" s="1"/>
  <c r="I19" i="12"/>
  <c r="I20" i="12" s="1"/>
  <c r="I39" i="12" s="1"/>
  <c r="I36" i="12"/>
  <c r="T19" i="13"/>
  <c r="T20" i="13" s="1"/>
  <c r="T36" i="13"/>
  <c r="O36" i="13"/>
  <c r="O19" i="13"/>
  <c r="O20" i="13" s="1"/>
  <c r="Z36" i="9"/>
  <c r="Z19" i="9"/>
  <c r="Z20" i="9" s="1"/>
  <c r="Z39" i="9" s="1"/>
  <c r="W19" i="12"/>
  <c r="W20" i="12" s="1"/>
  <c r="W39" i="12" s="1"/>
  <c r="W36" i="12"/>
  <c r="K36" i="13"/>
  <c r="K19" i="13"/>
  <c r="K20" i="13" s="1"/>
  <c r="K39" i="13" s="1"/>
  <c r="X19" i="13"/>
  <c r="X20" i="13" s="1"/>
  <c r="X39" i="13" s="1"/>
  <c r="X36" i="13"/>
  <c r="X36" i="11"/>
  <c r="X19" i="11"/>
  <c r="X20" i="11" s="1"/>
  <c r="X39" i="11" s="1"/>
  <c r="P19" i="10"/>
  <c r="P36" i="10"/>
  <c r="N19" i="10"/>
  <c r="N36" i="10"/>
  <c r="X19" i="9"/>
  <c r="X20" i="9" s="1"/>
  <c r="X39" i="9" s="1"/>
  <c r="X36" i="9"/>
  <c r="R36" i="11"/>
  <c r="R19" i="11"/>
  <c r="R20" i="11" s="1"/>
  <c r="R39" i="11" s="1"/>
  <c r="S36" i="13"/>
  <c r="S19" i="13"/>
  <c r="S20" i="13" s="1"/>
  <c r="Z36" i="11"/>
  <c r="Z19" i="11"/>
  <c r="Z20" i="11" s="1"/>
  <c r="Z39" i="11" s="1"/>
  <c r="G19" i="12"/>
  <c r="G20" i="12" s="1"/>
  <c r="G39" i="12" s="1"/>
  <c r="G36" i="12"/>
  <c r="V36" i="12"/>
  <c r="V19" i="12"/>
  <c r="V20" i="12" s="1"/>
  <c r="V39" i="12" s="1"/>
  <c r="Q36" i="9"/>
  <c r="Q19" i="9"/>
  <c r="Q20" i="9" s="1"/>
  <c r="Q39" i="9" s="1"/>
  <c r="W36" i="14"/>
  <c r="W19" i="14"/>
  <c r="W20" i="14" s="1"/>
  <c r="W39" i="14" s="1"/>
  <c r="I36" i="13"/>
  <c r="I19" i="13"/>
  <c r="I20" i="13" s="1"/>
  <c r="M36" i="14"/>
  <c r="M19" i="14"/>
  <c r="M20" i="14" s="1"/>
  <c r="M39" i="14" s="1"/>
  <c r="U36" i="11"/>
  <c r="U19" i="11"/>
  <c r="U20" i="11" s="1"/>
  <c r="U39" i="11" s="1"/>
  <c r="J36" i="12"/>
  <c r="J19" i="12"/>
  <c r="J20" i="12" s="1"/>
  <c r="J39" i="12" s="1"/>
  <c r="Y19" i="10"/>
  <c r="Y36" i="10"/>
  <c r="K36" i="9"/>
  <c r="K19" i="9"/>
  <c r="K20" i="9" s="1"/>
  <c r="K39" i="9" s="1"/>
  <c r="N36" i="9"/>
  <c r="N19" i="9"/>
  <c r="N20" i="9" s="1"/>
  <c r="N39" i="9" s="1"/>
  <c r="R36" i="14"/>
  <c r="R19" i="14"/>
  <c r="R20" i="14" s="1"/>
  <c r="R39" i="14" s="1"/>
  <c r="L36" i="14"/>
  <c r="L19" i="14"/>
  <c r="L20" i="14" s="1"/>
  <c r="J36" i="9"/>
  <c r="J19" i="9"/>
  <c r="J20" i="9" s="1"/>
  <c r="J39" i="9" s="1"/>
  <c r="X36" i="14"/>
  <c r="X19" i="14"/>
  <c r="X20" i="14" s="1"/>
  <c r="X39" i="14" s="1"/>
  <c r="Q36" i="14"/>
  <c r="Q19" i="14"/>
  <c r="Q20" i="14" s="1"/>
  <c r="Q39" i="14" s="1"/>
  <c r="O19" i="11"/>
  <c r="O20" i="11" s="1"/>
  <c r="O39" i="11" s="1"/>
  <c r="O36" i="11"/>
  <c r="R36" i="12"/>
  <c r="R19" i="12"/>
  <c r="R20" i="12" s="1"/>
  <c r="R39" i="12" s="1"/>
  <c r="S19" i="9"/>
  <c r="S20" i="9" s="1"/>
  <c r="S36" i="9"/>
  <c r="V36" i="14"/>
  <c r="V19" i="14"/>
  <c r="V20" i="14" s="1"/>
  <c r="V39" i="14" s="1"/>
  <c r="Q36" i="13"/>
  <c r="Q19" i="13"/>
  <c r="Q20" i="13" s="1"/>
  <c r="L36" i="11"/>
  <c r="L19" i="11"/>
  <c r="L20" i="11" s="1"/>
  <c r="L39" i="11" s="1"/>
  <c r="H36" i="12"/>
  <c r="H19" i="12"/>
  <c r="H20" i="12" s="1"/>
  <c r="H39" i="12" s="1"/>
  <c r="W19" i="10"/>
  <c r="W36" i="10"/>
  <c r="I36" i="9"/>
  <c r="I19" i="9"/>
  <c r="I20" i="9" s="1"/>
  <c r="M19" i="9"/>
  <c r="M20" i="9" s="1"/>
  <c r="M36" i="9"/>
  <c r="Y36" i="14"/>
  <c r="Y19" i="14"/>
  <c r="Y20" i="14" s="1"/>
  <c r="Y39" i="14" s="1"/>
  <c r="K36" i="14"/>
  <c r="K19" i="14"/>
  <c r="K20" i="14" s="1"/>
  <c r="K39" i="14" s="1"/>
  <c r="T36" i="11"/>
  <c r="T19" i="11"/>
  <c r="T20" i="11" s="1"/>
  <c r="R36" i="13"/>
  <c r="R19" i="13"/>
  <c r="R20" i="13" s="1"/>
  <c r="R39" i="13" s="1"/>
  <c r="H36" i="14"/>
  <c r="H19" i="14"/>
  <c r="H20" i="14" s="1"/>
  <c r="H39" i="14" s="1"/>
  <c r="U19" i="9"/>
  <c r="U20" i="9" s="1"/>
  <c r="U36" i="9"/>
  <c r="O36" i="14"/>
  <c r="O19" i="14"/>
  <c r="O20" i="14" s="1"/>
  <c r="G19" i="9"/>
  <c r="G20" i="9" s="1"/>
  <c r="G36" i="9"/>
  <c r="M36" i="12"/>
  <c r="M19" i="12"/>
  <c r="M20" i="12" s="1"/>
  <c r="M39" i="12" s="1"/>
  <c r="S19" i="10"/>
  <c r="S36" i="10"/>
  <c r="H19" i="11"/>
  <c r="H20" i="11" s="1"/>
  <c r="H39" i="11" s="1"/>
  <c r="H36" i="11"/>
  <c r="U19" i="10"/>
  <c r="U36" i="10"/>
  <c r="N36" i="14"/>
  <c r="N19" i="14"/>
  <c r="N20" i="14" s="1"/>
  <c r="N39" i="14" s="1"/>
  <c r="R36" i="9"/>
  <c r="R19" i="9"/>
  <c r="R20" i="9" s="1"/>
  <c r="R39" i="9" s="1"/>
  <c r="G36" i="14"/>
  <c r="G19" i="14"/>
  <c r="G20" i="14" s="1"/>
  <c r="V19" i="13"/>
  <c r="V20" i="13" s="1"/>
  <c r="V36" i="13"/>
  <c r="Q36" i="11"/>
  <c r="Q19" i="11"/>
  <c r="Q20" i="11" s="1"/>
  <c r="Q39" i="11" s="1"/>
  <c r="L19" i="12"/>
  <c r="L20" i="12" s="1"/>
  <c r="L36" i="12"/>
  <c r="H19" i="10"/>
  <c r="H36" i="10"/>
  <c r="W36" i="9"/>
  <c r="W19" i="9"/>
  <c r="W20" i="9" s="1"/>
  <c r="W39" i="9" s="1"/>
  <c r="J36" i="13"/>
  <c r="J19" i="13"/>
  <c r="J20" i="13" s="1"/>
  <c r="J39" i="13" s="1"/>
  <c r="Y36" i="11"/>
  <c r="Y19" i="11"/>
  <c r="Y20" i="11" s="1"/>
  <c r="Y39" i="11" s="1"/>
  <c r="K36" i="11"/>
  <c r="K19" i="11"/>
  <c r="K20" i="11" s="1"/>
  <c r="T36" i="12"/>
  <c r="T19" i="12"/>
  <c r="T20" i="12" s="1"/>
  <c r="T39" i="12" s="1"/>
  <c r="P36" i="14"/>
  <c r="P19" i="14"/>
  <c r="P20" i="14" s="1"/>
  <c r="P39" i="14" s="1"/>
  <c r="G19" i="10"/>
  <c r="G36" i="10"/>
  <c r="M36" i="11"/>
  <c r="M19" i="11"/>
  <c r="M20" i="11" s="1"/>
  <c r="Z36" i="10"/>
  <c r="Z19" i="10"/>
  <c r="H19" i="13"/>
  <c r="H20" i="13" s="1"/>
  <c r="H36" i="13"/>
  <c r="U19" i="12"/>
  <c r="U20" i="12" s="1"/>
  <c r="U36" i="12"/>
  <c r="P36" i="11"/>
  <c r="P19" i="11"/>
  <c r="P20" i="11" s="1"/>
  <c r="L19" i="13"/>
  <c r="L20" i="13" s="1"/>
  <c r="L36" i="13"/>
  <c r="T19" i="14"/>
  <c r="T20" i="14" s="1"/>
  <c r="T36" i="14"/>
  <c r="N19" i="11"/>
  <c r="N20" i="11" s="1"/>
  <c r="N36" i="11"/>
  <c r="G19" i="13"/>
  <c r="G20" i="13" s="1"/>
  <c r="G39" i="13" s="1"/>
  <c r="G36" i="13"/>
  <c r="Q36" i="12"/>
  <c r="Q19" i="12"/>
  <c r="Q20" i="12" s="1"/>
  <c r="Q39" i="12" s="1"/>
  <c r="H36" i="9"/>
  <c r="H19" i="9"/>
  <c r="H20" i="9" s="1"/>
  <c r="H39" i="9" s="1"/>
  <c r="U36" i="13"/>
  <c r="U19" i="13"/>
  <c r="U20" i="13" s="1"/>
  <c r="U39" i="13" s="1"/>
  <c r="J19" i="11"/>
  <c r="J20" i="11" s="1"/>
  <c r="J39" i="11" s="1"/>
  <c r="J36" i="11"/>
  <c r="Y36" i="13"/>
  <c r="Y19" i="13"/>
  <c r="Y20" i="13" s="1"/>
  <c r="K36" i="12"/>
  <c r="K19" i="12"/>
  <c r="K20" i="12" s="1"/>
  <c r="K39" i="12" s="1"/>
  <c r="T19" i="10"/>
  <c r="T36" i="10"/>
  <c r="Z36" i="12"/>
  <c r="Z19" i="12"/>
  <c r="Z20" i="12" s="1"/>
  <c r="W36" i="13"/>
  <c r="W19" i="13"/>
  <c r="W20" i="13" s="1"/>
  <c r="W39" i="13" s="1"/>
  <c r="Y36" i="9"/>
  <c r="Y19" i="9"/>
  <c r="Y20" i="9" s="1"/>
  <c r="Y39" i="9" s="1"/>
  <c r="S36" i="12"/>
  <c r="S19" i="12"/>
  <c r="S20" i="12" s="1"/>
  <c r="S39" i="12" s="1"/>
  <c r="W36" i="11"/>
  <c r="W19" i="11"/>
  <c r="W20" i="11" s="1"/>
  <c r="R36" i="10"/>
  <c r="R19" i="10"/>
  <c r="I19" i="10"/>
  <c r="I36" i="10"/>
  <c r="M36" i="10"/>
  <c r="M19" i="10"/>
  <c r="N36" i="13"/>
  <c r="N19" i="13"/>
  <c r="N20" i="13" s="1"/>
  <c r="P19" i="12"/>
  <c r="P20" i="12" s="1"/>
  <c r="P36" i="12"/>
  <c r="O36" i="12"/>
  <c r="O19" i="12"/>
  <c r="O20" i="12" s="1"/>
  <c r="O39" i="12" s="1"/>
  <c r="X19" i="10"/>
  <c r="X36" i="10"/>
  <c r="O36" i="10"/>
  <c r="O19" i="10"/>
  <c r="P19" i="9"/>
  <c r="P20" i="9" s="1"/>
  <c r="P36" i="9"/>
  <c r="Z19" i="13"/>
  <c r="Z20" i="13" s="1"/>
  <c r="Z36" i="13"/>
  <c r="V36" i="11"/>
  <c r="V19" i="11"/>
  <c r="V20" i="11" s="1"/>
  <c r="V39" i="11" s="1"/>
  <c r="L19" i="10"/>
  <c r="L36" i="10"/>
  <c r="N36" i="12"/>
  <c r="N19" i="12"/>
  <c r="N20" i="12" s="1"/>
  <c r="N39" i="12" s="1"/>
  <c r="X19" i="12"/>
  <c r="X20" i="12" s="1"/>
  <c r="X36" i="12"/>
  <c r="O19" i="9"/>
  <c r="O20" i="9" s="1"/>
  <c r="O36" i="9"/>
  <c r="S19" i="14"/>
  <c r="S20" i="14" s="1"/>
  <c r="S39" i="14" s="1"/>
  <c r="S36" i="14"/>
  <c r="Z36" i="14"/>
  <c r="Z19" i="14"/>
  <c r="Z20" i="14" s="1"/>
  <c r="Z39" i="14" s="1"/>
  <c r="G36" i="11"/>
  <c r="G19" i="11"/>
  <c r="G20" i="11" s="1"/>
  <c r="G39" i="11" s="1"/>
  <c r="V36" i="9"/>
  <c r="V19" i="9"/>
  <c r="V20" i="9" s="1"/>
  <c r="V39" i="9" s="1"/>
  <c r="Q19" i="10"/>
  <c r="Q36" i="10"/>
  <c r="L36" i="9"/>
  <c r="L19" i="9"/>
  <c r="L20" i="9" s="1"/>
  <c r="L39" i="9" s="1"/>
  <c r="I19" i="14"/>
  <c r="I20" i="14" s="1"/>
  <c r="I36" i="14"/>
  <c r="M36" i="13"/>
  <c r="M19" i="13"/>
  <c r="M20" i="13" s="1"/>
  <c r="M39" i="13" s="1"/>
  <c r="U36" i="14"/>
  <c r="U19" i="14"/>
  <c r="U20" i="14" s="1"/>
  <c r="J36" i="14"/>
  <c r="J19" i="14"/>
  <c r="J20" i="14" s="1"/>
  <c r="J39" i="14" s="1"/>
  <c r="Y36" i="12"/>
  <c r="Y19" i="12"/>
  <c r="Y20" i="12" s="1"/>
  <c r="Y39" i="12" s="1"/>
  <c r="K36" i="10"/>
  <c r="K19" i="10"/>
  <c r="T36" i="9"/>
  <c r="T19" i="9"/>
  <c r="T20" i="9" s="1"/>
  <c r="V44" i="11" l="1"/>
  <c r="V49" i="11" s="1"/>
  <c r="V64" i="11"/>
  <c r="V67" i="11" s="1"/>
  <c r="U44" i="13"/>
  <c r="U49" i="13" s="1"/>
  <c r="U64" i="13"/>
  <c r="U67" i="13" s="1"/>
  <c r="X43" i="9"/>
  <c r="X47" i="9" s="1"/>
  <c r="X62" i="9"/>
  <c r="X67" i="9" s="1"/>
  <c r="AQ8" i="18"/>
  <c r="O39" i="9"/>
  <c r="S18" i="4"/>
  <c r="S19" i="4" s="1"/>
  <c r="S38" i="4" s="1"/>
  <c r="T20" i="10"/>
  <c r="T39" i="10" s="1"/>
  <c r="Q44" i="14"/>
  <c r="Q49" i="14" s="1"/>
  <c r="Q64" i="14"/>
  <c r="Q67" i="14" s="1"/>
  <c r="Z64" i="11"/>
  <c r="Z67" i="11" s="1"/>
  <c r="Z44" i="11"/>
  <c r="Z49" i="11" s="1"/>
  <c r="O44" i="12"/>
  <c r="O49" i="12" s="1"/>
  <c r="O64" i="12"/>
  <c r="O67" i="12" s="1"/>
  <c r="U39" i="12"/>
  <c r="U39" i="9"/>
  <c r="I39" i="11"/>
  <c r="J44" i="14"/>
  <c r="J49" i="14" s="1"/>
  <c r="J64" i="14"/>
  <c r="J67" i="14" s="1"/>
  <c r="Z44" i="14"/>
  <c r="Z49" i="14" s="1"/>
  <c r="Z64" i="14"/>
  <c r="Z67" i="14" s="1"/>
  <c r="Q18" i="4"/>
  <c r="Q19" i="4" s="1"/>
  <c r="Q38" i="4" s="1"/>
  <c r="R20" i="10"/>
  <c r="R39" i="10" s="1"/>
  <c r="P39" i="9"/>
  <c r="P18" i="4"/>
  <c r="P19" i="4" s="1"/>
  <c r="P38" i="4" s="1"/>
  <c r="Q20" i="10"/>
  <c r="Q39" i="10" s="1"/>
  <c r="AD8" i="18" s="1"/>
  <c r="S44" i="14"/>
  <c r="S49" i="14" s="1"/>
  <c r="S64" i="14"/>
  <c r="S67" i="14" s="1"/>
  <c r="K18" i="4"/>
  <c r="K19" i="4" s="1"/>
  <c r="K38" i="4" s="1"/>
  <c r="L20" i="10"/>
  <c r="L39" i="10" s="1"/>
  <c r="J64" i="11"/>
  <c r="J67" i="11" s="1"/>
  <c r="J44" i="11"/>
  <c r="J49" i="11" s="1"/>
  <c r="P39" i="11"/>
  <c r="M39" i="11"/>
  <c r="K39" i="11"/>
  <c r="G39" i="14"/>
  <c r="O39" i="14"/>
  <c r="T39" i="11"/>
  <c r="I39" i="9"/>
  <c r="Q39" i="13"/>
  <c r="L39" i="14"/>
  <c r="I39" i="13"/>
  <c r="O39" i="13"/>
  <c r="M44" i="13"/>
  <c r="M49" i="13" s="1"/>
  <c r="M64" i="13"/>
  <c r="M67" i="13" s="1"/>
  <c r="O44" i="11"/>
  <c r="O49" i="11" s="1"/>
  <c r="O64" i="11"/>
  <c r="O67" i="11" s="1"/>
  <c r="K64" i="14"/>
  <c r="K67" i="14" s="1"/>
  <c r="K44" i="14"/>
  <c r="K49" i="14" s="1"/>
  <c r="W44" i="14"/>
  <c r="W49" i="14" s="1"/>
  <c r="W64" i="14"/>
  <c r="W67" i="14" s="1"/>
  <c r="G44" i="11"/>
  <c r="G49" i="11" s="1"/>
  <c r="G64" i="11"/>
  <c r="G67" i="11" s="1"/>
  <c r="K44" i="12"/>
  <c r="K49" i="12" s="1"/>
  <c r="K64" i="12"/>
  <c r="K67" i="12" s="1"/>
  <c r="L39" i="12"/>
  <c r="I39" i="14"/>
  <c r="X39" i="12"/>
  <c r="Z39" i="13"/>
  <c r="AT8" i="18" s="1"/>
  <c r="AT16" i="18" s="1"/>
  <c r="AT20" i="18" s="1"/>
  <c r="H18" i="4"/>
  <c r="I20" i="10"/>
  <c r="I39" i="10" s="1"/>
  <c r="H43" i="9"/>
  <c r="H47" i="9" s="1"/>
  <c r="H62" i="9"/>
  <c r="H67" i="9" s="1"/>
  <c r="P64" i="14"/>
  <c r="P67" i="14" s="1"/>
  <c r="P44" i="14"/>
  <c r="P49" i="14" s="1"/>
  <c r="J64" i="13"/>
  <c r="J67" i="13" s="1"/>
  <c r="J44" i="13"/>
  <c r="J49" i="13" s="1"/>
  <c r="Q44" i="11"/>
  <c r="Q49" i="11" s="1"/>
  <c r="Q64" i="11"/>
  <c r="Q67" i="11" s="1"/>
  <c r="N44" i="14"/>
  <c r="N49" i="14" s="1"/>
  <c r="N64" i="14"/>
  <c r="N67" i="14" s="1"/>
  <c r="M44" i="12"/>
  <c r="M49" i="12" s="1"/>
  <c r="M64" i="12"/>
  <c r="M67" i="12" s="1"/>
  <c r="H64" i="14"/>
  <c r="H67" i="14" s="1"/>
  <c r="H44" i="14"/>
  <c r="H49" i="14" s="1"/>
  <c r="Y44" i="14"/>
  <c r="Y49" i="14" s="1"/>
  <c r="Y64" i="14"/>
  <c r="Y67" i="14" s="1"/>
  <c r="H64" i="12"/>
  <c r="H67" i="12" s="1"/>
  <c r="H44" i="12"/>
  <c r="H49" i="12" s="1"/>
  <c r="X64" i="14"/>
  <c r="X67" i="14" s="1"/>
  <c r="X44" i="14"/>
  <c r="X49" i="14" s="1"/>
  <c r="N43" i="9"/>
  <c r="N47" i="9" s="1"/>
  <c r="N62" i="9"/>
  <c r="N67" i="9" s="1"/>
  <c r="U64" i="11"/>
  <c r="U67" i="11" s="1"/>
  <c r="U44" i="11"/>
  <c r="U49" i="11" s="1"/>
  <c r="Q62" i="9"/>
  <c r="Q67" i="9" s="1"/>
  <c r="Q43" i="9"/>
  <c r="Q47" i="9" s="1"/>
  <c r="AC8" i="18"/>
  <c r="S39" i="13"/>
  <c r="L18" i="4"/>
  <c r="L19" i="4" s="1"/>
  <c r="L38" i="4" s="1"/>
  <c r="M20" i="10"/>
  <c r="M39" i="10" s="1"/>
  <c r="H64" i="11"/>
  <c r="H67" i="11" s="1"/>
  <c r="H44" i="11"/>
  <c r="H49" i="11" s="1"/>
  <c r="X44" i="13"/>
  <c r="X49" i="13" s="1"/>
  <c r="X64" i="13"/>
  <c r="X67" i="13" s="1"/>
  <c r="W18" i="4"/>
  <c r="W19" i="4" s="1"/>
  <c r="W38" i="4" s="1"/>
  <c r="X20" i="10"/>
  <c r="X39" i="10" s="1"/>
  <c r="AR8" i="18" s="1"/>
  <c r="J64" i="12"/>
  <c r="J67" i="12" s="1"/>
  <c r="J44" i="12"/>
  <c r="J49" i="12" s="1"/>
  <c r="R18" i="4"/>
  <c r="R19" i="4" s="1"/>
  <c r="R38" i="4" s="1"/>
  <c r="S20" i="10"/>
  <c r="S39" i="10" s="1"/>
  <c r="M18" i="4"/>
  <c r="M19" i="4" s="1"/>
  <c r="M38" i="4" s="1"/>
  <c r="N20" i="10"/>
  <c r="N39" i="10" s="1"/>
  <c r="W44" i="13"/>
  <c r="W49" i="13" s="1"/>
  <c r="W64" i="13"/>
  <c r="W67" i="13" s="1"/>
  <c r="Y39" i="13"/>
  <c r="T39" i="14"/>
  <c r="H39" i="13"/>
  <c r="S39" i="9"/>
  <c r="O18" i="4"/>
  <c r="O19" i="4" s="1"/>
  <c r="O38" i="4" s="1"/>
  <c r="P20" i="10"/>
  <c r="P39" i="10" s="1"/>
  <c r="W44" i="12"/>
  <c r="W49" i="12" s="1"/>
  <c r="W64" i="12"/>
  <c r="W67" i="12" s="1"/>
  <c r="I64" i="12"/>
  <c r="I67" i="12" s="1"/>
  <c r="I44" i="12"/>
  <c r="I49" i="12" s="1"/>
  <c r="U18" i="4"/>
  <c r="U19" i="4" s="1"/>
  <c r="U38" i="4" s="1"/>
  <c r="V20" i="10"/>
  <c r="V39" i="10" s="1"/>
  <c r="J18" i="4"/>
  <c r="J19" i="4" s="1"/>
  <c r="J38" i="4" s="1"/>
  <c r="K20" i="10"/>
  <c r="K39" i="10" s="1"/>
  <c r="R8" i="18" s="1"/>
  <c r="S44" i="12"/>
  <c r="S49" i="12" s="1"/>
  <c r="S64" i="12"/>
  <c r="S67" i="12" s="1"/>
  <c r="G44" i="12"/>
  <c r="G49" i="12" s="1"/>
  <c r="G64" i="12"/>
  <c r="G67" i="12" s="1"/>
  <c r="R43" i="9"/>
  <c r="R47" i="9" s="1"/>
  <c r="R62" i="9"/>
  <c r="R67" i="9" s="1"/>
  <c r="AE8" i="18"/>
  <c r="AF8" i="18"/>
  <c r="K64" i="13"/>
  <c r="K67" i="13" s="1"/>
  <c r="K44" i="13"/>
  <c r="K49" i="13" s="1"/>
  <c r="Y62" i="9"/>
  <c r="Y67" i="9" s="1"/>
  <c r="Y43" i="9"/>
  <c r="Y47" i="9" s="1"/>
  <c r="F18" i="4"/>
  <c r="F19" i="4" s="1"/>
  <c r="F38" i="4" s="1"/>
  <c r="G20" i="10"/>
  <c r="G39" i="10" s="1"/>
  <c r="T44" i="12"/>
  <c r="T49" i="12" s="1"/>
  <c r="T64" i="12"/>
  <c r="T67" i="12" s="1"/>
  <c r="W43" i="9"/>
  <c r="W47" i="9" s="1"/>
  <c r="W62" i="9"/>
  <c r="W67" i="9" s="1"/>
  <c r="R64" i="13"/>
  <c r="R67" i="13" s="1"/>
  <c r="R44" i="13"/>
  <c r="R49" i="13" s="1"/>
  <c r="L64" i="11"/>
  <c r="L67" i="11" s="1"/>
  <c r="L44" i="11"/>
  <c r="L49" i="11" s="1"/>
  <c r="R64" i="12"/>
  <c r="R67" i="12" s="1"/>
  <c r="R44" i="12"/>
  <c r="R49" i="12" s="1"/>
  <c r="J43" i="9"/>
  <c r="J47" i="9" s="1"/>
  <c r="J62" i="9"/>
  <c r="J67" i="9" s="1"/>
  <c r="O8" i="18"/>
  <c r="K43" i="9"/>
  <c r="K47" i="9" s="1"/>
  <c r="K62" i="9"/>
  <c r="K67" i="9" s="1"/>
  <c r="M64" i="14"/>
  <c r="M67" i="14" s="1"/>
  <c r="M44" i="14"/>
  <c r="M49" i="14" s="1"/>
  <c r="V44" i="12"/>
  <c r="V49" i="12" s="1"/>
  <c r="V64" i="12"/>
  <c r="V67" i="12" s="1"/>
  <c r="R64" i="11"/>
  <c r="R67" i="11" s="1"/>
  <c r="R44" i="11"/>
  <c r="R49" i="11" s="1"/>
  <c r="X44" i="11"/>
  <c r="X49" i="11" s="1"/>
  <c r="X64" i="11"/>
  <c r="X67" i="11" s="1"/>
  <c r="Z43" i="9"/>
  <c r="Z47" i="9" s="1"/>
  <c r="Z62" i="9"/>
  <c r="Z67" i="9" s="1"/>
  <c r="AU8" i="18"/>
  <c r="AU16" i="18" s="1"/>
  <c r="AU20" i="18" s="1"/>
  <c r="P44" i="13"/>
  <c r="P49" i="13" s="1"/>
  <c r="P64" i="13"/>
  <c r="P67" i="13" s="1"/>
  <c r="V43" i="9"/>
  <c r="V47" i="9" s="1"/>
  <c r="V62" i="9"/>
  <c r="V67" i="9" s="1"/>
  <c r="G44" i="13"/>
  <c r="G49" i="13" s="1"/>
  <c r="G64" i="13"/>
  <c r="G67" i="13" s="1"/>
  <c r="G18" i="4"/>
  <c r="G19" i="4" s="1"/>
  <c r="G38" i="4" s="1"/>
  <c r="H20" i="10"/>
  <c r="H39" i="10" s="1"/>
  <c r="X18" i="4"/>
  <c r="X19" i="4" s="1"/>
  <c r="X38" i="4" s="1"/>
  <c r="Y20" i="10"/>
  <c r="Y39" i="10" s="1"/>
  <c r="AS8" i="18" s="1"/>
  <c r="I18" i="4"/>
  <c r="I19" i="4" s="1"/>
  <c r="I38" i="4" s="1"/>
  <c r="J20" i="10"/>
  <c r="J39" i="10" s="1"/>
  <c r="Y44" i="11"/>
  <c r="Y49" i="11" s="1"/>
  <c r="Y64" i="11"/>
  <c r="Y67" i="11" s="1"/>
  <c r="V64" i="14"/>
  <c r="V67" i="14" s="1"/>
  <c r="V44" i="14"/>
  <c r="V49" i="14" s="1"/>
  <c r="R44" i="14"/>
  <c r="R49" i="14" s="1"/>
  <c r="R64" i="14"/>
  <c r="R67" i="14" s="1"/>
  <c r="Y64" i="12"/>
  <c r="Y67" i="12" s="1"/>
  <c r="Y44" i="12"/>
  <c r="Y49" i="12" s="1"/>
  <c r="N39" i="11"/>
  <c r="V18" i="4"/>
  <c r="V19" i="4" s="1"/>
  <c r="V38" i="4" s="1"/>
  <c r="W20" i="10"/>
  <c r="W39" i="10" s="1"/>
  <c r="T39" i="13"/>
  <c r="L43" i="9"/>
  <c r="L47" i="9" s="1"/>
  <c r="L62" i="9"/>
  <c r="L67" i="9" s="1"/>
  <c r="S8" i="18"/>
  <c r="N44" i="12"/>
  <c r="N49" i="12" s="1"/>
  <c r="N64" i="12"/>
  <c r="N67" i="12" s="1"/>
  <c r="P39" i="12"/>
  <c r="Q64" i="12"/>
  <c r="Q67" i="12" s="1"/>
  <c r="Q44" i="12"/>
  <c r="Q49" i="12" s="1"/>
  <c r="Y18" i="4"/>
  <c r="Y19" i="4" s="1"/>
  <c r="Y38" i="4" s="1"/>
  <c r="Z20" i="10"/>
  <c r="Z39" i="10" s="1"/>
  <c r="T39" i="9"/>
  <c r="U39" i="14"/>
  <c r="N18" i="4"/>
  <c r="N19" i="4" s="1"/>
  <c r="N38" i="4" s="1"/>
  <c r="O20" i="10"/>
  <c r="O39" i="10" s="1"/>
  <c r="N39" i="13"/>
  <c r="W39" i="11"/>
  <c r="Z39" i="12"/>
  <c r="L39" i="13"/>
  <c r="V39" i="13"/>
  <c r="T18" i="4"/>
  <c r="T19" i="4" s="1"/>
  <c r="T38" i="4" s="1"/>
  <c r="U20" i="10"/>
  <c r="U39" i="10" s="1"/>
  <c r="G39" i="9"/>
  <c r="M39" i="9"/>
  <c r="S39" i="11"/>
  <c r="AT34" i="18" l="1"/>
  <c r="AS16" i="18"/>
  <c r="AS20" i="18" s="1"/>
  <c r="AS28" i="18"/>
  <c r="AD16" i="18"/>
  <c r="AD20" i="18" s="1"/>
  <c r="AD28" i="18"/>
  <c r="AR16" i="18"/>
  <c r="AR20" i="18" s="1"/>
  <c r="AR28" i="18"/>
  <c r="R16" i="18"/>
  <c r="R20" i="18" s="1"/>
  <c r="R28" i="18"/>
  <c r="G62" i="9"/>
  <c r="G67" i="9" s="1"/>
  <c r="G43" i="9"/>
  <c r="G47" i="9" s="1"/>
  <c r="I8" i="18"/>
  <c r="J8" i="18"/>
  <c r="AF16" i="18"/>
  <c r="AF20" i="18" s="1"/>
  <c r="AF28" i="18"/>
  <c r="F154" i="6"/>
  <c r="F158" i="6" s="1"/>
  <c r="F195" i="6" s="1"/>
  <c r="F115" i="6"/>
  <c r="H19" i="4"/>
  <c r="H38" i="4" s="1"/>
  <c r="X10" i="5"/>
  <c r="X18" i="5" s="1"/>
  <c r="T97" i="6"/>
  <c r="V42" i="4"/>
  <c r="V48" i="4" s="1"/>
  <c r="C68" i="2"/>
  <c r="H10" i="5"/>
  <c r="H18" i="5" s="1"/>
  <c r="D97" i="6"/>
  <c r="F42" i="4"/>
  <c r="F48" i="4" s="1"/>
  <c r="X51" i="13"/>
  <c r="X82" i="13"/>
  <c r="X84" i="13" s="1"/>
  <c r="X91" i="13" s="1"/>
  <c r="K64" i="11"/>
  <c r="K67" i="11" s="1"/>
  <c r="K44" i="11"/>
  <c r="K49" i="11" s="1"/>
  <c r="Y51" i="11"/>
  <c r="Y54" i="11" s="1"/>
  <c r="Y75" i="11" s="1"/>
  <c r="Y52" i="11"/>
  <c r="V44" i="10"/>
  <c r="V49" i="10" s="1"/>
  <c r="V64" i="10"/>
  <c r="V67" i="10" s="1"/>
  <c r="X64" i="12"/>
  <c r="X67" i="12" s="1"/>
  <c r="X44" i="12"/>
  <c r="X49" i="12" s="1"/>
  <c r="I44" i="13"/>
  <c r="I49" i="13" s="1"/>
  <c r="I64" i="13"/>
  <c r="I67" i="13" s="1"/>
  <c r="X49" i="9"/>
  <c r="T62" i="9"/>
  <c r="T67" i="9" s="1"/>
  <c r="T43" i="9"/>
  <c r="T47" i="9" s="1"/>
  <c r="AI8" i="18"/>
  <c r="AJ8" i="18"/>
  <c r="Z64" i="12"/>
  <c r="Z67" i="12" s="1"/>
  <c r="Z44" i="12"/>
  <c r="Z49" i="12" s="1"/>
  <c r="M43" i="9"/>
  <c r="M47" i="9" s="1"/>
  <c r="M62" i="9"/>
  <c r="M67" i="9" s="1"/>
  <c r="U8" i="18"/>
  <c r="V8" i="18"/>
  <c r="N44" i="13"/>
  <c r="N49" i="13" s="1"/>
  <c r="N64" i="13"/>
  <c r="N67" i="13" s="1"/>
  <c r="T44" i="13"/>
  <c r="T49" i="13" s="1"/>
  <c r="T64" i="13"/>
  <c r="T67" i="13" s="1"/>
  <c r="V51" i="14"/>
  <c r="V54" i="14" s="1"/>
  <c r="V75" i="14" s="1"/>
  <c r="V52" i="14"/>
  <c r="H44" i="10"/>
  <c r="H49" i="10" s="1"/>
  <c r="H64" i="10"/>
  <c r="H67" i="10" s="1"/>
  <c r="K49" i="9"/>
  <c r="K50" i="9" s="1"/>
  <c r="T51" i="12"/>
  <c r="T52" i="12" s="1"/>
  <c r="T54" i="12" s="1"/>
  <c r="T75" i="12" s="1"/>
  <c r="S51" i="12"/>
  <c r="W51" i="12"/>
  <c r="W52" i="13"/>
  <c r="W54" i="13" s="1"/>
  <c r="W75" i="13" s="1"/>
  <c r="W82" i="13"/>
  <c r="W84" i="13" s="1"/>
  <c r="W91" i="13" s="1"/>
  <c r="W51" i="13"/>
  <c r="Y10" i="5"/>
  <c r="Y18" i="5" s="1"/>
  <c r="U97" i="6"/>
  <c r="W42" i="4"/>
  <c r="W48" i="4" s="1"/>
  <c r="H51" i="14"/>
  <c r="J82" i="13"/>
  <c r="J84" i="13" s="1"/>
  <c r="J91" i="13" s="1"/>
  <c r="J51" i="13"/>
  <c r="J52" i="13" s="1"/>
  <c r="I44" i="10"/>
  <c r="I49" i="10" s="1"/>
  <c r="I64" i="10"/>
  <c r="I67" i="10" s="1"/>
  <c r="O44" i="14"/>
  <c r="O49" i="14" s="1"/>
  <c r="O64" i="14"/>
  <c r="O67" i="14" s="1"/>
  <c r="M10" i="5"/>
  <c r="M18" i="5" s="1"/>
  <c r="I97" i="6"/>
  <c r="K42" i="4"/>
  <c r="K48" i="4" s="1"/>
  <c r="O52" i="12"/>
  <c r="O54" i="12" s="1"/>
  <c r="O75" i="12" s="1"/>
  <c r="O51" i="12"/>
  <c r="W44" i="10"/>
  <c r="W49" i="10" s="1"/>
  <c r="W64" i="10"/>
  <c r="W67" i="10" s="1"/>
  <c r="O16" i="18"/>
  <c r="O20" i="18" s="1"/>
  <c r="O28" i="18"/>
  <c r="N44" i="10"/>
  <c r="N49" i="10" s="1"/>
  <c r="N64" i="10"/>
  <c r="N67" i="10" s="1"/>
  <c r="Z51" i="14"/>
  <c r="Z54" i="14" s="1"/>
  <c r="Z75" i="14" s="1"/>
  <c r="Z52" i="14"/>
  <c r="AU34" i="18"/>
  <c r="L10" i="5"/>
  <c r="L18" i="5" s="1"/>
  <c r="H97" i="6"/>
  <c r="J42" i="4"/>
  <c r="J48" i="4" s="1"/>
  <c r="N51" i="12"/>
  <c r="N52" i="12" s="1"/>
  <c r="N54" i="12" s="1"/>
  <c r="N75" i="12" s="1"/>
  <c r="S64" i="10"/>
  <c r="S67" i="10" s="1"/>
  <c r="S44" i="10"/>
  <c r="S49" i="10" s="1"/>
  <c r="M51" i="12"/>
  <c r="M52" i="12" s="1"/>
  <c r="M54" i="12" s="1"/>
  <c r="M75" i="12" s="1"/>
  <c r="M64" i="11"/>
  <c r="M67" i="11" s="1"/>
  <c r="M44" i="11"/>
  <c r="M49" i="11" s="1"/>
  <c r="T8" i="18"/>
  <c r="Y51" i="12"/>
  <c r="J64" i="10"/>
  <c r="J67" i="10" s="1"/>
  <c r="J44" i="10"/>
  <c r="J49" i="10" s="1"/>
  <c r="AN8" i="18"/>
  <c r="Z49" i="9"/>
  <c r="Z50" i="9"/>
  <c r="Z52" i="9"/>
  <c r="Z75" i="9" s="1"/>
  <c r="J49" i="9"/>
  <c r="J50" i="9" s="1"/>
  <c r="AP8" i="18"/>
  <c r="R49" i="9"/>
  <c r="W10" i="5"/>
  <c r="W18" i="5" s="1"/>
  <c r="S97" i="6"/>
  <c r="U42" i="4"/>
  <c r="U48" i="4" s="1"/>
  <c r="H44" i="13"/>
  <c r="H49" i="13" s="1"/>
  <c r="H64" i="13"/>
  <c r="H67" i="13" s="1"/>
  <c r="T10" i="5"/>
  <c r="T18" i="5" s="1"/>
  <c r="P97" i="6"/>
  <c r="R42" i="4"/>
  <c r="R48" i="4" s="1"/>
  <c r="U51" i="11"/>
  <c r="U52" i="11" s="1"/>
  <c r="U54" i="11" s="1"/>
  <c r="U75" i="11" s="1"/>
  <c r="H51" i="12"/>
  <c r="K8" i="18"/>
  <c r="I64" i="14"/>
  <c r="I67" i="14" s="1"/>
  <c r="I44" i="14"/>
  <c r="I49" i="14" s="1"/>
  <c r="K51" i="14"/>
  <c r="K52" i="14" s="1"/>
  <c r="L44" i="14"/>
  <c r="L49" i="14" s="1"/>
  <c r="L64" i="14"/>
  <c r="L67" i="14" s="1"/>
  <c r="P64" i="11"/>
  <c r="P67" i="11" s="1"/>
  <c r="P44" i="11"/>
  <c r="P49" i="11" s="1"/>
  <c r="R10" i="5"/>
  <c r="R18" i="5" s="1"/>
  <c r="N97" i="6"/>
  <c r="P42" i="4"/>
  <c r="P48" i="4" s="1"/>
  <c r="I44" i="11"/>
  <c r="I49" i="11" s="1"/>
  <c r="I64" i="11"/>
  <c r="I67" i="11" s="1"/>
  <c r="Q51" i="14"/>
  <c r="Q54" i="14" s="1"/>
  <c r="Q75" i="14" s="1"/>
  <c r="Q52" i="14"/>
  <c r="D68" i="2"/>
  <c r="I10" i="5"/>
  <c r="I18" i="5" s="1"/>
  <c r="E97" i="6"/>
  <c r="G42" i="4"/>
  <c r="G48" i="4" s="1"/>
  <c r="G64" i="10"/>
  <c r="G67" i="10" s="1"/>
  <c r="G44" i="10"/>
  <c r="G49" i="10" s="1"/>
  <c r="AC16" i="18"/>
  <c r="AC20" i="18" s="1"/>
  <c r="AC28" i="18"/>
  <c r="G51" i="11"/>
  <c r="AQ16" i="18"/>
  <c r="AQ20" i="18" s="1"/>
  <c r="AQ28" i="18"/>
  <c r="V51" i="12"/>
  <c r="V52" i="12" s="1"/>
  <c r="O10" i="5"/>
  <c r="O18" i="5" s="1"/>
  <c r="K97" i="6"/>
  <c r="M42" i="4"/>
  <c r="M48" i="4" s="1"/>
  <c r="P51" i="14"/>
  <c r="P52" i="14" s="1"/>
  <c r="U64" i="14"/>
  <c r="U67" i="14" s="1"/>
  <c r="U44" i="14"/>
  <c r="U49" i="14" s="1"/>
  <c r="H51" i="11"/>
  <c r="H52" i="11" s="1"/>
  <c r="Q44" i="10"/>
  <c r="Q49" i="10" s="1"/>
  <c r="Q64" i="10"/>
  <c r="Q67" i="10" s="1"/>
  <c r="S16" i="18"/>
  <c r="S20" i="18" s="1"/>
  <c r="S28" i="18"/>
  <c r="F68" i="2"/>
  <c r="K10" i="5"/>
  <c r="K18" i="5" s="1"/>
  <c r="G97" i="6"/>
  <c r="I42" i="4"/>
  <c r="I48" i="4" s="1"/>
  <c r="AM8" i="18"/>
  <c r="R51" i="12"/>
  <c r="R52" i="12"/>
  <c r="R54" i="12" s="1"/>
  <c r="R75" i="12" s="1"/>
  <c r="Y49" i="9"/>
  <c r="Y50" i="9"/>
  <c r="I51" i="12"/>
  <c r="I54" i="12" s="1"/>
  <c r="I75" i="12" s="1"/>
  <c r="I52" i="12"/>
  <c r="T64" i="14"/>
  <c r="T67" i="14" s="1"/>
  <c r="T44" i="14"/>
  <c r="T49" i="14" s="1"/>
  <c r="J51" i="12"/>
  <c r="J52" i="12" s="1"/>
  <c r="J54" i="12" s="1"/>
  <c r="J75" i="12" s="1"/>
  <c r="M44" i="10"/>
  <c r="M49" i="10" s="1"/>
  <c r="M64" i="10"/>
  <c r="M67" i="10" s="1"/>
  <c r="N51" i="14"/>
  <c r="N52" i="14"/>
  <c r="N54" i="14"/>
  <c r="N75" i="14" s="1"/>
  <c r="L8" i="18"/>
  <c r="L44" i="12"/>
  <c r="L49" i="12" s="1"/>
  <c r="L64" i="12"/>
  <c r="L67" i="12" s="1"/>
  <c r="Q44" i="13"/>
  <c r="Q49" i="13" s="1"/>
  <c r="Q64" i="13"/>
  <c r="Q67" i="13" s="1"/>
  <c r="J52" i="11"/>
  <c r="J54" i="11" s="1"/>
  <c r="J75" i="11" s="1"/>
  <c r="J51" i="11"/>
  <c r="P43" i="9"/>
  <c r="P47" i="9" s="1"/>
  <c r="P62" i="9"/>
  <c r="P67" i="9" s="1"/>
  <c r="AA8" i="18"/>
  <c r="AB8" i="18"/>
  <c r="U62" i="9"/>
  <c r="U67" i="9" s="1"/>
  <c r="U43" i="9"/>
  <c r="U47" i="9" s="1"/>
  <c r="AK8" i="18"/>
  <c r="AL8" i="18"/>
  <c r="T64" i="10"/>
  <c r="T67" i="10" s="1"/>
  <c r="T44" i="10"/>
  <c r="T49" i="10" s="1"/>
  <c r="U82" i="13"/>
  <c r="U84" i="13" s="1"/>
  <c r="U91" i="13" s="1"/>
  <c r="U51" i="13"/>
  <c r="U52" i="13" s="1"/>
  <c r="U54" i="13" s="1"/>
  <c r="U75" i="13" s="1"/>
  <c r="P64" i="12"/>
  <c r="P67" i="12" s="1"/>
  <c r="P44" i="12"/>
  <c r="P49" i="12" s="1"/>
  <c r="K44" i="10"/>
  <c r="K49" i="10" s="1"/>
  <c r="K64" i="10"/>
  <c r="K67" i="10" s="1"/>
  <c r="Z51" i="11"/>
  <c r="Z54" i="11" s="1"/>
  <c r="Z75" i="11" s="1"/>
  <c r="Z52" i="11"/>
  <c r="U44" i="10"/>
  <c r="U49" i="10" s="1"/>
  <c r="U64" i="10"/>
  <c r="U67" i="10" s="1"/>
  <c r="AE16" i="18"/>
  <c r="AE20" i="18" s="1"/>
  <c r="AE28" i="18"/>
  <c r="Q50" i="9"/>
  <c r="Q49" i="9"/>
  <c r="Z64" i="13"/>
  <c r="Z67" i="13" s="1"/>
  <c r="Z44" i="13"/>
  <c r="Z49" i="13" s="1"/>
  <c r="S51" i="14"/>
  <c r="S52" i="14" s="1"/>
  <c r="S54" i="14" s="1"/>
  <c r="S75" i="14" s="1"/>
  <c r="G52" i="13"/>
  <c r="G54" i="13" s="1"/>
  <c r="G75" i="13" s="1"/>
  <c r="G82" i="13"/>
  <c r="G84" i="13" s="1"/>
  <c r="G91" i="13" s="1"/>
  <c r="G51" i="13"/>
  <c r="AO8" i="18"/>
  <c r="S43" i="9"/>
  <c r="S47" i="9" s="1"/>
  <c r="S62" i="9"/>
  <c r="S67" i="9" s="1"/>
  <c r="AH8" i="18"/>
  <c r="AG8" i="18"/>
  <c r="J51" i="14"/>
  <c r="J52" i="14" s="1"/>
  <c r="Z64" i="10"/>
  <c r="Z67" i="10" s="1"/>
  <c r="Z44" i="10"/>
  <c r="Z49" i="10" s="1"/>
  <c r="Q8" i="18"/>
  <c r="W49" i="9"/>
  <c r="G51" i="12"/>
  <c r="Y44" i="13"/>
  <c r="Y49" i="13" s="1"/>
  <c r="Y64" i="13"/>
  <c r="Y67" i="13" s="1"/>
  <c r="N10" i="5"/>
  <c r="N18" i="5" s="1"/>
  <c r="J97" i="6"/>
  <c r="L42" i="4"/>
  <c r="L48" i="4" s="1"/>
  <c r="W8" i="18"/>
  <c r="I62" i="9"/>
  <c r="I67" i="9" s="1"/>
  <c r="I43" i="9"/>
  <c r="I47" i="9" s="1"/>
  <c r="M8" i="18"/>
  <c r="N8" i="18"/>
  <c r="R64" i="10"/>
  <c r="R67" i="10" s="1"/>
  <c r="R44" i="10"/>
  <c r="R49" i="10" s="1"/>
  <c r="U44" i="12"/>
  <c r="U49" i="12" s="1"/>
  <c r="U64" i="12"/>
  <c r="U67" i="12" s="1"/>
  <c r="U10" i="5"/>
  <c r="U18" i="5" s="1"/>
  <c r="Q97" i="6"/>
  <c r="S42" i="4"/>
  <c r="S48" i="4" s="1"/>
  <c r="O44" i="10"/>
  <c r="O49" i="10" s="1"/>
  <c r="O64" i="10"/>
  <c r="O67" i="10" s="1"/>
  <c r="P51" i="13"/>
  <c r="P82" i="13"/>
  <c r="P84" i="13" s="1"/>
  <c r="P91" i="13" s="1"/>
  <c r="R52" i="13"/>
  <c r="R54" i="13" s="1"/>
  <c r="R75" i="13" s="1"/>
  <c r="R51" i="13"/>
  <c r="R82" i="13"/>
  <c r="R84" i="13" s="1"/>
  <c r="R91" i="13" s="1"/>
  <c r="P44" i="10"/>
  <c r="P49" i="10" s="1"/>
  <c r="P64" i="10"/>
  <c r="P67" i="10" s="1"/>
  <c r="N49" i="9"/>
  <c r="N50" i="9"/>
  <c r="M52" i="13"/>
  <c r="M54" i="13" s="1"/>
  <c r="M75" i="13" s="1"/>
  <c r="M82" i="13"/>
  <c r="M84" i="13" s="1"/>
  <c r="M91" i="13" s="1"/>
  <c r="M51" i="13"/>
  <c r="G44" i="14"/>
  <c r="G49" i="14" s="1"/>
  <c r="G64" i="14"/>
  <c r="G67" i="14" s="1"/>
  <c r="P10" i="5"/>
  <c r="P18" i="5" s="1"/>
  <c r="L97" i="6"/>
  <c r="N42" i="4"/>
  <c r="N48" i="4" s="1"/>
  <c r="P8" i="18"/>
  <c r="Q10" i="5"/>
  <c r="Q18" i="5" s="1"/>
  <c r="M97" i="6"/>
  <c r="O42" i="4"/>
  <c r="O48" i="4" s="1"/>
  <c r="X51" i="14"/>
  <c r="X52" i="14" s="1"/>
  <c r="O44" i="13"/>
  <c r="O49" i="13" s="1"/>
  <c r="O64" i="13"/>
  <c r="O67" i="13" s="1"/>
  <c r="V10" i="5"/>
  <c r="V18" i="5" s="1"/>
  <c r="R97" i="6"/>
  <c r="T42" i="4"/>
  <c r="T48" i="4" s="1"/>
  <c r="N44" i="11"/>
  <c r="N49" i="11" s="1"/>
  <c r="N64" i="11"/>
  <c r="N67" i="11" s="1"/>
  <c r="M51" i="14"/>
  <c r="W51" i="14"/>
  <c r="W52" i="14" s="1"/>
  <c r="V44" i="13"/>
  <c r="V49" i="13" s="1"/>
  <c r="V64" i="13"/>
  <c r="V67" i="13" s="1"/>
  <c r="L44" i="13"/>
  <c r="L49" i="13" s="1"/>
  <c r="L64" i="13"/>
  <c r="L67" i="13" s="1"/>
  <c r="AA10" i="5"/>
  <c r="Y42" i="4"/>
  <c r="Y48" i="4" s="1"/>
  <c r="Y44" i="10"/>
  <c r="Y49" i="10" s="1"/>
  <c r="Y64" i="10"/>
  <c r="Y67" i="10" s="1"/>
  <c r="X54" i="11"/>
  <c r="X75" i="11" s="1"/>
  <c r="X52" i="11"/>
  <c r="X51" i="11"/>
  <c r="S64" i="11"/>
  <c r="S67" i="11" s="1"/>
  <c r="S44" i="11"/>
  <c r="S49" i="11" s="1"/>
  <c r="W44" i="11"/>
  <c r="W49" i="11" s="1"/>
  <c r="W64" i="11"/>
  <c r="W67" i="11" s="1"/>
  <c r="Q51" i="12"/>
  <c r="Q52" i="12"/>
  <c r="Q54" i="12" s="1"/>
  <c r="Q75" i="12" s="1"/>
  <c r="L49" i="9"/>
  <c r="R51" i="14"/>
  <c r="Z10" i="5"/>
  <c r="Z18" i="5" s="1"/>
  <c r="V97" i="6"/>
  <c r="X42" i="4"/>
  <c r="X48" i="4" s="1"/>
  <c r="V49" i="9"/>
  <c r="V50" i="9"/>
  <c r="R54" i="11"/>
  <c r="R75" i="11" s="1"/>
  <c r="R52" i="11"/>
  <c r="R51" i="11"/>
  <c r="L51" i="11"/>
  <c r="L52" i="11"/>
  <c r="L54" i="11"/>
  <c r="L75" i="11" s="1"/>
  <c r="K51" i="13"/>
  <c r="K82" i="13"/>
  <c r="K84" i="13" s="1"/>
  <c r="K91" i="13" s="1"/>
  <c r="X44" i="10"/>
  <c r="X49" i="10" s="1"/>
  <c r="X64" i="10"/>
  <c r="X67" i="10" s="1"/>
  <c r="S64" i="13"/>
  <c r="S67" i="13" s="1"/>
  <c r="S44" i="13"/>
  <c r="S49" i="13" s="1"/>
  <c r="X8" i="18"/>
  <c r="Y51" i="14"/>
  <c r="Y52" i="14"/>
  <c r="Y54" i="14"/>
  <c r="Y75" i="14" s="1"/>
  <c r="Q52" i="11"/>
  <c r="Q54" i="11"/>
  <c r="Q75" i="11" s="1"/>
  <c r="Q51" i="11"/>
  <c r="H49" i="9"/>
  <c r="H50" i="9"/>
  <c r="H52" i="9"/>
  <c r="H75" i="9" s="1"/>
  <c r="K51" i="12"/>
  <c r="K52" i="12"/>
  <c r="K54" i="12"/>
  <c r="K75" i="12" s="1"/>
  <c r="O51" i="11"/>
  <c r="O52" i="11" s="1"/>
  <c r="O54" i="11" s="1"/>
  <c r="O75" i="11" s="1"/>
  <c r="T44" i="11"/>
  <c r="T49" i="11" s="1"/>
  <c r="T64" i="11"/>
  <c r="T67" i="11" s="1"/>
  <c r="L44" i="10"/>
  <c r="L49" i="10" s="1"/>
  <c r="L64" i="10"/>
  <c r="L67" i="10" s="1"/>
  <c r="S10" i="5"/>
  <c r="S18" i="5" s="1"/>
  <c r="O97" i="6"/>
  <c r="Q42" i="4"/>
  <c r="Q48" i="4" s="1"/>
  <c r="O43" i="9"/>
  <c r="O47" i="9" s="1"/>
  <c r="O62" i="9"/>
  <c r="O67" i="9" s="1"/>
  <c r="Y8" i="18"/>
  <c r="Z8" i="18"/>
  <c r="V52" i="11"/>
  <c r="V54" i="11"/>
  <c r="V75" i="11" s="1"/>
  <c r="V51" i="11"/>
  <c r="H54" i="14" l="1"/>
  <c r="H75" i="14" s="1"/>
  <c r="S54" i="12"/>
  <c r="S75" i="12" s="1"/>
  <c r="M54" i="14"/>
  <c r="M75" i="14" s="1"/>
  <c r="I51" i="4"/>
  <c r="AK16" i="18"/>
  <c r="AK20" i="18" s="1"/>
  <c r="AK28" i="18"/>
  <c r="AM16" i="18"/>
  <c r="AM20" i="18" s="1"/>
  <c r="AM28" i="18"/>
  <c r="J11" i="8"/>
  <c r="U49" i="9"/>
  <c r="I11" i="8"/>
  <c r="Q50" i="4"/>
  <c r="H154" i="6"/>
  <c r="H115" i="6"/>
  <c r="Q154" i="6"/>
  <c r="Q115" i="6"/>
  <c r="J119" i="6" s="1"/>
  <c r="F55" i="1" s="1"/>
  <c r="G154" i="6"/>
  <c r="G115" i="6"/>
  <c r="H52" i="14"/>
  <c r="Z51" i="12"/>
  <c r="Z52" i="12"/>
  <c r="Z54" i="12" s="1"/>
  <c r="Z75" i="12" s="1"/>
  <c r="I16" i="18"/>
  <c r="I20" i="18" s="1"/>
  <c r="I28" i="18"/>
  <c r="X11" i="8"/>
  <c r="AA60" i="5"/>
  <c r="AA18" i="5"/>
  <c r="T11" i="8"/>
  <c r="O49" i="9"/>
  <c r="X16" i="18"/>
  <c r="X20" i="18" s="1"/>
  <c r="X28" i="18"/>
  <c r="V154" i="6"/>
  <c r="V115" i="6"/>
  <c r="M154" i="6"/>
  <c r="M115" i="6"/>
  <c r="P51" i="10"/>
  <c r="P52" i="10" s="1"/>
  <c r="P54" i="10" s="1"/>
  <c r="P75" i="10" s="1"/>
  <c r="V50" i="4"/>
  <c r="Q11" i="8"/>
  <c r="R52" i="14"/>
  <c r="R54" i="14" s="1"/>
  <c r="R75" i="14" s="1"/>
  <c r="M52" i="14"/>
  <c r="P16" i="18"/>
  <c r="P20" i="18" s="1"/>
  <c r="P28" i="18"/>
  <c r="O51" i="10"/>
  <c r="O52" i="10" s="1"/>
  <c r="O54" i="10" s="1"/>
  <c r="O75" i="10" s="1"/>
  <c r="W50" i="9"/>
  <c r="W52" i="9" s="1"/>
  <c r="W75" i="9" s="1"/>
  <c r="J54" i="14"/>
  <c r="J75" i="14" s="1"/>
  <c r="U51" i="10"/>
  <c r="U54" i="10" s="1"/>
  <c r="U75" i="10" s="1"/>
  <c r="U52" i="10"/>
  <c r="P51" i="12"/>
  <c r="P52" i="12" s="1"/>
  <c r="AL16" i="18"/>
  <c r="AL20" i="18" s="1"/>
  <c r="AL28" i="18"/>
  <c r="L16" i="18"/>
  <c r="L20" i="18" s="1"/>
  <c r="L28" i="18"/>
  <c r="P54" i="14"/>
  <c r="P75" i="14" s="1"/>
  <c r="V54" i="12"/>
  <c r="V75" i="12" s="1"/>
  <c r="AC34" i="18"/>
  <c r="P51" i="11"/>
  <c r="P52" i="11" s="1"/>
  <c r="S115" i="6"/>
  <c r="S154" i="6"/>
  <c r="Y52" i="12"/>
  <c r="Y54" i="12" s="1"/>
  <c r="Y75" i="12" s="1"/>
  <c r="O51" i="14"/>
  <c r="J54" i="13"/>
  <c r="J75" i="13" s="1"/>
  <c r="S52" i="12"/>
  <c r="T49" i="9"/>
  <c r="S50" i="4" s="1"/>
  <c r="F11" i="8"/>
  <c r="AF34" i="18"/>
  <c r="V52" i="13"/>
  <c r="V82" i="13"/>
  <c r="V84" i="13" s="1"/>
  <c r="V91" i="13" s="1"/>
  <c r="V51" i="13"/>
  <c r="V54" i="13" s="1"/>
  <c r="V75" i="13" s="1"/>
  <c r="K16" i="18"/>
  <c r="K20" i="18" s="1"/>
  <c r="K28" i="18"/>
  <c r="AR34" i="18"/>
  <c r="X51" i="10"/>
  <c r="L115" i="6"/>
  <c r="L154" i="6"/>
  <c r="C70" i="2"/>
  <c r="H22" i="5"/>
  <c r="H39" i="5"/>
  <c r="X54" i="14"/>
  <c r="X75" i="14" s="1"/>
  <c r="M16" i="18"/>
  <c r="M20" i="18" s="1"/>
  <c r="M28" i="18"/>
  <c r="AQ34" i="18"/>
  <c r="T16" i="18"/>
  <c r="T20" i="18" s="1"/>
  <c r="T28" i="18"/>
  <c r="Y11" i="8"/>
  <c r="W54" i="14"/>
  <c r="W75" i="14" s="1"/>
  <c r="N51" i="11"/>
  <c r="N52" i="9"/>
  <c r="N75" i="9" s="1"/>
  <c r="U39" i="5"/>
  <c r="U22" i="5"/>
  <c r="I49" i="9"/>
  <c r="I50" i="9"/>
  <c r="I52" i="9" s="1"/>
  <c r="I75" i="9" s="1"/>
  <c r="L11" i="8"/>
  <c r="G52" i="12"/>
  <c r="G54" i="12" s="1"/>
  <c r="G75" i="12" s="1"/>
  <c r="Z51" i="10"/>
  <c r="Z52" i="10" s="1"/>
  <c r="AE34" i="18"/>
  <c r="AB16" i="18"/>
  <c r="AB20" i="18" s="1"/>
  <c r="AB28" i="18"/>
  <c r="Q52" i="13"/>
  <c r="Q54" i="13" s="1"/>
  <c r="Q75" i="13" s="1"/>
  <c r="Q82" i="13"/>
  <c r="Q84" i="13" s="1"/>
  <c r="Q91" i="13" s="1"/>
  <c r="Q51" i="13"/>
  <c r="F70" i="2"/>
  <c r="K39" i="5"/>
  <c r="K22" i="5"/>
  <c r="H54" i="11"/>
  <c r="H75" i="11" s="1"/>
  <c r="K115" i="6"/>
  <c r="K154" i="6"/>
  <c r="G52" i="11"/>
  <c r="G54" i="11" s="1"/>
  <c r="G75" i="11" s="1"/>
  <c r="E140" i="6"/>
  <c r="E114" i="6"/>
  <c r="I51" i="11"/>
  <c r="I54" i="11" s="1"/>
  <c r="I75" i="11" s="1"/>
  <c r="I52" i="11"/>
  <c r="K54" i="14"/>
  <c r="K75" i="14" s="1"/>
  <c r="H52" i="12"/>
  <c r="H54" i="12" s="1"/>
  <c r="H75" i="12" s="1"/>
  <c r="T39" i="5"/>
  <c r="T22" i="5"/>
  <c r="R50" i="9"/>
  <c r="M52" i="11"/>
  <c r="M51" i="11"/>
  <c r="M54" i="11" s="1"/>
  <c r="M75" i="11" s="1"/>
  <c r="K11" i="8"/>
  <c r="I51" i="10"/>
  <c r="X50" i="9"/>
  <c r="G49" i="9"/>
  <c r="F50" i="4" s="1"/>
  <c r="O82" i="13"/>
  <c r="O84" i="13" s="1"/>
  <c r="O91" i="13" s="1"/>
  <c r="O51" i="13"/>
  <c r="Q51" i="10"/>
  <c r="S51" i="10"/>
  <c r="S52" i="10"/>
  <c r="S54" i="10"/>
  <c r="S75" i="10" s="1"/>
  <c r="M49" i="9"/>
  <c r="L50" i="4" s="1"/>
  <c r="D114" i="6"/>
  <c r="D140" i="6"/>
  <c r="S39" i="5"/>
  <c r="S22" i="5"/>
  <c r="S11" i="8"/>
  <c r="Q52" i="9"/>
  <c r="Q75" i="9" s="1"/>
  <c r="J16" i="18"/>
  <c r="J20" i="18" s="1"/>
  <c r="J28" i="18"/>
  <c r="M11" i="8"/>
  <c r="N51" i="10"/>
  <c r="M50" i="4" s="1"/>
  <c r="N52" i="10"/>
  <c r="N54" i="10"/>
  <c r="N75" i="10" s="1"/>
  <c r="L51" i="10"/>
  <c r="L52" i="10" s="1"/>
  <c r="V52" i="9"/>
  <c r="V75" i="9" s="1"/>
  <c r="G51" i="14"/>
  <c r="G52" i="14"/>
  <c r="G54" i="14"/>
  <c r="G75" i="14" s="1"/>
  <c r="P52" i="13"/>
  <c r="P54" i="13" s="1"/>
  <c r="P75" i="13" s="1"/>
  <c r="J115" i="6"/>
  <c r="D162" i="6" s="1"/>
  <c r="J154" i="6"/>
  <c r="S49" i="9"/>
  <c r="R50" i="4" s="1"/>
  <c r="S50" i="9"/>
  <c r="AA16" i="18"/>
  <c r="AA20" i="18" s="1"/>
  <c r="AA28" i="18"/>
  <c r="U51" i="14"/>
  <c r="U54" i="14" s="1"/>
  <c r="U75" i="14" s="1"/>
  <c r="U52" i="14"/>
  <c r="O22" i="5"/>
  <c r="O39" i="5"/>
  <c r="I39" i="5"/>
  <c r="I22" i="5"/>
  <c r="D70" i="2"/>
  <c r="P11" i="8"/>
  <c r="AP16" i="18"/>
  <c r="AP20" i="18" s="1"/>
  <c r="AP28" i="18"/>
  <c r="AN16" i="18"/>
  <c r="AN20" i="18" s="1"/>
  <c r="AN28" i="18"/>
  <c r="O34" i="18"/>
  <c r="I154" i="6"/>
  <c r="I115" i="6"/>
  <c r="W11" i="8"/>
  <c r="W52" i="12"/>
  <c r="W54" i="12" s="1"/>
  <c r="W75" i="12" s="1"/>
  <c r="H51" i="10"/>
  <c r="G50" i="4" s="1"/>
  <c r="N82" i="13"/>
  <c r="N84" i="13" s="1"/>
  <c r="N91" i="13" s="1"/>
  <c r="N51" i="13"/>
  <c r="N52" i="13" s="1"/>
  <c r="N54" i="13" s="1"/>
  <c r="N75" i="13" s="1"/>
  <c r="V11" i="8"/>
  <c r="F206" i="6"/>
  <c r="F197" i="6"/>
  <c r="F199" i="6" s="1"/>
  <c r="AS34" i="18"/>
  <c r="N11" i="8"/>
  <c r="Q16" i="18"/>
  <c r="Q20" i="18" s="1"/>
  <c r="Q28" i="18"/>
  <c r="G51" i="10"/>
  <c r="G52" i="10" s="1"/>
  <c r="G54" i="10" s="1"/>
  <c r="G75" i="10" s="1"/>
  <c r="W22" i="5"/>
  <c r="W39" i="5"/>
  <c r="J50" i="4"/>
  <c r="K51" i="11"/>
  <c r="K52" i="11" s="1"/>
  <c r="K54" i="11" s="1"/>
  <c r="K75" i="11" s="1"/>
  <c r="N16" i="18"/>
  <c r="N20" i="18" s="1"/>
  <c r="N28" i="18"/>
  <c r="Z16" i="18"/>
  <c r="Z20" i="18" s="1"/>
  <c r="Z28" i="18"/>
  <c r="Y51" i="10"/>
  <c r="AH16" i="18"/>
  <c r="AH20" i="18" s="1"/>
  <c r="AH28" i="18"/>
  <c r="Y52" i="9"/>
  <c r="Y75" i="9" s="1"/>
  <c r="L51" i="14"/>
  <c r="L52" i="14" s="1"/>
  <c r="L54" i="14" s="1"/>
  <c r="L75" i="14" s="1"/>
  <c r="L39" i="5"/>
  <c r="L22" i="5"/>
  <c r="AD34" i="18"/>
  <c r="L50" i="9"/>
  <c r="K52" i="13"/>
  <c r="K54" i="13" s="1"/>
  <c r="K75" i="13" s="1"/>
  <c r="Z82" i="13"/>
  <c r="Z84" i="13" s="1"/>
  <c r="Z51" i="13"/>
  <c r="K51" i="10"/>
  <c r="K52" i="10" s="1"/>
  <c r="T51" i="10"/>
  <c r="T52" i="10"/>
  <c r="T54" i="10" s="1"/>
  <c r="T75" i="10" s="1"/>
  <c r="N154" i="6"/>
  <c r="N115" i="6"/>
  <c r="H52" i="13"/>
  <c r="H51" i="13"/>
  <c r="H54" i="13" s="1"/>
  <c r="H75" i="13" s="1"/>
  <c r="H82" i="13"/>
  <c r="H84" i="13" s="1"/>
  <c r="H91" i="13" s="1"/>
  <c r="I50" i="4"/>
  <c r="I53" i="4" s="1"/>
  <c r="J54" i="10"/>
  <c r="J75" i="10" s="1"/>
  <c r="J52" i="10"/>
  <c r="J51" i="10"/>
  <c r="M39" i="5"/>
  <c r="M22" i="5"/>
  <c r="U154" i="6"/>
  <c r="U115" i="6"/>
  <c r="V16" i="18"/>
  <c r="V20" i="18" s="1"/>
  <c r="V28" i="18"/>
  <c r="AJ16" i="18"/>
  <c r="AJ20" i="18" s="1"/>
  <c r="AJ28" i="18"/>
  <c r="I51" i="13"/>
  <c r="I54" i="13" s="1"/>
  <c r="I75" i="13" s="1"/>
  <c r="I52" i="13"/>
  <c r="I82" i="13"/>
  <c r="I84" i="13" s="1"/>
  <c r="I91" i="13" s="1"/>
  <c r="X52" i="13"/>
  <c r="X54" i="13" s="1"/>
  <c r="X75" i="13" s="1"/>
  <c r="T115" i="6"/>
  <c r="T154" i="6"/>
  <c r="O154" i="6"/>
  <c r="O115" i="6"/>
  <c r="Y51" i="13"/>
  <c r="Y52" i="13" s="1"/>
  <c r="Y82" i="13"/>
  <c r="Y84" i="13" s="1"/>
  <c r="Y91" i="13" s="1"/>
  <c r="W51" i="11"/>
  <c r="W54" i="11" s="1"/>
  <c r="W75" i="11" s="1"/>
  <c r="W52" i="11"/>
  <c r="AG16" i="18"/>
  <c r="AG20" i="18" s="1"/>
  <c r="AG28" i="18"/>
  <c r="R11" i="8"/>
  <c r="T82" i="13"/>
  <c r="T84" i="13" s="1"/>
  <c r="T91" i="13" s="1"/>
  <c r="T51" i="13"/>
  <c r="T52" i="13"/>
  <c r="T54" i="13" s="1"/>
  <c r="T75" i="13" s="1"/>
  <c r="E68" i="2"/>
  <c r="J10" i="5"/>
  <c r="J18" i="5" s="1"/>
  <c r="F97" i="6"/>
  <c r="F140" i="6" s="1"/>
  <c r="H42" i="4"/>
  <c r="H48" i="4" s="1"/>
  <c r="S51" i="11"/>
  <c r="S52" i="11" s="1"/>
  <c r="S54" i="11" s="1"/>
  <c r="S75" i="11" s="1"/>
  <c r="P22" i="5"/>
  <c r="P39" i="5"/>
  <c r="W16" i="18"/>
  <c r="W20" i="18" s="1"/>
  <c r="W28" i="18"/>
  <c r="T51" i="14"/>
  <c r="G11" i="8"/>
  <c r="P115" i="6"/>
  <c r="P154" i="6"/>
  <c r="V51" i="10"/>
  <c r="U50" i="4" s="1"/>
  <c r="V52" i="10"/>
  <c r="U51" i="4" s="1"/>
  <c r="Y16" i="18"/>
  <c r="Y20" i="18" s="1"/>
  <c r="Y28" i="18"/>
  <c r="L52" i="9"/>
  <c r="L75" i="9" s="1"/>
  <c r="O11" i="8"/>
  <c r="T51" i="11"/>
  <c r="T52" i="11"/>
  <c r="T54" i="11"/>
  <c r="T75" i="11" s="1"/>
  <c r="R154" i="6"/>
  <c r="R115" i="6"/>
  <c r="U51" i="12"/>
  <c r="N22" i="5"/>
  <c r="N39" i="5"/>
  <c r="AO16" i="18"/>
  <c r="AO20" i="18" s="1"/>
  <c r="AO28" i="18"/>
  <c r="S51" i="13"/>
  <c r="S54" i="13" s="1"/>
  <c r="S75" i="13" s="1"/>
  <c r="S52" i="13"/>
  <c r="S82" i="13"/>
  <c r="S84" i="13" s="1"/>
  <c r="S91" i="13" s="1"/>
  <c r="Z39" i="5"/>
  <c r="Z22" i="5"/>
  <c r="L82" i="13"/>
  <c r="L84" i="13" s="1"/>
  <c r="L91" i="13" s="1"/>
  <c r="L51" i="13"/>
  <c r="L52" i="13" s="1"/>
  <c r="L54" i="13" s="1"/>
  <c r="L75" i="13" s="1"/>
  <c r="V22" i="5"/>
  <c r="V39" i="5"/>
  <c r="Q39" i="5"/>
  <c r="Q22" i="5"/>
  <c r="R51" i="10"/>
  <c r="R54" i="10" s="1"/>
  <c r="R75" i="10" s="1"/>
  <c r="R52" i="10"/>
  <c r="P49" i="9"/>
  <c r="P50" i="9"/>
  <c r="L52" i="12"/>
  <c r="L51" i="12"/>
  <c r="L54" i="12" s="1"/>
  <c r="L75" i="12" s="1"/>
  <c r="M51" i="10"/>
  <c r="M52" i="10"/>
  <c r="M54" i="10"/>
  <c r="M75" i="10" s="1"/>
  <c r="S34" i="18"/>
  <c r="R39" i="5"/>
  <c r="R22" i="5"/>
  <c r="I51" i="14"/>
  <c r="I52" i="14"/>
  <c r="I54" i="14" s="1"/>
  <c r="I75" i="14" s="1"/>
  <c r="U11" i="8"/>
  <c r="J52" i="9"/>
  <c r="J75" i="9" s="1"/>
  <c r="W51" i="10"/>
  <c r="W52" i="10" s="1"/>
  <c r="W54" i="10" s="1"/>
  <c r="W75" i="10" s="1"/>
  <c r="Y39" i="5"/>
  <c r="Y22" i="5"/>
  <c r="K52" i="9"/>
  <c r="K75" i="9" s="1"/>
  <c r="U16" i="18"/>
  <c r="U20" i="18" s="1"/>
  <c r="U28" i="18"/>
  <c r="AI16" i="18"/>
  <c r="AI20" i="18" s="1"/>
  <c r="AI28" i="18"/>
  <c r="X51" i="12"/>
  <c r="X52" i="12" s="1"/>
  <c r="X22" i="5"/>
  <c r="X39" i="5"/>
  <c r="R34" i="18"/>
  <c r="Z54" i="13" l="1"/>
  <c r="Z75" i="13" s="1"/>
  <c r="J53" i="4"/>
  <c r="L29" i="5" s="1"/>
  <c r="U54" i="12"/>
  <c r="U75" i="12" s="1"/>
  <c r="O54" i="13"/>
  <c r="O75" i="13" s="1"/>
  <c r="U53" i="4"/>
  <c r="W29" i="5" s="1"/>
  <c r="F69" i="2"/>
  <c r="K29" i="5"/>
  <c r="J51" i="4"/>
  <c r="K54" i="10"/>
  <c r="K75" i="10" s="1"/>
  <c r="O51" i="4"/>
  <c r="U158" i="6"/>
  <c r="U233" i="6"/>
  <c r="Y50" i="4"/>
  <c r="Z54" i="10"/>
  <c r="Z75" i="10" s="1"/>
  <c r="N32" i="8"/>
  <c r="N14" i="8"/>
  <c r="N16" i="8" s="1"/>
  <c r="N18" i="8" s="1"/>
  <c r="S14" i="8"/>
  <c r="S16" i="8" s="1"/>
  <c r="S18" i="8" s="1"/>
  <c r="S32" i="8"/>
  <c r="I52" i="10"/>
  <c r="I54" i="10" s="1"/>
  <c r="I75" i="10" s="1"/>
  <c r="S158" i="6"/>
  <c r="S233" i="6"/>
  <c r="U52" i="12"/>
  <c r="H11" i="8"/>
  <c r="T233" i="6"/>
  <c r="T158" i="6"/>
  <c r="AO34" i="18"/>
  <c r="R158" i="6"/>
  <c r="R233" i="6"/>
  <c r="E70" i="2"/>
  <c r="J39" i="5"/>
  <c r="J22" i="5"/>
  <c r="V34" i="18"/>
  <c r="N158" i="6"/>
  <c r="N233" i="6"/>
  <c r="K51" i="4"/>
  <c r="F201" i="6"/>
  <c r="F205" i="6" s="1"/>
  <c r="F202" i="6"/>
  <c r="G189" i="6" s="1"/>
  <c r="I158" i="6"/>
  <c r="I233" i="6"/>
  <c r="S52" i="9"/>
  <c r="S75" i="9" s="1"/>
  <c r="L54" i="10"/>
  <c r="L75" i="10" s="1"/>
  <c r="J34" i="18"/>
  <c r="D157" i="6"/>
  <c r="D233" i="6"/>
  <c r="Q52" i="10"/>
  <c r="P51" i="4" s="1"/>
  <c r="G52" i="9"/>
  <c r="G75" i="9" s="1"/>
  <c r="N52" i="11"/>
  <c r="N54" i="11" s="1"/>
  <c r="N75" i="11" s="1"/>
  <c r="X52" i="10"/>
  <c r="X54" i="10" s="1"/>
  <c r="X75" i="10" s="1"/>
  <c r="O52" i="14"/>
  <c r="O54" i="14" s="1"/>
  <c r="O75" i="14" s="1"/>
  <c r="P54" i="11"/>
  <c r="P75" i="11" s="1"/>
  <c r="P50" i="4"/>
  <c r="Q32" i="8"/>
  <c r="Q14" i="8"/>
  <c r="Q16" i="8" s="1"/>
  <c r="Q18" i="8" s="1"/>
  <c r="I34" i="18"/>
  <c r="G158" i="6"/>
  <c r="G233" i="6"/>
  <c r="H158" i="6"/>
  <c r="H233" i="6"/>
  <c r="AK34" i="18"/>
  <c r="Y34" i="18"/>
  <c r="F236" i="6"/>
  <c r="V32" i="8"/>
  <c r="V14" i="8"/>
  <c r="V16" i="8" s="1"/>
  <c r="V18" i="8" s="1"/>
  <c r="G50" i="9"/>
  <c r="F51" i="4" s="1"/>
  <c r="F53" i="4" s="1"/>
  <c r="X54" i="12"/>
  <c r="X75" i="12" s="1"/>
  <c r="V54" i="10"/>
  <c r="V75" i="10" s="1"/>
  <c r="Q51" i="4"/>
  <c r="Q53" i="4" s="1"/>
  <c r="S29" i="5" s="1"/>
  <c r="M34" i="18"/>
  <c r="T50" i="9"/>
  <c r="O50" i="4"/>
  <c r="O53" i="4" s="1"/>
  <c r="Q29" i="5" s="1"/>
  <c r="T52" i="14"/>
  <c r="T54" i="14" s="1"/>
  <c r="T75" i="14" s="1"/>
  <c r="Z52" i="13"/>
  <c r="Y51" i="4" s="1"/>
  <c r="AH34" i="18"/>
  <c r="N34" i="18"/>
  <c r="J158" i="6"/>
  <c r="J233" i="6"/>
  <c r="M32" i="8"/>
  <c r="M14" i="8"/>
  <c r="M16" i="8" s="1"/>
  <c r="M18" i="8" s="1"/>
  <c r="M50" i="9"/>
  <c r="J118" i="6"/>
  <c r="G55" i="1" s="1"/>
  <c r="AB34" i="18"/>
  <c r="L32" i="8"/>
  <c r="L14" i="8"/>
  <c r="L16" i="8" s="1"/>
  <c r="L18" i="8" s="1"/>
  <c r="W50" i="4"/>
  <c r="L158" i="6"/>
  <c r="L233" i="6"/>
  <c r="P54" i="12"/>
  <c r="P75" i="12" s="1"/>
  <c r="I14" i="8"/>
  <c r="I16" i="8" s="1"/>
  <c r="I18" i="8" s="1"/>
  <c r="I32" i="8"/>
  <c r="G14" i="8"/>
  <c r="G16" i="8" s="1"/>
  <c r="G18" i="8" s="1"/>
  <c r="G32" i="8"/>
  <c r="R51" i="4"/>
  <c r="R53" i="4" s="1"/>
  <c r="T29" i="5" s="1"/>
  <c r="V158" i="6"/>
  <c r="V233" i="6"/>
  <c r="V51" i="4"/>
  <c r="V53" i="4" s="1"/>
  <c r="X29" i="5" s="1"/>
  <c r="J14" i="8"/>
  <c r="J16" i="8" s="1"/>
  <c r="J18" i="8" s="1"/>
  <c r="J32" i="8"/>
  <c r="P52" i="9"/>
  <c r="P75" i="9" s="1"/>
  <c r="Y54" i="13"/>
  <c r="Y75" i="13" s="1"/>
  <c r="X34" i="18"/>
  <c r="AI34" i="18"/>
  <c r="O233" i="6"/>
  <c r="O158" i="6"/>
  <c r="W14" i="8"/>
  <c r="W16" i="8" s="1"/>
  <c r="W18" i="8" s="1"/>
  <c r="W32" i="8"/>
  <c r="AN34" i="18"/>
  <c r="K14" i="8"/>
  <c r="K16" i="8" s="1"/>
  <c r="K18" i="8" s="1"/>
  <c r="K32" i="8"/>
  <c r="E233" i="6"/>
  <c r="E157" i="6"/>
  <c r="K50" i="4"/>
  <c r="K53" i="4" s="1"/>
  <c r="M29" i="5" s="1"/>
  <c r="K34" i="18"/>
  <c r="N50" i="4"/>
  <c r="T50" i="4"/>
  <c r="T53" i="4" s="1"/>
  <c r="V29" i="5" s="1"/>
  <c r="Z34" i="18"/>
  <c r="P32" i="8"/>
  <c r="P14" i="8"/>
  <c r="P16" i="8" s="1"/>
  <c r="P18" i="8" s="1"/>
  <c r="X50" i="4"/>
  <c r="AL34" i="18"/>
  <c r="Q34" i="18"/>
  <c r="Q158" i="6"/>
  <c r="Q233" i="6"/>
  <c r="F54" i="1"/>
  <c r="R52" i="9"/>
  <c r="R75" i="9" s="1"/>
  <c r="Y52" i="10"/>
  <c r="X51" i="4" s="1"/>
  <c r="AA34" i="18"/>
  <c r="O52" i="13"/>
  <c r="W51" i="4"/>
  <c r="X52" i="9"/>
  <c r="X75" i="9" s="1"/>
  <c r="T34" i="18"/>
  <c r="F32" i="8"/>
  <c r="F14" i="8"/>
  <c r="F16" i="8" s="1"/>
  <c r="F18" i="8" s="1"/>
  <c r="M158" i="6"/>
  <c r="M233" i="6"/>
  <c r="O50" i="9"/>
  <c r="U50" i="9"/>
  <c r="T51" i="4" s="1"/>
  <c r="AM34" i="18"/>
  <c r="P34" i="18"/>
  <c r="AA39" i="5"/>
  <c r="AA22" i="5"/>
  <c r="U32" i="8"/>
  <c r="U14" i="8"/>
  <c r="U16" i="8" s="1"/>
  <c r="U18" i="8" s="1"/>
  <c r="G54" i="1"/>
  <c r="AG34" i="18"/>
  <c r="H52" i="10"/>
  <c r="Y32" i="8"/>
  <c r="Y14" i="8"/>
  <c r="Y16" i="8" s="1"/>
  <c r="Y18" i="8" s="1"/>
  <c r="X14" i="8"/>
  <c r="X16" i="8" s="1"/>
  <c r="X18" i="8" s="1"/>
  <c r="X32" i="8"/>
  <c r="O14" i="8"/>
  <c r="O16" i="8" s="1"/>
  <c r="O18" i="8" s="1"/>
  <c r="O32" i="8"/>
  <c r="AJ34" i="18"/>
  <c r="U34" i="18"/>
  <c r="P158" i="6"/>
  <c r="P233" i="6"/>
  <c r="W34" i="18"/>
  <c r="F157" i="6"/>
  <c r="F113" i="6"/>
  <c r="F233" i="6"/>
  <c r="R14" i="8"/>
  <c r="R16" i="8" s="1"/>
  <c r="R18" i="8" s="1"/>
  <c r="R32" i="8"/>
  <c r="AP34" i="18"/>
  <c r="K158" i="6"/>
  <c r="K233" i="6"/>
  <c r="H50" i="4"/>
  <c r="L34" i="18"/>
  <c r="T32" i="8"/>
  <c r="T14" i="8"/>
  <c r="T16" i="8" s="1"/>
  <c r="T18" i="8" s="1"/>
  <c r="E53" i="2"/>
  <c r="D53" i="2"/>
  <c r="U52" i="9"/>
  <c r="U75" i="9" s="1"/>
  <c r="C69" i="2" l="1"/>
  <c r="H29" i="5"/>
  <c r="J21" i="8"/>
  <c r="M51" i="4"/>
  <c r="M53" i="4" s="1"/>
  <c r="O29" i="5" s="1"/>
  <c r="K21" i="8"/>
  <c r="T21" i="8"/>
  <c r="X53" i="4"/>
  <c r="Z29" i="5" s="1"/>
  <c r="R21" i="8"/>
  <c r="Y21" i="8"/>
  <c r="N51" i="4"/>
  <c r="I21" i="8"/>
  <c r="H54" i="10"/>
  <c r="H75" i="10" s="1"/>
  <c r="G51" i="4"/>
  <c r="G53" i="4" s="1"/>
  <c r="L51" i="4"/>
  <c r="L53" i="4" s="1"/>
  <c r="N29" i="5" s="1"/>
  <c r="M52" i="9"/>
  <c r="M75" i="9" s="1"/>
  <c r="N53" i="4"/>
  <c r="P29" i="5" s="1"/>
  <c r="M21" i="8"/>
  <c r="Q21" i="8"/>
  <c r="F21" i="8"/>
  <c r="F23" i="8"/>
  <c r="F26" i="8"/>
  <c r="F28" i="8" s="1"/>
  <c r="W53" i="4"/>
  <c r="Y29" i="5" s="1"/>
  <c r="G191" i="6"/>
  <c r="S21" i="8"/>
  <c r="O52" i="9"/>
  <c r="O75" i="9" s="1"/>
  <c r="L21" i="8"/>
  <c r="V21" i="8"/>
  <c r="V24" i="8" s="1"/>
  <c r="W20" i="8" s="1"/>
  <c r="V23" i="8"/>
  <c r="V26" i="8"/>
  <c r="V28" i="8" s="1"/>
  <c r="P53" i="4"/>
  <c r="R29" i="5" s="1"/>
  <c r="N21" i="8"/>
  <c r="Y54" i="10"/>
  <c r="Y75" i="10" s="1"/>
  <c r="Y53" i="4"/>
  <c r="AA29" i="5" s="1"/>
  <c r="O21" i="8"/>
  <c r="U21" i="8"/>
  <c r="X21" i="8"/>
  <c r="H51" i="4"/>
  <c r="H53" i="4" s="1"/>
  <c r="P21" i="8"/>
  <c r="W23" i="8"/>
  <c r="W26" i="8" s="1"/>
  <c r="W28" i="8" s="1"/>
  <c r="W21" i="8"/>
  <c r="G21" i="8"/>
  <c r="G26" i="8"/>
  <c r="G28" i="8" s="1"/>
  <c r="G23" i="8"/>
  <c r="S51" i="4"/>
  <c r="S53" i="4" s="1"/>
  <c r="U29" i="5" s="1"/>
  <c r="T52" i="9"/>
  <c r="T75" i="9" s="1"/>
  <c r="H14" i="8"/>
  <c r="H16" i="8" s="1"/>
  <c r="H18" i="8" s="1"/>
  <c r="H32" i="8"/>
  <c r="Q54" i="10"/>
  <c r="Q75" i="10" s="1"/>
  <c r="Y24" i="5" l="1"/>
  <c r="W35" i="8"/>
  <c r="W36" i="8" s="1"/>
  <c r="W39" i="8" s="1"/>
  <c r="E69" i="2"/>
  <c r="J29" i="5"/>
  <c r="W24" i="8"/>
  <c r="X20" i="8" s="1"/>
  <c r="I24" i="5"/>
  <c r="G35" i="8"/>
  <c r="G36" i="8" s="1"/>
  <c r="G39" i="8" s="1"/>
  <c r="D69" i="2"/>
  <c r="I29" i="5"/>
  <c r="H24" i="5"/>
  <c r="F35" i="8"/>
  <c r="F36" i="8" s="1"/>
  <c r="F39" i="8" s="1"/>
  <c r="H26" i="8"/>
  <c r="H28" i="8" s="1"/>
  <c r="H21" i="8"/>
  <c r="H23" i="8"/>
  <c r="X24" i="5"/>
  <c r="V35" i="8"/>
  <c r="V36" i="8" s="1"/>
  <c r="V39" i="8" s="1"/>
  <c r="J24" i="5" l="1"/>
  <c r="H35" i="8"/>
  <c r="H36" i="8" s="1"/>
  <c r="H39" i="8" s="1"/>
  <c r="X23" i="8"/>
  <c r="X26" i="8" s="1"/>
  <c r="X28" i="8" s="1"/>
  <c r="G69" i="9"/>
  <c r="G69" i="10"/>
  <c r="G69" i="12"/>
  <c r="H41" i="5"/>
  <c r="G69" i="11"/>
  <c r="G69" i="13"/>
  <c r="G69" i="14"/>
  <c r="H25" i="5"/>
  <c r="F42" i="8"/>
  <c r="F44" i="8"/>
  <c r="W69" i="9"/>
  <c r="W69" i="10"/>
  <c r="X41" i="5"/>
  <c r="W69" i="12"/>
  <c r="W69" i="11"/>
  <c r="W69" i="14"/>
  <c r="W69" i="13"/>
  <c r="Y25" i="5"/>
  <c r="H69" i="9"/>
  <c r="H69" i="10"/>
  <c r="H69" i="12"/>
  <c r="I41" i="5"/>
  <c r="H69" i="11"/>
  <c r="H69" i="14"/>
  <c r="H69" i="13"/>
  <c r="X25" i="5"/>
  <c r="I25" i="5"/>
  <c r="G44" i="8"/>
  <c r="G42" i="8"/>
  <c r="X69" i="9"/>
  <c r="X69" i="10"/>
  <c r="X69" i="12"/>
  <c r="Y41" i="5"/>
  <c r="X69" i="11"/>
  <c r="X69" i="14"/>
  <c r="X69" i="13"/>
  <c r="W70" i="9" l="1"/>
  <c r="W70" i="12"/>
  <c r="W72" i="12" s="1"/>
  <c r="W76" i="12" s="1"/>
  <c r="W70" i="10"/>
  <c r="W72" i="10" s="1"/>
  <c r="W76" i="10" s="1"/>
  <c r="X42" i="5"/>
  <c r="W70" i="13"/>
  <c r="W72" i="13" s="1"/>
  <c r="W76" i="13" s="1"/>
  <c r="W70" i="14"/>
  <c r="W72" i="14" s="1"/>
  <c r="W76" i="14" s="1"/>
  <c r="W70" i="11"/>
  <c r="W72" i="11" s="1"/>
  <c r="W76" i="11" s="1"/>
  <c r="X27" i="5"/>
  <c r="J25" i="5"/>
  <c r="H44" i="8"/>
  <c r="H42" i="8"/>
  <c r="AO22" i="18"/>
  <c r="AP22" i="18"/>
  <c r="X70" i="9"/>
  <c r="X70" i="10"/>
  <c r="X72" i="10" s="1"/>
  <c r="X76" i="10" s="1"/>
  <c r="X70" i="12"/>
  <c r="X72" i="12" s="1"/>
  <c r="X76" i="12" s="1"/>
  <c r="Y42" i="5"/>
  <c r="X70" i="14"/>
  <c r="X72" i="14" s="1"/>
  <c r="X76" i="14" s="1"/>
  <c r="X70" i="13"/>
  <c r="X72" i="13" s="1"/>
  <c r="X76" i="13" s="1"/>
  <c r="X70" i="11"/>
  <c r="X72" i="11" s="1"/>
  <c r="X76" i="11" s="1"/>
  <c r="Y27" i="5"/>
  <c r="H70" i="9"/>
  <c r="H70" i="10"/>
  <c r="H72" i="10" s="1"/>
  <c r="H76" i="10" s="1"/>
  <c r="H70" i="12"/>
  <c r="H72" i="12" s="1"/>
  <c r="H76" i="12" s="1"/>
  <c r="I42" i="5"/>
  <c r="H70" i="14"/>
  <c r="H72" i="14" s="1"/>
  <c r="H76" i="14" s="1"/>
  <c r="H70" i="13"/>
  <c r="H72" i="13" s="1"/>
  <c r="H76" i="13" s="1"/>
  <c r="H70" i="11"/>
  <c r="H72" i="11" s="1"/>
  <c r="H76" i="11" s="1"/>
  <c r="I27" i="5"/>
  <c r="G70" i="9"/>
  <c r="G70" i="12"/>
  <c r="G72" i="12" s="1"/>
  <c r="G76" i="12" s="1"/>
  <c r="G70" i="10"/>
  <c r="G72" i="10" s="1"/>
  <c r="G76" i="10" s="1"/>
  <c r="H42" i="5"/>
  <c r="G70" i="13"/>
  <c r="G72" i="13" s="1"/>
  <c r="G76" i="13" s="1"/>
  <c r="G70" i="11"/>
  <c r="G72" i="11" s="1"/>
  <c r="G76" i="11" s="1"/>
  <c r="G70" i="14"/>
  <c r="G72" i="14" s="1"/>
  <c r="G76" i="14" s="1"/>
  <c r="H27" i="5"/>
  <c r="Z24" i="5"/>
  <c r="X35" i="8"/>
  <c r="X36" i="8" s="1"/>
  <c r="X39" i="8" s="1"/>
  <c r="I22" i="18"/>
  <c r="J22" i="18"/>
  <c r="K22" i="18"/>
  <c r="AQ22" i="18"/>
  <c r="I69" i="9"/>
  <c r="I69" i="10"/>
  <c r="I69" i="12"/>
  <c r="J41" i="5"/>
  <c r="I69" i="11"/>
  <c r="I69" i="13"/>
  <c r="I69" i="14"/>
  <c r="I23" i="18" l="1"/>
  <c r="I37" i="18" s="1"/>
  <c r="J23" i="18"/>
  <c r="J37" i="18" s="1"/>
  <c r="G72" i="9"/>
  <c r="G76" i="9" s="1"/>
  <c r="AP36" i="18"/>
  <c r="Z25" i="5"/>
  <c r="X49" i="5"/>
  <c r="X51" i="5" s="1"/>
  <c r="X30" i="5"/>
  <c r="X44" i="5"/>
  <c r="Y44" i="5"/>
  <c r="Y49" i="5"/>
  <c r="Y51" i="5" s="1"/>
  <c r="Y30" i="5"/>
  <c r="D71" i="2"/>
  <c r="I44" i="5"/>
  <c r="I49" i="5"/>
  <c r="I51" i="5" s="1"/>
  <c r="I30" i="5"/>
  <c r="Y69" i="9"/>
  <c r="Y69" i="10"/>
  <c r="Y69" i="12"/>
  <c r="Z41" i="5"/>
  <c r="Y69" i="11"/>
  <c r="Y69" i="13"/>
  <c r="Y69" i="14"/>
  <c r="AQ23" i="18"/>
  <c r="AQ37" i="18" s="1"/>
  <c r="X72" i="9"/>
  <c r="X76" i="9" s="1"/>
  <c r="C71" i="2"/>
  <c r="H49" i="5"/>
  <c r="H51" i="5" s="1"/>
  <c r="H30" i="5"/>
  <c r="H44" i="5"/>
  <c r="AQ36" i="18"/>
  <c r="AQ25" i="18"/>
  <c r="AO36" i="18"/>
  <c r="AO25" i="18"/>
  <c r="K36" i="18"/>
  <c r="K25" i="18"/>
  <c r="J36" i="18"/>
  <c r="J25" i="18"/>
  <c r="M22" i="18"/>
  <c r="K23" i="18"/>
  <c r="K37" i="18" s="1"/>
  <c r="H72" i="9"/>
  <c r="H76" i="9" s="1"/>
  <c r="L22" i="18"/>
  <c r="I36" i="18"/>
  <c r="I25" i="18"/>
  <c r="I70" i="9"/>
  <c r="I70" i="10"/>
  <c r="I72" i="10" s="1"/>
  <c r="I76" i="10" s="1"/>
  <c r="J42" i="5"/>
  <c r="I70" i="12"/>
  <c r="I72" i="12" s="1"/>
  <c r="I76" i="12" s="1"/>
  <c r="I70" i="13"/>
  <c r="I72" i="13" s="1"/>
  <c r="I76" i="13" s="1"/>
  <c r="I70" i="11"/>
  <c r="I72" i="11" s="1"/>
  <c r="I76" i="11" s="1"/>
  <c r="I70" i="14"/>
  <c r="I72" i="14" s="1"/>
  <c r="I76" i="14" s="1"/>
  <c r="J27" i="5"/>
  <c r="AO23" i="18"/>
  <c r="AO37" i="18" s="1"/>
  <c r="AP23" i="18"/>
  <c r="AP37" i="18" s="1"/>
  <c r="W72" i="9"/>
  <c r="W76" i="9" s="1"/>
  <c r="F78" i="5" l="1"/>
  <c r="H59" i="5"/>
  <c r="H61" i="5" s="1"/>
  <c r="F82" i="5" s="1"/>
  <c r="H65" i="5"/>
  <c r="H67" i="5" s="1"/>
  <c r="F86" i="5" s="1"/>
  <c r="W78" i="5"/>
  <c r="Y65" i="5"/>
  <c r="Y67" i="5" s="1"/>
  <c r="W86" i="5" s="1"/>
  <c r="Y59" i="5"/>
  <c r="Y61" i="5" s="1"/>
  <c r="W82" i="5" s="1"/>
  <c r="AO43" i="18"/>
  <c r="AO45" i="18" s="1"/>
  <c r="AO79" i="18" s="1"/>
  <c r="AO39" i="18"/>
  <c r="L36" i="18"/>
  <c r="AP25" i="18"/>
  <c r="L23" i="18"/>
  <c r="L37" i="18" s="1"/>
  <c r="AS22" i="18"/>
  <c r="AR22" i="18"/>
  <c r="Y70" i="9"/>
  <c r="Y70" i="10"/>
  <c r="Y72" i="10" s="1"/>
  <c r="Y76" i="10" s="1"/>
  <c r="Z42" i="5"/>
  <c r="Y70" i="12"/>
  <c r="Y72" i="12" s="1"/>
  <c r="Y76" i="12" s="1"/>
  <c r="Y70" i="11"/>
  <c r="Y72" i="11" s="1"/>
  <c r="Y76" i="11" s="1"/>
  <c r="Y70" i="13"/>
  <c r="Y72" i="13" s="1"/>
  <c r="Y76" i="13" s="1"/>
  <c r="Y70" i="14"/>
  <c r="Y72" i="14" s="1"/>
  <c r="Y76" i="14" s="1"/>
  <c r="Z27" i="5"/>
  <c r="AQ39" i="18"/>
  <c r="AQ43" i="18"/>
  <c r="AQ45" i="18" s="1"/>
  <c r="AQ79" i="18" s="1"/>
  <c r="M23" i="18"/>
  <c r="M37" i="18" s="1"/>
  <c r="I72" i="9"/>
  <c r="I76" i="9" s="1"/>
  <c r="V78" i="5"/>
  <c r="X59" i="5"/>
  <c r="X61" i="5" s="1"/>
  <c r="V82" i="5" s="1"/>
  <c r="X65" i="5"/>
  <c r="X67" i="5" s="1"/>
  <c r="V86" i="5" s="1"/>
  <c r="K39" i="18"/>
  <c r="K43" i="18"/>
  <c r="K45" i="18" s="1"/>
  <c r="K79" i="18" s="1"/>
  <c r="M36" i="18"/>
  <c r="M25" i="18"/>
  <c r="G78" i="5"/>
  <c r="I65" i="5"/>
  <c r="I67" i="5" s="1"/>
  <c r="G86" i="5" s="1"/>
  <c r="I59" i="5"/>
  <c r="I61" i="5" s="1"/>
  <c r="G82" i="5" s="1"/>
  <c r="E71" i="2"/>
  <c r="J44" i="5"/>
  <c r="J49" i="5"/>
  <c r="J51" i="5" s="1"/>
  <c r="J30" i="5"/>
  <c r="I43" i="18"/>
  <c r="I45" i="18" s="1"/>
  <c r="I79" i="18" s="1"/>
  <c r="I39" i="18"/>
  <c r="J43" i="18"/>
  <c r="J45" i="18" s="1"/>
  <c r="J79" i="18" s="1"/>
  <c r="J39" i="18"/>
  <c r="AS36" i="18" l="1"/>
  <c r="AS23" i="18"/>
  <c r="AS37" i="18" s="1"/>
  <c r="Y72" i="9"/>
  <c r="Y76" i="9" s="1"/>
  <c r="AR23" i="18"/>
  <c r="AR37" i="18" s="1"/>
  <c r="AR36" i="18"/>
  <c r="AP43" i="18"/>
  <c r="AP45" i="18" s="1"/>
  <c r="AP79" i="18" s="1"/>
  <c r="AP39" i="18"/>
  <c r="L25" i="18"/>
  <c r="Z44" i="5"/>
  <c r="Z49" i="5"/>
  <c r="Z51" i="5" s="1"/>
  <c r="Z30" i="5"/>
  <c r="M39" i="18"/>
  <c r="M43" i="18"/>
  <c r="M45" i="18" s="1"/>
  <c r="M79" i="18" s="1"/>
  <c r="J65" i="5"/>
  <c r="J67" i="5" s="1"/>
  <c r="H86" i="5" s="1"/>
  <c r="H78" i="5"/>
  <c r="J59" i="5"/>
  <c r="J61" i="5" s="1"/>
  <c r="H82" i="5" s="1"/>
  <c r="Z65" i="5" l="1"/>
  <c r="Z67" i="5" s="1"/>
  <c r="X86" i="5" s="1"/>
  <c r="X78" i="5"/>
  <c r="Z59" i="5"/>
  <c r="Z61" i="5" s="1"/>
  <c r="X82" i="5" s="1"/>
  <c r="L39" i="18"/>
  <c r="L43" i="18"/>
  <c r="L45" i="18" s="1"/>
  <c r="L79" i="18" s="1"/>
  <c r="AR25" i="18"/>
  <c r="AS25" i="18"/>
  <c r="AS39" i="18" l="1"/>
  <c r="AS43" i="18"/>
  <c r="AS45" i="18" s="1"/>
  <c r="AS79" i="18" s="1"/>
  <c r="AR39" i="18"/>
  <c r="AR43" i="18"/>
  <c r="AR45" i="18" s="1"/>
  <c r="AR79" i="18" s="1"/>
  <c r="B32" i="2"/>
  <c r="D52" i="2"/>
  <c r="E52" i="2"/>
  <c r="D62" i="2"/>
  <c r="D63" i="2"/>
  <c r="D64" i="2"/>
  <c r="B68" i="2"/>
  <c r="B69" i="2"/>
  <c r="B70" i="2"/>
  <c r="B71" i="2"/>
  <c r="F71" i="2"/>
  <c r="F19" i="9"/>
  <c r="F20" i="9"/>
  <c r="F32" i="9"/>
  <c r="F36" i="9"/>
  <c r="F39" i="9"/>
  <c r="F43" i="9"/>
  <c r="F47" i="9"/>
  <c r="F49" i="9"/>
  <c r="F50" i="9"/>
  <c r="F52" i="9"/>
  <c r="F62" i="9"/>
  <c r="F67" i="9"/>
  <c r="F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Z69" i="9"/>
  <c r="F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Z70" i="9"/>
  <c r="F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Z72" i="9"/>
  <c r="F75" i="9"/>
  <c r="F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Z76" i="9"/>
  <c r="F19" i="10"/>
  <c r="F20" i="10"/>
  <c r="F32" i="10"/>
  <c r="F36" i="10"/>
  <c r="F39" i="10"/>
  <c r="F44" i="10"/>
  <c r="F49" i="10"/>
  <c r="F51" i="10"/>
  <c r="F52" i="10"/>
  <c r="F54" i="10"/>
  <c r="F64" i="10"/>
  <c r="F67" i="10"/>
  <c r="F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Z69" i="10"/>
  <c r="F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Z70" i="10"/>
  <c r="F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Z72" i="10"/>
  <c r="F75" i="10"/>
  <c r="F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Z76" i="10"/>
  <c r="F19" i="12"/>
  <c r="F20" i="12"/>
  <c r="F32" i="12"/>
  <c r="F36" i="12"/>
  <c r="F39" i="12"/>
  <c r="F44" i="12"/>
  <c r="F49" i="12"/>
  <c r="F51" i="12"/>
  <c r="F52" i="12"/>
  <c r="F54" i="12"/>
  <c r="F64" i="12"/>
  <c r="F67" i="12"/>
  <c r="F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Z69" i="12"/>
  <c r="F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Z70" i="12"/>
  <c r="F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Z72" i="12"/>
  <c r="F75" i="12"/>
  <c r="F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Z76" i="12"/>
  <c r="E10" i="5"/>
  <c r="G10" i="5"/>
  <c r="AB10" i="5"/>
  <c r="E12" i="5"/>
  <c r="AB12" i="5"/>
  <c r="E18" i="5"/>
  <c r="G18" i="5"/>
  <c r="AB18" i="5"/>
  <c r="E22" i="5"/>
  <c r="G22" i="5"/>
  <c r="G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AA24" i="5"/>
  <c r="AB24" i="5"/>
  <c r="E25" i="5"/>
  <c r="G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AA25" i="5"/>
  <c r="AB25" i="5"/>
  <c r="E27" i="5"/>
  <c r="G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A27" i="5"/>
  <c r="AB27" i="5"/>
  <c r="G29" i="5"/>
  <c r="AB29" i="5"/>
  <c r="E30" i="5"/>
  <c r="G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AA30" i="5"/>
  <c r="AB30" i="5"/>
  <c r="E39" i="5"/>
  <c r="G39" i="5"/>
  <c r="G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AA41" i="5"/>
  <c r="E42" i="5"/>
  <c r="G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AA42" i="5"/>
  <c r="E44" i="5"/>
  <c r="G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AA44" i="5"/>
  <c r="G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AA49" i="5"/>
  <c r="E51" i="5"/>
  <c r="G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AA51" i="5"/>
  <c r="D53" i="5"/>
  <c r="E59" i="5"/>
  <c r="G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AA59" i="5"/>
  <c r="E61" i="5"/>
  <c r="G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AA61" i="5"/>
  <c r="D62" i="5"/>
  <c r="E65" i="5"/>
  <c r="G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AA65" i="5"/>
  <c r="E67" i="5"/>
  <c r="G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AA67" i="5"/>
  <c r="D68" i="5"/>
  <c r="B77" i="5"/>
  <c r="D77" i="5"/>
  <c r="D78" i="5"/>
  <c r="E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Y78" i="5"/>
  <c r="D79" i="5"/>
  <c r="B81" i="5"/>
  <c r="D81" i="5"/>
  <c r="D82" i="5"/>
  <c r="E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Y82" i="5"/>
  <c r="D83" i="5"/>
  <c r="B85" i="5"/>
  <c r="D85" i="5"/>
  <c r="D86" i="5"/>
  <c r="E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Y86" i="5"/>
  <c r="D87" i="5"/>
  <c r="C97" i="6"/>
  <c r="C103" i="6"/>
  <c r="C106" i="6"/>
  <c r="C114" i="6"/>
  <c r="E118" i="6"/>
  <c r="E119" i="6"/>
  <c r="C140" i="6"/>
  <c r="C157" i="6"/>
  <c r="C161" i="6"/>
  <c r="D161" i="6"/>
  <c r="E161" i="6"/>
  <c r="C162" i="6"/>
  <c r="C163" i="6"/>
  <c r="D163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C183" i="6"/>
  <c r="D183" i="6"/>
  <c r="E183" i="6"/>
  <c r="F183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G195" i="6"/>
  <c r="H195" i="6"/>
  <c r="I195" i="6"/>
  <c r="J195" i="6"/>
  <c r="K195" i="6"/>
  <c r="L195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G206" i="6"/>
  <c r="H206" i="6"/>
  <c r="I206" i="6"/>
  <c r="J206" i="6"/>
  <c r="K206" i="6"/>
  <c r="L206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N214" i="6"/>
  <c r="O214" i="6"/>
  <c r="P214" i="6"/>
  <c r="Q214" i="6"/>
  <c r="R214" i="6"/>
  <c r="S214" i="6"/>
  <c r="T214" i="6"/>
  <c r="U214" i="6"/>
  <c r="V214" i="6"/>
  <c r="M215" i="6"/>
  <c r="N215" i="6"/>
  <c r="O215" i="6"/>
  <c r="P215" i="6"/>
  <c r="Q215" i="6"/>
  <c r="R215" i="6"/>
  <c r="S215" i="6"/>
  <c r="T215" i="6"/>
  <c r="U215" i="6"/>
  <c r="V215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M219" i="6"/>
  <c r="N219" i="6"/>
  <c r="O219" i="6"/>
  <c r="P219" i="6"/>
  <c r="Q219" i="6"/>
  <c r="R219" i="6"/>
  <c r="S219" i="6"/>
  <c r="T219" i="6"/>
  <c r="U219" i="6"/>
  <c r="V219" i="6"/>
  <c r="M220" i="6"/>
  <c r="N220" i="6"/>
  <c r="O220" i="6"/>
  <c r="P220" i="6"/>
  <c r="Q220" i="6"/>
  <c r="R220" i="6"/>
  <c r="S220" i="6"/>
  <c r="T220" i="6"/>
  <c r="U220" i="6"/>
  <c r="V220" i="6"/>
  <c r="M222" i="6"/>
  <c r="N222" i="6"/>
  <c r="O222" i="6"/>
  <c r="P222" i="6"/>
  <c r="Q222" i="6"/>
  <c r="R222" i="6"/>
  <c r="S222" i="6"/>
  <c r="T222" i="6"/>
  <c r="U222" i="6"/>
  <c r="V222" i="6"/>
  <c r="M224" i="6"/>
  <c r="N224" i="6"/>
  <c r="O224" i="6"/>
  <c r="P224" i="6"/>
  <c r="Q224" i="6"/>
  <c r="R224" i="6"/>
  <c r="S224" i="6"/>
  <c r="T224" i="6"/>
  <c r="U224" i="6"/>
  <c r="V224" i="6"/>
  <c r="M225" i="6"/>
  <c r="N225" i="6"/>
  <c r="O225" i="6"/>
  <c r="P225" i="6"/>
  <c r="Q225" i="6"/>
  <c r="R225" i="6"/>
  <c r="S225" i="6"/>
  <c r="T225" i="6"/>
  <c r="U225" i="6"/>
  <c r="V225" i="6"/>
  <c r="M227" i="6"/>
  <c r="N227" i="6"/>
  <c r="O227" i="6"/>
  <c r="P227" i="6"/>
  <c r="Q227" i="6"/>
  <c r="R227" i="6"/>
  <c r="S227" i="6"/>
  <c r="T227" i="6"/>
  <c r="U227" i="6"/>
  <c r="V227" i="6"/>
  <c r="M228" i="6"/>
  <c r="N228" i="6"/>
  <c r="O228" i="6"/>
  <c r="P228" i="6"/>
  <c r="Q228" i="6"/>
  <c r="R228" i="6"/>
  <c r="S228" i="6"/>
  <c r="T228" i="6"/>
  <c r="U228" i="6"/>
  <c r="V228" i="6"/>
  <c r="M229" i="6"/>
  <c r="N229" i="6"/>
  <c r="O229" i="6"/>
  <c r="P229" i="6"/>
  <c r="Q229" i="6"/>
  <c r="R229" i="6"/>
  <c r="S229" i="6"/>
  <c r="T229" i="6"/>
  <c r="U229" i="6"/>
  <c r="V229" i="6"/>
  <c r="C233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M237" i="6"/>
  <c r="N237" i="6"/>
  <c r="O237" i="6"/>
  <c r="P237" i="6"/>
  <c r="Q237" i="6"/>
  <c r="R237" i="6"/>
  <c r="S237" i="6"/>
  <c r="T237" i="6"/>
  <c r="U237" i="6"/>
  <c r="V237" i="6"/>
  <c r="C239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8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E8" i="18"/>
  <c r="G8" i="18"/>
  <c r="H8" i="18"/>
  <c r="AV8" i="18"/>
  <c r="E10" i="18"/>
  <c r="AV10" i="18"/>
  <c r="E16" i="18"/>
  <c r="G16" i="18"/>
  <c r="H16" i="18"/>
  <c r="AV16" i="18"/>
  <c r="E20" i="18"/>
  <c r="G20" i="18"/>
  <c r="H20" i="18"/>
  <c r="AV20" i="18"/>
  <c r="G22" i="18"/>
  <c r="H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T22" i="18"/>
  <c r="AU22" i="18"/>
  <c r="AV22" i="18"/>
  <c r="E23" i="18"/>
  <c r="G23" i="18"/>
  <c r="H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T23" i="18"/>
  <c r="AU23" i="18"/>
  <c r="AV23" i="18"/>
  <c r="E25" i="18"/>
  <c r="G25" i="18"/>
  <c r="H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T25" i="18"/>
  <c r="AU25" i="18"/>
  <c r="AV25" i="18"/>
  <c r="E27" i="18"/>
  <c r="AV27" i="18"/>
  <c r="E28" i="18"/>
  <c r="G28" i="18"/>
  <c r="H28" i="18"/>
  <c r="E34" i="18"/>
  <c r="G34" i="18"/>
  <c r="H34" i="18"/>
  <c r="G36" i="18"/>
  <c r="H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T36" i="18"/>
  <c r="AU36" i="18"/>
  <c r="E37" i="18"/>
  <c r="G37" i="18"/>
  <c r="H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T37" i="18"/>
  <c r="AU37" i="18"/>
  <c r="E39" i="18"/>
  <c r="G39" i="18"/>
  <c r="H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T39" i="18"/>
  <c r="AU39" i="18"/>
  <c r="E43" i="18"/>
  <c r="F43" i="18"/>
  <c r="G43" i="18"/>
  <c r="H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T43" i="18"/>
  <c r="AU43" i="18"/>
  <c r="AV43" i="18"/>
  <c r="E45" i="18"/>
  <c r="F45" i="18"/>
  <c r="G45" i="18"/>
  <c r="H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T45" i="18"/>
  <c r="AU45" i="18"/>
  <c r="D47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8" i="18"/>
  <c r="E79" i="18"/>
  <c r="G79" i="18"/>
  <c r="H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T79" i="18"/>
  <c r="AU79" i="18"/>
  <c r="D80" i="18"/>
  <c r="E18" i="4"/>
  <c r="E19" i="4"/>
  <c r="E31" i="4"/>
  <c r="E35" i="4"/>
  <c r="E38" i="4"/>
  <c r="E42" i="4"/>
  <c r="E48" i="4"/>
  <c r="E50" i="4"/>
  <c r="E51" i="4"/>
  <c r="E53" i="4"/>
  <c r="F19" i="11"/>
  <c r="F20" i="11"/>
  <c r="F32" i="11"/>
  <c r="F36" i="11"/>
  <c r="F39" i="11"/>
  <c r="F44" i="11"/>
  <c r="F49" i="11"/>
  <c r="F51" i="11"/>
  <c r="F52" i="11"/>
  <c r="F54" i="11"/>
  <c r="F64" i="11"/>
  <c r="F67" i="11"/>
  <c r="F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Z69" i="11"/>
  <c r="F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Z70" i="11"/>
  <c r="F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Z72" i="11"/>
  <c r="F75" i="11"/>
  <c r="F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Z76" i="11"/>
  <c r="B54" i="1"/>
  <c r="C54" i="1"/>
  <c r="D54" i="1"/>
  <c r="B55" i="1"/>
  <c r="C55" i="1"/>
  <c r="D55" i="1"/>
  <c r="E11" i="8"/>
  <c r="E14" i="8"/>
  <c r="E16" i="8"/>
  <c r="E18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Y20" i="8"/>
  <c r="E21" i="8"/>
  <c r="X22" i="8"/>
  <c r="Y22" i="8"/>
  <c r="E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Y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X24" i="8"/>
  <c r="Y24" i="8"/>
  <c r="E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Y26" i="8"/>
  <c r="E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Y28" i="8"/>
  <c r="E32" i="8"/>
  <c r="E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Y35" i="8"/>
  <c r="E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Y36" i="8"/>
  <c r="E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Y39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E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19" i="13"/>
  <c r="F20" i="13"/>
  <c r="F32" i="13"/>
  <c r="F36" i="13"/>
  <c r="F39" i="13"/>
  <c r="F44" i="13"/>
  <c r="F49" i="13"/>
  <c r="F51" i="13"/>
  <c r="F52" i="13"/>
  <c r="F54" i="13"/>
  <c r="F64" i="13"/>
  <c r="F67" i="13"/>
  <c r="F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Z69" i="13"/>
  <c r="F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Z70" i="13"/>
  <c r="F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Z72" i="13"/>
  <c r="F75" i="13"/>
  <c r="F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Z76" i="13"/>
  <c r="F82" i="13"/>
  <c r="F84" i="13"/>
  <c r="F91" i="13"/>
  <c r="F19" i="14"/>
  <c r="F20" i="14"/>
  <c r="F32" i="14"/>
  <c r="F36" i="14"/>
  <c r="F39" i="14"/>
  <c r="F44" i="14"/>
  <c r="F49" i="14"/>
  <c r="F51" i="14"/>
  <c r="F52" i="14"/>
  <c r="F54" i="14"/>
  <c r="F64" i="14"/>
  <c r="F67" i="14"/>
  <c r="F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Z69" i="14"/>
  <c r="F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Z70" i="14"/>
  <c r="F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Z72" i="14"/>
  <c r="F75" i="14"/>
  <c r="F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<sst xmlns="http://schemas.openxmlformats.org/spreadsheetml/2006/main" count="1161" uniqueCount="516">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</sst>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2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2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2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47625</xdr:rowOff>
        </xdr:from>
        <xdr:to>
          <xdr:col>1</xdr:col>
          <xdr:colOff>1552575</xdr:colOff>
          <xdr:row>29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9525</xdr:rowOff>
        </xdr:from>
        <xdr:to>
          <xdr:col>1</xdr:col>
          <xdr:colOff>1543050</xdr:colOff>
          <xdr:row>32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1543050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180975</xdr:rowOff>
        </xdr:from>
        <xdr:to>
          <xdr:col>1</xdr:col>
          <xdr:colOff>1543050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zoomScale="75" workbookViewId="0">
      <selection activeCell="A8" sqref="A8"/>
    </sheetView>
  </sheetViews>
  <sheetFormatPr defaultRowHeight="12.75"/>
  <cols>
    <col min="1" max="1" width="74.5703125" style="22" customWidth="1"/>
    <col min="2" max="2" width="25" style="22" customWidth="1"/>
    <col min="3" max="3" width="24" style="22" customWidth="1"/>
    <col min="4" max="4" width="10.85546875" style="22" customWidth="1"/>
    <col min="5" max="5" width="6.140625" style="22" customWidth="1"/>
    <col min="6" max="6" width="23.42578125" style="22" customWidth="1"/>
    <col min="7" max="7" width="11.5703125" style="22" bestFit="1" customWidth="1"/>
    <col min="8" max="8" width="17.85546875" style="22" bestFit="1" customWidth="1"/>
    <col min="9" max="15" width="9.140625" style="22"/>
    <col min="16" max="16" width="23.140625" style="22" customWidth="1"/>
    <col min="17" max="17" width="38.5703125" style="22" customWidth="1"/>
    <col min="18" max="18" width="11.5703125" style="22" customWidth="1"/>
    <col min="19" max="19" width="22.7109375" style="22" customWidth="1"/>
    <col min="20" max="16384" width="9.140625" style="22"/>
  </cols>
  <sheetData>
    <row r="1" spans="1:12" ht="20.25">
      <c r="A1" s="65" t="s">
        <v>0</v>
      </c>
    </row>
    <row r="2" spans="1:12" ht="20.25">
      <c r="A2" s="65" t="s">
        <v>515</v>
      </c>
    </row>
    <row r="3" spans="1:12" ht="20.25">
      <c r="A3" s="65" t="s">
        <v>504</v>
      </c>
    </row>
    <row r="4" spans="1:12" ht="20.25">
      <c r="A4" s="65" t="s">
        <v>513</v>
      </c>
    </row>
    <row r="5" spans="1:12" ht="20.25">
      <c r="A5" s="65" t="s">
        <v>423</v>
      </c>
    </row>
    <row r="6" spans="1:12" ht="20.25">
      <c r="A6" s="65" t="s">
        <v>424</v>
      </c>
    </row>
    <row r="7" spans="1:12" ht="20.25">
      <c r="A7" s="65" t="s">
        <v>425</v>
      </c>
    </row>
    <row r="8" spans="1:12" ht="20.25">
      <c r="A8" s="65"/>
    </row>
    <row r="9" spans="1:12" ht="20.25">
      <c r="A9" s="65"/>
    </row>
    <row r="10" spans="1:12" ht="20.25">
      <c r="A10" s="65"/>
    </row>
    <row r="11" spans="1:12" ht="20.25">
      <c r="A11" s="65"/>
    </row>
    <row r="13" spans="1:12" ht="15.75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75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75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75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75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75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75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75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75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75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75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75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75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8.75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25">
      <c r="A27" s="65" t="s">
        <v>13</v>
      </c>
      <c r="B27" s="615"/>
      <c r="C27" s="615"/>
      <c r="D27" s="615"/>
      <c r="E27" s="615"/>
    </row>
    <row r="28" spans="1:24" ht="15.75">
      <c r="A28" s="698"/>
      <c r="B28" s="698"/>
      <c r="C28" s="698"/>
      <c r="D28" s="698"/>
      <c r="T28" s="77"/>
      <c r="U28" s="77"/>
    </row>
    <row r="29" spans="1:24" ht="15.75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75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75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75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75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75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75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75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75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75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75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75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75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75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75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75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75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5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75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75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75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5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5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75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75">
      <c r="A54" s="780" t="s">
        <v>391</v>
      </c>
      <c r="B54" s="781">
        <f ca="1">IRR!D62</f>
        <v>0.12490847350272061</v>
      </c>
      <c r="C54" s="782">
        <f ca="1">MIN(IRR!G28:L28)</f>
        <v>1.0711441688312726</v>
      </c>
      <c r="D54" s="782">
        <f ca="1">AVERAGE(IRR!G28:L28)</f>
        <v>1.2419555648769627</v>
      </c>
      <c r="E54" s="782"/>
      <c r="F54" s="782">
        <f>MIN(IRR!N28:AS28)</f>
        <v>2.0204486234913537</v>
      </c>
      <c r="G54" s="783">
        <f>AVERAGE(IRR!M28:AS28)</f>
        <v>2.9028303952325771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5" thickBot="1">
      <c r="A55" s="784" t="s">
        <v>392</v>
      </c>
      <c r="B55" s="785">
        <f ca="1">CF!D79</f>
        <v>0.12921063170379643</v>
      </c>
      <c r="C55" s="786">
        <f ca="1">Debt!E119</f>
        <v>1.2888963749231688</v>
      </c>
      <c r="D55" s="786">
        <f ca="1">Debt!E118</f>
        <v>1.3927921351860328</v>
      </c>
      <c r="E55" s="786"/>
      <c r="F55" s="786">
        <f>Debt!J119</f>
        <v>2.0781278129521037</v>
      </c>
      <c r="G55" s="787">
        <f>Debt!J118</f>
        <v>2.9127350275434885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75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5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75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5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75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75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75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75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75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75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75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75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75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75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75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75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75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75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75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75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75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75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75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75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75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75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75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75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75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75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75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75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75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75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75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75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75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75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75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75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75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75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75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75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75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75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75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75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75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75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75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5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75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75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75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75">
      <c r="A111" s="374" t="s">
        <v>493</v>
      </c>
      <c r="B111" s="8"/>
      <c r="C111" s="8"/>
      <c r="D111" s="8"/>
      <c r="E111" s="8"/>
      <c r="F111" s="8"/>
      <c r="G111" s="827"/>
    </row>
    <row r="112" spans="1:24" ht="15.75">
      <c r="A112" s="374" t="s">
        <v>492</v>
      </c>
      <c r="B112" s="818"/>
      <c r="C112" s="819"/>
      <c r="D112" s="8"/>
      <c r="E112" s="8"/>
      <c r="F112" s="8"/>
      <c r="G112" s="827"/>
    </row>
    <row r="113" spans="1:7" ht="15.75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75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75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75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75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75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75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75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75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75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75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75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75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5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47625</xdr:rowOff>
                  </from>
                  <to>
                    <xdr:col>1</xdr:col>
                    <xdr:colOff>1552575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9525</xdr:rowOff>
                  </from>
                  <to>
                    <xdr:col>1</xdr:col>
                    <xdr:colOff>1543050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1543050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180975</xdr:rowOff>
                  </from>
                  <to>
                    <xdr:col>1</xdr:col>
                    <xdr:colOff>1543050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6" sqref="I6"/>
    </sheetView>
  </sheetViews>
  <sheetFormatPr defaultRowHeight="12.75" outlineLevelRow="1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60">
      <c r="F1" s="7">
        <v>12</v>
      </c>
    </row>
    <row r="2" spans="1:60" ht="18.75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f>Assumptions!$L$30*'Power Price Assumption'!I23*MONTH(Assumptions!$L$38)</f>
        <v>9160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f>(5/12*Assumptions!$L$26*Assumptions!$L$17/1000)*(1+Assumptions!$L$39)^(I5-$E$5)</f>
        <v>363.0928938020333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f>H12*(1+Assumptions!$L$39)*5/12</f>
        <v>925.39334358200006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Assumption'!I25*(12-MONTH(Assumptions!$L$38)),Assumptions!$L$33*(1-Assumptions!$L$35)*'Power Price Assumption'!I25*(12-MONTH(Assumptions!$L$38))-7/12*VLOOKUP(120,'EGC Start Charge Matrix'!$U$10:$AK$35,14)*(1+Assumptions!$L$39)^(Brownsville!I5-Brownsville!$E$5)*2/3)</f>
        <v>19059.55960295206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(7/12*Assumptions!$L$26*Assumptions!$L$34/1000)*(1+Assumptions!$L$39)^(I5-$E$5)+H12*(1+Assumptions!$L$39)*7/12*1/3</f>
        <v>972.86878634428763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Assumptions!$L$33*Assumptions!$L$35*Assumptions!$L$36/1000*Assumptions!$L$14*7/12</f>
        <v>6.8243279999999986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240.96406916368628</v>
      </c>
      <c r="G19" s="254">
        <f>(SUM(G10:G17)-SUM(G25:G35))*Assumptions!$B$34/4</f>
        <v>240.83175823327844</v>
      </c>
      <c r="H19" s="254">
        <f>(SUM(H10:H17)-SUM(H25:H35))*Assumptions!$B$34/4</f>
        <v>239.34399816529319</v>
      </c>
      <c r="I19" s="254">
        <f>(SUM(I10:I17)-SUM(I25:I35))*Assumptions!$B$34/4</f>
        <v>302.39611441206449</v>
      </c>
      <c r="J19" s="254">
        <f>(SUM(J10:J17)-SUM(J25:J35))*Assumptions!$B$34/4</f>
        <v>352.91953369393207</v>
      </c>
      <c r="K19" s="254">
        <f>(SUM(K10:K17)-SUM(K25:K35))*Assumptions!$B$34/4</f>
        <v>356.62121038110104</v>
      </c>
      <c r="L19" s="254">
        <f>(SUM(L10:L17)-SUM(L25:L35))*Assumptions!$B$34/4</f>
        <v>360.21011064042608</v>
      </c>
      <c r="M19" s="254">
        <f>(SUM(M10:M17)-SUM(M25:M35))*Assumptions!$B$34/4</f>
        <v>371.46741679277858</v>
      </c>
      <c r="N19" s="254">
        <f>(SUM(N10:N17)-SUM(N25:N35))*Assumptions!$B$34/4</f>
        <v>375.03402289090587</v>
      </c>
      <c r="O19" s="254">
        <f>(SUM(O10:O17)-SUM(O25:O35))*Assumptions!$B$34/4</f>
        <v>386.72902874331044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25054.917909163683</v>
      </c>
      <c r="G20" s="253">
        <f t="shared" si="1"/>
        <v>25139.68421343328</v>
      </c>
      <c r="H20" s="253">
        <f t="shared" si="1"/>
        <v>25225.642027021291</v>
      </c>
      <c r="I20" s="253">
        <f t="shared" si="1"/>
        <v>30790.135069092445</v>
      </c>
      <c r="J20" s="253">
        <f t="shared" si="1"/>
        <v>35165.761049776214</v>
      </c>
      <c r="K20" s="253">
        <f t="shared" si="1"/>
        <v>35625.982620565752</v>
      </c>
      <c r="L20" s="253">
        <f t="shared" si="1"/>
        <v>36082.161580172295</v>
      </c>
      <c r="M20" s="253">
        <f t="shared" si="1"/>
        <v>37164.726464970612</v>
      </c>
      <c r="N20" s="253">
        <f t="shared" si="1"/>
        <v>37629.747044668904</v>
      </c>
      <c r="O20" s="253">
        <f t="shared" si="1"/>
        <v>38758.732475734665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5/12*Assumptions!L59*((1+Assumptions!$L$52)^(Brownsville!I5-Brownsville!$E$5))+7/12*Assumptions!$L$60*((1+Assumptions!$L$52)^(I5-$E$5))</f>
        <v>904.11145314138776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534.61410292006497</v>
      </c>
      <c r="G32" s="253">
        <f>Allocation!$I$7*IS!F31</f>
        <v>352.77224158539087</v>
      </c>
      <c r="H32" s="253">
        <f>Allocation!$I$7*IS!G31</f>
        <v>352.77224158539087</v>
      </c>
      <c r="I32" s="253">
        <f>Allocation!$I$7*IS!H31</f>
        <v>352.77224158539087</v>
      </c>
      <c r="J32" s="253">
        <f>Allocation!$I$7*IS!I31</f>
        <v>287.27834266431529</v>
      </c>
      <c r="K32" s="253">
        <f>Allocation!$I$7*IS!J31</f>
        <v>287.27834266431529</v>
      </c>
      <c r="L32" s="253">
        <f>Allocation!$I$7*IS!K31</f>
        <v>287.27834266431529</v>
      </c>
      <c r="M32" s="253">
        <f>Allocation!$I$7*IS!L31</f>
        <v>287.27834266431529</v>
      </c>
      <c r="N32" s="253">
        <f>Allocation!$I$7*IS!M31</f>
        <v>287.27834266431529</v>
      </c>
      <c r="O32" s="253">
        <f>Allocation!$I$7*IS!N31</f>
        <v>287.27834266431529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Assumptions!$L$50*Assumptions!$L$33*7</f>
        <v>238.85147999999998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5536.8283069051004</v>
      </c>
      <c r="G36" s="253">
        <f t="shared" si="2"/>
        <v>5632.3117965377269</v>
      </c>
      <c r="H36" s="187">
        <f t="shared" si="2"/>
        <v>5838.7781756325467</v>
      </c>
      <c r="I36" s="253">
        <f t="shared" si="2"/>
        <v>6296.0498017152195</v>
      </c>
      <c r="J36" s="253">
        <f t="shared" si="2"/>
        <v>6579.2788205677207</v>
      </c>
      <c r="K36" s="253">
        <f t="shared" si="2"/>
        <v>6739.6645796965704</v>
      </c>
      <c r="L36" s="253">
        <f t="shared" si="2"/>
        <v>6905.1426182977893</v>
      </c>
      <c r="M36" s="253">
        <f t="shared" si="2"/>
        <v>7075.8657047555444</v>
      </c>
      <c r="N36" s="253">
        <f t="shared" si="2"/>
        <v>7251.9911905055314</v>
      </c>
      <c r="O36" s="253">
        <f t="shared" si="2"/>
        <v>7433.6811475265185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19518.089602258584</v>
      </c>
      <c r="G39" s="259">
        <f t="shared" si="3"/>
        <v>19507.372416895552</v>
      </c>
      <c r="H39" s="260">
        <f t="shared" si="3"/>
        <v>19386.863851388745</v>
      </c>
      <c r="I39" s="259">
        <f t="shared" si="3"/>
        <v>24494.085267377224</v>
      </c>
      <c r="J39" s="259">
        <f t="shared" si="3"/>
        <v>28586.482229208494</v>
      </c>
      <c r="K39" s="259">
        <f t="shared" si="3"/>
        <v>28886.318040869181</v>
      </c>
      <c r="L39" s="259">
        <f t="shared" si="3"/>
        <v>29177.018961874506</v>
      </c>
      <c r="M39" s="259">
        <f t="shared" si="3"/>
        <v>30088.860760215066</v>
      </c>
      <c r="N39" s="259">
        <f t="shared" si="3"/>
        <v>30377.755854163373</v>
      </c>
      <c r="O39" s="259">
        <f t="shared" si="3"/>
        <v>31325.051328208145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3863.0079385649856</v>
      </c>
      <c r="G41" s="253">
        <f>Allocation!$G$7*IS!F40</f>
        <v>5310.6117649883035</v>
      </c>
      <c r="H41" s="253">
        <f>Allocation!$G$7*IS!G40</f>
        <v>5310.6117649883035</v>
      </c>
      <c r="I41" s="253">
        <f>Allocation!$G$7*IS!H40</f>
        <v>5310.6117649883035</v>
      </c>
      <c r="J41" s="253">
        <f>Allocation!$G$7*IS!I40</f>
        <v>5310.6117649883035</v>
      </c>
      <c r="K41" s="253">
        <f>Allocation!$G$7*IS!J40</f>
        <v>5310.6117649883035</v>
      </c>
      <c r="L41" s="253">
        <f>Allocation!$G$7*IS!K40</f>
        <v>5310.6117649883035</v>
      </c>
      <c r="M41" s="253">
        <f>Allocation!$G$7*IS!L40</f>
        <v>5310.6117649883035</v>
      </c>
      <c r="N41" s="253">
        <f>Allocation!$G$7*IS!M40</f>
        <v>5310.6117649883035</v>
      </c>
      <c r="O41" s="253">
        <f>Allocation!$G$7*IS!N40</f>
        <v>5310.6117649883035</v>
      </c>
      <c r="P41" s="253">
        <f>Allocation!$G$7*IS!O40</f>
        <v>5310.6117649883035</v>
      </c>
      <c r="Q41" s="253">
        <f>Allocation!$G$7*IS!P40</f>
        <v>5310.6117649883035</v>
      </c>
      <c r="R41" s="253">
        <f>Allocation!$G$7*IS!Q40</f>
        <v>5310.6117649883035</v>
      </c>
      <c r="S41" s="253">
        <f>Allocation!$G$7*IS!R40</f>
        <v>5310.6117649883035</v>
      </c>
      <c r="T41" s="253">
        <f>Allocation!$G$7*IS!S40</f>
        <v>5310.6117649883035</v>
      </c>
      <c r="U41" s="253">
        <f>Allocation!$G$7*IS!T40</f>
        <v>5310.6117649883035</v>
      </c>
      <c r="V41" s="253">
        <f>Allocation!$G$7*IS!U40</f>
        <v>5310.6117649883035</v>
      </c>
      <c r="W41" s="253">
        <f>Allocation!$G$7*IS!V40</f>
        <v>5310.6117649883035</v>
      </c>
      <c r="X41" s="253">
        <f>Allocation!$G$7*IS!W40</f>
        <v>5310.6117649883035</v>
      </c>
      <c r="Y41" s="253">
        <f>Allocation!$G$7*IS!X40</f>
        <v>5310.6117649883035</v>
      </c>
      <c r="Z41" s="253">
        <f>Allocation!$G$7*IS!Y40</f>
        <v>5174.1527027069878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15655.081663693598</v>
      </c>
      <c r="G43" s="259">
        <f t="shared" si="4"/>
        <v>14196.760651907249</v>
      </c>
      <c r="H43" s="259">
        <f t="shared" si="4"/>
        <v>14076.252086400442</v>
      </c>
      <c r="I43" s="259">
        <f t="shared" si="4"/>
        <v>19183.473502388922</v>
      </c>
      <c r="J43" s="259">
        <f t="shared" si="4"/>
        <v>23275.870464220192</v>
      </c>
      <c r="K43" s="259">
        <f t="shared" si="4"/>
        <v>23575.706275880875</v>
      </c>
      <c r="L43" s="259">
        <f t="shared" si="4"/>
        <v>23866.407196886204</v>
      </c>
      <c r="M43" s="259">
        <f t="shared" si="4"/>
        <v>24778.248995226764</v>
      </c>
      <c r="N43" s="259">
        <f t="shared" si="4"/>
        <v>25067.144089175068</v>
      </c>
      <c r="O43" s="259">
        <f t="shared" si="4"/>
        <v>26014.439563219843</v>
      </c>
      <c r="P43" s="259">
        <f t="shared" si="4"/>
        <v>26338.048542266006</v>
      </c>
      <c r="Q43" s="259">
        <f t="shared" si="4"/>
        <v>27333.064423636402</v>
      </c>
      <c r="R43" s="259">
        <f t="shared" si="4"/>
        <v>27615.026281991944</v>
      </c>
      <c r="S43" s="259">
        <f t="shared" si="4"/>
        <v>27887.591559024062</v>
      </c>
      <c r="T43" s="259">
        <f t="shared" si="4"/>
        <v>27849.34024472865</v>
      </c>
      <c r="U43" s="259">
        <f t="shared" si="4"/>
        <v>28126.095476499322</v>
      </c>
      <c r="V43" s="259">
        <f t="shared" si="4"/>
        <v>28396.636278761398</v>
      </c>
      <c r="W43" s="259">
        <f t="shared" si="4"/>
        <v>28655.688781748206</v>
      </c>
      <c r="X43" s="259">
        <f t="shared" si="4"/>
        <v>28909.043885777057</v>
      </c>
      <c r="Y43" s="259">
        <f t="shared" si="4"/>
        <v>29140.400966423083</v>
      </c>
      <c r="Z43" s="259">
        <f t="shared" si="4"/>
        <v>30012.965838799115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11260.129561484338</v>
      </c>
      <c r="G45" s="253">
        <f>Allocation!$I$7*IS!F44</f>
        <v>11006.994093215868</v>
      </c>
      <c r="H45" s="253">
        <f>Allocation!$I$7*IS!G44</f>
        <v>10682.734251835087</v>
      </c>
      <c r="I45" s="253">
        <f>Allocation!$I$7*IS!H44</f>
        <v>10140.820591259098</v>
      </c>
      <c r="J45" s="253">
        <f>Allocation!$I$7*IS!I44</f>
        <v>9726.6402397773909</v>
      </c>
      <c r="K45" s="253">
        <f>Allocation!$I$7*IS!J44</f>
        <v>9341.2900477241838</v>
      </c>
      <c r="L45" s="253">
        <f>Allocation!$I$7*IS!K44</f>
        <v>8918.93005569651</v>
      </c>
      <c r="M45" s="253">
        <f>Allocation!$I$7*IS!L44</f>
        <v>8431.8439142304778</v>
      </c>
      <c r="N45" s="253">
        <f>Allocation!$I$7*IS!M44</f>
        <v>7876.4235778337425</v>
      </c>
      <c r="O45" s="253">
        <f>Allocation!$I$7*IS!N44</f>
        <v>7201.8308766259115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4394.9521022092595</v>
      </c>
      <c r="G47" s="259">
        <f t="shared" si="5"/>
        <v>3189.7665586913809</v>
      </c>
      <c r="H47" s="259">
        <f t="shared" si="5"/>
        <v>3393.5178345653549</v>
      </c>
      <c r="I47" s="259">
        <f t="shared" si="5"/>
        <v>9042.6529111298241</v>
      </c>
      <c r="J47" s="259">
        <f t="shared" si="5"/>
        <v>13549.230224442801</v>
      </c>
      <c r="K47" s="259">
        <f t="shared" si="5"/>
        <v>14234.416228156691</v>
      </c>
      <c r="L47" s="259">
        <f t="shared" si="5"/>
        <v>14947.477141189695</v>
      </c>
      <c r="M47" s="259">
        <f t="shared" si="5"/>
        <v>16346.405080996286</v>
      </c>
      <c r="N47" s="259">
        <f t="shared" si="5"/>
        <v>17190.720511341326</v>
      </c>
      <c r="O47" s="259">
        <f t="shared" si="5"/>
        <v>18812.608686593932</v>
      </c>
      <c r="P47" s="259">
        <f t="shared" si="5"/>
        <v>19731.399494079898</v>
      </c>
      <c r="Q47" s="259">
        <f t="shared" si="5"/>
        <v>21297.096652959761</v>
      </c>
      <c r="R47" s="259">
        <f t="shared" si="5"/>
        <v>22209.513660855417</v>
      </c>
      <c r="S47" s="259">
        <f t="shared" si="5"/>
        <v>23161.329355968268</v>
      </c>
      <c r="T47" s="259">
        <f t="shared" si="5"/>
        <v>23848.465666142027</v>
      </c>
      <c r="U47" s="259">
        <f t="shared" si="5"/>
        <v>24910.867862078831</v>
      </c>
      <c r="V47" s="259">
        <f t="shared" si="5"/>
        <v>25999.762639801971</v>
      </c>
      <c r="W47" s="259">
        <f t="shared" si="5"/>
        <v>27069.681422274043</v>
      </c>
      <c r="X47" s="259">
        <f t="shared" si="5"/>
        <v>28064.049816559276</v>
      </c>
      <c r="Y47" s="259">
        <f t="shared" si="5"/>
        <v>28937.544367062739</v>
      </c>
      <c r="Z47" s="259">
        <f t="shared" si="5"/>
        <v>30012.965838799115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-263.69712613255558</v>
      </c>
      <c r="G49" s="253">
        <f t="shared" si="6"/>
        <v>-191.38599352148285</v>
      </c>
      <c r="H49" s="187">
        <f t="shared" si="6"/>
        <v>-203.6110700739213</v>
      </c>
      <c r="I49" s="253">
        <f t="shared" si="6"/>
        <v>-542.55917466778942</v>
      </c>
      <c r="J49" s="253">
        <f t="shared" si="6"/>
        <v>-812.95381346656802</v>
      </c>
      <c r="K49" s="253">
        <f t="shared" si="6"/>
        <v>-854.06497368940143</v>
      </c>
      <c r="L49" s="253">
        <f t="shared" si="6"/>
        <v>-896.84862847138163</v>
      </c>
      <c r="M49" s="253">
        <f t="shared" si="6"/>
        <v>-980.78430485977719</v>
      </c>
      <c r="N49" s="253">
        <f t="shared" si="6"/>
        <v>-1031.4432306804795</v>
      </c>
      <c r="O49" s="253">
        <f t="shared" si="6"/>
        <v>-1128.756521195636</v>
      </c>
      <c r="P49" s="253">
        <f t="shared" si="6"/>
        <v>-1183.8839696447938</v>
      </c>
      <c r="Q49" s="253">
        <f t="shared" si="6"/>
        <v>-1277.8257991775856</v>
      </c>
      <c r="R49" s="253">
        <f t="shared" si="6"/>
        <v>-1332.5708196513249</v>
      </c>
      <c r="S49" s="253">
        <f t="shared" si="6"/>
        <v>-1389.6797613580961</v>
      </c>
      <c r="T49" s="253">
        <f t="shared" si="6"/>
        <v>-1430.9079399685215</v>
      </c>
      <c r="U49" s="253">
        <f t="shared" si="6"/>
        <v>-1494.6520717247297</v>
      </c>
      <c r="V49" s="253">
        <f t="shared" si="6"/>
        <v>-1559.9857583881183</v>
      </c>
      <c r="W49" s="253">
        <f t="shared" si="6"/>
        <v>-1624.1808853364425</v>
      </c>
      <c r="X49" s="253">
        <f t="shared" si="6"/>
        <v>-1683.8429889935564</v>
      </c>
      <c r="Y49" s="253">
        <f t="shared" si="6"/>
        <v>-1736.2526620237643</v>
      </c>
      <c r="Z49" s="253">
        <f t="shared" si="6"/>
        <v>-1800.7779503279469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-1445.9392416268463</v>
      </c>
      <c r="G50" s="228">
        <f t="shared" si="7"/>
        <v>-1049.4331978094642</v>
      </c>
      <c r="H50" s="228">
        <f t="shared" si="7"/>
        <v>-1116.4673675720016</v>
      </c>
      <c r="I50" s="228">
        <f t="shared" si="7"/>
        <v>-2975.0328077617119</v>
      </c>
      <c r="J50" s="228">
        <f t="shared" si="7"/>
        <v>-4457.6967438416814</v>
      </c>
      <c r="K50" s="228">
        <f t="shared" si="7"/>
        <v>-4683.1229390635517</v>
      </c>
      <c r="L50" s="228">
        <f t="shared" si="7"/>
        <v>-4917.719979451409</v>
      </c>
      <c r="M50" s="228">
        <f t="shared" si="7"/>
        <v>-5377.967271647778</v>
      </c>
      <c r="N50" s="228">
        <f t="shared" si="7"/>
        <v>-5655.7470482312956</v>
      </c>
      <c r="O50" s="228">
        <f t="shared" si="7"/>
        <v>-6189.3482578894036</v>
      </c>
      <c r="P50" s="228">
        <f t="shared" si="7"/>
        <v>-6491.6304335522864</v>
      </c>
      <c r="Q50" s="228">
        <f t="shared" si="7"/>
        <v>-7006.7447988237609</v>
      </c>
      <c r="R50" s="228">
        <f t="shared" si="7"/>
        <v>-7306.9299944214308</v>
      </c>
      <c r="S50" s="228">
        <f t="shared" si="7"/>
        <v>-7620.0773581135591</v>
      </c>
      <c r="T50" s="228">
        <f t="shared" si="7"/>
        <v>-7846.1452041607263</v>
      </c>
      <c r="U50" s="228">
        <f t="shared" si="7"/>
        <v>-8195.6755266239343</v>
      </c>
      <c r="V50" s="228">
        <f t="shared" si="7"/>
        <v>-8553.921908494849</v>
      </c>
      <c r="W50" s="228">
        <f t="shared" si="7"/>
        <v>-8905.9251879281601</v>
      </c>
      <c r="X50" s="228">
        <f t="shared" si="7"/>
        <v>-9233.0723896480013</v>
      </c>
      <c r="Y50" s="228">
        <f t="shared" si="7"/>
        <v>-9520.4520967636399</v>
      </c>
      <c r="Z50" s="228">
        <f t="shared" si="7"/>
        <v>-9874.2657609649086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75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2685.3157344498577</v>
      </c>
      <c r="G52" s="261">
        <f t="shared" si="8"/>
        <v>1948.9473673604339</v>
      </c>
      <c r="H52" s="261">
        <f t="shared" si="8"/>
        <v>2073.4393969194316</v>
      </c>
      <c r="I52" s="261">
        <f t="shared" si="8"/>
        <v>5525.0609287003226</v>
      </c>
      <c r="J52" s="261">
        <f t="shared" si="8"/>
        <v>8278.5796671345524</v>
      </c>
      <c r="K52" s="261">
        <f t="shared" si="8"/>
        <v>8697.2283154037395</v>
      </c>
      <c r="L52" s="261">
        <f t="shared" si="8"/>
        <v>9132.9085332669038</v>
      </c>
      <c r="M52" s="261">
        <f t="shared" si="8"/>
        <v>9987.6535044887314</v>
      </c>
      <c r="N52" s="261">
        <f t="shared" si="8"/>
        <v>10503.530232429552</v>
      </c>
      <c r="O52" s="261">
        <f t="shared" si="8"/>
        <v>11494.503907508893</v>
      </c>
      <c r="P52" s="261">
        <f t="shared" si="8"/>
        <v>12055.885090882817</v>
      </c>
      <c r="Q52" s="261">
        <f t="shared" si="8"/>
        <v>13012.526054958413</v>
      </c>
      <c r="R52" s="261">
        <f t="shared" si="8"/>
        <v>13570.01284678266</v>
      </c>
      <c r="S52" s="261">
        <f t="shared" si="8"/>
        <v>14151.572236496613</v>
      </c>
      <c r="T52" s="261">
        <f t="shared" si="8"/>
        <v>14571.412522012779</v>
      </c>
      <c r="U52" s="261">
        <f t="shared" si="8"/>
        <v>15220.540263730167</v>
      </c>
      <c r="V52" s="261">
        <f t="shared" si="8"/>
        <v>15885.854972919005</v>
      </c>
      <c r="W52" s="261">
        <f t="shared" si="8"/>
        <v>16539.575349009443</v>
      </c>
      <c r="X52" s="261">
        <f t="shared" si="8"/>
        <v>17147.134437917717</v>
      </c>
      <c r="Y52" s="261">
        <f t="shared" si="8"/>
        <v>17680.839608275332</v>
      </c>
      <c r="Z52" s="261">
        <f t="shared" si="8"/>
        <v>18337.922127506259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8.75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5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19518.089602258584</v>
      </c>
      <c r="G62" s="156">
        <f t="shared" si="10"/>
        <v>19507.372416895552</v>
      </c>
      <c r="H62" s="156">
        <f t="shared" si="10"/>
        <v>19386.863851388745</v>
      </c>
      <c r="I62" s="156">
        <f t="shared" si="10"/>
        <v>24494.085267377224</v>
      </c>
      <c r="J62" s="156">
        <f t="shared" si="10"/>
        <v>28586.482229208494</v>
      </c>
      <c r="K62" s="156">
        <f t="shared" si="10"/>
        <v>28886.318040869181</v>
      </c>
      <c r="L62" s="156">
        <f t="shared" si="10"/>
        <v>29177.018961874506</v>
      </c>
      <c r="M62" s="156">
        <f t="shared" si="10"/>
        <v>30088.860760215066</v>
      </c>
      <c r="N62" s="156">
        <f t="shared" si="10"/>
        <v>30377.755854163373</v>
      </c>
      <c r="O62" s="156">
        <f t="shared" si="10"/>
        <v>31325.051328208145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-11552.015266831782</v>
      </c>
      <c r="G64" s="262">
        <f>Allocation!$I$7*(CF!H16+CF!H15)</f>
        <v>-14856.383814178722</v>
      </c>
      <c r="H64" s="262">
        <f>Allocation!$I$7*(CF!I16+CF!I15)</f>
        <v>-14779.233297150529</v>
      </c>
      <c r="I64" s="262">
        <f>Allocation!$I$7*(CF!J16+CF!J15)</f>
        <v>-17638.61207926954</v>
      </c>
      <c r="J64" s="262">
        <f>Allocation!$I$7*(CF!K16+CF!K15)</f>
        <v>-13279.971132779792</v>
      </c>
      <c r="K64" s="262">
        <f>Allocation!$I$7*(CF!L16+CF!L15)</f>
        <v>-13530.147513486898</v>
      </c>
      <c r="L64" s="262">
        <f>Allocation!$I$7*(CF!M16+CF!M15)</f>
        <v>-13606.377429370626</v>
      </c>
      <c r="M64" s="262">
        <f>Allocation!$I$7*(CF!N16+CF!N15)</f>
        <v>-13909.310508186749</v>
      </c>
      <c r="N64" s="262">
        <f>Allocation!$I$7*(CF!O16+CF!O15)</f>
        <v>-14056.129478707486</v>
      </c>
      <c r="O64" s="262">
        <f>Allocation!$I$7*(CF!P16+CF!P15)</f>
        <v>-14363.917133215764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7966.0743354268016</v>
      </c>
      <c r="G67" s="263">
        <f t="shared" si="11"/>
        <v>4650.9886027168304</v>
      </c>
      <c r="H67" s="263">
        <f t="shared" si="11"/>
        <v>4607.6305542382161</v>
      </c>
      <c r="I67" s="263">
        <f t="shared" si="11"/>
        <v>6855.4731881076841</v>
      </c>
      <c r="J67" s="263">
        <f t="shared" si="11"/>
        <v>15306.511096428701</v>
      </c>
      <c r="K67" s="263">
        <f t="shared" si="11"/>
        <v>15356.170527382283</v>
      </c>
      <c r="L67" s="263">
        <f t="shared" si="11"/>
        <v>15570.64153250388</v>
      </c>
      <c r="M67" s="263">
        <f t="shared" si="11"/>
        <v>16179.550252028317</v>
      </c>
      <c r="N67" s="263">
        <f t="shared" si="11"/>
        <v>16321.626375455888</v>
      </c>
      <c r="O67" s="263">
        <f t="shared" si="11"/>
        <v>16961.134194992381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-150.8817962344977</v>
      </c>
      <c r="M69" s="255">
        <f ca="1">Allocation!$I$7*CF!N24</f>
        <v>-686.07300026206337</v>
      </c>
      <c r="N69" s="255">
        <f ca="1">Allocation!$I$7*CF!O24</f>
        <v>-740.02934436240787</v>
      </c>
      <c r="O69" s="255">
        <f ca="1">Allocation!$I$7*CF!P24</f>
        <v>-824.78221441730545</v>
      </c>
      <c r="P69" s="255">
        <f ca="1">Allocation!$I$7*CF!Q24</f>
        <v>-869.859227484749</v>
      </c>
      <c r="Q69" s="255">
        <f ca="1">Allocation!$I$7*CF!R24</f>
        <v>-949.13712872961935</v>
      </c>
      <c r="R69" s="255">
        <f ca="1">Allocation!$I$7*CF!S24</f>
        <v>-1008.7982482610081</v>
      </c>
      <c r="S69" s="255">
        <f ca="1">Allocation!$I$7*CF!T24</f>
        <v>-1061.766885506034</v>
      </c>
      <c r="T69" s="255">
        <f ca="1">Allocation!$I$7*CF!U24</f>
        <v>-1122.8198665892753</v>
      </c>
      <c r="U69" s="255">
        <f ca="1">Allocation!$I$7*CF!V24</f>
        <v>-1676.5526402868691</v>
      </c>
      <c r="V69" s="255">
        <f ca="1">Allocation!$I$7*CF!W24</f>
        <v>-1953.4283845473446</v>
      </c>
      <c r="W69" s="255">
        <f>Allocation!$I$7*CF!X24</f>
        <v>-2020.936981144034</v>
      </c>
      <c r="X69" s="255">
        <f>Allocation!$I$7*CF!Y24</f>
        <v>-2081.6124721598057</v>
      </c>
      <c r="Y69" s="255">
        <f>Allocation!$I$7*CF!Z24</f>
        <v>-2113.8763085304554</v>
      </c>
      <c r="Z69" s="255">
        <f ca="1">Allocation!$I$7*CF!AA24</f>
        <v>-2163.7267648803791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2198.166964047879</v>
      </c>
      <c r="G70" s="262">
        <f>Allocation!$I$7*CF!H25</f>
        <v>3635.2078195189761</v>
      </c>
      <c r="H70" s="262">
        <f>Allocation!$I$7*CF!I25</f>
        <v>2907.3359221763722</v>
      </c>
      <c r="I70" s="262">
        <f>Allocation!$I$7*CF!J25</f>
        <v>59.084683939680367</v>
      </c>
      <c r="J70" s="262">
        <f ca="1">Allocation!$I$7*CF!K25</f>
        <v>-2293.6249912139242</v>
      </c>
      <c r="K70" s="262">
        <f ca="1">Allocation!$I$7*CF!L25</f>
        <v>-3093.6857757212128</v>
      </c>
      <c r="L70" s="262">
        <f ca="1">Allocation!$I$7*CF!M25</f>
        <v>-3477.7912144910933</v>
      </c>
      <c r="M70" s="262">
        <f ca="1">Allocation!$I$7*CF!N25</f>
        <v>-3696.7098673940295</v>
      </c>
      <c r="N70" s="262">
        <f ca="1">Allocation!$I$7*CF!O25</f>
        <v>-3987.4383315196574</v>
      </c>
      <c r="O70" s="262">
        <f ca="1">Allocation!$I$7*CF!P25</f>
        <v>-4444.1051452584688</v>
      </c>
      <c r="P70" s="262">
        <f ca="1">Allocation!$I$7*CF!Q25</f>
        <v>-4686.9898513107655</v>
      </c>
      <c r="Q70" s="262">
        <f ca="1">Allocation!$I$7*CF!R25</f>
        <v>-5114.1563477131267</v>
      </c>
      <c r="R70" s="262">
        <f ca="1">Allocation!$I$7*CF!S25</f>
        <v>-5435.6233770047829</v>
      </c>
      <c r="S70" s="262">
        <f ca="1">Allocation!$I$7*CF!T25</f>
        <v>-5721.0298627450875</v>
      </c>
      <c r="T70" s="262">
        <f ca="1">Allocation!$I$7*CF!U25</f>
        <v>-6049.9965434307114</v>
      </c>
      <c r="U70" s="262">
        <f ca="1">Allocation!$I$7*CF!V25</f>
        <v>-9033.6286170518288</v>
      </c>
      <c r="V70" s="262">
        <f ca="1">Allocation!$I$7*CF!W25</f>
        <v>-10525.495073622487</v>
      </c>
      <c r="W70" s="262">
        <f>Allocation!$I$7*CF!X25</f>
        <v>-10889.246008402864</v>
      </c>
      <c r="X70" s="262">
        <f>Allocation!$I$7*CF!Y25</f>
        <v>-11216.178690874416</v>
      </c>
      <c r="Y70" s="262">
        <f>Allocation!$I$7*CF!Z25</f>
        <v>-11390.023226697587</v>
      </c>
      <c r="Z70" s="262">
        <f ca="1">Allocation!$I$7*CF!AA25</f>
        <v>-11658.62827865629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75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10164.241299474681</v>
      </c>
      <c r="G72" s="264">
        <f t="shared" ref="G72:Z72" si="12">G67+G70+G69</f>
        <v>8286.1964222358074</v>
      </c>
      <c r="H72" s="264">
        <f t="shared" si="12"/>
        <v>7514.9664764145882</v>
      </c>
      <c r="I72" s="264">
        <f t="shared" si="12"/>
        <v>6914.5578720473641</v>
      </c>
      <c r="J72" s="264">
        <f t="shared" ca="1" si="12"/>
        <v>13012.886105214777</v>
      </c>
      <c r="K72" s="264">
        <f t="shared" ca="1" si="12"/>
        <v>12262.48475166107</v>
      </c>
      <c r="L72" s="264">
        <f t="shared" ca="1" si="12"/>
        <v>11941.968521778288</v>
      </c>
      <c r="M72" s="264">
        <f t="shared" ca="1" si="12"/>
        <v>11796.767384372224</v>
      </c>
      <c r="N72" s="264">
        <f t="shared" ca="1" si="12"/>
        <v>11594.158699573822</v>
      </c>
      <c r="O72" s="264">
        <f t="shared" ca="1" si="12"/>
        <v>11692.246835316606</v>
      </c>
      <c r="P72" s="264">
        <f t="shared" ca="1" si="12"/>
        <v>13593.705436461883</v>
      </c>
      <c r="Q72" s="264">
        <f t="shared" ca="1" si="12"/>
        <v>14640.063843008133</v>
      </c>
      <c r="R72" s="264">
        <f t="shared" ca="1" si="12"/>
        <v>14571.240910974187</v>
      </c>
      <c r="S72" s="264">
        <f t="shared" ca="1" si="12"/>
        <v>14752.822963407629</v>
      </c>
      <c r="T72" s="264">
        <f t="shared" ca="1" si="12"/>
        <v>14573.824592677256</v>
      </c>
      <c r="U72" s="264">
        <f t="shared" ca="1" si="12"/>
        <v>11433.04740144947</v>
      </c>
      <c r="V72" s="264">
        <f t="shared" ca="1" si="12"/>
        <v>10595.511873704811</v>
      </c>
      <c r="W72" s="264">
        <f t="shared" si="12"/>
        <v>11425.328374392942</v>
      </c>
      <c r="X72" s="264">
        <f t="shared" si="12"/>
        <v>12984.283889748362</v>
      </c>
      <c r="Y72" s="264">
        <f t="shared" si="12"/>
        <v>14658.680116132015</v>
      </c>
      <c r="Z72" s="264">
        <f t="shared" ca="1" si="12"/>
        <v>21364.763497969438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1342.6578672249289</v>
      </c>
      <c r="G75" s="155">
        <f t="shared" si="13"/>
        <v>974.47368368021694</v>
      </c>
      <c r="H75" s="155">
        <f t="shared" si="13"/>
        <v>1036.7196984597158</v>
      </c>
      <c r="I75" s="155">
        <f t="shared" si="13"/>
        <v>2762.5304643501613</v>
      </c>
      <c r="J75" s="155">
        <f t="shared" si="13"/>
        <v>4139.2898335672762</v>
      </c>
      <c r="K75" s="155">
        <f t="shared" si="13"/>
        <v>4348.6141577018698</v>
      </c>
      <c r="L75" s="155">
        <f t="shared" si="13"/>
        <v>4566.4542666334519</v>
      </c>
      <c r="M75" s="155">
        <f t="shared" si="13"/>
        <v>4993.8267522443657</v>
      </c>
      <c r="N75" s="155">
        <f t="shared" si="13"/>
        <v>5251.7651162147758</v>
      </c>
      <c r="O75" s="155">
        <f t="shared" si="13"/>
        <v>5747.2519537544467</v>
      </c>
      <c r="P75" s="155">
        <f t="shared" si="13"/>
        <v>6027.9425454414086</v>
      </c>
      <c r="Q75" s="155">
        <f t="shared" si="13"/>
        <v>6506.2630274792064</v>
      </c>
      <c r="R75" s="155">
        <f t="shared" si="13"/>
        <v>6785.0064233913299</v>
      </c>
      <c r="S75" s="155">
        <f t="shared" si="13"/>
        <v>7075.7861182483066</v>
      </c>
      <c r="T75" s="155">
        <f t="shared" si="13"/>
        <v>7285.7062610063895</v>
      </c>
      <c r="U75" s="155">
        <f t="shared" si="13"/>
        <v>7610.2701318650834</v>
      </c>
      <c r="V75" s="155">
        <f t="shared" si="13"/>
        <v>7942.9274864595027</v>
      </c>
      <c r="W75" s="155">
        <f t="shared" si="13"/>
        <v>8269.7876745047215</v>
      </c>
      <c r="X75" s="155">
        <f t="shared" si="13"/>
        <v>8573.5672189588586</v>
      </c>
      <c r="Y75" s="155">
        <f t="shared" si="13"/>
        <v>8840.4198041376658</v>
      </c>
      <c r="Z75" s="155">
        <f t="shared" si="13"/>
        <v>9168.9610637531296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5082.1206497373405</v>
      </c>
      <c r="G76" s="155">
        <f t="shared" si="14"/>
        <v>4143.0982111179037</v>
      </c>
      <c r="H76" s="155">
        <f t="shared" si="14"/>
        <v>3757.4832382072941</v>
      </c>
      <c r="I76" s="155">
        <f t="shared" si="14"/>
        <v>3457.278936023682</v>
      </c>
      <c r="J76" s="155">
        <f t="shared" ca="1" si="14"/>
        <v>6506.4430526073884</v>
      </c>
      <c r="K76" s="155">
        <f t="shared" ca="1" si="14"/>
        <v>6131.2423758305349</v>
      </c>
      <c r="L76" s="155">
        <f t="shared" ca="1" si="14"/>
        <v>5970.984260889144</v>
      </c>
      <c r="M76" s="155">
        <f t="shared" ca="1" si="14"/>
        <v>5898.3836921861121</v>
      </c>
      <c r="N76" s="155">
        <f t="shared" ca="1" si="14"/>
        <v>5797.0793497869108</v>
      </c>
      <c r="O76" s="155">
        <f t="shared" ca="1" si="14"/>
        <v>5846.123417658303</v>
      </c>
      <c r="P76" s="155">
        <f t="shared" ca="1" si="14"/>
        <v>6796.8527182309417</v>
      </c>
      <c r="Q76" s="155">
        <f t="shared" ca="1" si="14"/>
        <v>7320.0319215040663</v>
      </c>
      <c r="R76" s="155">
        <f t="shared" ca="1" si="14"/>
        <v>7285.6204554870937</v>
      </c>
      <c r="S76" s="155">
        <f t="shared" ca="1" si="14"/>
        <v>7376.4114817038144</v>
      </c>
      <c r="T76" s="155">
        <f t="shared" ca="1" si="14"/>
        <v>7286.912296338628</v>
      </c>
      <c r="U76" s="155">
        <f t="shared" ca="1" si="14"/>
        <v>5716.5237007247351</v>
      </c>
      <c r="V76" s="155">
        <f t="shared" ca="1" si="14"/>
        <v>5297.7559368524053</v>
      </c>
      <c r="W76" s="155">
        <f t="shared" si="14"/>
        <v>5712.6641871964712</v>
      </c>
      <c r="X76" s="155">
        <f t="shared" si="14"/>
        <v>6492.1419448741808</v>
      </c>
      <c r="Y76" s="155">
        <f t="shared" si="14"/>
        <v>7329.3400580660073</v>
      </c>
      <c r="Z76" s="155">
        <f t="shared" ca="1" si="14"/>
        <v>10682.381748984719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8"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30">
      <c r="F1" s="7">
        <v>12</v>
      </c>
    </row>
    <row r="2" spans="1:30" ht="18.75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f>Assumptions!$M$30*'Power Price Assumption'!I23*MONTH(Assumptions!$L$38)</f>
        <v>9140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f>5/12*Assumptions!$M$26*Assumptions!$M$17/1000*(1+Assumptions!$M$39)^(I5-$E$5)</f>
        <v>228.9201312739257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f>H12*(1+Assumptions!$M$39)*5/12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Assumption'!I25*(12-MONTH(Assumptions!$L$38)),Assumptions!$M$33*(1-Assumptions!$M$35)*'Power Price Assumption'!I25*(12-MONTH(Assumptions!$L$38))-VLOOKUP(120,'EGC Start Charge Matrix'!$U$10:$AM$35,15)*7/12*(1+Assumptions!$M$39)^(Caledonia!I5-Caledonia!$E$5)*2/3)</f>
        <v>19297.133526430756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(7/12*Assumptions!$M$26*Assumptions!$M$34/1000)*(1+Assumptions!$M$39)^(I5-$E$5)+H12*(1+Assumptions!$M$39)*7/12*1/3</f>
        <v>641.39328869204019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Assumptions!$M$33*Assumptions!$M$35*Assumptions!$M$36*Assumptions!$M$14/1000*7/12</f>
        <v>6.9093920000000004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233.85286425662011</v>
      </c>
      <c r="G19" s="254">
        <f>(SUM(G10:G17)-SUM(G25:G35))*Assumptions!$B$34/4</f>
        <v>239.32419936030666</v>
      </c>
      <c r="H19" s="254">
        <f>(SUM(H10:H17)-SUM(H25:H35))*Assumptions!$B$34/4</f>
        <v>238.7455329902472</v>
      </c>
      <c r="I19" s="254">
        <f>(SUM(I10:I17)-SUM(I25:I35))*Assumptions!$B$34/4</f>
        <v>309.09087862544703</v>
      </c>
      <c r="J19" s="254">
        <f>(SUM(J10:J17)-SUM(J25:J35))*Assumptions!$B$34/4</f>
        <v>364.61616200308868</v>
      </c>
      <c r="K19" s="254">
        <f>(SUM(K10:K17)-SUM(K25:K35))*Assumptions!$B$34/4</f>
        <v>368.54543593474671</v>
      </c>
      <c r="L19" s="254">
        <f>(SUM(L10:L17)-SUM(L25:L35))*Assumptions!$B$34/4</f>
        <v>372.43365075536622</v>
      </c>
      <c r="M19" s="254">
        <f>(SUM(M10:M17)-SUM(M25:M35))*Assumptions!$B$34/4</f>
        <v>384.09090690466087</v>
      </c>
      <c r="N19" s="254">
        <f>(SUM(N10:N17)-SUM(N25:N35))*Assumptions!$B$34/4</f>
        <v>387.96680149448861</v>
      </c>
      <c r="O19" s="254">
        <f>(SUM(O10:O17)-SUM(O25:O35))*Assumptions!$B$34/4</f>
        <v>400.14599255547995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23752.057795888384</v>
      </c>
      <c r="G20" s="253">
        <f t="shared" si="1"/>
        <v>24124.645381577502</v>
      </c>
      <c r="H20" s="253">
        <f t="shared" si="1"/>
        <v>24182.546350673958</v>
      </c>
      <c r="I20" s="253">
        <f t="shared" si="1"/>
        <v>30256.208270004172</v>
      </c>
      <c r="J20" s="253">
        <f t="shared" si="1"/>
        <v>35004.690190597437</v>
      </c>
      <c r="K20" s="253">
        <f t="shared" si="1"/>
        <v>35452.628699952627</v>
      </c>
      <c r="L20" s="253">
        <f t="shared" si="1"/>
        <v>35896.001297901254</v>
      </c>
      <c r="M20" s="253">
        <f t="shared" si="1"/>
        <v>36973.010243304925</v>
      </c>
      <c r="N20" s="253">
        <f t="shared" si="1"/>
        <v>37424.203222219112</v>
      </c>
      <c r="O20" s="253">
        <f t="shared" si="1"/>
        <v>38547.114165741856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5/12*Assumptions!M59*((1+Assumptions!$M$52)^(Brownsville!I5-Brownsville!$E$5))+7/12*Assumptions!$M$60*((1+Assumptions!$M$52)^(I5-$E$5))</f>
        <v>575.02492857436607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536.06054899952744</v>
      </c>
      <c r="G32" s="253">
        <f>Allocation!$I$8*IS!F31</f>
        <v>353.72669831033943</v>
      </c>
      <c r="H32" s="253">
        <f>Allocation!$I$8*IS!G31</f>
        <v>353.72669831033943</v>
      </c>
      <c r="I32" s="253">
        <f>Allocation!$I$8*IS!H31</f>
        <v>353.72669831033943</v>
      </c>
      <c r="J32" s="253">
        <f>Allocation!$I$8*IS!I31</f>
        <v>288.05559981146433</v>
      </c>
      <c r="K32" s="253">
        <f>Allocation!$I$8*IS!J31</f>
        <v>288.05559981146433</v>
      </c>
      <c r="L32" s="253">
        <f>Allocation!$I$8*IS!K31</f>
        <v>288.05559981146433</v>
      </c>
      <c r="M32" s="253">
        <f>Allocation!$I$8*IS!L31</f>
        <v>288.05559981146433</v>
      </c>
      <c r="N32" s="253">
        <f>Allocation!$I$8*IS!M31</f>
        <v>288.05559981146433</v>
      </c>
      <c r="O32" s="253">
        <f>Allocation!$I$8*IS!N31</f>
        <v>288.05559981146433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Assumptions!$M$50*Assumptions!$M$33*7</f>
        <v>241.82872000000003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4809.9757911021597</v>
      </c>
      <c r="G36" s="253">
        <f t="shared" si="2"/>
        <v>4739.3852333926616</v>
      </c>
      <c r="H36" s="187">
        <f t="shared" si="2"/>
        <v>4844.1581784639366</v>
      </c>
      <c r="I36" s="253">
        <f t="shared" si="2"/>
        <v>5219.8471013429644</v>
      </c>
      <c r="J36" s="253">
        <f t="shared" si="2"/>
        <v>5470.7810683472526</v>
      </c>
      <c r="K36" s="253">
        <f t="shared" si="2"/>
        <v>5600.4483892381422</v>
      </c>
      <c r="L36" s="253">
        <f t="shared" si="2"/>
        <v>5728.875586716591</v>
      </c>
      <c r="M36" s="253">
        <f t="shared" si="2"/>
        <v>5861.6467840273972</v>
      </c>
      <c r="N36" s="253">
        <f t="shared" si="2"/>
        <v>5998.8923011655334</v>
      </c>
      <c r="O36" s="253">
        <f t="shared" si="2"/>
        <v>6135.2887687479797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18942.082004786225</v>
      </c>
      <c r="G39" s="259">
        <f t="shared" si="3"/>
        <v>19385.26014818484</v>
      </c>
      <c r="H39" s="260">
        <f t="shared" si="3"/>
        <v>19338.38817221002</v>
      </c>
      <c r="I39" s="259">
        <f t="shared" si="3"/>
        <v>25036.361168661206</v>
      </c>
      <c r="J39" s="259">
        <f t="shared" si="3"/>
        <v>29533.909122250185</v>
      </c>
      <c r="K39" s="259">
        <f t="shared" si="3"/>
        <v>29852.180310714484</v>
      </c>
      <c r="L39" s="259">
        <f t="shared" si="3"/>
        <v>30167.125711184664</v>
      </c>
      <c r="M39" s="259">
        <f t="shared" si="3"/>
        <v>31111.363459277527</v>
      </c>
      <c r="N39" s="259">
        <f t="shared" si="3"/>
        <v>31425.310921053577</v>
      </c>
      <c r="O39" s="259">
        <f t="shared" si="3"/>
        <v>32411.825396993874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3893.9120020735049</v>
      </c>
      <c r="G41" s="253">
        <f>Allocation!$G$8*IS!F40</f>
        <v>5353.0966591082088</v>
      </c>
      <c r="H41" s="253">
        <f>Allocation!$G$8*IS!G40</f>
        <v>5353.0966591082088</v>
      </c>
      <c r="I41" s="253">
        <f>Allocation!$G$8*IS!H40</f>
        <v>5353.0966591082088</v>
      </c>
      <c r="J41" s="253">
        <f>Allocation!$G$8*IS!I40</f>
        <v>5353.0966591082088</v>
      </c>
      <c r="K41" s="253">
        <f>Allocation!$G$8*IS!J40</f>
        <v>5353.0966591082088</v>
      </c>
      <c r="L41" s="253">
        <f>Allocation!$G$8*IS!K40</f>
        <v>5353.0966591082088</v>
      </c>
      <c r="M41" s="253">
        <f>Allocation!$G$8*IS!L40</f>
        <v>5353.0966591082088</v>
      </c>
      <c r="N41" s="253">
        <f>Allocation!$G$8*IS!M40</f>
        <v>5353.0966591082088</v>
      </c>
      <c r="O41" s="253">
        <f>Allocation!$G$8*IS!N40</f>
        <v>5353.0966591082088</v>
      </c>
      <c r="P41" s="253">
        <f>Allocation!$G$8*IS!O40</f>
        <v>5353.0966591082088</v>
      </c>
      <c r="Q41" s="253">
        <f>Allocation!$G$8*IS!P40</f>
        <v>5353.0966591082088</v>
      </c>
      <c r="R41" s="253">
        <f>Allocation!$G$8*IS!Q40</f>
        <v>5353.0966591082088</v>
      </c>
      <c r="S41" s="253">
        <f>Allocation!$G$8*IS!R40</f>
        <v>5353.0966591082088</v>
      </c>
      <c r="T41" s="253">
        <f>Allocation!$G$8*IS!S40</f>
        <v>5353.0966591082088</v>
      </c>
      <c r="U41" s="253">
        <f>Allocation!$G$8*IS!T40</f>
        <v>5353.0966591082088</v>
      </c>
      <c r="V41" s="253">
        <f>Allocation!$G$8*IS!U40</f>
        <v>5353.0966591082088</v>
      </c>
      <c r="W41" s="253">
        <f>Allocation!$G$8*IS!V40</f>
        <v>5353.0966591082088</v>
      </c>
      <c r="X41" s="253">
        <f>Allocation!$G$8*IS!W40</f>
        <v>5353.0966591082088</v>
      </c>
      <c r="Y41" s="253">
        <f>Allocation!$G$8*IS!X40</f>
        <v>5353.0966591082088</v>
      </c>
      <c r="Z41" s="253">
        <f>Allocation!$G$8*IS!Y40</f>
        <v>5215.5459243286423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15048.170002712721</v>
      </c>
      <c r="G44" s="259">
        <f t="shared" si="4"/>
        <v>14032.163489076631</v>
      </c>
      <c r="H44" s="259">
        <f t="shared" si="4"/>
        <v>13985.291513101811</v>
      </c>
      <c r="I44" s="259">
        <f t="shared" si="4"/>
        <v>19683.264509552995</v>
      </c>
      <c r="J44" s="259">
        <f t="shared" si="4"/>
        <v>24180.812463141978</v>
      </c>
      <c r="K44" s="259">
        <f t="shared" si="4"/>
        <v>24499.083651606277</v>
      </c>
      <c r="L44" s="259">
        <f t="shared" si="4"/>
        <v>24814.029052076454</v>
      </c>
      <c r="M44" s="259">
        <f t="shared" si="4"/>
        <v>25758.266800169316</v>
      </c>
      <c r="N44" s="259">
        <f t="shared" si="4"/>
        <v>26072.214261945366</v>
      </c>
      <c r="O44" s="259">
        <f t="shared" si="4"/>
        <v>27058.728737885664</v>
      </c>
      <c r="P44" s="259">
        <f t="shared" si="4"/>
        <v>26618.142914083044</v>
      </c>
      <c r="Q44" s="259">
        <f t="shared" si="4"/>
        <v>27714.553797775523</v>
      </c>
      <c r="R44" s="259">
        <f t="shared" si="4"/>
        <v>28106.178479109047</v>
      </c>
      <c r="S44" s="259">
        <f t="shared" si="4"/>
        <v>28488.735000855158</v>
      </c>
      <c r="T44" s="259">
        <f t="shared" si="4"/>
        <v>28856.783519246761</v>
      </c>
      <c r="U44" s="259">
        <f t="shared" si="4"/>
        <v>29239.689472131853</v>
      </c>
      <c r="V44" s="259">
        <f t="shared" si="4"/>
        <v>29633.307843098897</v>
      </c>
      <c r="W44" s="259">
        <f t="shared" si="4"/>
        <v>30015.777000969254</v>
      </c>
      <c r="X44" s="259">
        <f t="shared" si="4"/>
        <v>30293.442645173818</v>
      </c>
      <c r="Y44" s="259">
        <f t="shared" si="4"/>
        <v>30499.754107759174</v>
      </c>
      <c r="Z44" s="259">
        <f t="shared" si="4"/>
        <v>31119.534864350007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11290.594845077661</v>
      </c>
      <c r="G46" s="253">
        <f>Allocation!$I$8*IS!F44</f>
        <v>11036.774496250204</v>
      </c>
      <c r="H46" s="253">
        <f>Allocation!$I$8*IS!G44</f>
        <v>10711.637340983143</v>
      </c>
      <c r="I46" s="253">
        <f>Allocation!$I$8*IS!H44</f>
        <v>10168.257484724201</v>
      </c>
      <c r="J46" s="253">
        <f>Allocation!$I$8*IS!I44</f>
        <v>9752.95653140592</v>
      </c>
      <c r="K46" s="253">
        <f>Allocation!$I$8*IS!J44</f>
        <v>9366.5637400806936</v>
      </c>
      <c r="L46" s="253">
        <f>Allocation!$I$8*IS!K44</f>
        <v>8943.0610154702954</v>
      </c>
      <c r="M46" s="253">
        <f>Allocation!$I$8*IS!L44</f>
        <v>8454.657019058357</v>
      </c>
      <c r="N46" s="253">
        <f>Allocation!$I$8*IS!M44</f>
        <v>7897.7339434640471</v>
      </c>
      <c r="O46" s="253">
        <f>Allocation!$I$8*IS!N44</f>
        <v>7221.3160716096381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3757.5751576350594</v>
      </c>
      <c r="G49" s="259">
        <f t="shared" si="5"/>
        <v>2995.3889928264271</v>
      </c>
      <c r="H49" s="259">
        <f t="shared" si="5"/>
        <v>3273.6541721186677</v>
      </c>
      <c r="I49" s="259">
        <f t="shared" si="5"/>
        <v>9515.0070248287939</v>
      </c>
      <c r="J49" s="259">
        <f t="shared" si="5"/>
        <v>14427.855931736058</v>
      </c>
      <c r="K49" s="259">
        <f t="shared" si="5"/>
        <v>15132.519911525584</v>
      </c>
      <c r="L49" s="259">
        <f t="shared" si="5"/>
        <v>15870.968036606158</v>
      </c>
      <c r="M49" s="259">
        <f t="shared" si="5"/>
        <v>17303.609781110958</v>
      </c>
      <c r="N49" s="259">
        <f t="shared" si="5"/>
        <v>18174.480318481321</v>
      </c>
      <c r="O49" s="259">
        <f t="shared" si="5"/>
        <v>19837.412666276025</v>
      </c>
      <c r="P49" s="259">
        <f t="shared" si="5"/>
        <v>19993.618988369504</v>
      </c>
      <c r="Q49" s="259">
        <f t="shared" si="5"/>
        <v>21662.255178604668</v>
      </c>
      <c r="R49" s="259">
        <f t="shared" si="5"/>
        <v>22686.040762047025</v>
      </c>
      <c r="S49" s="259">
        <f t="shared" si="5"/>
        <v>23749.68547438836</v>
      </c>
      <c r="T49" s="259">
        <f t="shared" si="5"/>
        <v>24845.084218085463</v>
      </c>
      <c r="U49" s="259">
        <f t="shared" si="5"/>
        <v>26015.762772984534</v>
      </c>
      <c r="V49" s="259">
        <f t="shared" si="5"/>
        <v>27229.949248993125</v>
      </c>
      <c r="W49" s="259">
        <f t="shared" si="5"/>
        <v>28425.478557300754</v>
      </c>
      <c r="X49" s="259">
        <f t="shared" si="5"/>
        <v>29446.162369228769</v>
      </c>
      <c r="Y49" s="259">
        <f t="shared" si="5"/>
        <v>30296.348661798569</v>
      </c>
      <c r="Z49" s="259">
        <f t="shared" si="5"/>
        <v>31119.534864350007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-187.87875788175299</v>
      </c>
      <c r="G51" s="253">
        <f t="shared" si="6"/>
        <v>-149.76944964132136</v>
      </c>
      <c r="H51" s="187">
        <f t="shared" si="6"/>
        <v>-163.68270860593339</v>
      </c>
      <c r="I51" s="253">
        <f t="shared" si="6"/>
        <v>-475.75035124143972</v>
      </c>
      <c r="J51" s="253">
        <f t="shared" si="6"/>
        <v>-721.39279658680289</v>
      </c>
      <c r="K51" s="253">
        <f t="shared" si="6"/>
        <v>-756.62599557627925</v>
      </c>
      <c r="L51" s="253">
        <f t="shared" si="6"/>
        <v>-793.54840183030797</v>
      </c>
      <c r="M51" s="253">
        <f t="shared" si="6"/>
        <v>-865.18048905554792</v>
      </c>
      <c r="N51" s="253">
        <f t="shared" si="6"/>
        <v>-908.72401592406607</v>
      </c>
      <c r="O51" s="253">
        <f t="shared" si="6"/>
        <v>-991.87063331380125</v>
      </c>
      <c r="P51" s="253">
        <f t="shared" si="6"/>
        <v>-999.68094941847528</v>
      </c>
      <c r="Q51" s="253">
        <f t="shared" si="6"/>
        <v>-1083.1127589302334</v>
      </c>
      <c r="R51" s="253">
        <f t="shared" si="6"/>
        <v>-1134.3020381023514</v>
      </c>
      <c r="S51" s="253">
        <f t="shared" si="6"/>
        <v>-1187.4842737194181</v>
      </c>
      <c r="T51" s="253">
        <f t="shared" si="6"/>
        <v>-1242.2542109042734</v>
      </c>
      <c r="U51" s="253">
        <f t="shared" si="6"/>
        <v>-1300.7881386492268</v>
      </c>
      <c r="V51" s="253">
        <f t="shared" si="6"/>
        <v>-1361.4974624496563</v>
      </c>
      <c r="W51" s="253">
        <f t="shared" si="6"/>
        <v>-1421.2739278650379</v>
      </c>
      <c r="X51" s="253">
        <f t="shared" si="6"/>
        <v>-1472.3081184614384</v>
      </c>
      <c r="Y51" s="253">
        <f t="shared" si="6"/>
        <v>-1514.8174330899285</v>
      </c>
      <c r="Z51" s="253">
        <f t="shared" si="6"/>
        <v>-1555.9767432175004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-1249.3937399136573</v>
      </c>
      <c r="G52" s="253">
        <f t="shared" si="7"/>
        <v>-995.96684011478692</v>
      </c>
      <c r="H52" s="253">
        <f t="shared" si="7"/>
        <v>-1088.4900122294569</v>
      </c>
      <c r="I52" s="253">
        <f t="shared" si="7"/>
        <v>-3163.7398357555735</v>
      </c>
      <c r="J52" s="253">
        <f t="shared" si="7"/>
        <v>-4797.2620973022395</v>
      </c>
      <c r="K52" s="253">
        <f t="shared" si="7"/>
        <v>-5031.5628705822564</v>
      </c>
      <c r="L52" s="253">
        <f t="shared" si="7"/>
        <v>-5277.0968721715471</v>
      </c>
      <c r="M52" s="253">
        <f t="shared" si="7"/>
        <v>-5753.4502522193934</v>
      </c>
      <c r="N52" s="253">
        <f t="shared" si="7"/>
        <v>-6043.0147058950397</v>
      </c>
      <c r="O52" s="253">
        <f t="shared" si="7"/>
        <v>-6595.9397115367783</v>
      </c>
      <c r="P52" s="253">
        <f t="shared" si="7"/>
        <v>-6647.8783136328602</v>
      </c>
      <c r="Q52" s="253">
        <f t="shared" si="7"/>
        <v>-7202.6998468860511</v>
      </c>
      <c r="R52" s="253">
        <f t="shared" si="7"/>
        <v>-7543.1085533806345</v>
      </c>
      <c r="S52" s="253">
        <f t="shared" si="7"/>
        <v>-7896.7704202341283</v>
      </c>
      <c r="T52" s="253">
        <f t="shared" si="7"/>
        <v>-8260.9905025134158</v>
      </c>
      <c r="U52" s="253">
        <f t="shared" si="7"/>
        <v>-8650.2411220173562</v>
      </c>
      <c r="V52" s="253">
        <f t="shared" si="7"/>
        <v>-9053.9581252902135</v>
      </c>
      <c r="W52" s="253">
        <f t="shared" si="7"/>
        <v>-9451.4716203025</v>
      </c>
      <c r="X52" s="253">
        <f t="shared" si="7"/>
        <v>-9790.8489877685643</v>
      </c>
      <c r="Y52" s="253">
        <f t="shared" si="7"/>
        <v>-10073.535930048023</v>
      </c>
      <c r="Z52" s="253">
        <f t="shared" si="7"/>
        <v>-10347.245342396378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2320.3026598396491</v>
      </c>
      <c r="G54" s="261">
        <f t="shared" si="8"/>
        <v>1849.6527030703187</v>
      </c>
      <c r="H54" s="261">
        <f t="shared" si="8"/>
        <v>2021.4814512832775</v>
      </c>
      <c r="I54" s="261">
        <f t="shared" si="8"/>
        <v>5875.5168378317794</v>
      </c>
      <c r="J54" s="261">
        <f t="shared" si="8"/>
        <v>8909.201037847015</v>
      </c>
      <c r="K54" s="261">
        <f t="shared" si="8"/>
        <v>9344.3310453670474</v>
      </c>
      <c r="L54" s="261">
        <f t="shared" si="8"/>
        <v>9800.3227626043026</v>
      </c>
      <c r="M54" s="261">
        <f t="shared" si="8"/>
        <v>10684.979039836016</v>
      </c>
      <c r="N54" s="261">
        <f t="shared" si="8"/>
        <v>11222.741596662217</v>
      </c>
      <c r="O54" s="261">
        <f t="shared" si="8"/>
        <v>12249.602321425446</v>
      </c>
      <c r="P54" s="261">
        <f t="shared" si="8"/>
        <v>12346.05972531817</v>
      </c>
      <c r="Q54" s="261">
        <f t="shared" si="8"/>
        <v>13376.442572788383</v>
      </c>
      <c r="R54" s="261">
        <f t="shared" si="8"/>
        <v>14008.630170564038</v>
      </c>
      <c r="S54" s="261">
        <f t="shared" si="8"/>
        <v>14665.430780434812</v>
      </c>
      <c r="T54" s="261">
        <f t="shared" si="8"/>
        <v>15341.839504667774</v>
      </c>
      <c r="U54" s="261">
        <f t="shared" si="8"/>
        <v>16064.733512317951</v>
      </c>
      <c r="V54" s="261">
        <f t="shared" si="8"/>
        <v>16814.493661253255</v>
      </c>
      <c r="W54" s="261">
        <f t="shared" si="8"/>
        <v>17552.733009133219</v>
      </c>
      <c r="X54" s="261">
        <f t="shared" si="8"/>
        <v>18183.005262998766</v>
      </c>
      <c r="Y54" s="261">
        <f t="shared" si="8"/>
        <v>18707.995298660619</v>
      </c>
      <c r="Z54" s="261">
        <f t="shared" si="8"/>
        <v>19216.31277873613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18942.082004786225</v>
      </c>
      <c r="G64" s="156">
        <f t="shared" si="10"/>
        <v>19385.26014818484</v>
      </c>
      <c r="H64" s="156">
        <f t="shared" si="10"/>
        <v>19338.38817221002</v>
      </c>
      <c r="I64" s="156">
        <f t="shared" si="10"/>
        <v>25036.361168661206</v>
      </c>
      <c r="J64" s="156">
        <f t="shared" si="10"/>
        <v>29533.909122250185</v>
      </c>
      <c r="K64" s="156">
        <f t="shared" si="10"/>
        <v>29852.180310714484</v>
      </c>
      <c r="L64" s="156">
        <f t="shared" si="10"/>
        <v>30167.125711184664</v>
      </c>
      <c r="M64" s="156">
        <f t="shared" si="10"/>
        <v>31111.363459277527</v>
      </c>
      <c r="N64" s="156">
        <f t="shared" si="10"/>
        <v>31425.310921053577</v>
      </c>
      <c r="O64" s="156">
        <f t="shared" si="10"/>
        <v>32411.825396993874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-11583.270273202421</v>
      </c>
      <c r="G66" s="262">
        <f>Allocation!$I$8*(CF!H16+CF!H15)</f>
        <v>-14896.579084010993</v>
      </c>
      <c r="H66" s="262">
        <f>Allocation!$I$8*(CF!I16+CF!I15)</f>
        <v>-14819.219829386328</v>
      </c>
      <c r="I66" s="262">
        <f>Allocation!$I$8*(CF!J16+CF!J15)</f>
        <v>-17686.334915516971</v>
      </c>
      <c r="J66" s="262">
        <f>Allocation!$I$8*(CF!K16+CF!K15)</f>
        <v>-13315.901277673964</v>
      </c>
      <c r="K66" s="262">
        <f>Allocation!$I$8*(CF!L16+CF!L15)</f>
        <v>-13566.754532865058</v>
      </c>
      <c r="L66" s="262">
        <f>Allocation!$I$8*(CF!M16+CF!M15)</f>
        <v>-13643.190695576855</v>
      </c>
      <c r="M66" s="262">
        <f>Allocation!$I$8*(CF!N16+CF!N15)</f>
        <v>-13946.943386823326</v>
      </c>
      <c r="N66" s="262">
        <f>Allocation!$I$8*(CF!O16+CF!O15)</f>
        <v>-14094.159589147603</v>
      </c>
      <c r="O66" s="262">
        <f>Allocation!$I$8*(CF!P16+CF!P15)</f>
        <v>-14402.779990573215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7358.8117315838044</v>
      </c>
      <c r="G67" s="263">
        <f t="shared" si="11"/>
        <v>4488.6810641738466</v>
      </c>
      <c r="H67" s="263">
        <f t="shared" si="11"/>
        <v>4519.168342823692</v>
      </c>
      <c r="I67" s="263">
        <f t="shared" si="11"/>
        <v>7350.0262531442349</v>
      </c>
      <c r="J67" s="263">
        <f t="shared" si="11"/>
        <v>16218.007844576221</v>
      </c>
      <c r="K67" s="263">
        <f t="shared" si="11"/>
        <v>16285.425777849427</v>
      </c>
      <c r="L67" s="263">
        <f t="shared" si="11"/>
        <v>16523.935015607807</v>
      </c>
      <c r="M67" s="263">
        <f t="shared" si="11"/>
        <v>17164.420072454202</v>
      </c>
      <c r="N67" s="263">
        <f t="shared" si="11"/>
        <v>17331.151331905974</v>
      </c>
      <c r="O67" s="263">
        <f t="shared" si="11"/>
        <v>18009.045406420657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-151.29002037492648</v>
      </c>
      <c r="M69" s="228">
        <f ca="1">Allocation!$I$8*CF!N24</f>
        <v>-687.92923188040982</v>
      </c>
      <c r="N69" s="228">
        <f ca="1">Allocation!$I$8*CF!O24</f>
        <v>-742.0315596762083</v>
      </c>
      <c r="O69" s="228">
        <f ca="1">Allocation!$I$8*CF!P24</f>
        <v>-827.01373617091826</v>
      </c>
      <c r="P69" s="228">
        <f ca="1">Allocation!$I$8*CF!Q24</f>
        <v>-872.21270911272563</v>
      </c>
      <c r="Q69" s="228">
        <f ca="1">Allocation!$I$8*CF!R24</f>
        <v>-951.70510378157667</v>
      </c>
      <c r="R69" s="228">
        <f ca="1">Allocation!$I$8*CF!S24</f>
        <v>-1011.5276417865358</v>
      </c>
      <c r="S69" s="228">
        <f ca="1">Allocation!$I$8*CF!T24</f>
        <v>-1064.6395903981324</v>
      </c>
      <c r="T69" s="228">
        <f ca="1">Allocation!$I$8*CF!U24</f>
        <v>-1125.8577557603612</v>
      </c>
      <c r="U69" s="228">
        <f ca="1">Allocation!$I$8*CF!V24</f>
        <v>-1681.0887028043185</v>
      </c>
      <c r="V69" s="228">
        <f ca="1">Allocation!$I$8*CF!W24</f>
        <v>-1958.7135590552864</v>
      </c>
      <c r="W69" s="228">
        <f>Allocation!$I$8*CF!X24</f>
        <v>-2026.4048061738083</v>
      </c>
      <c r="X69" s="228">
        <f>Allocation!$I$8*CF!Y24</f>
        <v>-2087.2444601355628</v>
      </c>
      <c r="Y69" s="228">
        <f>Allocation!$I$8*CF!Z24</f>
        <v>-2119.595589189611</v>
      </c>
      <c r="Z69" s="228">
        <f ca="1">Allocation!$I$8*CF!AA24</f>
        <v>-2169.5809203899225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2204.1143005842414</v>
      </c>
      <c r="G70" s="228">
        <f>Allocation!$I$8*CF!H25</f>
        <v>3645.0431981029956</v>
      </c>
      <c r="H70" s="228">
        <f>Allocation!$I$8*CF!I25</f>
        <v>2915.2019785025018</v>
      </c>
      <c r="I70" s="228">
        <f>Allocation!$I$8*CF!J25</f>
        <v>59.244542815407804</v>
      </c>
      <c r="J70" s="228">
        <f ca="1">Allocation!$I$8*CF!K25</f>
        <v>-2299.8305979462903</v>
      </c>
      <c r="K70" s="228">
        <f ca="1">Allocation!$I$8*CF!L25</f>
        <v>-3102.0560181763581</v>
      </c>
      <c r="L70" s="228">
        <f ca="1">Allocation!$I$8*CF!M25</f>
        <v>-3487.2006884273655</v>
      </c>
      <c r="M70" s="228">
        <f ca="1">Allocation!$I$8*CF!N25</f>
        <v>-3706.7116452472451</v>
      </c>
      <c r="N70" s="228">
        <f ca="1">Allocation!$I$8*CF!O25</f>
        <v>-3998.2267011309759</v>
      </c>
      <c r="O70" s="228">
        <f ca="1">Allocation!$I$8*CF!P25</f>
        <v>-4456.1290676147401</v>
      </c>
      <c r="P70" s="228">
        <f ca="1">Allocation!$I$8*CF!Q25</f>
        <v>-4699.670919875698</v>
      </c>
      <c r="Q70" s="228">
        <f ca="1">Allocation!$I$8*CF!R25</f>
        <v>-5127.9931532865376</v>
      </c>
      <c r="R70" s="228">
        <f ca="1">Allocation!$I$8*CF!S25</f>
        <v>-5450.329940262578</v>
      </c>
      <c r="S70" s="228">
        <f ca="1">Allocation!$I$8*CF!T25</f>
        <v>-5736.5086186743765</v>
      </c>
      <c r="T70" s="228">
        <f ca="1">Allocation!$I$8*CF!U25</f>
        <v>-6066.3653480193088</v>
      </c>
      <c r="U70" s="228">
        <f ca="1">Allocation!$I$8*CF!V25</f>
        <v>-9058.0699040008349</v>
      </c>
      <c r="V70" s="228">
        <f ca="1">Allocation!$I$8*CF!W25</f>
        <v>-10553.972738166851</v>
      </c>
      <c r="W70" s="228">
        <f>Allocation!$I$8*CF!X25</f>
        <v>-10918.70783350461</v>
      </c>
      <c r="X70" s="228">
        <f>Allocation!$I$8*CF!Y25</f>
        <v>-11246.52506147211</v>
      </c>
      <c r="Y70" s="228">
        <f>Allocation!$I$8*CF!Z25</f>
        <v>-11420.839949173214</v>
      </c>
      <c r="Z70" s="228">
        <f ca="1">Allocation!$I$8*CF!AA25</f>
        <v>-11690.171736027625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9562.9260321680449</v>
      </c>
      <c r="G72" s="264">
        <f t="shared" si="12"/>
        <v>8133.7242622768426</v>
      </c>
      <c r="H72" s="264">
        <f t="shared" si="12"/>
        <v>7434.3703213261942</v>
      </c>
      <c r="I72" s="264">
        <f t="shared" si="12"/>
        <v>7409.2707959596428</v>
      </c>
      <c r="J72" s="264">
        <f t="shared" ca="1" si="12"/>
        <v>13918.17724662993</v>
      </c>
      <c r="K72" s="264">
        <f t="shared" ca="1" si="12"/>
        <v>13183.369759673069</v>
      </c>
      <c r="L72" s="264">
        <f t="shared" ca="1" si="12"/>
        <v>12885.444306805515</v>
      </c>
      <c r="M72" s="264">
        <f t="shared" ca="1" si="12"/>
        <v>12769.779195326548</v>
      </c>
      <c r="N72" s="264">
        <f t="shared" ca="1" si="12"/>
        <v>12590.89307109879</v>
      </c>
      <c r="O72" s="264">
        <f t="shared" ca="1" si="12"/>
        <v>12725.902602634998</v>
      </c>
      <c r="P72" s="264">
        <f t="shared" ca="1" si="12"/>
        <v>13867.435413640666</v>
      </c>
      <c r="Q72" s="264">
        <f t="shared" ca="1" si="12"/>
        <v>15015.327734284503</v>
      </c>
      <c r="R72" s="264">
        <f t="shared" ca="1" si="12"/>
        <v>15055.218545729851</v>
      </c>
      <c r="S72" s="264">
        <f t="shared" ca="1" si="12"/>
        <v>15346.545679658248</v>
      </c>
      <c r="T72" s="264">
        <f t="shared" ca="1" si="12"/>
        <v>15573.466337915808</v>
      </c>
      <c r="U72" s="264">
        <f t="shared" ca="1" si="12"/>
        <v>12529.593429394468</v>
      </c>
      <c r="V72" s="264">
        <f t="shared" ca="1" si="12"/>
        <v>11812.137471135286</v>
      </c>
      <c r="W72" s="264">
        <f t="shared" si="12"/>
        <v>12766.91487954703</v>
      </c>
      <c r="X72" s="264">
        <f t="shared" si="12"/>
        <v>14353.713353295327</v>
      </c>
      <c r="Y72" s="264">
        <f t="shared" si="12"/>
        <v>16006.968232574614</v>
      </c>
      <c r="Z72" s="264">
        <f t="shared" ca="1" si="12"/>
        <v>22475.328132261104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1160.1513299198245</v>
      </c>
      <c r="G75" s="155">
        <f t="shared" si="13"/>
        <v>924.82635153515935</v>
      </c>
      <c r="H75" s="155">
        <f t="shared" si="13"/>
        <v>1010.7407256416387</v>
      </c>
      <c r="I75" s="155">
        <f t="shared" si="13"/>
        <v>2937.7584189158897</v>
      </c>
      <c r="J75" s="155">
        <f t="shared" si="13"/>
        <v>4454.6005189235075</v>
      </c>
      <c r="K75" s="155">
        <f t="shared" si="13"/>
        <v>4672.1655226835237</v>
      </c>
      <c r="L75" s="155">
        <f t="shared" si="13"/>
        <v>4900.1613813021513</v>
      </c>
      <c r="M75" s="155">
        <f t="shared" si="13"/>
        <v>5342.4895199180082</v>
      </c>
      <c r="N75" s="155">
        <f t="shared" si="13"/>
        <v>5611.3707983311087</v>
      </c>
      <c r="O75" s="155">
        <f t="shared" si="13"/>
        <v>6124.8011607127228</v>
      </c>
      <c r="P75" s="155">
        <f t="shared" si="13"/>
        <v>6173.0298626590848</v>
      </c>
      <c r="Q75" s="155">
        <f t="shared" si="13"/>
        <v>6688.2212863941913</v>
      </c>
      <c r="R75" s="155">
        <f t="shared" si="13"/>
        <v>7004.315085282019</v>
      </c>
      <c r="S75" s="155">
        <f t="shared" si="13"/>
        <v>7332.7153902174059</v>
      </c>
      <c r="T75" s="155">
        <f t="shared" si="13"/>
        <v>7670.9197523338871</v>
      </c>
      <c r="U75" s="155">
        <f t="shared" si="13"/>
        <v>8032.3667561589755</v>
      </c>
      <c r="V75" s="155">
        <f t="shared" si="13"/>
        <v>8407.2468306266273</v>
      </c>
      <c r="W75" s="155">
        <f t="shared" si="13"/>
        <v>8776.3665045666094</v>
      </c>
      <c r="X75" s="155">
        <f t="shared" si="13"/>
        <v>9091.5026314993829</v>
      </c>
      <c r="Y75" s="155">
        <f t="shared" si="13"/>
        <v>9353.9976493303093</v>
      </c>
      <c r="Z75" s="155">
        <f t="shared" si="13"/>
        <v>9608.156389368065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4781.4630160840225</v>
      </c>
      <c r="G76" s="155">
        <f t="shared" si="14"/>
        <v>4066.8621311384213</v>
      </c>
      <c r="H76" s="155">
        <f t="shared" si="14"/>
        <v>3717.1851606630971</v>
      </c>
      <c r="I76" s="155">
        <f t="shared" si="14"/>
        <v>3704.6353979798214</v>
      </c>
      <c r="J76" s="155">
        <f t="shared" ca="1" si="14"/>
        <v>6959.0886233149649</v>
      </c>
      <c r="K76" s="155">
        <f t="shared" ca="1" si="14"/>
        <v>6591.6848798365345</v>
      </c>
      <c r="L76" s="155">
        <f t="shared" ca="1" si="14"/>
        <v>6442.7221534027576</v>
      </c>
      <c r="M76" s="155">
        <f t="shared" ca="1" si="14"/>
        <v>6384.8895976632739</v>
      </c>
      <c r="N76" s="155">
        <f t="shared" ca="1" si="14"/>
        <v>6295.4465355493949</v>
      </c>
      <c r="O76" s="155">
        <f t="shared" ca="1" si="14"/>
        <v>6362.9513013174992</v>
      </c>
      <c r="P76" s="155">
        <f t="shared" ca="1" si="14"/>
        <v>6933.7177068203328</v>
      </c>
      <c r="Q76" s="155">
        <f t="shared" ca="1" si="14"/>
        <v>7507.6638671422515</v>
      </c>
      <c r="R76" s="155">
        <f t="shared" ca="1" si="14"/>
        <v>7527.6092728649255</v>
      </c>
      <c r="S76" s="155">
        <f t="shared" ca="1" si="14"/>
        <v>7673.2728398291238</v>
      </c>
      <c r="T76" s="155">
        <f t="shared" ca="1" si="14"/>
        <v>7786.7331689579041</v>
      </c>
      <c r="U76" s="155">
        <f t="shared" ca="1" si="14"/>
        <v>6264.7967146972342</v>
      </c>
      <c r="V76" s="155">
        <f t="shared" ca="1" si="14"/>
        <v>5906.0687355676428</v>
      </c>
      <c r="W76" s="155">
        <f t="shared" si="14"/>
        <v>6383.457439773515</v>
      </c>
      <c r="X76" s="155">
        <f t="shared" si="14"/>
        <v>7176.8566766476633</v>
      </c>
      <c r="Y76" s="155">
        <f t="shared" si="14"/>
        <v>8003.4841162873072</v>
      </c>
      <c r="Z76" s="155">
        <f t="shared" ca="1" si="14"/>
        <v>11237.664066130552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3" width="8.42578125" style="7" customWidth="1"/>
    <col min="4" max="4" width="9.5703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29">
      <c r="F1" s="7">
        <v>12</v>
      </c>
    </row>
    <row r="2" spans="1:29" ht="18.75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f>Assumptions!$N$30*'Power Price Assumption'!I23*MONTH(Assumptions!$L$38)</f>
        <v>7580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f>5/12*Assumptions!$N$26*Assumptions!$N$17/1000*(1+Assumptions!$N$39)^(I5-$E$5)</f>
        <v>197.51533045812394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f>H12*(1+Assumptions!$N$39)*5/12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Assumption'!I25*(12-MONTH(Assumptions!$L$38)),Assumptions!$N$33*(1-Assumptions!$N$35)*'Power Price Assumption'!I25*(12-MONTH(Assumptions!$L$38))-7/12*VLOOKUP(120,'EGC Start Charge Matrix'!$U$10:$AM$35,16)*(1+Assumptions!$N$52)^(I5-$E$5)*2/3)</f>
        <v>16484.56481944105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7/12*Assumptions!$N$26*Assumptions!$N$34/1000*(1+Assumptions!$N$39)^(I5-$E$5)+H12*(1+Assumptions!$N$39)*7/12*1/3</f>
        <v>602.88833984477287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Assumptions!$N$33*Assumptions!$N$35*Assumptions!$N$36*Assumptions!$N$14/1000*7/12</f>
        <v>5.2530861599999996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184.46860291344652</v>
      </c>
      <c r="G19" s="254">
        <f>(SUM(G10:G17)-SUM(G25:G35))*Assumptions!$B$34/4</f>
        <v>188.77552274180812</v>
      </c>
      <c r="H19" s="254">
        <f>(SUM(H10:H17)-SUM(H25:H35))*Assumptions!$B$34/4</f>
        <v>188.13768591824839</v>
      </c>
      <c r="I19" s="254">
        <f>(SUM(I10:I17)-SUM(I25:I35))*Assumptions!$B$34/4</f>
        <v>250.98395112517133</v>
      </c>
      <c r="J19" s="254">
        <f>(SUM(J10:J17)-SUM(J25:J35))*Assumptions!$B$34/4</f>
        <v>300.27016784208871</v>
      </c>
      <c r="K19" s="254">
        <f>(SUM(K10:K17)-SUM(K25:K35))*Assumptions!$B$34/4</f>
        <v>303.40829029761886</v>
      </c>
      <c r="L19" s="254">
        <f>(SUM(L10:L17)-SUM(L25:L35))*Assumptions!$B$34/4</f>
        <v>306.52832013829402</v>
      </c>
      <c r="M19" s="254">
        <f>(SUM(M10:M17)-SUM(M25:M35))*Assumptions!$B$34/4</f>
        <v>316.2767512147397</v>
      </c>
      <c r="N19" s="254">
        <f>(SUM(N10:N17)-SUM(N25:N35))*Assumptions!$B$34/4</f>
        <v>319.36941219257028</v>
      </c>
      <c r="O19" s="254">
        <f>(SUM(O10:O17)-SUM(O25:O35))*Assumptions!$B$34/4</f>
        <v>329.57139433110291</v>
      </c>
      <c r="P19" s="254">
        <f>(SUM(P10:P17)-SUM(P25:P35))*Assumptions!$B$34/4</f>
        <v>325.15361124116015</v>
      </c>
      <c r="Q19" s="254">
        <f>(SUM(Q10:Q17)-SUM(Q25:Q35))*Assumptions!$B$34/4</f>
        <v>336.48873531504432</v>
      </c>
      <c r="R19" s="254">
        <f>(SUM(R10:R17)-SUM(R25:R35))*Assumptions!$B$34/4</f>
        <v>340.40170461047376</v>
      </c>
      <c r="S19" s="254">
        <f>(SUM(S10:S17)-SUM(S25:S35))*Assumptions!$B$34/4</f>
        <v>344.2085181146067</v>
      </c>
      <c r="T19" s="254">
        <f>(SUM(T10:T17)-SUM(T25:T35))*Assumptions!$B$34/4</f>
        <v>347.85211560279589</v>
      </c>
      <c r="U19" s="254">
        <f>(SUM(U10:U17)-SUM(U25:U35))*Assumptions!$B$34/4</f>
        <v>351.67996803358051</v>
      </c>
      <c r="V19" s="254">
        <f>(SUM(V10:V17)-SUM(V25:V35))*Assumptions!$B$34/4</f>
        <v>355.62729902814925</v>
      </c>
      <c r="W19" s="254">
        <f>(SUM(W10:W17)-SUM(W25:W35))*Assumptions!$B$34/4</f>
        <v>359.44493252965958</v>
      </c>
      <c r="X19" s="254">
        <f>(SUM(X10:X17)-SUM(X25:X35))*Assumptions!$B$34/4</f>
        <v>362.0307110671074</v>
      </c>
      <c r="Y19" s="254">
        <f>(SUM(Y10:Y17)-SUM(Y25:Y35))*Assumptions!$B$34/4</f>
        <v>363.7956963757739</v>
      </c>
      <c r="Z19" s="254">
        <f>(SUM(Z10:Z17)-SUM(Z25:Z35))*Assumptions!$B$34/4</f>
        <v>368.84016826566233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19951.322590101176</v>
      </c>
      <c r="G20" s="253">
        <f t="shared" si="1"/>
        <v>20259.051816696279</v>
      </c>
      <c r="H20" s="253">
        <f t="shared" si="1"/>
        <v>20314.762268691353</v>
      </c>
      <c r="I20" s="253">
        <f t="shared" si="1"/>
        <v>25753.966580011114</v>
      </c>
      <c r="J20" s="253">
        <f t="shared" si="1"/>
        <v>29987.496089659478</v>
      </c>
      <c r="K20" s="253">
        <f t="shared" si="1"/>
        <v>30372.841126928419</v>
      </c>
      <c r="L20" s="253">
        <f t="shared" si="1"/>
        <v>30754.390087903175</v>
      </c>
      <c r="M20" s="253">
        <f t="shared" si="1"/>
        <v>31677.304213295771</v>
      </c>
      <c r="N20" s="253">
        <f t="shared" si="1"/>
        <v>32065.699564950584</v>
      </c>
      <c r="O20" s="253">
        <f t="shared" si="1"/>
        <v>33028.021292955062</v>
      </c>
      <c r="P20" s="253">
        <f t="shared" si="1"/>
        <v>33415.213662993257</v>
      </c>
      <c r="Q20" s="253">
        <f t="shared" si="1"/>
        <v>34418.980429902906</v>
      </c>
      <c r="R20" s="253">
        <f t="shared" si="1"/>
        <v>34820.150249231949</v>
      </c>
      <c r="S20" s="253">
        <f t="shared" si="1"/>
        <v>35214.383186008097</v>
      </c>
      <c r="T20" s="253">
        <f t="shared" si="1"/>
        <v>35600.854805235955</v>
      </c>
      <c r="U20" s="253">
        <f t="shared" si="1"/>
        <v>35979.105308271195</v>
      </c>
      <c r="V20" s="253">
        <f t="shared" si="1"/>
        <v>36348.221051247332</v>
      </c>
      <c r="W20" s="253">
        <f t="shared" si="1"/>
        <v>36707.060623404584</v>
      </c>
      <c r="X20" s="253">
        <f t="shared" si="1"/>
        <v>37053.584427301626</v>
      </c>
      <c r="Y20" s="253">
        <f t="shared" si="1"/>
        <v>37387.218970131173</v>
      </c>
      <c r="Z20" s="253">
        <f t="shared" si="1"/>
        <v>37711.0308794101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5/12*Assumptions!N59*((1+Assumptions!$N$52)^(Brownsville!I5-Brownsville!$E$5))+7/12*Assumptions!$N$60*((1+Assumptions!$N$52)^(I5-$E$5))</f>
        <v>505.11517891129677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451.89495685388965</v>
      </c>
      <c r="G32" s="253">
        <f>Allocation!$I$9*IS!F31</f>
        <v>298.18891050525821</v>
      </c>
      <c r="H32" s="253">
        <f>Allocation!$I$9*IS!G31</f>
        <v>298.18891050525821</v>
      </c>
      <c r="I32" s="253">
        <f>Allocation!$I$9*IS!H31</f>
        <v>298.18891050525821</v>
      </c>
      <c r="J32" s="253">
        <f>Allocation!$I$9*IS!I31</f>
        <v>242.82867502797285</v>
      </c>
      <c r="K32" s="253">
        <f>Allocation!$I$9*IS!J31</f>
        <v>242.82867502797285</v>
      </c>
      <c r="L32" s="253">
        <f>Allocation!$I$9*IS!K31</f>
        <v>242.82867502797285</v>
      </c>
      <c r="M32" s="253">
        <f>Allocation!$I$9*IS!L31</f>
        <v>242.82867502797285</v>
      </c>
      <c r="N32" s="253">
        <f>Allocation!$I$9*IS!M31</f>
        <v>242.82867502797285</v>
      </c>
      <c r="O32" s="253">
        <f>Allocation!$I$9*IS!N31</f>
        <v>242.82867502797285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Assumptions!$N$50*Assumptions!$N$33*7</f>
        <v>206.58204000000003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137.92733564013841</v>
      </c>
      <c r="G34" s="253">
        <f>F34*(1+Assumptions!$N$52)</f>
        <v>142.06515570934258</v>
      </c>
      <c r="H34" s="253">
        <f>G34*(1+Assumptions!$N$52)</f>
        <v>146.32711038062286</v>
      </c>
      <c r="I34" s="253">
        <f>H34*(1+Assumptions!$N$52)</f>
        <v>150.71692369204155</v>
      </c>
      <c r="J34" s="253">
        <f>I34*(1+Assumptions!$N$52)</f>
        <v>155.2384314028028</v>
      </c>
      <c r="K34" s="253">
        <f>J34*(1+Assumptions!$N$52)</f>
        <v>159.89558434488688</v>
      </c>
      <c r="L34" s="253">
        <f>K34*(1+Assumptions!$N$52)</f>
        <v>164.6924518752335</v>
      </c>
      <c r="M34" s="253">
        <f>L34*(1+Assumptions!$N$52)</f>
        <v>169.6332254314905</v>
      </c>
      <c r="N34" s="253">
        <f>M34*(1+Assumptions!$N$52)</f>
        <v>174.72222219443523</v>
      </c>
      <c r="O34" s="253">
        <f>N34*(1+Assumptions!$N$52)</f>
        <v>179.9638888602683</v>
      </c>
      <c r="P34" s="253">
        <f>O34*(1+Assumptions!$N$52)</f>
        <v>185.36280552607636</v>
      </c>
      <c r="Q34" s="253">
        <f>P34*(1+Assumptions!$N$52)</f>
        <v>190.92368969185864</v>
      </c>
      <c r="R34" s="253">
        <f>Q34*(1+Assumptions!$N$52)</f>
        <v>196.65140038261441</v>
      </c>
      <c r="S34" s="253">
        <f>R34*(1+Assumptions!$N$52)</f>
        <v>202.55094239409286</v>
      </c>
      <c r="T34" s="253">
        <f>S34*(1+Assumptions!$N$52)</f>
        <v>208.62747066591564</v>
      </c>
      <c r="U34" s="253">
        <f>T34*(1+Assumptions!$N$52)</f>
        <v>214.88629478589311</v>
      </c>
      <c r="V34" s="253">
        <f>U34*(1+Assumptions!$N$52)</f>
        <v>221.3328836294699</v>
      </c>
      <c r="W34" s="253">
        <f>V34*(1+Assumptions!$N$52)</f>
        <v>227.97287013835401</v>
      </c>
      <c r="X34" s="253">
        <f>W34*(1+Assumptions!$N$52)</f>
        <v>234.81205624250464</v>
      </c>
      <c r="Y34" s="253">
        <f>X34*(1+Assumptions!$N$52)</f>
        <v>241.85641792977978</v>
      </c>
      <c r="Z34" s="253">
        <f>Y34*(1+Assumptions!$N$52)</f>
        <v>249.11211046767318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5009.3657541120092</v>
      </c>
      <c r="G36" s="253">
        <f t="shared" si="2"/>
        <v>4968.2344746098206</v>
      </c>
      <c r="H36" s="187">
        <f t="shared" si="2"/>
        <v>5075.6097093132339</v>
      </c>
      <c r="I36" s="253">
        <f t="shared" si="2"/>
        <v>5424.2665388722371</v>
      </c>
      <c r="J36" s="253">
        <f t="shared" si="2"/>
        <v>5665.6124944502908</v>
      </c>
      <c r="K36" s="253">
        <f t="shared" si="2"/>
        <v>5796.769612821291</v>
      </c>
      <c r="L36" s="253">
        <f t="shared" si="2"/>
        <v>5925.5961567013601</v>
      </c>
      <c r="M36" s="253">
        <f t="shared" si="2"/>
        <v>6058.8873649018551</v>
      </c>
      <c r="N36" s="253">
        <f t="shared" si="2"/>
        <v>6196.7771773523937</v>
      </c>
      <c r="O36" s="253">
        <f t="shared" si="2"/>
        <v>6332.7383521357269</v>
      </c>
      <c r="P36" s="253">
        <f t="shared" si="2"/>
        <v>7077.7711524592842</v>
      </c>
      <c r="Q36" s="253">
        <f t="shared" si="2"/>
        <v>7163.3928693843109</v>
      </c>
      <c r="R36" s="253">
        <f t="shared" si="2"/>
        <v>7247.6121757835799</v>
      </c>
      <c r="S36" s="253">
        <f t="shared" si="2"/>
        <v>7333.4932187249506</v>
      </c>
      <c r="T36" s="253">
        <f t="shared" si="2"/>
        <v>7424.8334414094952</v>
      </c>
      <c r="U36" s="253">
        <f t="shared" si="2"/>
        <v>7493.0278975511756</v>
      </c>
      <c r="V36" s="253">
        <f t="shared" si="2"/>
        <v>7542.4098299672432</v>
      </c>
      <c r="W36" s="253">
        <f t="shared" si="2"/>
        <v>7592.0210885021606</v>
      </c>
      <c r="X36" s="253">
        <f t="shared" si="2"/>
        <v>7729.0968308659285</v>
      </c>
      <c r="Y36" s="253">
        <f t="shared" si="2"/>
        <v>7919.7675636934873</v>
      </c>
      <c r="Z36" s="253">
        <f t="shared" si="2"/>
        <v>7834.9772498914517</v>
      </c>
    </row>
    <row r="37" spans="1:26" s="146" customFormat="1" ht="9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14941.956835989167</v>
      </c>
      <c r="G39" s="259">
        <f t="shared" si="3"/>
        <v>15290.817342086459</v>
      </c>
      <c r="H39" s="260">
        <f t="shared" si="3"/>
        <v>15239.152559378119</v>
      </c>
      <c r="I39" s="259">
        <f t="shared" si="3"/>
        <v>20329.700041138876</v>
      </c>
      <c r="J39" s="259">
        <f t="shared" si="3"/>
        <v>24321.883595209187</v>
      </c>
      <c r="K39" s="259">
        <f t="shared" si="3"/>
        <v>24576.071514107127</v>
      </c>
      <c r="L39" s="259">
        <f t="shared" si="3"/>
        <v>24828.793931201813</v>
      </c>
      <c r="M39" s="259">
        <f t="shared" si="3"/>
        <v>25618.416848393914</v>
      </c>
      <c r="N39" s="259">
        <f t="shared" si="3"/>
        <v>25868.922387598192</v>
      </c>
      <c r="O39" s="259">
        <f t="shared" si="3"/>
        <v>26695.282940819336</v>
      </c>
      <c r="P39" s="259">
        <f t="shared" si="3"/>
        <v>26337.442510533972</v>
      </c>
      <c r="Q39" s="259">
        <f t="shared" si="3"/>
        <v>27255.587560518594</v>
      </c>
      <c r="R39" s="259">
        <f t="shared" si="3"/>
        <v>27572.53807344837</v>
      </c>
      <c r="S39" s="259">
        <f t="shared" si="3"/>
        <v>27880.889967283147</v>
      </c>
      <c r="T39" s="259">
        <f t="shared" si="3"/>
        <v>28176.021363826461</v>
      </c>
      <c r="U39" s="259">
        <f t="shared" si="3"/>
        <v>28486.07741072002</v>
      </c>
      <c r="V39" s="259">
        <f t="shared" si="3"/>
        <v>28805.811221280088</v>
      </c>
      <c r="W39" s="259">
        <f t="shared" si="3"/>
        <v>29115.039534902426</v>
      </c>
      <c r="X39" s="259">
        <f t="shared" si="3"/>
        <v>29324.487596435698</v>
      </c>
      <c r="Y39" s="259">
        <f t="shared" si="3"/>
        <v>29467.451406437685</v>
      </c>
      <c r="Z39" s="259">
        <f t="shared" si="3"/>
        <v>29876.053629518647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3283.5567477802379</v>
      </c>
      <c r="G41" s="253">
        <f>Allocation!$G$9*IS!F40</f>
        <v>4514.0200002400579</v>
      </c>
      <c r="H41" s="253">
        <f>Allocation!$G$9*IS!G40</f>
        <v>4514.0200002400579</v>
      </c>
      <c r="I41" s="253">
        <f>Allocation!$G$9*IS!H40</f>
        <v>4514.0200002400579</v>
      </c>
      <c r="J41" s="253">
        <f>Allocation!$G$9*IS!I40</f>
        <v>4514.0200002400579</v>
      </c>
      <c r="K41" s="253">
        <f>Allocation!$G$9*IS!J40</f>
        <v>4514.0200002400579</v>
      </c>
      <c r="L41" s="253">
        <f>Allocation!$G$9*IS!K40</f>
        <v>4514.0200002400579</v>
      </c>
      <c r="M41" s="253">
        <f>Allocation!$G$9*IS!L40</f>
        <v>4514.0200002400579</v>
      </c>
      <c r="N41" s="253">
        <f>Allocation!$G$9*IS!M40</f>
        <v>4514.0200002400579</v>
      </c>
      <c r="O41" s="253">
        <f>Allocation!$G$9*IS!N40</f>
        <v>4514.0200002400579</v>
      </c>
      <c r="P41" s="253">
        <f>Allocation!$G$9*IS!O40</f>
        <v>4514.0200002400579</v>
      </c>
      <c r="Q41" s="253">
        <f>Allocation!$G$9*IS!P40</f>
        <v>4514.0200002400579</v>
      </c>
      <c r="R41" s="253">
        <f>Allocation!$G$9*IS!Q40</f>
        <v>4514.0200002400579</v>
      </c>
      <c r="S41" s="253">
        <f>Allocation!$G$9*IS!R40</f>
        <v>4514.0200002400579</v>
      </c>
      <c r="T41" s="253">
        <f>Allocation!$G$9*IS!S40</f>
        <v>4514.0200002400579</v>
      </c>
      <c r="U41" s="253">
        <f>Allocation!$G$9*IS!T40</f>
        <v>4514.0200002400579</v>
      </c>
      <c r="V41" s="253">
        <f>Allocation!$G$9*IS!U40</f>
        <v>4514.0200002400579</v>
      </c>
      <c r="W41" s="253">
        <f>Allocation!$G$9*IS!V40</f>
        <v>4514.0200002400579</v>
      </c>
      <c r="X41" s="253">
        <f>Allocation!$G$9*IS!W40</f>
        <v>4514.0200002400579</v>
      </c>
      <c r="Y41" s="253">
        <f>Allocation!$G$9*IS!X40</f>
        <v>4514.0200002400579</v>
      </c>
      <c r="Z41" s="253">
        <f>Allocation!$G$9*IS!Y40</f>
        <v>4398.0297973009392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11658.400088208929</v>
      </c>
      <c r="G44" s="259">
        <f t="shared" si="4"/>
        <v>10776.797341846401</v>
      </c>
      <c r="H44" s="259">
        <f t="shared" si="4"/>
        <v>10725.132559138061</v>
      </c>
      <c r="I44" s="259">
        <f t="shared" si="4"/>
        <v>15815.680040898818</v>
      </c>
      <c r="J44" s="259">
        <f t="shared" si="4"/>
        <v>19807.863594969131</v>
      </c>
      <c r="K44" s="259">
        <f t="shared" si="4"/>
        <v>20062.051513867067</v>
      </c>
      <c r="L44" s="259">
        <f t="shared" si="4"/>
        <v>20314.773930961754</v>
      </c>
      <c r="M44" s="259">
        <f t="shared" si="4"/>
        <v>21104.396848153854</v>
      </c>
      <c r="N44" s="259">
        <f t="shared" si="4"/>
        <v>21354.902387358132</v>
      </c>
      <c r="O44" s="259">
        <f t="shared" si="4"/>
        <v>22181.262940579276</v>
      </c>
      <c r="P44" s="259">
        <f t="shared" si="4"/>
        <v>21823.422510293916</v>
      </c>
      <c r="Q44" s="259">
        <f t="shared" si="4"/>
        <v>22741.567560278534</v>
      </c>
      <c r="R44" s="259">
        <f t="shared" si="4"/>
        <v>23058.51807320831</v>
      </c>
      <c r="S44" s="259">
        <f t="shared" si="4"/>
        <v>23366.869967043087</v>
      </c>
      <c r="T44" s="259">
        <f t="shared" si="4"/>
        <v>23662.001363586402</v>
      </c>
      <c r="U44" s="259">
        <f t="shared" si="4"/>
        <v>23972.05741047996</v>
      </c>
      <c r="V44" s="259">
        <f t="shared" si="4"/>
        <v>24291.791221040032</v>
      </c>
      <c r="W44" s="259">
        <f t="shared" si="4"/>
        <v>24601.019534662366</v>
      </c>
      <c r="X44" s="259">
        <f t="shared" si="4"/>
        <v>24810.467596195638</v>
      </c>
      <c r="Y44" s="259">
        <f t="shared" si="4"/>
        <v>24953.431406197626</v>
      </c>
      <c r="Z44" s="259">
        <f t="shared" si="4"/>
        <v>25478.023832217707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9517.8853953970338</v>
      </c>
      <c r="G46" s="187">
        <f>Allocation!$I$9*IS!F44</f>
        <v>9303.9167760011605</v>
      </c>
      <c r="H46" s="187">
        <f>Allocation!$I$9*IS!G44</f>
        <v>9029.828632366598</v>
      </c>
      <c r="I46" s="187">
        <f>Allocation!$I$9*IS!H44</f>
        <v>8571.7635552821375</v>
      </c>
      <c r="J46" s="187">
        <f>Allocation!$I$9*IS!I44</f>
        <v>8221.6680171355492</v>
      </c>
      <c r="K46" s="187">
        <f>Allocation!$I$9*IS!J44</f>
        <v>7895.9418392057487</v>
      </c>
      <c r="L46" s="187">
        <f>Allocation!$I$9*IS!K44</f>
        <v>7538.9322703753269</v>
      </c>
      <c r="M46" s="187">
        <f>Allocation!$I$9*IS!L44</f>
        <v>7127.2114241057116</v>
      </c>
      <c r="N46" s="187">
        <f>Allocation!$I$9*IS!M44</f>
        <v>6657.7295163504587</v>
      </c>
      <c r="O46" s="187">
        <f>Allocation!$I$9*IS!N44</f>
        <v>6087.5144061593946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2140.5146928118957</v>
      </c>
      <c r="G49" s="259">
        <f t="shared" si="5"/>
        <v>1472.8805658452402</v>
      </c>
      <c r="H49" s="259">
        <f t="shared" si="5"/>
        <v>1695.303926771463</v>
      </c>
      <c r="I49" s="259">
        <f t="shared" si="5"/>
        <v>7243.9164856166808</v>
      </c>
      <c r="J49" s="259">
        <f t="shared" si="5"/>
        <v>11586.195577833581</v>
      </c>
      <c r="K49" s="259">
        <f t="shared" si="5"/>
        <v>12166.109674661318</v>
      </c>
      <c r="L49" s="259">
        <f t="shared" si="5"/>
        <v>12775.841660586426</v>
      </c>
      <c r="M49" s="259">
        <f t="shared" si="5"/>
        <v>13977.185424048143</v>
      </c>
      <c r="N49" s="259">
        <f t="shared" si="5"/>
        <v>14697.172871007673</v>
      </c>
      <c r="O49" s="259">
        <f t="shared" si="5"/>
        <v>16093.748534419881</v>
      </c>
      <c r="P49" s="259">
        <f t="shared" si="5"/>
        <v>16238.99933426475</v>
      </c>
      <c r="Q49" s="259">
        <f t="shared" si="5"/>
        <v>17639.525956057663</v>
      </c>
      <c r="R49" s="259">
        <f t="shared" si="5"/>
        <v>18489.383291017795</v>
      </c>
      <c r="S49" s="259">
        <f t="shared" si="5"/>
        <v>19371.887338144115</v>
      </c>
      <c r="T49" s="259">
        <f t="shared" si="5"/>
        <v>20280.16943062194</v>
      </c>
      <c r="U49" s="259">
        <f t="shared" si="5"/>
        <v>21254.311776464718</v>
      </c>
      <c r="V49" s="259">
        <f t="shared" si="5"/>
        <v>22265.778245052858</v>
      </c>
      <c r="W49" s="259">
        <f t="shared" si="5"/>
        <v>23260.410068198871</v>
      </c>
      <c r="X49" s="259">
        <f t="shared" si="5"/>
        <v>24096.216781701027</v>
      </c>
      <c r="Y49" s="259">
        <f t="shared" si="5"/>
        <v>24781.96216564679</v>
      </c>
      <c r="Z49" s="259">
        <f t="shared" si="5"/>
        <v>25478.023832217707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-107.02573464059479</v>
      </c>
      <c r="G51" s="253">
        <f t="shared" si="6"/>
        <v>-73.644028292262007</v>
      </c>
      <c r="H51" s="187">
        <f t="shared" si="6"/>
        <v>-84.765196338573162</v>
      </c>
      <c r="I51" s="253">
        <f t="shared" si="6"/>
        <v>-362.19582428083407</v>
      </c>
      <c r="J51" s="253">
        <f t="shared" si="6"/>
        <v>-579.30977889167912</v>
      </c>
      <c r="K51" s="253">
        <f t="shared" si="6"/>
        <v>-608.3054837330659</v>
      </c>
      <c r="L51" s="253">
        <f t="shared" si="6"/>
        <v>-638.79208302932136</v>
      </c>
      <c r="M51" s="253">
        <f t="shared" si="6"/>
        <v>-698.85927120240717</v>
      </c>
      <c r="N51" s="253">
        <f t="shared" si="6"/>
        <v>-734.8586435503837</v>
      </c>
      <c r="O51" s="253">
        <f t="shared" si="6"/>
        <v>-804.68742672099415</v>
      </c>
      <c r="P51" s="253">
        <f t="shared" si="6"/>
        <v>-811.94996671323759</v>
      </c>
      <c r="Q51" s="253">
        <f t="shared" si="6"/>
        <v>-881.97629780288321</v>
      </c>
      <c r="R51" s="253">
        <f t="shared" si="6"/>
        <v>-924.46916455088979</v>
      </c>
      <c r="S51" s="253">
        <f t="shared" si="6"/>
        <v>-968.59436690720577</v>
      </c>
      <c r="T51" s="253">
        <f t="shared" si="6"/>
        <v>-1014.008471531097</v>
      </c>
      <c r="U51" s="253">
        <f t="shared" si="6"/>
        <v>-1062.715588823236</v>
      </c>
      <c r="V51" s="253">
        <f t="shared" si="6"/>
        <v>-1113.2889122526428</v>
      </c>
      <c r="W51" s="253">
        <f t="shared" si="6"/>
        <v>-1163.0205034099436</v>
      </c>
      <c r="X51" s="253">
        <f t="shared" si="6"/>
        <v>-1204.8108390850514</v>
      </c>
      <c r="Y51" s="253">
        <f t="shared" si="6"/>
        <v>-1239.0981082823396</v>
      </c>
      <c r="Z51" s="253">
        <f t="shared" si="6"/>
        <v>-1273.9011916108855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-711.72113535995527</v>
      </c>
      <c r="G52" s="228">
        <f t="shared" si="7"/>
        <v>-489.73278814354234</v>
      </c>
      <c r="H52" s="228">
        <f t="shared" si="7"/>
        <v>-563.68855565151148</v>
      </c>
      <c r="I52" s="228">
        <f t="shared" si="7"/>
        <v>-2408.6022314675461</v>
      </c>
      <c r="J52" s="228">
        <f t="shared" si="7"/>
        <v>-3852.4100296296656</v>
      </c>
      <c r="K52" s="228">
        <f t="shared" si="7"/>
        <v>-4045.2314668248882</v>
      </c>
      <c r="L52" s="228">
        <f t="shared" si="7"/>
        <v>-4247.9673521449868</v>
      </c>
      <c r="M52" s="228">
        <f t="shared" si="7"/>
        <v>-4647.4141534960072</v>
      </c>
      <c r="N52" s="228">
        <f t="shared" si="7"/>
        <v>-4886.8099796100505</v>
      </c>
      <c r="O52" s="228">
        <f t="shared" si="7"/>
        <v>-5351.1713876946096</v>
      </c>
      <c r="P52" s="228">
        <f t="shared" si="7"/>
        <v>-5399.4672786430292</v>
      </c>
      <c r="Q52" s="228">
        <f t="shared" si="7"/>
        <v>-5865.1423803891721</v>
      </c>
      <c r="R52" s="228">
        <f t="shared" si="7"/>
        <v>-6147.7199442634164</v>
      </c>
      <c r="S52" s="228">
        <f t="shared" si="7"/>
        <v>-6441.1525399329175</v>
      </c>
      <c r="T52" s="228">
        <f t="shared" si="7"/>
        <v>-6743.1563356817942</v>
      </c>
      <c r="U52" s="228">
        <f t="shared" si="7"/>
        <v>-7067.0586656745181</v>
      </c>
      <c r="V52" s="228">
        <f t="shared" si="7"/>
        <v>-7403.3712664800742</v>
      </c>
      <c r="W52" s="228">
        <f t="shared" si="7"/>
        <v>-7734.0863476761251</v>
      </c>
      <c r="X52" s="228">
        <f t="shared" si="7"/>
        <v>-8011.9920799155916</v>
      </c>
      <c r="Y52" s="228">
        <f t="shared" si="7"/>
        <v>-8240.002420077557</v>
      </c>
      <c r="Z52" s="228">
        <f t="shared" si="7"/>
        <v>-8471.4429242123861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1321.7678228113457</v>
      </c>
      <c r="G54" s="261">
        <f t="shared" si="8"/>
        <v>909.50374940943584</v>
      </c>
      <c r="H54" s="261">
        <f t="shared" si="8"/>
        <v>1046.8501747813784</v>
      </c>
      <c r="I54" s="261">
        <f t="shared" si="8"/>
        <v>4473.1184298683002</v>
      </c>
      <c r="J54" s="261">
        <f t="shared" si="8"/>
        <v>7154.4757693122374</v>
      </c>
      <c r="K54" s="261">
        <f t="shared" si="8"/>
        <v>7512.5727241033646</v>
      </c>
      <c r="L54" s="261">
        <f t="shared" si="8"/>
        <v>7889.0822254121185</v>
      </c>
      <c r="M54" s="261">
        <f t="shared" si="8"/>
        <v>8630.9119993497279</v>
      </c>
      <c r="N54" s="261">
        <f t="shared" si="8"/>
        <v>9075.5042478472387</v>
      </c>
      <c r="O54" s="261">
        <f t="shared" si="8"/>
        <v>9937.8897200042775</v>
      </c>
      <c r="P54" s="261">
        <f t="shared" si="8"/>
        <v>10027.582088908484</v>
      </c>
      <c r="Q54" s="261">
        <f t="shared" si="8"/>
        <v>10892.407277865606</v>
      </c>
      <c r="R54" s="261">
        <f t="shared" si="8"/>
        <v>11417.19418220349</v>
      </c>
      <c r="S54" s="261">
        <f t="shared" si="8"/>
        <v>11962.140431303989</v>
      </c>
      <c r="T54" s="261">
        <f t="shared" si="8"/>
        <v>12523.004623409048</v>
      </c>
      <c r="U54" s="261">
        <f t="shared" si="8"/>
        <v>13124.537521966962</v>
      </c>
      <c r="V54" s="261">
        <f t="shared" si="8"/>
        <v>13749.118066320141</v>
      </c>
      <c r="W54" s="261">
        <f t="shared" si="8"/>
        <v>14363.303217112803</v>
      </c>
      <c r="X54" s="261">
        <f t="shared" si="8"/>
        <v>14879.413862700385</v>
      </c>
      <c r="Y54" s="261">
        <f t="shared" si="8"/>
        <v>15302.861637286895</v>
      </c>
      <c r="Z54" s="261">
        <f t="shared" si="8"/>
        <v>15732.679716394434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14941.956835989167</v>
      </c>
      <c r="G64" s="135">
        <f t="shared" si="10"/>
        <v>15290.817342086459</v>
      </c>
      <c r="H64" s="135">
        <f t="shared" si="10"/>
        <v>15239.152559378119</v>
      </c>
      <c r="I64" s="135">
        <f t="shared" si="10"/>
        <v>20329.700041138876</v>
      </c>
      <c r="J64" s="135">
        <f t="shared" si="10"/>
        <v>24321.883595209187</v>
      </c>
      <c r="K64" s="135">
        <f t="shared" si="10"/>
        <v>24576.071514107127</v>
      </c>
      <c r="L64" s="135">
        <f t="shared" si="10"/>
        <v>24828.793931201813</v>
      </c>
      <c r="M64" s="135">
        <f t="shared" si="10"/>
        <v>25618.416848393914</v>
      </c>
      <c r="N64" s="135">
        <f t="shared" si="10"/>
        <v>25868.922387598192</v>
      </c>
      <c r="O64" s="135">
        <f t="shared" si="10"/>
        <v>26695.282940819336</v>
      </c>
      <c r="P64" s="135">
        <f t="shared" si="10"/>
        <v>26337.442510533972</v>
      </c>
      <c r="Q64" s="135">
        <f t="shared" si="10"/>
        <v>27255.587560518594</v>
      </c>
      <c r="R64" s="135">
        <f t="shared" si="10"/>
        <v>27572.53807344837</v>
      </c>
      <c r="S64" s="135">
        <f t="shared" si="10"/>
        <v>27880.889967283147</v>
      </c>
      <c r="T64" s="135">
        <f t="shared" si="10"/>
        <v>28176.021363826461</v>
      </c>
      <c r="U64" s="135">
        <f t="shared" si="10"/>
        <v>28486.07741072002</v>
      </c>
      <c r="V64" s="135">
        <f t="shared" si="10"/>
        <v>28805.811221280088</v>
      </c>
      <c r="W64" s="135">
        <f t="shared" si="10"/>
        <v>29115.039534902426</v>
      </c>
      <c r="X64" s="135">
        <f t="shared" si="10"/>
        <v>29324.487596435698</v>
      </c>
      <c r="Y64" s="135">
        <f t="shared" si="10"/>
        <v>29467.451406437685</v>
      </c>
      <c r="Z64" s="135">
        <f t="shared" si="10"/>
        <v>29876.053629518647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-9764.6085504799285</v>
      </c>
      <c r="G66" s="262">
        <f>Allocation!$I$9*(CF!H16+CF!H15)</f>
        <v>-12557.702623338611</v>
      </c>
      <c r="H66" s="262">
        <f>Allocation!$I$9*(CF!I16+CF!I15)</f>
        <v>-12492.489361336575</v>
      </c>
      <c r="I66" s="262">
        <f>Allocation!$I$9*(CF!J16+CF!J15)</f>
        <v>-14909.445525262909</v>
      </c>
      <c r="J66" s="262">
        <f>Allocation!$I$9*(CF!K16+CF!K15)</f>
        <v>-11225.203280815267</v>
      </c>
      <c r="K66" s="262">
        <f>Allocation!$I$9*(CF!L16+CF!L15)</f>
        <v>-11436.670662891425</v>
      </c>
      <c r="L66" s="262">
        <f>Allocation!$I$9*(CF!M16+CF!M15)</f>
        <v>-11501.105765446893</v>
      </c>
      <c r="M66" s="262">
        <f>Allocation!$I$9*(CF!N16+CF!N15)</f>
        <v>-11757.166968908441</v>
      </c>
      <c r="N66" s="262">
        <f>Allocation!$I$9*(CF!O16+CF!O15)</f>
        <v>-11881.269105358666</v>
      </c>
      <c r="O66" s="262">
        <f>Allocation!$I$9*(CF!P16+CF!P15)</f>
        <v>-12141.433751398641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5177.3482855092388</v>
      </c>
      <c r="G67" s="153">
        <f t="shared" si="11"/>
        <v>2733.1147187478473</v>
      </c>
      <c r="H67" s="153">
        <f t="shared" si="11"/>
        <v>2746.6631980415441</v>
      </c>
      <c r="I67" s="153">
        <f t="shared" si="11"/>
        <v>5420.2545158759676</v>
      </c>
      <c r="J67" s="153">
        <f t="shared" si="11"/>
        <v>13096.68031439392</v>
      </c>
      <c r="K67" s="153">
        <f t="shared" si="11"/>
        <v>13139.400851215702</v>
      </c>
      <c r="L67" s="153">
        <f t="shared" si="11"/>
        <v>13327.68816575492</v>
      </c>
      <c r="M67" s="153">
        <f t="shared" si="11"/>
        <v>13861.249879485473</v>
      </c>
      <c r="N67" s="153">
        <f t="shared" si="11"/>
        <v>13987.653282239526</v>
      </c>
      <c r="O67" s="153">
        <f t="shared" si="11"/>
        <v>14553.849189420695</v>
      </c>
      <c r="P67" s="153">
        <f t="shared" si="11"/>
        <v>15773.129023887606</v>
      </c>
      <c r="Q67" s="153">
        <f t="shared" si="11"/>
        <v>17162.756393635289</v>
      </c>
      <c r="R67" s="153">
        <f t="shared" si="11"/>
        <v>17505.355333299864</v>
      </c>
      <c r="S67" s="153">
        <f t="shared" si="11"/>
        <v>18022.820961016354</v>
      </c>
      <c r="T67" s="153">
        <f t="shared" si="11"/>
        <v>18528.655802562254</v>
      </c>
      <c r="U67" s="153">
        <f t="shared" si="11"/>
        <v>18940.002982484515</v>
      </c>
      <c r="V67" s="153">
        <f t="shared" si="11"/>
        <v>19818.179927186273</v>
      </c>
      <c r="W67" s="153">
        <f t="shared" si="11"/>
        <v>20974.391844432634</v>
      </c>
      <c r="X67" s="153">
        <f t="shared" si="11"/>
        <v>22615.063691870248</v>
      </c>
      <c r="Y67" s="153">
        <f t="shared" si="11"/>
        <v>24152.007650152682</v>
      </c>
      <c r="Z67" s="153">
        <f t="shared" si="11"/>
        <v>29876.053629518647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-127.53633401552882</v>
      </c>
      <c r="M69" s="486">
        <f ca="1">Allocation!$I$9*CF!N24</f>
        <v>-579.91909895126662</v>
      </c>
      <c r="N69" s="486">
        <f ca="1">Allocation!$I$9*CF!O24</f>
        <v>-625.52694890516966</v>
      </c>
      <c r="O69" s="486">
        <f ca="1">Allocation!$I$9*CF!P24</f>
        <v>-697.16627594033343</v>
      </c>
      <c r="P69" s="486">
        <f ca="1">Allocation!$I$9*CF!Q24</f>
        <v>-735.26866561534041</v>
      </c>
      <c r="Q69" s="486">
        <f ca="1">Allocation!$I$9*CF!R24</f>
        <v>-802.28014841543813</v>
      </c>
      <c r="R69" s="486">
        <f ca="1">Allocation!$I$9*CF!S24</f>
        <v>-852.71009197516275</v>
      </c>
      <c r="S69" s="486">
        <f ca="1">Allocation!$I$9*CF!T24</f>
        <v>-897.48305982563727</v>
      </c>
      <c r="T69" s="486">
        <f ca="1">Allocation!$I$9*CF!U24</f>
        <v>-949.08950660981009</v>
      </c>
      <c r="U69" s="486">
        <f ca="1">Allocation!$I$9*CF!V24</f>
        <v>-1417.1449628948324</v>
      </c>
      <c r="V69" s="486">
        <f ca="1">Allocation!$I$9*CF!W24</f>
        <v>-1651.1806006063646</v>
      </c>
      <c r="W69" s="486">
        <f>Allocation!$I$9*CF!X24</f>
        <v>-1708.2438059720655</v>
      </c>
      <c r="X69" s="486">
        <f>Allocation!$I$9*CF!Y24</f>
        <v>-1759.5311705307224</v>
      </c>
      <c r="Y69" s="486">
        <f>Allocation!$I$9*CF!Z24</f>
        <v>-1786.8029257369926</v>
      </c>
      <c r="Z69" s="486">
        <f ca="1">Allocation!$I$9*CF!AA24</f>
        <v>-1828.9401789414101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1858.051555225406</v>
      </c>
      <c r="G70" s="486">
        <f>Allocation!$I$9*CF!H25</f>
        <v>3072.7436328069894</v>
      </c>
      <c r="H70" s="486">
        <f>Allocation!$I$9*CF!I25</f>
        <v>2457.4930476686191</v>
      </c>
      <c r="I70" s="486">
        <f>Allocation!$I$9*CF!J25</f>
        <v>49.942698020519181</v>
      </c>
      <c r="J70" s="486">
        <f ca="1">Allocation!$I$9*CF!K25</f>
        <v>-1938.7396643342806</v>
      </c>
      <c r="K70" s="486">
        <f ca="1">Allocation!$I$9*CF!L25</f>
        <v>-2615.0095788776089</v>
      </c>
      <c r="L70" s="486">
        <f ca="1">Allocation!$I$9*CF!M25</f>
        <v>-2939.6836002552536</v>
      </c>
      <c r="M70" s="486">
        <f ca="1">Allocation!$I$9*CF!N25</f>
        <v>-3124.7296637012746</v>
      </c>
      <c r="N70" s="486">
        <f ca="1">Allocation!$I$9*CF!O25</f>
        <v>-3370.474633829554</v>
      </c>
      <c r="O70" s="486">
        <f ca="1">Allocation!$I$9*CF!P25</f>
        <v>-3756.4828385587866</v>
      </c>
      <c r="P70" s="486">
        <f ca="1">Allocation!$I$9*CF!Q25</f>
        <v>-3961.7867636937044</v>
      </c>
      <c r="Q70" s="486">
        <f ca="1">Allocation!$I$9*CF!R25</f>
        <v>-4322.8591417077105</v>
      </c>
      <c r="R70" s="486">
        <f ca="1">Allocation!$I$9*CF!S25</f>
        <v>-4594.5865962178686</v>
      </c>
      <c r="S70" s="486">
        <f ca="1">Allocation!$I$9*CF!T25</f>
        <v>-4835.8330408121647</v>
      </c>
      <c r="T70" s="486">
        <f ca="1">Allocation!$I$9*CF!U25</f>
        <v>-5113.8997494209061</v>
      </c>
      <c r="U70" s="486">
        <f ca="1">Allocation!$I$9*CF!V25</f>
        <v>-7635.8838867875384</v>
      </c>
      <c r="V70" s="486">
        <f ca="1">Allocation!$I$9*CF!W25</f>
        <v>-8896.918573941246</v>
      </c>
      <c r="W70" s="486">
        <f>Allocation!$I$9*CF!X25</f>
        <v>-9204.3874792325787</v>
      </c>
      <c r="X70" s="486">
        <f>Allocation!$I$9*CF!Y25</f>
        <v>-9480.7349037256008</v>
      </c>
      <c r="Y70" s="486">
        <f>Allocation!$I$9*CF!Z25</f>
        <v>-9627.6810253972981</v>
      </c>
      <c r="Z70" s="486">
        <f ca="1">Allocation!$I$9*CF!AA25</f>
        <v>-9854.7256688188409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75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7035.3998407346444</v>
      </c>
      <c r="G72" s="264">
        <f t="shared" si="12"/>
        <v>5805.8583515548362</v>
      </c>
      <c r="H72" s="264">
        <f t="shared" si="12"/>
        <v>5204.1562457101627</v>
      </c>
      <c r="I72" s="264">
        <f t="shared" si="12"/>
        <v>5470.1972138964866</v>
      </c>
      <c r="J72" s="264">
        <f t="shared" ca="1" si="12"/>
        <v>11157.94065005964</v>
      </c>
      <c r="K72" s="264">
        <f t="shared" ca="1" si="12"/>
        <v>10524.391272338093</v>
      </c>
      <c r="L72" s="264">
        <f t="shared" ca="1" si="12"/>
        <v>10260.468231484138</v>
      </c>
      <c r="M72" s="264">
        <f t="shared" ca="1" si="12"/>
        <v>10156.601116832931</v>
      </c>
      <c r="N72" s="264">
        <f t="shared" ca="1" si="12"/>
        <v>9991.6516995048023</v>
      </c>
      <c r="O72" s="264">
        <f t="shared" ca="1" si="12"/>
        <v>10100.200074921575</v>
      </c>
      <c r="P72" s="264">
        <f t="shared" ca="1" si="12"/>
        <v>11076.073594578562</v>
      </c>
      <c r="Q72" s="264">
        <f t="shared" ca="1" si="12"/>
        <v>12037.617103512139</v>
      </c>
      <c r="R72" s="264">
        <f t="shared" ca="1" si="12"/>
        <v>12058.058645106832</v>
      </c>
      <c r="S72" s="264">
        <f t="shared" ca="1" si="12"/>
        <v>12289.504860378551</v>
      </c>
      <c r="T72" s="264">
        <f t="shared" ca="1" si="12"/>
        <v>12465.666546531538</v>
      </c>
      <c r="U72" s="264">
        <f t="shared" ca="1" si="12"/>
        <v>9886.9741328021446</v>
      </c>
      <c r="V72" s="264">
        <f t="shared" ca="1" si="12"/>
        <v>9270.0807526386616</v>
      </c>
      <c r="W72" s="264">
        <f t="shared" si="12"/>
        <v>10061.760559227989</v>
      </c>
      <c r="X72" s="264">
        <f t="shared" si="12"/>
        <v>11374.797617613924</v>
      </c>
      <c r="Y72" s="264">
        <f t="shared" si="12"/>
        <v>12737.523699018391</v>
      </c>
      <c r="Z72" s="264">
        <f t="shared" ca="1" si="12"/>
        <v>18192.387781758393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660.88391140567285</v>
      </c>
      <c r="G75" s="227">
        <f t="shared" si="13"/>
        <v>454.75187470471792</v>
      </c>
      <c r="H75" s="227">
        <f t="shared" si="13"/>
        <v>523.42508739068921</v>
      </c>
      <c r="I75" s="227">
        <f t="shared" si="13"/>
        <v>2236.5592149341501</v>
      </c>
      <c r="J75" s="227">
        <f t="shared" si="13"/>
        <v>3577.2378846561187</v>
      </c>
      <c r="K75" s="227">
        <f t="shared" si="13"/>
        <v>3756.2863620516823</v>
      </c>
      <c r="L75" s="227">
        <f t="shared" si="13"/>
        <v>3944.5411127060593</v>
      </c>
      <c r="M75" s="227">
        <f t="shared" si="13"/>
        <v>4315.455999674864</v>
      </c>
      <c r="N75" s="227">
        <f t="shared" si="13"/>
        <v>4537.7521239236194</v>
      </c>
      <c r="O75" s="227">
        <f t="shared" si="13"/>
        <v>4968.9448600021387</v>
      </c>
      <c r="P75" s="227">
        <f t="shared" si="13"/>
        <v>5013.7910444542422</v>
      </c>
      <c r="Q75" s="227">
        <f t="shared" si="13"/>
        <v>5446.2036389328032</v>
      </c>
      <c r="R75" s="227">
        <f t="shared" si="13"/>
        <v>5708.5970911017448</v>
      </c>
      <c r="S75" s="227">
        <f t="shared" si="13"/>
        <v>5981.0702156519947</v>
      </c>
      <c r="T75" s="227">
        <f t="shared" si="13"/>
        <v>6261.5023117045239</v>
      </c>
      <c r="U75" s="227">
        <f t="shared" si="13"/>
        <v>6562.2687609834811</v>
      </c>
      <c r="V75" s="227">
        <f t="shared" si="13"/>
        <v>6874.5590331600706</v>
      </c>
      <c r="W75" s="227">
        <f t="shared" si="13"/>
        <v>7181.6516085564017</v>
      </c>
      <c r="X75" s="227">
        <f t="shared" si="13"/>
        <v>7439.7069313501925</v>
      </c>
      <c r="Y75" s="227">
        <f t="shared" si="13"/>
        <v>7651.4308186434473</v>
      </c>
      <c r="Z75" s="227">
        <f t="shared" si="13"/>
        <v>7866.3398581972169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3517.6999203673222</v>
      </c>
      <c r="G76" s="227">
        <f t="shared" si="14"/>
        <v>2902.9291757774181</v>
      </c>
      <c r="H76" s="227">
        <f t="shared" si="14"/>
        <v>2602.0781228550813</v>
      </c>
      <c r="I76" s="227">
        <f t="shared" si="14"/>
        <v>2735.0986069482433</v>
      </c>
      <c r="J76" s="227">
        <f t="shared" ca="1" si="14"/>
        <v>5578.9703250298198</v>
      </c>
      <c r="K76" s="227">
        <f t="shared" ca="1" si="14"/>
        <v>5262.1956361690463</v>
      </c>
      <c r="L76" s="227">
        <f t="shared" ca="1" si="14"/>
        <v>5130.2341157420688</v>
      </c>
      <c r="M76" s="227">
        <f t="shared" ca="1" si="14"/>
        <v>5078.3005584164657</v>
      </c>
      <c r="N76" s="227">
        <f t="shared" ca="1" si="14"/>
        <v>4995.8258497524012</v>
      </c>
      <c r="O76" s="227">
        <f t="shared" ca="1" si="14"/>
        <v>5050.1000374607875</v>
      </c>
      <c r="P76" s="227">
        <f t="shared" ca="1" si="14"/>
        <v>5538.0367972892809</v>
      </c>
      <c r="Q76" s="227">
        <f t="shared" ca="1" si="14"/>
        <v>6018.8085517560694</v>
      </c>
      <c r="R76" s="227">
        <f t="shared" ca="1" si="14"/>
        <v>6029.029322553416</v>
      </c>
      <c r="S76" s="227">
        <f t="shared" ca="1" si="14"/>
        <v>6144.7524301892754</v>
      </c>
      <c r="T76" s="227">
        <f t="shared" ca="1" si="14"/>
        <v>6232.8332732657691</v>
      </c>
      <c r="U76" s="227">
        <f t="shared" ca="1" si="14"/>
        <v>4943.4870664010723</v>
      </c>
      <c r="V76" s="227">
        <f t="shared" ca="1" si="14"/>
        <v>4635.0403763193308</v>
      </c>
      <c r="W76" s="227">
        <f t="shared" si="14"/>
        <v>5030.8802796139944</v>
      </c>
      <c r="X76" s="227">
        <f t="shared" si="14"/>
        <v>5687.3988088069618</v>
      </c>
      <c r="Y76" s="227">
        <f t="shared" si="14"/>
        <v>6368.7618495091956</v>
      </c>
      <c r="Z76" s="227">
        <f t="shared" ca="1" si="14"/>
        <v>9096.1938908791963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f>Assumptions!$P$30*'Power Price Assumption'!I23*MONTH(Assumptions!$L$38)</f>
        <v>10200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f>5/12*Assumptions!$P$26*Assumptions!$P$17/1000*(1+Assumptions!$P$39)^(I5-$E$5)</f>
        <v>349.22334252880415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f>H12*(1+Assumptions!$P$39)*5/12</f>
        <v>1076.9431048485001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Assumption'!I25*(12-MONTH(Assumptions!$L$38)),Assumptions!$P$33*(1-Assumptions!$P$35)*'Power Price Assumption'!I25*(12-MONTH(Assumptions!$L$38))-7/12*VLOOKUP(120,'EGC Start Charge Matrix'!$U$10:$AM$35,17)*2/3*(1+Assumptions!$P$52)^(I5-$E$5))</f>
        <v>20511.826006152467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7/12*Assumptions!$P$26*Assumptions!$P$34/1000*(1+Assumptions!$P$39)^(I5-$E$5)+H12*(1+Assumptions!$P$39)*Assumptions!P53/12*1/3</f>
        <v>933.68049333308181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Assumptions!$P$33*Assumptions!$P$35*Assumptions!$P$36*Assumptions!$P$14/1000*7/12</f>
        <v>7.3443159999999992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133.43342657258353</v>
      </c>
      <c r="G19" s="254">
        <f>(SUM(G10:G17)-SUM(G25:G35))*Assumptions!$B$34/4</f>
        <v>270.69277419743315</v>
      </c>
      <c r="H19" s="254">
        <f>(SUM(H10:H17)-SUM(H25:H35))*Assumptions!$B$34/4</f>
        <v>269.86309579228606</v>
      </c>
      <c r="I19" s="254">
        <f>(SUM(I10:I17)-SUM(I25:I35))*Assumptions!$B$34/4</f>
        <v>330.32322900128423</v>
      </c>
      <c r="J19" s="254">
        <f>(SUM(J10:J17)-SUM(J25:J35))*Assumptions!$B$34/4</f>
        <v>380.35274432294113</v>
      </c>
      <c r="K19" s="254">
        <f>(SUM(K10:K17)-SUM(K25:K35))*Assumptions!$B$34/4</f>
        <v>384.05842721742187</v>
      </c>
      <c r="L19" s="254">
        <f>(SUM(L10:L17)-SUM(L25:L35))*Assumptions!$B$34/4</f>
        <v>387.63817531315681</v>
      </c>
      <c r="M19" s="254">
        <f>(SUM(M10:M17)-SUM(M25:M35))*Assumptions!$B$34/4</f>
        <v>399.4659306566881</v>
      </c>
      <c r="N19" s="254">
        <f>(SUM(N10:N17)-SUM(N25:N35))*Assumptions!$B$34/4</f>
        <v>403.01214041398089</v>
      </c>
      <c r="O19" s="254">
        <f>(SUM(O10:O17)-SUM(O25:O35))*Assumptions!$B$34/4</f>
        <v>415.30111471053698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15505.779816572582</v>
      </c>
      <c r="G20" s="253">
        <f t="shared" si="1"/>
        <v>27977.009555897432</v>
      </c>
      <c r="H20" s="253">
        <f t="shared" si="1"/>
        <v>28072.969380943287</v>
      </c>
      <c r="I20" s="253">
        <f t="shared" si="1"/>
        <v>33409.340491864139</v>
      </c>
      <c r="J20" s="253">
        <f t="shared" si="1"/>
        <v>37772.486962148883</v>
      </c>
      <c r="K20" s="253">
        <f t="shared" si="1"/>
        <v>38265.298202350619</v>
      </c>
      <c r="L20" s="253">
        <f t="shared" si="1"/>
        <v>38753.688251626409</v>
      </c>
      <c r="M20" s="253">
        <f t="shared" si="1"/>
        <v>39916.119801579342</v>
      </c>
      <c r="N20" s="253">
        <f t="shared" si="1"/>
        <v>40413.87766006076</v>
      </c>
      <c r="O20" s="253">
        <f t="shared" si="1"/>
        <v>41626.114892266727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5/12*Assumptions!P59*(1+Assumptions!$P$52)^(I5-$E$5)+7/12*Assumptions!$P$60*(1+Assumptions!$P$52)^4</f>
        <v>852.12659392248588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219.58131425214086</v>
      </c>
      <c r="G32" s="253">
        <f>Allocation!$I$12*IS!F31</f>
        <v>376.42511014652717</v>
      </c>
      <c r="H32" s="253">
        <f>Allocation!$I$12*IS!G31</f>
        <v>376.42511014652717</v>
      </c>
      <c r="I32" s="253">
        <f>Allocation!$I$12*IS!H31</f>
        <v>376.42511014652717</v>
      </c>
      <c r="J32" s="253">
        <f>Allocation!$I$12*IS!I31</f>
        <v>306.53994003082846</v>
      </c>
      <c r="K32" s="253">
        <f>Allocation!$I$12*IS!J31</f>
        <v>306.53994003082846</v>
      </c>
      <c r="L32" s="253">
        <f>Allocation!$I$12*IS!K31</f>
        <v>306.53994003082846</v>
      </c>
      <c r="M32" s="253">
        <f>Allocation!$I$12*IS!L31</f>
        <v>306.53994003082846</v>
      </c>
      <c r="N32" s="253">
        <f>Allocation!$I$12*IS!M31</f>
        <v>306.53994003082846</v>
      </c>
      <c r="O32" s="253">
        <f>Allocation!$I$12*IS!N31</f>
        <v>306.53994003082846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Assumptions!$P$50*Assumptions!$P$33*7</f>
        <v>257.05105999999995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4697.6722641933175</v>
      </c>
      <c r="G36" s="253">
        <f t="shared" si="2"/>
        <v>6050.8948459053499</v>
      </c>
      <c r="H36" s="187">
        <f t="shared" si="2"/>
        <v>6214.0586217681148</v>
      </c>
      <c r="I36" s="253">
        <f t="shared" si="2"/>
        <v>6653.1589427601193</v>
      </c>
      <c r="J36" s="253">
        <f t="shared" si="2"/>
        <v>6963.9146719906548</v>
      </c>
      <c r="K36" s="253">
        <f t="shared" si="2"/>
        <v>7156.565597739449</v>
      </c>
      <c r="L36" s="253">
        <f t="shared" si="2"/>
        <v>7354.9960512607076</v>
      </c>
      <c r="M36" s="253">
        <f t="shared" si="2"/>
        <v>7559.3794183876043</v>
      </c>
      <c r="N36" s="253">
        <f t="shared" si="2"/>
        <v>7769.8942865283079</v>
      </c>
      <c r="O36" s="253">
        <f t="shared" si="2"/>
        <v>7986.7246007132317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10808.107552379264</v>
      </c>
      <c r="G39" s="259">
        <f t="shared" si="3"/>
        <v>21926.114709992082</v>
      </c>
      <c r="H39" s="260">
        <f t="shared" si="3"/>
        <v>21858.910759175171</v>
      </c>
      <c r="I39" s="259">
        <f t="shared" si="3"/>
        <v>26756.181549104018</v>
      </c>
      <c r="J39" s="259">
        <f t="shared" si="3"/>
        <v>30808.572290158227</v>
      </c>
      <c r="K39" s="259">
        <f t="shared" si="3"/>
        <v>31108.73260461117</v>
      </c>
      <c r="L39" s="259">
        <f t="shared" si="3"/>
        <v>31398.692200365702</v>
      </c>
      <c r="M39" s="259">
        <f t="shared" si="3"/>
        <v>32356.740383191736</v>
      </c>
      <c r="N39" s="259">
        <f t="shared" si="3"/>
        <v>32643.98337353245</v>
      </c>
      <c r="O39" s="259">
        <f t="shared" si="3"/>
        <v>33639.390291553493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5207.5312010113767</v>
      </c>
      <c r="G41" s="253">
        <f>Allocation!$G$12*IS!F40</f>
        <v>7158.9747943691555</v>
      </c>
      <c r="H41" s="253">
        <f>Allocation!$G$12*IS!G40</f>
        <v>7158.9747943691555</v>
      </c>
      <c r="I41" s="253">
        <f>Allocation!$G$12*IS!H40</f>
        <v>7158.9747943691555</v>
      </c>
      <c r="J41" s="253">
        <f>Allocation!$G$12*IS!I40</f>
        <v>7158.9747943691555</v>
      </c>
      <c r="K41" s="253">
        <f>Allocation!$G$12*IS!J40</f>
        <v>7158.9747943691555</v>
      </c>
      <c r="L41" s="253">
        <f>Allocation!$G$12*IS!K40</f>
        <v>7158.9747943691555</v>
      </c>
      <c r="M41" s="253">
        <f>Allocation!$G$12*IS!L40</f>
        <v>7158.9747943691555</v>
      </c>
      <c r="N41" s="253">
        <f>Allocation!$G$12*IS!M40</f>
        <v>7158.9747943691555</v>
      </c>
      <c r="O41" s="253">
        <f>Allocation!$G$12*IS!N40</f>
        <v>7158.9747943691555</v>
      </c>
      <c r="P41" s="253">
        <f>Allocation!$G$12*IS!O40</f>
        <v>7158.9747943691555</v>
      </c>
      <c r="Q41" s="253">
        <f>Allocation!$G$12*IS!P40</f>
        <v>7158.9747943691555</v>
      </c>
      <c r="R41" s="253">
        <f>Allocation!$G$12*IS!Q40</f>
        <v>7158.9747943691555</v>
      </c>
      <c r="S41" s="253">
        <f>Allocation!$G$12*IS!R40</f>
        <v>7158.9747943691555</v>
      </c>
      <c r="T41" s="253">
        <f>Allocation!$G$12*IS!S40</f>
        <v>7158.9747943691555</v>
      </c>
      <c r="U41" s="253">
        <f>Allocation!$G$12*IS!T40</f>
        <v>7158.9747943691555</v>
      </c>
      <c r="V41" s="253">
        <f>Allocation!$G$12*IS!U40</f>
        <v>7158.9747943691555</v>
      </c>
      <c r="W41" s="253">
        <f>Allocation!$G$12*IS!V40</f>
        <v>7158.9747943691555</v>
      </c>
      <c r="X41" s="253">
        <f>Allocation!$G$12*IS!W40</f>
        <v>7158.9747943691555</v>
      </c>
      <c r="Y41" s="253">
        <f>Allocation!$G$12*IS!X40</f>
        <v>7158.9747943691555</v>
      </c>
      <c r="Z41" s="253">
        <f>Allocation!$G$12*IS!Y40</f>
        <v>6975.0210371437224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5600.5763513678876</v>
      </c>
      <c r="G44" s="259">
        <f t="shared" si="4"/>
        <v>14767.139915622927</v>
      </c>
      <c r="H44" s="259">
        <f t="shared" si="4"/>
        <v>14699.935964806016</v>
      </c>
      <c r="I44" s="259">
        <f t="shared" si="4"/>
        <v>19597.206754734863</v>
      </c>
      <c r="J44" s="259">
        <f t="shared" si="4"/>
        <v>23649.597495789072</v>
      </c>
      <c r="K44" s="259">
        <f t="shared" si="4"/>
        <v>23949.757810242016</v>
      </c>
      <c r="L44" s="259">
        <f t="shared" si="4"/>
        <v>24239.717405996547</v>
      </c>
      <c r="M44" s="259">
        <f t="shared" si="4"/>
        <v>25197.765588822582</v>
      </c>
      <c r="N44" s="259">
        <f t="shared" si="4"/>
        <v>25485.008579163296</v>
      </c>
      <c r="O44" s="259">
        <f t="shared" si="4"/>
        <v>26480.415497184338</v>
      </c>
      <c r="P44" s="259">
        <f t="shared" si="4"/>
        <v>26803.851548206891</v>
      </c>
      <c r="Q44" s="259">
        <f t="shared" si="4"/>
        <v>27849.666787705741</v>
      </c>
      <c r="R44" s="259">
        <f t="shared" si="4"/>
        <v>28127.752145194601</v>
      </c>
      <c r="S44" s="259">
        <f t="shared" si="4"/>
        <v>28395.229943696235</v>
      </c>
      <c r="T44" s="259">
        <f t="shared" si="4"/>
        <v>28646.283358187851</v>
      </c>
      <c r="U44" s="259">
        <f t="shared" si="4"/>
        <v>28876.851021649556</v>
      </c>
      <c r="V44" s="259">
        <f t="shared" si="4"/>
        <v>29100.133596796637</v>
      </c>
      <c r="W44" s="259">
        <f t="shared" si="4"/>
        <v>29310.477407105427</v>
      </c>
      <c r="X44" s="259">
        <f t="shared" si="4"/>
        <v>29514.034439472853</v>
      </c>
      <c r="Y44" s="259">
        <f t="shared" si="4"/>
        <v>29693.444565505466</v>
      </c>
      <c r="Z44" s="259">
        <f t="shared" si="4"/>
        <v>29951.460375418472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6386.637976202991</v>
      </c>
      <c r="G46" s="156">
        <f>Allocation!$I$12*IS!F44</f>
        <v>11744.997127043063</v>
      </c>
      <c r="H46" s="156">
        <f>Allocation!$I$12*IS!G44</f>
        <v>11398.996132295548</v>
      </c>
      <c r="I46" s="156">
        <f>Allocation!$I$12*IS!H44</f>
        <v>10820.747944582494</v>
      </c>
      <c r="J46" s="156">
        <f>Allocation!$I$12*IS!I44</f>
        <v>10378.797399589597</v>
      </c>
      <c r="K46" s="156">
        <f>Allocation!$I$12*IS!J44</f>
        <v>9967.6100345159703</v>
      </c>
      <c r="L46" s="156">
        <f>Allocation!$I$12*IS!K44</f>
        <v>9516.9314159092391</v>
      </c>
      <c r="M46" s="156">
        <f>Allocation!$I$12*IS!L44</f>
        <v>8997.1868531618984</v>
      </c>
      <c r="N46" s="156">
        <f>Allocation!$I$12*IS!M44</f>
        <v>8404.526386549891</v>
      </c>
      <c r="O46" s="156">
        <f>Allocation!$I$12*IS!N44</f>
        <v>7684.7032204328516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-786.06162483510343</v>
      </c>
      <c r="G49" s="259">
        <f t="shared" si="5"/>
        <v>3022.1427885798639</v>
      </c>
      <c r="H49" s="259">
        <f t="shared" si="5"/>
        <v>3300.9398325104685</v>
      </c>
      <c r="I49" s="259">
        <f t="shared" si="5"/>
        <v>8776.4588101523696</v>
      </c>
      <c r="J49" s="259">
        <f t="shared" si="5"/>
        <v>13270.800096199475</v>
      </c>
      <c r="K49" s="259">
        <f t="shared" si="5"/>
        <v>13982.147775726045</v>
      </c>
      <c r="L49" s="259">
        <f t="shared" si="5"/>
        <v>14722.785990087308</v>
      </c>
      <c r="M49" s="259">
        <f t="shared" si="5"/>
        <v>16200.578735660683</v>
      </c>
      <c r="N49" s="259">
        <f t="shared" si="5"/>
        <v>17080.482192613403</v>
      </c>
      <c r="O49" s="259">
        <f t="shared" si="5"/>
        <v>18795.712276751488</v>
      </c>
      <c r="P49" s="259">
        <f t="shared" si="5"/>
        <v>19754.236236961002</v>
      </c>
      <c r="Q49" s="259">
        <f t="shared" si="5"/>
        <v>21408.996108213323</v>
      </c>
      <c r="R49" s="259">
        <f t="shared" si="5"/>
        <v>22359.807721151163</v>
      </c>
      <c r="S49" s="259">
        <f t="shared" si="5"/>
        <v>23352.078695822311</v>
      </c>
      <c r="T49" s="259">
        <f t="shared" si="5"/>
        <v>24377.155925829018</v>
      </c>
      <c r="U49" s="259">
        <f t="shared" si="5"/>
        <v>25446.047046072497</v>
      </c>
      <c r="V49" s="259">
        <f t="shared" si="5"/>
        <v>26542.553047097361</v>
      </c>
      <c r="W49" s="259">
        <f t="shared" si="5"/>
        <v>27618.130548122892</v>
      </c>
      <c r="X49" s="259">
        <f t="shared" si="5"/>
        <v>28612.384740083246</v>
      </c>
      <c r="Y49" s="259">
        <f t="shared" si="5"/>
        <v>29476.986724562546</v>
      </c>
      <c r="Z49" s="259">
        <f t="shared" si="5"/>
        <v>29951.460375418472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64.850084048896036</v>
      </c>
      <c r="G51" s="253">
        <f t="shared" si="6"/>
        <v>-249.32678005783879</v>
      </c>
      <c r="H51" s="187">
        <f t="shared" si="6"/>
        <v>-272.32753618211365</v>
      </c>
      <c r="I51" s="253">
        <f t="shared" si="6"/>
        <v>-724.05785183757052</v>
      </c>
      <c r="J51" s="253">
        <f t="shared" si="6"/>
        <v>-1094.8410079364567</v>
      </c>
      <c r="K51" s="253">
        <f t="shared" si="6"/>
        <v>-1153.5271914973987</v>
      </c>
      <c r="L51" s="253">
        <f t="shared" si="6"/>
        <v>-1214.629844182203</v>
      </c>
      <c r="M51" s="253">
        <f t="shared" si="6"/>
        <v>-1336.5477456920064</v>
      </c>
      <c r="N51" s="253">
        <f t="shared" si="6"/>
        <v>-1409.1397808906058</v>
      </c>
      <c r="O51" s="253">
        <f t="shared" si="6"/>
        <v>-1550.6462628319978</v>
      </c>
      <c r="P51" s="253">
        <f t="shared" si="6"/>
        <v>-1629.7244895492827</v>
      </c>
      <c r="Q51" s="253">
        <f t="shared" si="6"/>
        <v>-1766.2421789275993</v>
      </c>
      <c r="R51" s="253">
        <f t="shared" si="6"/>
        <v>-1844.6841369949709</v>
      </c>
      <c r="S51" s="253">
        <f t="shared" si="6"/>
        <v>-1926.5464924053408</v>
      </c>
      <c r="T51" s="253">
        <f t="shared" si="6"/>
        <v>-2011.1153638808942</v>
      </c>
      <c r="U51" s="253">
        <f t="shared" si="6"/>
        <v>-2099.2988813009811</v>
      </c>
      <c r="V51" s="253">
        <f t="shared" si="6"/>
        <v>-2189.7606263855323</v>
      </c>
      <c r="W51" s="253">
        <f t="shared" si="6"/>
        <v>-2278.4957702201386</v>
      </c>
      <c r="X51" s="253">
        <f t="shared" si="6"/>
        <v>-2360.521741056868</v>
      </c>
      <c r="Y51" s="253">
        <f t="shared" si="6"/>
        <v>-2431.8514047764102</v>
      </c>
      <c r="Z51" s="253">
        <f t="shared" si="6"/>
        <v>-2470.9954809720239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252.42403927517256</v>
      </c>
      <c r="G52" s="228">
        <f t="shared" si="7"/>
        <v>-970.48560298270877</v>
      </c>
      <c r="H52" s="228">
        <f t="shared" si="7"/>
        <v>-1060.0143037149242</v>
      </c>
      <c r="I52" s="228">
        <f t="shared" si="7"/>
        <v>-2818.3403354101797</v>
      </c>
      <c r="J52" s="228">
        <f t="shared" si="7"/>
        <v>-4261.5856808920562</v>
      </c>
      <c r="K52" s="228">
        <f t="shared" si="7"/>
        <v>-4490.0172044800265</v>
      </c>
      <c r="L52" s="228">
        <f t="shared" si="7"/>
        <v>-4727.8546510667866</v>
      </c>
      <c r="M52" s="228">
        <f t="shared" si="7"/>
        <v>-5202.410846489036</v>
      </c>
      <c r="N52" s="228">
        <f t="shared" si="7"/>
        <v>-5484.9698441029786</v>
      </c>
      <c r="O52" s="228">
        <f t="shared" si="7"/>
        <v>-6035.7731048718215</v>
      </c>
      <c r="P52" s="228">
        <f t="shared" si="7"/>
        <v>-6343.5791115941011</v>
      </c>
      <c r="Q52" s="228">
        <f t="shared" si="7"/>
        <v>-6874.9638752500032</v>
      </c>
      <c r="R52" s="228">
        <f t="shared" si="7"/>
        <v>-7180.2932544546657</v>
      </c>
      <c r="S52" s="228">
        <f t="shared" si="7"/>
        <v>-7498.9362711959384</v>
      </c>
      <c r="T52" s="228">
        <f t="shared" si="7"/>
        <v>-7828.1141966818432</v>
      </c>
      <c r="U52" s="228">
        <f t="shared" si="7"/>
        <v>-8171.361857670031</v>
      </c>
      <c r="V52" s="228">
        <f t="shared" si="7"/>
        <v>-8523.4773472491397</v>
      </c>
      <c r="W52" s="228">
        <f t="shared" si="7"/>
        <v>-8868.8721722659629</v>
      </c>
      <c r="X52" s="228">
        <f t="shared" si="7"/>
        <v>-9188.1520496592311</v>
      </c>
      <c r="Y52" s="228">
        <f t="shared" si="7"/>
        <v>-9465.7973619251461</v>
      </c>
      <c r="Z52" s="228">
        <f t="shared" si="7"/>
        <v>-9618.1627130562574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-468.7875015110348</v>
      </c>
      <c r="G54" s="261">
        <f t="shared" si="8"/>
        <v>1802.3304055393164</v>
      </c>
      <c r="H54" s="261">
        <f t="shared" si="8"/>
        <v>1968.5979926134305</v>
      </c>
      <c r="I54" s="261">
        <f t="shared" si="8"/>
        <v>5234.0606229046189</v>
      </c>
      <c r="J54" s="261">
        <f t="shared" si="8"/>
        <v>7914.373407370962</v>
      </c>
      <c r="K54" s="261">
        <f t="shared" si="8"/>
        <v>8338.6033797486198</v>
      </c>
      <c r="L54" s="261">
        <f t="shared" si="8"/>
        <v>8780.301494838317</v>
      </c>
      <c r="M54" s="261">
        <f t="shared" si="8"/>
        <v>9661.6201434796403</v>
      </c>
      <c r="N54" s="261">
        <f t="shared" si="8"/>
        <v>10186.372567619819</v>
      </c>
      <c r="O54" s="261">
        <f t="shared" si="8"/>
        <v>11209.29290904767</v>
      </c>
      <c r="P54" s="261">
        <f t="shared" si="8"/>
        <v>11780.932635817617</v>
      </c>
      <c r="Q54" s="261">
        <f t="shared" si="8"/>
        <v>12767.790054035722</v>
      </c>
      <c r="R54" s="261">
        <f t="shared" si="8"/>
        <v>13334.830329701525</v>
      </c>
      <c r="S54" s="261">
        <f t="shared" si="8"/>
        <v>13926.595932221031</v>
      </c>
      <c r="T54" s="261">
        <f t="shared" si="8"/>
        <v>14537.926365266281</v>
      </c>
      <c r="U54" s="261">
        <f t="shared" si="8"/>
        <v>15175.386307101486</v>
      </c>
      <c r="V54" s="261">
        <f t="shared" si="8"/>
        <v>15829.315073462687</v>
      </c>
      <c r="W54" s="261">
        <f t="shared" si="8"/>
        <v>16470.762605636788</v>
      </c>
      <c r="X54" s="261">
        <f t="shared" si="8"/>
        <v>17063.710949367145</v>
      </c>
      <c r="Y54" s="261">
        <f t="shared" si="8"/>
        <v>17579.337957860989</v>
      </c>
      <c r="Z54" s="261">
        <f t="shared" si="8"/>
        <v>17862.302181390194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10808.107552379264</v>
      </c>
      <c r="G64" s="135">
        <f t="shared" si="10"/>
        <v>21926.114709992082</v>
      </c>
      <c r="H64" s="142">
        <f t="shared" si="10"/>
        <v>21858.910759175171</v>
      </c>
      <c r="I64" s="135">
        <f t="shared" si="10"/>
        <v>26756.181549104018</v>
      </c>
      <c r="J64" s="135">
        <f t="shared" si="10"/>
        <v>30808.572290158227</v>
      </c>
      <c r="K64" s="135">
        <f t="shared" si="10"/>
        <v>31108.73260461117</v>
      </c>
      <c r="L64" s="135">
        <f t="shared" si="10"/>
        <v>31398.692200365702</v>
      </c>
      <c r="M64" s="135">
        <f t="shared" si="10"/>
        <v>32356.740383191736</v>
      </c>
      <c r="N64" s="135">
        <f t="shared" si="10"/>
        <v>32643.98337353245</v>
      </c>
      <c r="O64" s="135">
        <f t="shared" si="10"/>
        <v>33639.390291553493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-5201.973349215903</v>
      </c>
      <c r="G66" s="262">
        <f>Allocation!$I$12*(CF!H16+CF!H15)</f>
        <v>-15852.482861176739</v>
      </c>
      <c r="H66" s="262">
        <f>Allocation!$I$12*(CF!I16+CF!I15)</f>
        <v>-15770.159513569557</v>
      </c>
      <c r="I66" s="262">
        <f>Allocation!$I$12*(CF!J16+CF!J15)</f>
        <v>-18821.255507326357</v>
      </c>
      <c r="J66" s="262">
        <f>Allocation!$I$12*(CF!K16+CF!K15)</f>
        <v>-14170.373989556982</v>
      </c>
      <c r="K66" s="262">
        <f>Allocation!$I$12*(CF!L16+CF!L15)</f>
        <v>-14437.32433474432</v>
      </c>
      <c r="L66" s="262">
        <f>Allocation!$I$12*(CF!M16+CF!M15)</f>
        <v>-14518.665356231828</v>
      </c>
      <c r="M66" s="262">
        <f>Allocation!$I$12*(CF!N16+CF!N15)</f>
        <v>-14841.909659830992</v>
      </c>
      <c r="N66" s="262">
        <f>Allocation!$I$12*(CF!O16+CF!O15)</f>
        <v>-14998.57262997143</v>
      </c>
      <c r="O66" s="262">
        <f>Allocation!$I$12*(CF!P16+CF!P15)</f>
        <v>-15326.997001541424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5606.1342031633612</v>
      </c>
      <c r="G67" s="263">
        <f t="shared" si="11"/>
        <v>6073.6318488153429</v>
      </c>
      <c r="H67" s="263">
        <f t="shared" si="11"/>
        <v>6088.7512456056138</v>
      </c>
      <c r="I67" s="263">
        <f t="shared" si="11"/>
        <v>7934.9260417776604</v>
      </c>
      <c r="J67" s="263">
        <f t="shared" si="11"/>
        <v>16638.198300601245</v>
      </c>
      <c r="K67" s="263">
        <f t="shared" si="11"/>
        <v>16671.40826986685</v>
      </c>
      <c r="L67" s="263">
        <f t="shared" si="11"/>
        <v>16880.026844133874</v>
      </c>
      <c r="M67" s="263">
        <f t="shared" si="11"/>
        <v>17514.830723360745</v>
      </c>
      <c r="N67" s="263">
        <f t="shared" si="11"/>
        <v>17645.41074356102</v>
      </c>
      <c r="O67" s="263">
        <f t="shared" si="11"/>
        <v>18312.393290012071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-160.99820244198236</v>
      </c>
      <c r="M69" s="486">
        <f ca="1">Allocation!$I$12*CF!N24</f>
        <v>-732.07320261816346</v>
      </c>
      <c r="N69" s="486">
        <f ca="1">Allocation!$I$12*CF!O24</f>
        <v>-789.64724154990813</v>
      </c>
      <c r="O69" s="486">
        <f ca="1">Allocation!$I$12*CF!P24</f>
        <v>-880.08266895846384</v>
      </c>
      <c r="P69" s="486">
        <f ca="1">Allocation!$I$12*CF!Q24</f>
        <v>-928.18203055429854</v>
      </c>
      <c r="Q69" s="486">
        <f ca="1">Allocation!$I$12*CF!R24</f>
        <v>-1012.775400412914</v>
      </c>
      <c r="R69" s="486">
        <f ca="1">Allocation!$I$12*CF!S24</f>
        <v>-1076.4367117171712</v>
      </c>
      <c r="S69" s="486">
        <f ca="1">Allocation!$I$12*CF!T24</f>
        <v>-1132.9568194775318</v>
      </c>
      <c r="T69" s="486">
        <f ca="1">Allocation!$I$12*CF!U24</f>
        <v>-1198.1033146375544</v>
      </c>
      <c r="U69" s="486">
        <f ca="1">Allocation!$I$12*CF!V24</f>
        <v>-1788.9630699122752</v>
      </c>
      <c r="V69" s="486">
        <f ca="1">Allocation!$I$12*CF!W24</f>
        <v>-2084.4029323622331</v>
      </c>
      <c r="W69" s="486">
        <f>Allocation!$I$12*CF!X24</f>
        <v>-2156.4378827187088</v>
      </c>
      <c r="X69" s="486">
        <f>Allocation!$I$12*CF!Y24</f>
        <v>-2221.1815776482258</v>
      </c>
      <c r="Y69" s="486">
        <f>Allocation!$I$12*CF!Z24</f>
        <v>-2255.6086575822678</v>
      </c>
      <c r="Z69" s="486">
        <f ca="1">Allocation!$I$12*CF!AA24</f>
        <v>-2308.8015149285347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902.85008995252974</v>
      </c>
      <c r="G70" s="486">
        <f>Allocation!$I$12*CF!H25</f>
        <v>3878.943245983035</v>
      </c>
      <c r="H70" s="486">
        <f>Allocation!$I$12*CF!I25</f>
        <v>3102.2685906915117</v>
      </c>
      <c r="I70" s="486">
        <f>Allocation!$I$12*CF!J25</f>
        <v>63.046226539860434</v>
      </c>
      <c r="J70" s="486">
        <f ca="1">Allocation!$I$12*CF!K25</f>
        <v>-2447.4092294575912</v>
      </c>
      <c r="K70" s="486">
        <f ca="1">Allocation!$I$12*CF!L25</f>
        <v>-3301.1129323867649</v>
      </c>
      <c r="L70" s="486">
        <f ca="1">Allocation!$I$12*CF!M25</f>
        <v>-3710.9720852697851</v>
      </c>
      <c r="M70" s="486">
        <f ca="1">Allocation!$I$12*CF!N25</f>
        <v>-3944.5689172137463</v>
      </c>
      <c r="N70" s="486">
        <f ca="1">Allocation!$I$12*CF!O25</f>
        <v>-4254.7903043597362</v>
      </c>
      <c r="O70" s="486">
        <f ca="1">Allocation!$I$12*CF!P25</f>
        <v>-4742.0759674531746</v>
      </c>
      <c r="P70" s="486">
        <f ca="1">Allocation!$I$12*CF!Q25</f>
        <v>-5001.2457417465175</v>
      </c>
      <c r="Q70" s="486">
        <f ca="1">Allocation!$I$12*CF!R25</f>
        <v>-5457.0531338943019</v>
      </c>
      <c r="R70" s="486">
        <f ca="1">Allocation!$I$12*CF!S25</f>
        <v>-5800.0740625415392</v>
      </c>
      <c r="S70" s="486">
        <f ca="1">Allocation!$I$12*CF!T25</f>
        <v>-6104.6166403489888</v>
      </c>
      <c r="T70" s="486">
        <f ca="1">Allocation!$I$12*CF!U25</f>
        <v>-6455.6400611689323</v>
      </c>
      <c r="U70" s="486">
        <f ca="1">Allocation!$I$12*CF!V25</f>
        <v>-9639.3203499075316</v>
      </c>
      <c r="V70" s="486">
        <f ca="1">Allocation!$I$12*CF!W25</f>
        <v>-11231.214294608923</v>
      </c>
      <c r="W70" s="486">
        <f>Allocation!$I$12*CF!X25</f>
        <v>-11619.35420344997</v>
      </c>
      <c r="X70" s="486">
        <f>Allocation!$I$12*CF!Y25</f>
        <v>-11968.207249417488</v>
      </c>
      <c r="Y70" s="486">
        <f>Allocation!$I$12*CF!Z25</f>
        <v>-12153.707809925079</v>
      </c>
      <c r="Z70" s="486">
        <f ca="1">Allocation!$I$12*CF!AA25</f>
        <v>-12440.322442116865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6508.984293115891</v>
      </c>
      <c r="G72" s="264">
        <f t="shared" si="12"/>
        <v>9952.5750947983779</v>
      </c>
      <c r="H72" s="264">
        <f t="shared" si="12"/>
        <v>9191.0198362971259</v>
      </c>
      <c r="I72" s="264">
        <f t="shared" si="12"/>
        <v>7997.9722683175205</v>
      </c>
      <c r="J72" s="264">
        <f t="shared" ca="1" si="12"/>
        <v>14190.789071143654</v>
      </c>
      <c r="K72" s="264">
        <f t="shared" ca="1" si="12"/>
        <v>13370.295337480085</v>
      </c>
      <c r="L72" s="264">
        <f t="shared" ca="1" si="12"/>
        <v>13008.056556422107</v>
      </c>
      <c r="M72" s="264">
        <f t="shared" ca="1" si="12"/>
        <v>12838.188603528835</v>
      </c>
      <c r="N72" s="264">
        <f t="shared" ca="1" si="12"/>
        <v>12600.973197651376</v>
      </c>
      <c r="O72" s="264">
        <f t="shared" ca="1" si="12"/>
        <v>12690.234653600432</v>
      </c>
      <c r="P72" s="264">
        <f t="shared" ca="1" si="12"/>
        <v>14697.312861738534</v>
      </c>
      <c r="Q72" s="264">
        <f t="shared" ca="1" si="12"/>
        <v>15797.913068466276</v>
      </c>
      <c r="R72" s="264">
        <f t="shared" ca="1" si="12"/>
        <v>15701.69402273263</v>
      </c>
      <c r="S72" s="264">
        <f t="shared" ca="1" si="12"/>
        <v>15872.088303021126</v>
      </c>
      <c r="T72" s="264">
        <f t="shared" ca="1" si="12"/>
        <v>15972.957774515338</v>
      </c>
      <c r="U72" s="264">
        <f t="shared" ca="1" si="12"/>
        <v>12556.852409013311</v>
      </c>
      <c r="V72" s="264">
        <f t="shared" ca="1" si="12"/>
        <v>11597.763738908709</v>
      </c>
      <c r="W72" s="264">
        <f t="shared" si="12"/>
        <v>12417.140447432042</v>
      </c>
      <c r="X72" s="264">
        <f t="shared" si="12"/>
        <v>14013.836510331706</v>
      </c>
      <c r="Y72" s="264">
        <f t="shared" si="12"/>
        <v>15733.039469663398</v>
      </c>
      <c r="Z72" s="264">
        <f t="shared" ca="1" si="12"/>
        <v>22177.357455516794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-234.3937507555174</v>
      </c>
      <c r="G75" s="155">
        <f t="shared" si="13"/>
        <v>901.16520276965821</v>
      </c>
      <c r="H75" s="263">
        <f t="shared" si="13"/>
        <v>984.29899630671525</v>
      </c>
      <c r="I75" s="155">
        <f t="shared" si="13"/>
        <v>2617.0303114523094</v>
      </c>
      <c r="J75" s="155">
        <f t="shared" si="13"/>
        <v>3957.186703685481</v>
      </c>
      <c r="K75" s="155">
        <f t="shared" si="13"/>
        <v>4169.3016898743099</v>
      </c>
      <c r="L75" s="155">
        <f t="shared" si="13"/>
        <v>4390.1507474191585</v>
      </c>
      <c r="M75" s="155">
        <f t="shared" si="13"/>
        <v>4830.8100717398202</v>
      </c>
      <c r="N75" s="155">
        <f t="shared" si="13"/>
        <v>5093.1862838099096</v>
      </c>
      <c r="O75" s="155">
        <f t="shared" si="13"/>
        <v>5604.646454523835</v>
      </c>
      <c r="P75" s="155">
        <f t="shared" si="13"/>
        <v>5890.4663179088084</v>
      </c>
      <c r="Q75" s="155">
        <f t="shared" si="13"/>
        <v>6383.8950270178611</v>
      </c>
      <c r="R75" s="155">
        <f t="shared" si="13"/>
        <v>6667.4151648507623</v>
      </c>
      <c r="S75" s="155">
        <f t="shared" si="13"/>
        <v>6963.2979661105155</v>
      </c>
      <c r="T75" s="155">
        <f t="shared" si="13"/>
        <v>7268.9631826331406</v>
      </c>
      <c r="U75" s="155">
        <f t="shared" si="13"/>
        <v>7587.6931535507429</v>
      </c>
      <c r="V75" s="155">
        <f t="shared" si="13"/>
        <v>7914.6575367313435</v>
      </c>
      <c r="W75" s="155">
        <f t="shared" si="13"/>
        <v>8235.381302818394</v>
      </c>
      <c r="X75" s="155">
        <f t="shared" si="13"/>
        <v>8531.8554746835725</v>
      </c>
      <c r="Y75" s="155">
        <f t="shared" si="13"/>
        <v>8789.6689789304946</v>
      </c>
      <c r="Z75" s="155">
        <f t="shared" si="13"/>
        <v>8931.1510906950971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3254.4921465579455</v>
      </c>
      <c r="G76" s="155">
        <f t="shared" si="14"/>
        <v>4976.287547399189</v>
      </c>
      <c r="H76" s="263">
        <f t="shared" si="14"/>
        <v>4595.509918148563</v>
      </c>
      <c r="I76" s="155">
        <f t="shared" si="14"/>
        <v>3998.9861341587603</v>
      </c>
      <c r="J76" s="155">
        <f t="shared" ca="1" si="14"/>
        <v>7095.394535571827</v>
      </c>
      <c r="K76" s="155">
        <f t="shared" ca="1" si="14"/>
        <v>6685.1476687400427</v>
      </c>
      <c r="L76" s="155">
        <f t="shared" ca="1" si="14"/>
        <v>6504.0282782110535</v>
      </c>
      <c r="M76" s="155">
        <f t="shared" ca="1" si="14"/>
        <v>6419.0943017644177</v>
      </c>
      <c r="N76" s="155">
        <f t="shared" ca="1" si="14"/>
        <v>6300.4865988256879</v>
      </c>
      <c r="O76" s="155">
        <f t="shared" ca="1" si="14"/>
        <v>6345.1173268002158</v>
      </c>
      <c r="P76" s="155">
        <f t="shared" ca="1" si="14"/>
        <v>7348.6564308692668</v>
      </c>
      <c r="Q76" s="155">
        <f t="shared" ca="1" si="14"/>
        <v>7898.956534233138</v>
      </c>
      <c r="R76" s="155">
        <f t="shared" ca="1" si="14"/>
        <v>7850.8470113663152</v>
      </c>
      <c r="S76" s="155">
        <f t="shared" ca="1" si="14"/>
        <v>7936.0441515105631</v>
      </c>
      <c r="T76" s="155">
        <f t="shared" ca="1" si="14"/>
        <v>7986.4788872576692</v>
      </c>
      <c r="U76" s="155">
        <f t="shared" ca="1" si="14"/>
        <v>6278.4262045066553</v>
      </c>
      <c r="V76" s="155">
        <f t="shared" ca="1" si="14"/>
        <v>5798.8818694543543</v>
      </c>
      <c r="W76" s="155">
        <f t="shared" si="14"/>
        <v>6208.5702237160212</v>
      </c>
      <c r="X76" s="155">
        <f t="shared" si="14"/>
        <v>7006.9182551658532</v>
      </c>
      <c r="Y76" s="155">
        <f t="shared" si="14"/>
        <v>7866.5197348316988</v>
      </c>
      <c r="Z76" s="155">
        <f t="shared" ca="1" si="14"/>
        <v>11088.678727758397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f>Assumptions!$Q$30*5*'Power Price Assumption'!I61</f>
        <v>9400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f>5/12*Assumptions!$Q$26*Assumptions!$Q$17/1000*(1+Assumptions!$Q$39)^(I5-$E$5)</f>
        <v>307.73286713416667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f>H12*(1+Assumptions!$Q$39)*5/12</f>
        <v>974.69062945999997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Assumption'!I63*(12-MONTH(Assumptions!$L$38)),Assumptions!$Q$33*(1-Assumptions!$Q$35)*'Power Price Assumption'!I63*(12-MONTH(Assumptions!$L$38))-2/3*7/12*VLOOKUP(120,'EGC Start Charge Matrix'!$U$10:$AM$35,18)*(1+Assumptions!$Q$52)^(I5-$E$5))</f>
        <v>21723.920629958615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7/12*Assumptions!$Q$26*Assumptions!$Q$34/1000*(1+Assumptions!$Q$39)^(I5-$E$5)+H12*(1+Assumptions!$Q$39)*Assumptions!Q53/12*1/3</f>
        <v>852.15073149075806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Assumptions!$Q$33*Assumptions!$Q$35*Assumptions!$Q$36*Assumptions!$Q$14/1000*7/12</f>
        <v>7.0603119999999997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118.91654077528898</v>
      </c>
      <c r="G19" s="254">
        <f>(SUM(G10:G17)-SUM(G25:G35))*Assumptions!$B$34/4</f>
        <v>243.51298965240272</v>
      </c>
      <c r="H19" s="254">
        <f>(SUM(H10:H17)-SUM(H25:H35))*Assumptions!$B$34/4</f>
        <v>241.50661506828411</v>
      </c>
      <c r="I19" s="254">
        <f>(SUM(I10:I17)-SUM(I25:I35))*Assumptions!$B$34/4</f>
        <v>329.04615496422934</v>
      </c>
      <c r="J19" s="254">
        <f>(SUM(J10:J17)-SUM(J25:J35))*Assumptions!$B$34/4</f>
        <v>405.51630314470464</v>
      </c>
      <c r="K19" s="254">
        <f>(SUM(K10:K17)-SUM(K25:K35))*Assumptions!$B$34/4</f>
        <v>416.91947032579867</v>
      </c>
      <c r="L19" s="254">
        <f>(SUM(L10:L17)-SUM(L25:L35))*Assumptions!$B$34/4</f>
        <v>420.66890744150106</v>
      </c>
      <c r="M19" s="254">
        <f>(SUM(M10:M17)-SUM(M25:M35))*Assumptions!$B$34/4</f>
        <v>424.11732546003623</v>
      </c>
      <c r="N19" s="254">
        <f>(SUM(N10:N17)-SUM(N25:N35))*Assumptions!$B$34/4</f>
        <v>427.95883297479031</v>
      </c>
      <c r="O19" s="254">
        <f>(SUM(O10:O17)-SUM(O25:O35))*Assumptions!$B$34/4</f>
        <v>432.50382200750141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14215.554540775291</v>
      </c>
      <c r="G20" s="253">
        <f t="shared" si="1"/>
        <v>25704.6501296524</v>
      </c>
      <c r="H20" s="253">
        <f t="shared" si="1"/>
        <v>25789.677869268282</v>
      </c>
      <c r="I20" s="253">
        <f t="shared" si="1"/>
        <v>33594.601325007767</v>
      </c>
      <c r="J20" s="253">
        <f t="shared" si="1"/>
        <v>40395.246424600315</v>
      </c>
      <c r="K20" s="253">
        <f t="shared" si="1"/>
        <v>41605.978393665071</v>
      </c>
      <c r="L20" s="253">
        <f t="shared" si="1"/>
        <v>42218.971056240625</v>
      </c>
      <c r="M20" s="253">
        <f t="shared" si="1"/>
        <v>42831.158033268395</v>
      </c>
      <c r="N20" s="253">
        <f t="shared" si="1"/>
        <v>43442.654834451809</v>
      </c>
      <c r="O20" s="253">
        <f t="shared" si="1"/>
        <v>44053.158991189062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5/12*Assumptions!Q59*(1+Assumptions!$Q$52)^(I5-$E$5)+7/12*Assumptions!$Q$60*(1+Assumptions!$Q$52)^4</f>
        <v>770.00734684092458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216.34752538768774</v>
      </c>
      <c r="G32" s="253">
        <f>Allocation!$I$14*IS!F31</f>
        <v>370.88147209317901</v>
      </c>
      <c r="H32" s="253">
        <f>Allocation!$I$14*IS!G31</f>
        <v>370.88147209317901</v>
      </c>
      <c r="I32" s="253">
        <f>Allocation!$I$14*IS!H31</f>
        <v>370.88147209317901</v>
      </c>
      <c r="J32" s="253">
        <f>Allocation!$I$14*IS!I31</f>
        <v>302.02550560384651</v>
      </c>
      <c r="K32" s="253">
        <f>Allocation!$I$14*IS!J31</f>
        <v>302.02550560384651</v>
      </c>
      <c r="L32" s="253">
        <f>Allocation!$I$14*IS!K31</f>
        <v>302.02550560384651</v>
      </c>
      <c r="M32" s="253">
        <f>Allocation!$I$14*IS!L31</f>
        <v>302.02550560384651</v>
      </c>
      <c r="N32" s="253">
        <f>Allocation!$I$14*IS!M31</f>
        <v>302.02550560384651</v>
      </c>
      <c r="O32" s="253">
        <f>Allocation!$I$14*IS!N31</f>
        <v>302.02550560384651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Assumptions!$Q$50*Assumptions!$Q$33*7</f>
        <v>247.11092000000002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4583.3147379768843</v>
      </c>
      <c r="G36" s="253">
        <f t="shared" si="2"/>
        <v>5980.0979678077811</v>
      </c>
      <c r="H36" s="187">
        <f t="shared" si="2"/>
        <v>6227.6420487372707</v>
      </c>
      <c r="I36" s="253">
        <f t="shared" si="2"/>
        <v>6941.8627729051905</v>
      </c>
      <c r="J36" s="253">
        <f t="shared" si="2"/>
        <v>7548.4258698792364</v>
      </c>
      <c r="K36" s="253">
        <f t="shared" si="2"/>
        <v>7835.5012972753821</v>
      </c>
      <c r="L36" s="253">
        <f t="shared" si="2"/>
        <v>8144.7895534790341</v>
      </c>
      <c r="M36" s="253">
        <f t="shared" si="2"/>
        <v>8477.6546710054608</v>
      </c>
      <c r="N36" s="253">
        <f t="shared" si="2"/>
        <v>8777.9893634937944</v>
      </c>
      <c r="O36" s="253">
        <f t="shared" si="2"/>
        <v>9020.3494085814509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9632.2398027984054</v>
      </c>
      <c r="G39" s="259">
        <f t="shared" si="3"/>
        <v>19724.552161844618</v>
      </c>
      <c r="H39" s="260">
        <f t="shared" si="3"/>
        <v>19562.035820531011</v>
      </c>
      <c r="I39" s="259">
        <f t="shared" si="3"/>
        <v>26652.738552102575</v>
      </c>
      <c r="J39" s="259">
        <f t="shared" si="3"/>
        <v>32846.820554721082</v>
      </c>
      <c r="K39" s="259">
        <f t="shared" si="3"/>
        <v>33770.477096389688</v>
      </c>
      <c r="L39" s="259">
        <f t="shared" si="3"/>
        <v>34074.181502761588</v>
      </c>
      <c r="M39" s="259">
        <f t="shared" si="3"/>
        <v>34353.503362262934</v>
      </c>
      <c r="N39" s="259">
        <f t="shared" si="3"/>
        <v>34664.665470958018</v>
      </c>
      <c r="O39" s="259">
        <f t="shared" si="3"/>
        <v>35032.80958260761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4920.3511715438372</v>
      </c>
      <c r="G41" s="253">
        <f>Allocation!$G$14*IS!F40</f>
        <v>6764.1783902679163</v>
      </c>
      <c r="H41" s="253">
        <f>Allocation!$G$14*IS!G40</f>
        <v>6764.1783902679163</v>
      </c>
      <c r="I41" s="253">
        <f>Allocation!$G$14*IS!H40</f>
        <v>6764.1783902679163</v>
      </c>
      <c r="J41" s="253">
        <f>Allocation!$G$14*IS!I40</f>
        <v>6764.1783902679163</v>
      </c>
      <c r="K41" s="253">
        <f>Allocation!$G$14*IS!J40</f>
        <v>6764.1783902679163</v>
      </c>
      <c r="L41" s="253">
        <f>Allocation!$G$14*IS!K40</f>
        <v>6764.1783902679163</v>
      </c>
      <c r="M41" s="253">
        <f>Allocation!$G$14*IS!L40</f>
        <v>6764.1783902679163</v>
      </c>
      <c r="N41" s="253">
        <f>Allocation!$G$14*IS!M40</f>
        <v>6764.1783902679163</v>
      </c>
      <c r="O41" s="253">
        <f>Allocation!$G$14*IS!N40</f>
        <v>6764.1783902679163</v>
      </c>
      <c r="P41" s="253">
        <f>Allocation!$G$14*IS!O40</f>
        <v>6764.1783902679163</v>
      </c>
      <c r="Q41" s="253">
        <f>Allocation!$G$14*IS!P40</f>
        <v>6764.1783902679163</v>
      </c>
      <c r="R41" s="253">
        <f>Allocation!$G$14*IS!Q40</f>
        <v>6764.1783902679163</v>
      </c>
      <c r="S41" s="253">
        <f>Allocation!$G$14*IS!R40</f>
        <v>6764.1783902679163</v>
      </c>
      <c r="T41" s="253">
        <f>Allocation!$G$14*IS!S40</f>
        <v>6764.1783902679163</v>
      </c>
      <c r="U41" s="253">
        <f>Allocation!$G$14*IS!T40</f>
        <v>6764.1783902679163</v>
      </c>
      <c r="V41" s="253">
        <f>Allocation!$G$14*IS!U40</f>
        <v>6764.1783902679163</v>
      </c>
      <c r="W41" s="253">
        <f>Allocation!$G$14*IS!V40</f>
        <v>6764.1783902679163</v>
      </c>
      <c r="X41" s="253">
        <f>Allocation!$G$14*IS!W40</f>
        <v>6764.1783902679163</v>
      </c>
      <c r="Y41" s="253">
        <f>Allocation!$G$14*IS!X40</f>
        <v>6764.1783902679163</v>
      </c>
      <c r="Z41" s="253">
        <f>Allocation!$G$14*IS!Y40</f>
        <v>6590.3691417130021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4711.8886312545683</v>
      </c>
      <c r="G44" s="259">
        <f t="shared" si="4"/>
        <v>12960.373771576702</v>
      </c>
      <c r="H44" s="259">
        <f t="shared" si="4"/>
        <v>12797.857430263095</v>
      </c>
      <c r="I44" s="259">
        <f t="shared" si="4"/>
        <v>19888.560161834659</v>
      </c>
      <c r="J44" s="259">
        <f t="shared" si="4"/>
        <v>26082.642164453166</v>
      </c>
      <c r="K44" s="259">
        <f t="shared" si="4"/>
        <v>27006.298706121772</v>
      </c>
      <c r="L44" s="259">
        <f t="shared" si="4"/>
        <v>27310.003112493672</v>
      </c>
      <c r="M44" s="259">
        <f t="shared" si="4"/>
        <v>27589.324971995018</v>
      </c>
      <c r="N44" s="259">
        <f t="shared" si="4"/>
        <v>27900.487080690102</v>
      </c>
      <c r="O44" s="259">
        <f t="shared" si="4"/>
        <v>28268.631192339693</v>
      </c>
      <c r="P44" s="259">
        <f t="shared" si="4"/>
        <v>28659.820153162014</v>
      </c>
      <c r="Q44" s="259">
        <f t="shared" si="4"/>
        <v>28869.194622922005</v>
      </c>
      <c r="R44" s="259">
        <f t="shared" si="4"/>
        <v>29217.843220353687</v>
      </c>
      <c r="S44" s="259">
        <f t="shared" si="4"/>
        <v>28807.120156533514</v>
      </c>
      <c r="T44" s="259">
        <f t="shared" si="4"/>
        <v>29114.403769837365</v>
      </c>
      <c r="U44" s="259">
        <f t="shared" si="4"/>
        <v>29404.991464197839</v>
      </c>
      <c r="V44" s="259">
        <f t="shared" si="4"/>
        <v>29692.037017570263</v>
      </c>
      <c r="W44" s="259">
        <f t="shared" si="4"/>
        <v>29961.421917964333</v>
      </c>
      <c r="X44" s="259">
        <f t="shared" si="4"/>
        <v>30224.587506931697</v>
      </c>
      <c r="Y44" s="259">
        <f t="shared" si="4"/>
        <v>29564.00957717625</v>
      </c>
      <c r="Z44" s="259">
        <f t="shared" si="4"/>
        <v>30769.695754397457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6292.5815268230472</v>
      </c>
      <c r="G46" s="253">
        <f>Allocation!$I$14*IS!F44</f>
        <v>11572.027760082938</v>
      </c>
      <c r="H46" s="253">
        <f>Allocation!$I$14*IS!G44</f>
        <v>11231.122345383819</v>
      </c>
      <c r="I46" s="253">
        <f>Allocation!$I$14*IS!H44</f>
        <v>10661.390057835973</v>
      </c>
      <c r="J46" s="253">
        <f>Allocation!$I$14*IS!I44</f>
        <v>10225.948148406649</v>
      </c>
      <c r="K46" s="253">
        <f>Allocation!$I$14*IS!J44</f>
        <v>9820.8163674655225</v>
      </c>
      <c r="L46" s="253">
        <f>Allocation!$I$14*IS!K44</f>
        <v>9376.7749233527193</v>
      </c>
      <c r="M46" s="253">
        <f>Allocation!$I$14*IS!L44</f>
        <v>8864.6846739293378</v>
      </c>
      <c r="N46" s="253">
        <f>Allocation!$I$14*IS!M44</f>
        <v>8280.7523580885318</v>
      </c>
      <c r="O46" s="253">
        <f>Allocation!$I$14*IS!N44</f>
        <v>7571.5300764178419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-1580.6928955684789</v>
      </c>
      <c r="G49" s="259">
        <f t="shared" si="5"/>
        <v>1388.3460114937643</v>
      </c>
      <c r="H49" s="259">
        <f t="shared" si="5"/>
        <v>1566.7350848792757</v>
      </c>
      <c r="I49" s="259">
        <f t="shared" si="5"/>
        <v>9227.1701039986856</v>
      </c>
      <c r="J49" s="259">
        <f t="shared" si="5"/>
        <v>15856.694016046516</v>
      </c>
      <c r="K49" s="259">
        <f t="shared" si="5"/>
        <v>17185.482338656249</v>
      </c>
      <c r="L49" s="259">
        <f t="shared" si="5"/>
        <v>17933.228189140951</v>
      </c>
      <c r="M49" s="259">
        <f t="shared" si="5"/>
        <v>18724.640298065679</v>
      </c>
      <c r="N49" s="259">
        <f t="shared" si="5"/>
        <v>19619.73472260157</v>
      </c>
      <c r="O49" s="259">
        <f t="shared" si="5"/>
        <v>20697.101115921851</v>
      </c>
      <c r="P49" s="259">
        <f t="shared" si="5"/>
        <v>21714.025003343922</v>
      </c>
      <c r="Q49" s="259">
        <f t="shared" si="5"/>
        <v>22523.376136084902</v>
      </c>
      <c r="R49" s="259">
        <f t="shared" si="5"/>
        <v>23534.843703907613</v>
      </c>
      <c r="S49" s="259">
        <f t="shared" si="5"/>
        <v>23838.239738136457</v>
      </c>
      <c r="T49" s="259">
        <f t="shared" si="5"/>
        <v>24908.148065879977</v>
      </c>
      <c r="U49" s="259">
        <f t="shared" si="5"/>
        <v>26024.713170781528</v>
      </c>
      <c r="V49" s="259">
        <f t="shared" si="5"/>
        <v>27172.122129586001</v>
      </c>
      <c r="W49" s="259">
        <f t="shared" si="5"/>
        <v>28293.998365621115</v>
      </c>
      <c r="X49" s="259">
        <f t="shared" si="5"/>
        <v>29336.216463640194</v>
      </c>
      <c r="Y49" s="259">
        <f t="shared" si="5"/>
        <v>29350.73952549513</v>
      </c>
      <c r="Z49" s="259">
        <f t="shared" si="5"/>
        <v>30769.695754397457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71.131180300581548</v>
      </c>
      <c r="G51" s="253">
        <f t="shared" si="6"/>
        <v>-62.475570517219388</v>
      </c>
      <c r="H51" s="187">
        <f t="shared" si="6"/>
        <v>-70.503078819567406</v>
      </c>
      <c r="I51" s="253">
        <f t="shared" si="6"/>
        <v>-415.22265467994083</v>
      </c>
      <c r="J51" s="253">
        <f t="shared" si="6"/>
        <v>-713.55123072209324</v>
      </c>
      <c r="K51" s="253">
        <f t="shared" si="6"/>
        <v>-773.34670523953116</v>
      </c>
      <c r="L51" s="253">
        <f t="shared" si="6"/>
        <v>-806.99526851134272</v>
      </c>
      <c r="M51" s="253">
        <f t="shared" si="6"/>
        <v>-842.60881341295556</v>
      </c>
      <c r="N51" s="253">
        <f t="shared" si="6"/>
        <v>-882.88806251707058</v>
      </c>
      <c r="O51" s="253">
        <f t="shared" si="6"/>
        <v>-931.36955021648328</v>
      </c>
      <c r="P51" s="253">
        <f t="shared" si="6"/>
        <v>-977.13112515047646</v>
      </c>
      <c r="Q51" s="253">
        <f t="shared" si="6"/>
        <v>-1013.5519261238205</v>
      </c>
      <c r="R51" s="253">
        <f t="shared" si="6"/>
        <v>-1059.0679666758426</v>
      </c>
      <c r="S51" s="253">
        <f t="shared" si="6"/>
        <v>-1072.7207882161406</v>
      </c>
      <c r="T51" s="253">
        <f t="shared" si="6"/>
        <v>-1120.8666629645988</v>
      </c>
      <c r="U51" s="253">
        <f t="shared" si="6"/>
        <v>-1171.1120926851688</v>
      </c>
      <c r="V51" s="253">
        <f t="shared" si="6"/>
        <v>-1222.7454958313699</v>
      </c>
      <c r="W51" s="253">
        <f t="shared" si="6"/>
        <v>-1273.2299264529502</v>
      </c>
      <c r="X51" s="253">
        <f t="shared" si="6"/>
        <v>-1320.1297408638086</v>
      </c>
      <c r="Y51" s="253">
        <f t="shared" si="6"/>
        <v>-1320.7832786472809</v>
      </c>
      <c r="Z51" s="253">
        <f t="shared" si="6"/>
        <v>-1384.6363089478855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528.34660034376407</v>
      </c>
      <c r="G52" s="228">
        <f t="shared" si="7"/>
        <v>-464.05465434179064</v>
      </c>
      <c r="H52" s="228">
        <f t="shared" si="7"/>
        <v>-523.68120212089786</v>
      </c>
      <c r="I52" s="228">
        <f t="shared" si="7"/>
        <v>-3084.1816072615602</v>
      </c>
      <c r="J52" s="228">
        <f t="shared" si="7"/>
        <v>-5300.0999748635477</v>
      </c>
      <c r="K52" s="228">
        <f t="shared" si="7"/>
        <v>-5744.2474716958504</v>
      </c>
      <c r="L52" s="228">
        <f t="shared" si="7"/>
        <v>-5994.1815222203631</v>
      </c>
      <c r="M52" s="228">
        <f t="shared" si="7"/>
        <v>-6258.711019628452</v>
      </c>
      <c r="N52" s="228">
        <f t="shared" si="7"/>
        <v>-6557.896331029574</v>
      </c>
      <c r="O52" s="228">
        <f t="shared" si="7"/>
        <v>-6918.0060479968779</v>
      </c>
      <c r="P52" s="228">
        <f t="shared" si="7"/>
        <v>-7257.9128573677053</v>
      </c>
      <c r="Q52" s="228">
        <f t="shared" si="7"/>
        <v>-7528.438473486377</v>
      </c>
      <c r="R52" s="228">
        <f t="shared" si="7"/>
        <v>-7866.5215080311182</v>
      </c>
      <c r="S52" s="228">
        <f t="shared" si="7"/>
        <v>-7967.9316324721094</v>
      </c>
      <c r="T52" s="228">
        <f t="shared" si="7"/>
        <v>-8325.5484910203813</v>
      </c>
      <c r="U52" s="228">
        <f t="shared" si="7"/>
        <v>-8698.760377333725</v>
      </c>
      <c r="V52" s="228">
        <f t="shared" si="7"/>
        <v>-9082.2818218141201</v>
      </c>
      <c r="W52" s="228">
        <f t="shared" si="7"/>
        <v>-9457.2689537088572</v>
      </c>
      <c r="X52" s="228">
        <f t="shared" si="7"/>
        <v>-9805.6303529717334</v>
      </c>
      <c r="Y52" s="228">
        <f t="shared" si="7"/>
        <v>-9810.484686396745</v>
      </c>
      <c r="Z52" s="228">
        <f t="shared" si="7"/>
        <v>-10284.77080590735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-981.21511492413333</v>
      </c>
      <c r="G54" s="261">
        <f t="shared" si="8"/>
        <v>861.8157866347542</v>
      </c>
      <c r="H54" s="261">
        <f t="shared" si="8"/>
        <v>972.55080393881042</v>
      </c>
      <c r="I54" s="261">
        <f t="shared" si="8"/>
        <v>5727.7658420571843</v>
      </c>
      <c r="J54" s="261">
        <f t="shared" si="8"/>
        <v>9843.0428104608764</v>
      </c>
      <c r="K54" s="261">
        <f t="shared" si="8"/>
        <v>10667.888161720868</v>
      </c>
      <c r="L54" s="261">
        <f t="shared" si="8"/>
        <v>11132.051398409247</v>
      </c>
      <c r="M54" s="261">
        <f t="shared" si="8"/>
        <v>11623.32046502427</v>
      </c>
      <c r="N54" s="261">
        <f t="shared" si="8"/>
        <v>12178.950329054926</v>
      </c>
      <c r="O54" s="261">
        <f t="shared" si="8"/>
        <v>12847.725517708488</v>
      </c>
      <c r="P54" s="261">
        <f t="shared" si="8"/>
        <v>13478.98102082574</v>
      </c>
      <c r="Q54" s="261">
        <f t="shared" si="8"/>
        <v>13981.385736474702</v>
      </c>
      <c r="R54" s="261">
        <f t="shared" si="8"/>
        <v>14609.254229200651</v>
      </c>
      <c r="S54" s="261">
        <f t="shared" si="8"/>
        <v>14797.587317448206</v>
      </c>
      <c r="T54" s="261">
        <f t="shared" si="8"/>
        <v>15461.732911894997</v>
      </c>
      <c r="U54" s="261">
        <f t="shared" si="8"/>
        <v>16154.840700762634</v>
      </c>
      <c r="V54" s="261">
        <f t="shared" si="8"/>
        <v>16867.094811940515</v>
      </c>
      <c r="W54" s="261">
        <f t="shared" si="8"/>
        <v>17563.49948545931</v>
      </c>
      <c r="X54" s="261">
        <f t="shared" si="8"/>
        <v>18210.456369804651</v>
      </c>
      <c r="Y54" s="261">
        <f t="shared" si="8"/>
        <v>18219.4715604511</v>
      </c>
      <c r="Z54" s="261">
        <f t="shared" si="8"/>
        <v>19100.288639542225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9632.2398027984054</v>
      </c>
      <c r="G64" s="135">
        <f t="shared" si="10"/>
        <v>19724.552161844618</v>
      </c>
      <c r="H64" s="135">
        <f t="shared" si="10"/>
        <v>19562.035820531011</v>
      </c>
      <c r="I64" s="135">
        <f t="shared" si="10"/>
        <v>26652.738552102575</v>
      </c>
      <c r="J64" s="135">
        <f t="shared" si="10"/>
        <v>32846.820554721082</v>
      </c>
      <c r="K64" s="135">
        <f t="shared" si="10"/>
        <v>33770.477096389688</v>
      </c>
      <c r="L64" s="135">
        <f t="shared" si="10"/>
        <v>34074.181502761588</v>
      </c>
      <c r="M64" s="135">
        <f t="shared" si="10"/>
        <v>34353.503362262934</v>
      </c>
      <c r="N64" s="135">
        <f t="shared" si="10"/>
        <v>34664.665470958018</v>
      </c>
      <c r="O64" s="135">
        <f t="shared" si="10"/>
        <v>35032.80958260761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-5125.3635359120281</v>
      </c>
      <c r="G66" s="262">
        <f>Allocation!$I$14*(CF!H16+CF!H15)</f>
        <v>-15619.02227403615</v>
      </c>
      <c r="H66" s="262">
        <f>Allocation!$I$14*(CF!I16+CF!I15)</f>
        <v>-15537.9113079364</v>
      </c>
      <c r="I66" s="262">
        <f>Allocation!$I$14*(CF!J16+CF!J15)</f>
        <v>-18544.073604658948</v>
      </c>
      <c r="J66" s="262">
        <f>Allocation!$I$14*(CF!K16+CF!K15)</f>
        <v>-13961.68593352346</v>
      </c>
      <c r="K66" s="262">
        <f>Allocation!$I$14*(CF!L16+CF!L15)</f>
        <v>-14224.704882924372</v>
      </c>
      <c r="L66" s="262">
        <f>Allocation!$I$14*(CF!M16+CF!M15)</f>
        <v>-14304.847989687645</v>
      </c>
      <c r="M66" s="262">
        <f>Allocation!$I$14*(CF!N16+CF!N15)</f>
        <v>-14623.331852567902</v>
      </c>
      <c r="N66" s="262">
        <f>Allocation!$I$14*(CF!O16+CF!O15)</f>
        <v>-14777.687636552553</v>
      </c>
      <c r="O66" s="262">
        <f>Allocation!$I$14*(CF!P16+CF!P15)</f>
        <v>-15101.275280192325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4506.8762668863774</v>
      </c>
      <c r="G67" s="153">
        <f t="shared" si="11"/>
        <v>4105.5298878084686</v>
      </c>
      <c r="H67" s="153">
        <f t="shared" si="11"/>
        <v>4024.1245125946116</v>
      </c>
      <c r="I67" s="153">
        <f t="shared" si="11"/>
        <v>8108.6649474436272</v>
      </c>
      <c r="J67" s="153">
        <f t="shared" si="11"/>
        <v>18885.13462119762</v>
      </c>
      <c r="K67" s="153">
        <f t="shared" si="11"/>
        <v>19545.772213465316</v>
      </c>
      <c r="L67" s="153">
        <f t="shared" si="11"/>
        <v>19769.333513073943</v>
      </c>
      <c r="M67" s="153">
        <f t="shared" si="11"/>
        <v>19730.171509695032</v>
      </c>
      <c r="N67" s="153">
        <f t="shared" si="11"/>
        <v>19886.977834405465</v>
      </c>
      <c r="O67" s="153">
        <f t="shared" si="11"/>
        <v>19931.534302415283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-158.62717102691389</v>
      </c>
      <c r="M69" s="486">
        <f ca="1">Allocation!$I$14*CF!N24</f>
        <v>-721.2919110558372</v>
      </c>
      <c r="N69" s="486">
        <f ca="1">Allocation!$I$14*CF!O24</f>
        <v>-778.01805322271741</v>
      </c>
      <c r="O69" s="486">
        <f ca="1">Allocation!$I$14*CF!P24</f>
        <v>-867.12163197601808</v>
      </c>
      <c r="P69" s="486">
        <f ca="1">Allocation!$I$14*CF!Q24</f>
        <v>-914.51263102085136</v>
      </c>
      <c r="Q69" s="486">
        <f ca="1">Allocation!$I$14*CF!R24</f>
        <v>-997.86018860082618</v>
      </c>
      <c r="R69" s="486">
        <f ca="1">Allocation!$I$14*CF!S24</f>
        <v>-1060.5839554683296</v>
      </c>
      <c r="S69" s="486">
        <f ca="1">Allocation!$I$14*CF!T24</f>
        <v>-1116.2716877794603</v>
      </c>
      <c r="T69" s="486">
        <f ca="1">Allocation!$I$14*CF!U24</f>
        <v>-1180.4587660996476</v>
      </c>
      <c r="U69" s="486">
        <f ca="1">Allocation!$I$14*CF!V24</f>
        <v>-1762.6168898008057</v>
      </c>
      <c r="V69" s="486">
        <f ca="1">Allocation!$I$14*CF!W24</f>
        <v>-2053.7057894169716</v>
      </c>
      <c r="W69" s="486">
        <f>Allocation!$I$14*CF!X24</f>
        <v>-2124.6798761880937</v>
      </c>
      <c r="X69" s="486">
        <f>Allocation!$I$14*CF!Y24</f>
        <v>-2188.4700863440103</v>
      </c>
      <c r="Y69" s="486">
        <f>Allocation!$I$14*CF!Z24</f>
        <v>-2222.3901563436889</v>
      </c>
      <c r="Z69" s="486">
        <f ca="1">Allocation!$I$14*CF!AA24</f>
        <v>-2274.7996388825836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889.55375562142899</v>
      </c>
      <c r="G70" s="486">
        <f>Allocation!$I$14*CF!H25</f>
        <v>3821.81778648104</v>
      </c>
      <c r="H70" s="486">
        <f>Allocation!$I$14*CF!I25</f>
        <v>3056.5812713615928</v>
      </c>
      <c r="I70" s="486">
        <f>Allocation!$I$14*CF!J25</f>
        <v>62.117740498027757</v>
      </c>
      <c r="J70" s="486">
        <f ca="1">Allocation!$I$14*CF!K25</f>
        <v>-2411.3660682262503</v>
      </c>
      <c r="K70" s="486">
        <f ca="1">Allocation!$I$14*CF!L25</f>
        <v>-3252.4972189896021</v>
      </c>
      <c r="L70" s="486">
        <f ca="1">Allocation!$I$14*CF!M25</f>
        <v>-3656.3203484108749</v>
      </c>
      <c r="M70" s="486">
        <f ca="1">Allocation!$I$14*CF!N25</f>
        <v>-3886.4769840135186</v>
      </c>
      <c r="N70" s="486">
        <f ca="1">Allocation!$I$14*CF!O25</f>
        <v>-4192.1297198118991</v>
      </c>
      <c r="O70" s="486">
        <f ca="1">Allocation!$I$14*CF!P25</f>
        <v>-4672.2390939916559</v>
      </c>
      <c r="P70" s="486">
        <f ca="1">Allocation!$I$14*CF!Q25</f>
        <v>-4927.5920574923002</v>
      </c>
      <c r="Q70" s="486">
        <f ca="1">Allocation!$I$14*CF!R25</f>
        <v>-5376.6867433513771</v>
      </c>
      <c r="R70" s="486">
        <f ca="1">Allocation!$I$14*CF!S25</f>
        <v>-5714.6559795852063</v>
      </c>
      <c r="S70" s="486">
        <f ca="1">Allocation!$I$14*CF!T25</f>
        <v>-6014.7135382542119</v>
      </c>
      <c r="T70" s="486">
        <f ca="1">Allocation!$I$14*CF!U25</f>
        <v>-6360.5674134173405</v>
      </c>
      <c r="U70" s="486">
        <f ca="1">Allocation!$I$14*CF!V25</f>
        <v>-9497.3614272433133</v>
      </c>
      <c r="V70" s="486">
        <f ca="1">Allocation!$I$14*CF!W25</f>
        <v>-11065.811442167262</v>
      </c>
      <c r="W70" s="486">
        <f>Allocation!$I$14*CF!X25</f>
        <v>-11448.23518832236</v>
      </c>
      <c r="X70" s="486">
        <f>Allocation!$I$14*CF!Y25</f>
        <v>-11791.950651890289</v>
      </c>
      <c r="Y70" s="486">
        <f>Allocation!$I$14*CF!Z25</f>
        <v>-11974.719333098577</v>
      </c>
      <c r="Z70" s="486">
        <f ca="1">Allocation!$I$14*CF!AA25</f>
        <v>-12257.1129722194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5396.4300225078059</v>
      </c>
      <c r="G72" s="264">
        <f t="shared" si="12"/>
        <v>7927.3476742895091</v>
      </c>
      <c r="H72" s="264">
        <f t="shared" si="12"/>
        <v>7080.705783956204</v>
      </c>
      <c r="I72" s="264">
        <f t="shared" si="12"/>
        <v>8170.7826879416552</v>
      </c>
      <c r="J72" s="264">
        <f t="shared" ca="1" si="12"/>
        <v>16473.768552971371</v>
      </c>
      <c r="K72" s="264">
        <f t="shared" ca="1" si="12"/>
        <v>16293.274994475714</v>
      </c>
      <c r="L72" s="264">
        <f t="shared" ca="1" si="12"/>
        <v>15954.385993636155</v>
      </c>
      <c r="M72" s="264">
        <f t="shared" ca="1" si="12"/>
        <v>15122.402614625675</v>
      </c>
      <c r="N72" s="264">
        <f t="shared" ca="1" si="12"/>
        <v>14916.830061370849</v>
      </c>
      <c r="O72" s="264">
        <f t="shared" ca="1" si="12"/>
        <v>14392.173576447609</v>
      </c>
      <c r="P72" s="264">
        <f t="shared" ca="1" si="12"/>
        <v>16442.20958247923</v>
      </c>
      <c r="Q72" s="264">
        <f t="shared" ca="1" si="12"/>
        <v>16705.562197550833</v>
      </c>
      <c r="R72" s="264">
        <f t="shared" ca="1" si="12"/>
        <v>16685.418798019065</v>
      </c>
      <c r="S72" s="264">
        <f t="shared" ca="1" si="12"/>
        <v>16179.041971523877</v>
      </c>
      <c r="T72" s="264">
        <f t="shared" ca="1" si="12"/>
        <v>16338.353410915224</v>
      </c>
      <c r="U72" s="264">
        <f t="shared" ca="1" si="12"/>
        <v>13035.972876620352</v>
      </c>
      <c r="V72" s="264">
        <f t="shared" ca="1" si="12"/>
        <v>12158.06004602925</v>
      </c>
      <c r="W72" s="264">
        <f t="shared" si="12"/>
        <v>13027.508575959248</v>
      </c>
      <c r="X72" s="264">
        <f t="shared" si="12"/>
        <v>14663.296342743424</v>
      </c>
      <c r="Y72" s="264">
        <f t="shared" si="12"/>
        <v>15519.83461310064</v>
      </c>
      <c r="Z72" s="264">
        <f t="shared" ca="1" si="12"/>
        <v>22828.152285008473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-490.60755746206667</v>
      </c>
      <c r="G75" s="155">
        <f t="shared" si="13"/>
        <v>430.9078933173771</v>
      </c>
      <c r="H75" s="155">
        <f t="shared" si="13"/>
        <v>486.27540196940521</v>
      </c>
      <c r="I75" s="155">
        <f t="shared" si="13"/>
        <v>2863.8829210285921</v>
      </c>
      <c r="J75" s="155">
        <f t="shared" si="13"/>
        <v>4921.5214052304382</v>
      </c>
      <c r="K75" s="155">
        <f t="shared" si="13"/>
        <v>5333.944080860434</v>
      </c>
      <c r="L75" s="155">
        <f t="shared" si="13"/>
        <v>5566.0256992046234</v>
      </c>
      <c r="M75" s="155">
        <f t="shared" si="13"/>
        <v>5811.6602325121348</v>
      </c>
      <c r="N75" s="155">
        <f t="shared" si="13"/>
        <v>6089.4751645274628</v>
      </c>
      <c r="O75" s="155">
        <f t="shared" si="13"/>
        <v>6423.862758854244</v>
      </c>
      <c r="P75" s="155">
        <f t="shared" si="13"/>
        <v>6739.4905104128702</v>
      </c>
      <c r="Q75" s="155">
        <f t="shared" si="13"/>
        <v>6990.6928682373509</v>
      </c>
      <c r="R75" s="155">
        <f t="shared" si="13"/>
        <v>7304.6271146003255</v>
      </c>
      <c r="S75" s="155">
        <f t="shared" si="13"/>
        <v>7398.7936587241029</v>
      </c>
      <c r="T75" s="155">
        <f t="shared" si="13"/>
        <v>7730.8664559474983</v>
      </c>
      <c r="U75" s="155">
        <f t="shared" si="13"/>
        <v>8077.4203503813169</v>
      </c>
      <c r="V75" s="155">
        <f t="shared" si="13"/>
        <v>8433.5474059702574</v>
      </c>
      <c r="W75" s="155">
        <f t="shared" si="13"/>
        <v>8781.7497427296548</v>
      </c>
      <c r="X75" s="155">
        <f t="shared" si="13"/>
        <v>9105.2281849023257</v>
      </c>
      <c r="Y75" s="155">
        <f t="shared" si="13"/>
        <v>9109.7357802255501</v>
      </c>
      <c r="Z75" s="155">
        <f t="shared" si="13"/>
        <v>9550.1443197711124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2698.215011253903</v>
      </c>
      <c r="G76" s="155">
        <f t="shared" si="14"/>
        <v>3963.6738371447545</v>
      </c>
      <c r="H76" s="155">
        <f t="shared" si="14"/>
        <v>3540.352891978102</v>
      </c>
      <c r="I76" s="155">
        <f t="shared" si="14"/>
        <v>4085.3913439708276</v>
      </c>
      <c r="J76" s="155">
        <f t="shared" ca="1" si="14"/>
        <v>8236.8842764856854</v>
      </c>
      <c r="K76" s="155">
        <f t="shared" ca="1" si="14"/>
        <v>8146.6374972378571</v>
      </c>
      <c r="L76" s="155">
        <f t="shared" ca="1" si="14"/>
        <v>7977.1929968180775</v>
      </c>
      <c r="M76" s="155">
        <f t="shared" ca="1" si="14"/>
        <v>7561.2013073128373</v>
      </c>
      <c r="N76" s="155">
        <f t="shared" ca="1" si="14"/>
        <v>7458.4150306854244</v>
      </c>
      <c r="O76" s="155">
        <f t="shared" ca="1" si="14"/>
        <v>7196.0867882238044</v>
      </c>
      <c r="P76" s="155">
        <f t="shared" ca="1" si="14"/>
        <v>8221.1047912396152</v>
      </c>
      <c r="Q76" s="155">
        <f t="shared" ca="1" si="14"/>
        <v>8352.7810987754165</v>
      </c>
      <c r="R76" s="155">
        <f t="shared" ca="1" si="14"/>
        <v>8342.7093990095327</v>
      </c>
      <c r="S76" s="155">
        <f t="shared" ca="1" si="14"/>
        <v>8089.5209857619384</v>
      </c>
      <c r="T76" s="155">
        <f t="shared" ca="1" si="14"/>
        <v>8169.1767054576121</v>
      </c>
      <c r="U76" s="155">
        <f t="shared" ca="1" si="14"/>
        <v>6517.9864383101758</v>
      </c>
      <c r="V76" s="155">
        <f t="shared" ca="1" si="14"/>
        <v>6079.0300230146249</v>
      </c>
      <c r="W76" s="155">
        <f t="shared" si="14"/>
        <v>6513.7542879796238</v>
      </c>
      <c r="X76" s="155">
        <f t="shared" si="14"/>
        <v>7331.6481713717121</v>
      </c>
      <c r="Y76" s="155">
        <f t="shared" si="14"/>
        <v>7759.9173065503201</v>
      </c>
      <c r="Z76" s="155">
        <f t="shared" ca="1" si="14"/>
        <v>11414.076142504236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8.75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75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-1580.6928955684789</v>
      </c>
      <c r="G82" s="32">
        <f t="shared" ref="G82:Z82" si="15">G49</f>
        <v>1388.3460114937643</v>
      </c>
      <c r="H82" s="32">
        <f t="shared" si="15"/>
        <v>1566.7350848792757</v>
      </c>
      <c r="I82" s="32">
        <f t="shared" si="15"/>
        <v>9227.1701039986856</v>
      </c>
      <c r="J82" s="32">
        <f t="shared" si="15"/>
        <v>15856.694016046516</v>
      </c>
      <c r="K82" s="32">
        <f t="shared" si="15"/>
        <v>17185.482338656249</v>
      </c>
      <c r="L82" s="32">
        <f t="shared" si="15"/>
        <v>17933.228189140951</v>
      </c>
      <c r="M82" s="32">
        <f t="shared" si="15"/>
        <v>18724.640298065679</v>
      </c>
      <c r="N82" s="32">
        <f t="shared" si="15"/>
        <v>19619.73472260157</v>
      </c>
      <c r="O82" s="32">
        <f t="shared" si="15"/>
        <v>20697.101115921851</v>
      </c>
      <c r="P82" s="32">
        <f t="shared" si="15"/>
        <v>21714.025003343922</v>
      </c>
      <c r="Q82" s="32">
        <f t="shared" si="15"/>
        <v>22523.376136084902</v>
      </c>
      <c r="R82" s="32">
        <f t="shared" si="15"/>
        <v>23534.843703907613</v>
      </c>
      <c r="S82" s="32">
        <f t="shared" si="15"/>
        <v>23838.239738136457</v>
      </c>
      <c r="T82" s="32">
        <f t="shared" si="15"/>
        <v>24908.148065879977</v>
      </c>
      <c r="U82" s="32">
        <f t="shared" si="15"/>
        <v>26024.713170781528</v>
      </c>
      <c r="V82" s="32">
        <f t="shared" si="15"/>
        <v>27172.122129586001</v>
      </c>
      <c r="W82" s="32">
        <f t="shared" si="15"/>
        <v>28293.998365621115</v>
      </c>
      <c r="X82" s="32">
        <f t="shared" si="15"/>
        <v>29336.216463640194</v>
      </c>
      <c r="Y82" s="32">
        <f t="shared" si="15"/>
        <v>29350.73952549513</v>
      </c>
      <c r="Z82" s="32">
        <f t="shared" si="15"/>
        <v>30769.695754397457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75" hidden="1" outlineLevel="1">
      <c r="A84" s="468" t="s">
        <v>309</v>
      </c>
      <c r="B84" s="548"/>
      <c r="C84" s="548"/>
      <c r="D84" s="548"/>
      <c r="E84" s="8"/>
      <c r="F84" s="75">
        <f ca="1">F82*F83</f>
        <v>-53.743558449328283</v>
      </c>
      <c r="G84" s="75">
        <f t="shared" ref="G84:Z84" si="16">G82*G83</f>
        <v>47.203764390787988</v>
      </c>
      <c r="H84" s="75">
        <f t="shared" si="16"/>
        <v>53.268992885895379</v>
      </c>
      <c r="I84" s="75">
        <f t="shared" si="16"/>
        <v>313.72378353595531</v>
      </c>
      <c r="J84" s="75">
        <f t="shared" si="16"/>
        <v>539.12759654558158</v>
      </c>
      <c r="K84" s="75">
        <f t="shared" si="16"/>
        <v>584.30639951431249</v>
      </c>
      <c r="L84" s="75">
        <f t="shared" si="16"/>
        <v>609.72975843079234</v>
      </c>
      <c r="M84" s="75">
        <f t="shared" si="16"/>
        <v>636.63777013423316</v>
      </c>
      <c r="N84" s="75">
        <f t="shared" si="16"/>
        <v>667.07098056845348</v>
      </c>
      <c r="O84" s="75">
        <f t="shared" si="16"/>
        <v>703.70143794134299</v>
      </c>
      <c r="P84" s="75">
        <f t="shared" si="16"/>
        <v>738.2768501136934</v>
      </c>
      <c r="Q84" s="75">
        <f t="shared" si="16"/>
        <v>765.79478862688677</v>
      </c>
      <c r="R84" s="75">
        <f t="shared" si="16"/>
        <v>800.18468593285888</v>
      </c>
      <c r="S84" s="75">
        <f t="shared" si="16"/>
        <v>810.50015109663957</v>
      </c>
      <c r="T84" s="75">
        <f t="shared" si="16"/>
        <v>846.87703423991934</v>
      </c>
      <c r="U84" s="75">
        <f t="shared" si="16"/>
        <v>884.84024780657205</v>
      </c>
      <c r="V84" s="75">
        <f t="shared" si="16"/>
        <v>923.85215240592413</v>
      </c>
      <c r="W84" s="75">
        <f t="shared" si="16"/>
        <v>961.99594443111801</v>
      </c>
      <c r="X84" s="75">
        <f t="shared" si="16"/>
        <v>997.43135976376664</v>
      </c>
      <c r="Y84" s="75">
        <f t="shared" si="16"/>
        <v>997.92514386683445</v>
      </c>
      <c r="Z84" s="75">
        <f t="shared" si="16"/>
        <v>1046.1696556495135</v>
      </c>
      <c r="AA84" s="75"/>
      <c r="AB84" s="75"/>
      <c r="AC84" s="75"/>
    </row>
    <row r="85" spans="1:29" ht="15.75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75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44283.920629958615</v>
      </c>
      <c r="I87" s="32">
        <f t="shared" si="17"/>
        <v>47758.236998041211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75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531.40704755950344</v>
      </c>
      <c r="I89" s="75">
        <f t="shared" si="18"/>
        <v>573.09884397649455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75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75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531.40704755950344</v>
      </c>
      <c r="I91" s="75">
        <f t="shared" si="19"/>
        <v>573.09884397649455</v>
      </c>
      <c r="J91" s="75">
        <f t="shared" si="19"/>
        <v>539.12759654558158</v>
      </c>
      <c r="K91" s="75">
        <f t="shared" si="19"/>
        <v>584.30639951431249</v>
      </c>
      <c r="L91" s="75">
        <f t="shared" si="19"/>
        <v>609.72975843079234</v>
      </c>
      <c r="M91" s="75">
        <f t="shared" si="19"/>
        <v>636.63777013423316</v>
      </c>
      <c r="N91" s="75">
        <f t="shared" si="19"/>
        <v>667.07098056845348</v>
      </c>
      <c r="O91" s="75">
        <f t="shared" si="19"/>
        <v>703.70143794134299</v>
      </c>
      <c r="P91" s="75">
        <f t="shared" si="19"/>
        <v>738.2768501136934</v>
      </c>
      <c r="Q91" s="75">
        <f t="shared" si="19"/>
        <v>765.79478862688677</v>
      </c>
      <c r="R91" s="75">
        <f t="shared" si="19"/>
        <v>800.18468593285888</v>
      </c>
      <c r="S91" s="75">
        <f t="shared" si="19"/>
        <v>810.50015109663957</v>
      </c>
      <c r="T91" s="75">
        <f t="shared" si="19"/>
        <v>846.87703423991934</v>
      </c>
      <c r="U91" s="75">
        <f t="shared" si="19"/>
        <v>884.84024780657205</v>
      </c>
      <c r="V91" s="75">
        <f t="shared" si="19"/>
        <v>923.85215240592413</v>
      </c>
      <c r="W91" s="75">
        <f t="shared" si="19"/>
        <v>961.99594443111801</v>
      </c>
      <c r="X91" s="75">
        <f t="shared" si="19"/>
        <v>997.43135976376664</v>
      </c>
      <c r="Y91" s="75">
        <f t="shared" si="19"/>
        <v>997.92514386683445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4.25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4.25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4.25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8.75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8.75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.75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.75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8.75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8.75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8.75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8.75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8.75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9" sqref="I9"/>
    </sheetView>
  </sheetViews>
  <sheetFormatPr defaultRowHeight="12.75" outlineLevelRow="2" outlineLevelCol="1"/>
  <cols>
    <col min="1" max="1" width="53.42578125" style="7" customWidth="1"/>
    <col min="2" max="2" width="8.42578125" style="7" customWidth="1"/>
    <col min="3" max="4" width="9.8554687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f>Assumptions!$R$30*'Power Price Assumption'!I42*MONTH(Assumptions!$L$38)</f>
        <v>12160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f>5/12*Assumptions!$R$26*Assumptions!$R$17/1000*(1+Assumptions!$R$39)^(I5-$E$5)</f>
        <v>295.20220238283332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f>H12*(1+Assumptions!$R$39)*5/12</f>
        <v>843.68140397600007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Assumption'!I44*(12-MONTH(Assumptions!$L$38)),Assumptions!$R$33*(1-Assumptions!$R$35)*'Power Price Assumption'!I44*(12-MONTH(Assumptions!$L$38))-2/3*7/12*VLOOKUP(120,'EGC Start Charge Matrix'!$U$10:$AM$35,19)*(1+Assumptions!$R$52)^(I5-$E$5))</f>
        <v>28111.074130372021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7/12*Assumptions!$R$26*Assumptions!$R$34/1000*(1+Assumptions!$R$39)^(I5-$E$5)+H12*(1+Assumptions!$R$39)*Assumptions!R53/12*1/3</f>
        <v>837.30532584047512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Assumptions!$R$33*Assumptions!$R$35*Assumptions!$R$36*Assumptions!$R$14/1000*7/12</f>
        <v>9.1361480000000004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191.36465887696363</v>
      </c>
      <c r="G19" s="254">
        <f>(SUM(G10:G17)-SUM(G25:G35))*Assumptions!$B$34/4</f>
        <v>323.02410787500912</v>
      </c>
      <c r="H19" s="254">
        <f>(SUM(H10:H17)-SUM(H25:H35))*Assumptions!$B$34/4</f>
        <v>322.10757755147114</v>
      </c>
      <c r="I19" s="254">
        <f>(SUM(I10:I17)-SUM(I25:I35))*Assumptions!$B$34/4</f>
        <v>446.02616533482382</v>
      </c>
      <c r="J19" s="254">
        <f>(SUM(J10:J17)-SUM(J25:J35))*Assumptions!$B$34/4</f>
        <v>543.20577822917414</v>
      </c>
      <c r="K19" s="254">
        <f>(SUM(K10:K17)-SUM(K25:K35))*Assumptions!$B$34/4</f>
        <v>560.32350279922582</v>
      </c>
      <c r="L19" s="254">
        <f>(SUM(L10:L17)-SUM(L25:L35))*Assumptions!$B$34/4</f>
        <v>557.16037281492572</v>
      </c>
      <c r="M19" s="254">
        <f>(SUM(M10:M17)-SUM(M25:M35))*Assumptions!$B$34/4</f>
        <v>563.72527128611455</v>
      </c>
      <c r="N19" s="254">
        <f>(SUM(N10:N17)-SUM(N25:N35))*Assumptions!$B$34/4</f>
        <v>570.1742009374492</v>
      </c>
      <c r="O19" s="254">
        <f>(SUM(O10:O17)-SUM(O25:O35))*Assumptions!$B$34/4</f>
        <v>577.01947788817984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19716.740258876962</v>
      </c>
      <c r="G20" s="253">
        <f t="shared" si="1"/>
        <v>32083.440975875004</v>
      </c>
      <c r="H20" s="253">
        <f t="shared" si="1"/>
        <v>32159.816951591474</v>
      </c>
      <c r="I20" s="253">
        <f t="shared" si="1"/>
        <v>42702.425375906147</v>
      </c>
      <c r="J20" s="253">
        <f t="shared" si="1"/>
        <v>50909.8022052835</v>
      </c>
      <c r="K20" s="253">
        <f t="shared" si="1"/>
        <v>52437.447963625185</v>
      </c>
      <c r="L20" s="253">
        <f t="shared" si="1"/>
        <v>52369.85285605157</v>
      </c>
      <c r="M20" s="253">
        <f t="shared" si="1"/>
        <v>53095.886606007196</v>
      </c>
      <c r="N20" s="253">
        <f t="shared" si="1"/>
        <v>53818.355190768314</v>
      </c>
      <c r="O20" s="253">
        <f t="shared" si="1"/>
        <v>54536.916452705373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5/12*Assumptions!R59*(1+Assumptions!$R$52)^(I5-$E$5)+7/12*Assumptions!$R$60*(1+Assumptions!$R$52)^4</f>
        <v>738.78953970117516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289.10562208166283</v>
      </c>
      <c r="G32" s="253">
        <f>Allocation!$I$13*IS!F31</f>
        <v>495.60963785427907</v>
      </c>
      <c r="H32" s="253">
        <f>Allocation!$I$13*IS!G31</f>
        <v>495.60963785427907</v>
      </c>
      <c r="I32" s="253">
        <f>Allocation!$I$13*IS!H31</f>
        <v>495.60963785427907</v>
      </c>
      <c r="J32" s="253">
        <f>Allocation!$I$13*IS!I31</f>
        <v>403.5972749198728</v>
      </c>
      <c r="K32" s="253">
        <f>Allocation!$I$13*IS!J31</f>
        <v>403.5972749198728</v>
      </c>
      <c r="L32" s="253">
        <f>Allocation!$I$13*IS!K31</f>
        <v>403.5972749198728</v>
      </c>
      <c r="M32" s="253">
        <f>Allocation!$I$13*IS!L31</f>
        <v>403.5972749198728</v>
      </c>
      <c r="N32" s="253">
        <f>Allocation!$I$13*IS!M31</f>
        <v>403.5972749198728</v>
      </c>
      <c r="O32" s="253">
        <f>Allocation!$I$13*IS!N31</f>
        <v>403.5972749198728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Assumptions!$R$50*Assumptions!$R$33*7</f>
        <v>319.76518000000004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4216.2028898429089</v>
      </c>
      <c r="G36" s="253">
        <f t="shared" si="2"/>
        <v>5918.4882379992705</v>
      </c>
      <c r="H36" s="187">
        <f t="shared" si="2"/>
        <v>6069.103169922314</v>
      </c>
      <c r="I36" s="253">
        <f t="shared" si="2"/>
        <v>6574.3059837854262</v>
      </c>
      <c r="J36" s="253">
        <f t="shared" si="2"/>
        <v>6910.1341687203976</v>
      </c>
      <c r="K36" s="253">
        <f t="shared" si="2"/>
        <v>7051.2442368878892</v>
      </c>
      <c r="L36" s="253">
        <f t="shared" si="2"/>
        <v>7239.8626580425816</v>
      </c>
      <c r="M36" s="253">
        <f t="shared" si="2"/>
        <v>7434.1396318319157</v>
      </c>
      <c r="N36" s="253">
        <f t="shared" si="2"/>
        <v>7634.2449148349297</v>
      </c>
      <c r="O36" s="253">
        <f t="shared" si="2"/>
        <v>7798.3387437628144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15500.537369034053</v>
      </c>
      <c r="G39" s="259">
        <f t="shared" si="3"/>
        <v>26164.952737875734</v>
      </c>
      <c r="H39" s="260">
        <f t="shared" si="3"/>
        <v>26090.713781669161</v>
      </c>
      <c r="I39" s="259">
        <f t="shared" si="3"/>
        <v>36128.119392120723</v>
      </c>
      <c r="J39" s="259">
        <f t="shared" si="3"/>
        <v>43999.668036563104</v>
      </c>
      <c r="K39" s="259">
        <f t="shared" si="3"/>
        <v>45386.203726737294</v>
      </c>
      <c r="L39" s="259">
        <f t="shared" si="3"/>
        <v>45129.990198008985</v>
      </c>
      <c r="M39" s="259">
        <f t="shared" si="3"/>
        <v>45661.746974175279</v>
      </c>
      <c r="N39" s="259">
        <f t="shared" si="3"/>
        <v>46184.110275933388</v>
      </c>
      <c r="O39" s="259">
        <f t="shared" si="3"/>
        <v>46738.577708942561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6432.832660072876</v>
      </c>
      <c r="G41" s="253">
        <f>Allocation!$G$13*IS!F40</f>
        <v>8843.43945186778</v>
      </c>
      <c r="H41" s="253">
        <f>Allocation!$G$13*IS!G40</f>
        <v>8843.43945186778</v>
      </c>
      <c r="I41" s="253">
        <f>Allocation!$G$13*IS!H40</f>
        <v>8843.43945186778</v>
      </c>
      <c r="J41" s="253">
        <f>Allocation!$G$13*IS!I40</f>
        <v>8843.43945186778</v>
      </c>
      <c r="K41" s="253">
        <f>Allocation!$G$13*IS!J40</f>
        <v>8843.43945186778</v>
      </c>
      <c r="L41" s="253">
        <f>Allocation!$G$13*IS!K40</f>
        <v>8843.43945186778</v>
      </c>
      <c r="M41" s="253">
        <f>Allocation!$G$13*IS!L40</f>
        <v>8843.43945186778</v>
      </c>
      <c r="N41" s="253">
        <f>Allocation!$G$13*IS!M40</f>
        <v>8843.43945186778</v>
      </c>
      <c r="O41" s="253">
        <f>Allocation!$G$13*IS!N40</f>
        <v>8843.43945186778</v>
      </c>
      <c r="P41" s="253">
        <f>Allocation!$G$13*IS!O40</f>
        <v>8843.43945186778</v>
      </c>
      <c r="Q41" s="253">
        <f>Allocation!$G$13*IS!P40</f>
        <v>8843.43945186778</v>
      </c>
      <c r="R41" s="253">
        <f>Allocation!$G$13*IS!Q40</f>
        <v>8843.43945186778</v>
      </c>
      <c r="S41" s="253">
        <f>Allocation!$G$13*IS!R40</f>
        <v>8843.43945186778</v>
      </c>
      <c r="T41" s="253">
        <f>Allocation!$G$13*IS!S40</f>
        <v>8843.43945186778</v>
      </c>
      <c r="U41" s="253">
        <f>Allocation!$G$13*IS!T40</f>
        <v>8843.43945186778</v>
      </c>
      <c r="V41" s="253">
        <f>Allocation!$G$13*IS!U40</f>
        <v>8843.43945186778</v>
      </c>
      <c r="W41" s="253">
        <f>Allocation!$G$13*IS!V40</f>
        <v>8843.43945186778</v>
      </c>
      <c r="X41" s="253">
        <f>Allocation!$G$13*IS!W40</f>
        <v>8843.43945186778</v>
      </c>
      <c r="Y41" s="253">
        <f>Allocation!$G$13*IS!X40</f>
        <v>8843.43945186778</v>
      </c>
      <c r="Z41" s="253">
        <f>Allocation!$G$13*IS!Y40</f>
        <v>8616.2024576481272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9067.7047089611769</v>
      </c>
      <c r="G44" s="259">
        <f t="shared" si="4"/>
        <v>17321.513286007954</v>
      </c>
      <c r="H44" s="259">
        <f t="shared" si="4"/>
        <v>17247.274329801381</v>
      </c>
      <c r="I44" s="259">
        <f t="shared" si="4"/>
        <v>27284.679940252943</v>
      </c>
      <c r="J44" s="259">
        <f t="shared" si="4"/>
        <v>35156.228584695324</v>
      </c>
      <c r="K44" s="259">
        <f t="shared" si="4"/>
        <v>36542.764274869514</v>
      </c>
      <c r="L44" s="259">
        <f t="shared" si="4"/>
        <v>36286.550746141205</v>
      </c>
      <c r="M44" s="259">
        <f t="shared" si="4"/>
        <v>36818.307522307499</v>
      </c>
      <c r="N44" s="259">
        <f t="shared" si="4"/>
        <v>37340.670824065608</v>
      </c>
      <c r="O44" s="259">
        <f t="shared" si="4"/>
        <v>37895.138257074781</v>
      </c>
      <c r="P44" s="259">
        <f t="shared" si="4"/>
        <v>38448.61484170051</v>
      </c>
      <c r="Q44" s="259">
        <f t="shared" si="4"/>
        <v>38952.194570173109</v>
      </c>
      <c r="R44" s="259">
        <f t="shared" si="4"/>
        <v>39426.872928033001</v>
      </c>
      <c r="S44" s="259">
        <f t="shared" si="4"/>
        <v>39935.097229520325</v>
      </c>
      <c r="T44" s="259">
        <f t="shared" si="4"/>
        <v>40384.329970739025</v>
      </c>
      <c r="U44" s="259">
        <f t="shared" si="4"/>
        <v>40811.971872117239</v>
      </c>
      <c r="V44" s="259">
        <f t="shared" si="4"/>
        <v>41235.619266575377</v>
      </c>
      <c r="W44" s="259">
        <f t="shared" si="4"/>
        <v>41690.592361430987</v>
      </c>
      <c r="X44" s="259">
        <f t="shared" si="4"/>
        <v>42100.143988878874</v>
      </c>
      <c r="Y44" s="259">
        <f t="shared" si="4"/>
        <v>41279.612217721849</v>
      </c>
      <c r="Z44" s="259">
        <f t="shared" si="4"/>
        <v>41713.709874926913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8408.7890238253094</v>
      </c>
      <c r="G46" s="253">
        <f>Allocation!$I$13*IS!F44</f>
        <v>15463.723369749445</v>
      </c>
      <c r="H46" s="253">
        <f>Allocation!$I$13*IS!G44</f>
        <v>15008.17079612521</v>
      </c>
      <c r="I46" s="253">
        <f>Allocation!$I$13*IS!H44</f>
        <v>14246.836423955394</v>
      </c>
      <c r="J46" s="253">
        <f>Allocation!$I$13*IS!I44</f>
        <v>13664.954547190666</v>
      </c>
      <c r="K46" s="253">
        <f>Allocation!$I$13*IS!J44</f>
        <v>13123.57615451365</v>
      </c>
      <c r="L46" s="253">
        <f>Allocation!$I$13*IS!K44</f>
        <v>12530.202702701674</v>
      </c>
      <c r="M46" s="253">
        <f>Allocation!$I$13*IS!L44</f>
        <v>11845.895499019989</v>
      </c>
      <c r="N46" s="253">
        <f>Allocation!$I$13*IS!M44</f>
        <v>11065.585601219098</v>
      </c>
      <c r="O46" s="253">
        <f>Allocation!$I$13*IS!N44</f>
        <v>10117.850476589614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658.91568513586753</v>
      </c>
      <c r="G49" s="259">
        <f t="shared" si="5"/>
        <v>1857.789916258509</v>
      </c>
      <c r="H49" s="259">
        <f t="shared" si="5"/>
        <v>2239.1035336761706</v>
      </c>
      <c r="I49" s="259">
        <f t="shared" si="5"/>
        <v>13037.843516297549</v>
      </c>
      <c r="J49" s="259">
        <f t="shared" si="5"/>
        <v>21491.274037504656</v>
      </c>
      <c r="K49" s="259">
        <f t="shared" si="5"/>
        <v>23419.188120355866</v>
      </c>
      <c r="L49" s="259">
        <f t="shared" si="5"/>
        <v>23756.348043439531</v>
      </c>
      <c r="M49" s="259">
        <f t="shared" si="5"/>
        <v>24972.41202328751</v>
      </c>
      <c r="N49" s="259">
        <f t="shared" si="5"/>
        <v>26275.085222846508</v>
      </c>
      <c r="O49" s="259">
        <f t="shared" si="5"/>
        <v>27777.287780485167</v>
      </c>
      <c r="P49" s="259">
        <f t="shared" si="5"/>
        <v>29166.935173575985</v>
      </c>
      <c r="Q49" s="259">
        <f t="shared" si="5"/>
        <v>30472.264892369811</v>
      </c>
      <c r="R49" s="259">
        <f t="shared" si="5"/>
        <v>31832.66953907465</v>
      </c>
      <c r="S49" s="259">
        <f t="shared" si="5"/>
        <v>33295.17259051252</v>
      </c>
      <c r="T49" s="259">
        <f t="shared" si="5"/>
        <v>34763.502231905324</v>
      </c>
      <c r="U49" s="259">
        <f t="shared" si="5"/>
        <v>36294.899365389691</v>
      </c>
      <c r="V49" s="259">
        <f t="shared" si="5"/>
        <v>37868.25206430188</v>
      </c>
      <c r="W49" s="259">
        <f t="shared" si="5"/>
        <v>39462.411001325461</v>
      </c>
      <c r="X49" s="259">
        <f t="shared" si="5"/>
        <v>40913.012023075753</v>
      </c>
      <c r="Y49" s="259">
        <f t="shared" si="5"/>
        <v>40994.619029784197</v>
      </c>
      <c r="Z49" s="259">
        <f t="shared" si="5"/>
        <v>41713.709874926913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-47.31014619275529</v>
      </c>
      <c r="G51" s="253">
        <f t="shared" si="6"/>
        <v>-133.38931598736096</v>
      </c>
      <c r="H51" s="187">
        <f t="shared" si="6"/>
        <v>-160.76763371794905</v>
      </c>
      <c r="I51" s="253">
        <f t="shared" si="6"/>
        <v>-936.11716447016408</v>
      </c>
      <c r="J51" s="253">
        <f t="shared" si="6"/>
        <v>-1543.0734758928343</v>
      </c>
      <c r="K51" s="253">
        <f t="shared" si="6"/>
        <v>-1681.4977070415512</v>
      </c>
      <c r="L51" s="253">
        <f t="shared" si="6"/>
        <v>-1705.7057895189585</v>
      </c>
      <c r="M51" s="253">
        <f t="shared" si="6"/>
        <v>-1793.0191832720434</v>
      </c>
      <c r="N51" s="253">
        <f t="shared" si="6"/>
        <v>-1886.5511190003795</v>
      </c>
      <c r="O51" s="253">
        <f t="shared" si="6"/>
        <v>-1994.4092626388351</v>
      </c>
      <c r="P51" s="253">
        <f t="shared" si="6"/>
        <v>-2094.1859454627556</v>
      </c>
      <c r="Q51" s="253">
        <f t="shared" si="6"/>
        <v>-2187.9086192721525</v>
      </c>
      <c r="R51" s="253">
        <f t="shared" si="6"/>
        <v>-2285.5856729055599</v>
      </c>
      <c r="S51" s="253">
        <f t="shared" si="6"/>
        <v>-2390.5933919987992</v>
      </c>
      <c r="T51" s="253">
        <f t="shared" si="6"/>
        <v>-2496.0194602508022</v>
      </c>
      <c r="U51" s="253">
        <f t="shared" si="6"/>
        <v>-2605.97377443498</v>
      </c>
      <c r="V51" s="253">
        <f t="shared" si="6"/>
        <v>-2718.9404982168749</v>
      </c>
      <c r="W51" s="253">
        <f t="shared" si="6"/>
        <v>-2833.4011098951682</v>
      </c>
      <c r="X51" s="253">
        <f t="shared" si="6"/>
        <v>-2937.554263256839</v>
      </c>
      <c r="Y51" s="253">
        <f t="shared" si="6"/>
        <v>-2943.4136463385053</v>
      </c>
      <c r="Z51" s="253">
        <f t="shared" si="6"/>
        <v>-2995.0443690197526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-214.06193863008929</v>
      </c>
      <c r="G52" s="228">
        <f t="shared" si="7"/>
        <v>-603.54021009490179</v>
      </c>
      <c r="H52" s="228">
        <f t="shared" si="7"/>
        <v>-727.41756498537745</v>
      </c>
      <c r="I52" s="228">
        <f t="shared" si="7"/>
        <v>-4235.6042231395841</v>
      </c>
      <c r="J52" s="228">
        <f t="shared" si="7"/>
        <v>-6981.8701965641376</v>
      </c>
      <c r="K52" s="228">
        <f t="shared" si="7"/>
        <v>-7608.1916446600098</v>
      </c>
      <c r="L52" s="228">
        <f t="shared" si="7"/>
        <v>-7717.7247888722004</v>
      </c>
      <c r="M52" s="228">
        <f t="shared" si="7"/>
        <v>-8112.7874940054126</v>
      </c>
      <c r="N52" s="228">
        <f t="shared" si="7"/>
        <v>-8535.9869363461457</v>
      </c>
      <c r="O52" s="228">
        <f t="shared" si="7"/>
        <v>-9024.0074812462153</v>
      </c>
      <c r="P52" s="228">
        <f t="shared" si="7"/>
        <v>-9475.4622298396298</v>
      </c>
      <c r="Q52" s="228">
        <f t="shared" si="7"/>
        <v>-9899.5246955841794</v>
      </c>
      <c r="R52" s="228">
        <f t="shared" si="7"/>
        <v>-10341.47935315918</v>
      </c>
      <c r="S52" s="228">
        <f t="shared" si="7"/>
        <v>-10816.602719479803</v>
      </c>
      <c r="T52" s="228">
        <f t="shared" si="7"/>
        <v>-11293.618970079082</v>
      </c>
      <c r="U52" s="228">
        <f t="shared" si="7"/>
        <v>-11791.12395683415</v>
      </c>
      <c r="V52" s="228">
        <f t="shared" si="7"/>
        <v>-12302.25904812975</v>
      </c>
      <c r="W52" s="228">
        <f t="shared" si="7"/>
        <v>-12820.153462000602</v>
      </c>
      <c r="X52" s="228">
        <f t="shared" si="7"/>
        <v>-13291.410215936619</v>
      </c>
      <c r="Y52" s="228">
        <f t="shared" si="7"/>
        <v>-13317.921884205991</v>
      </c>
      <c r="Z52" s="228">
        <f t="shared" si="7"/>
        <v>-13551.532927067507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397.54360031302298</v>
      </c>
      <c r="G54" s="261">
        <f t="shared" si="8"/>
        <v>1120.8603901762463</v>
      </c>
      <c r="H54" s="261">
        <f t="shared" si="8"/>
        <v>1350.9183349728441</v>
      </c>
      <c r="I54" s="261">
        <f t="shared" si="8"/>
        <v>7866.1221286878008</v>
      </c>
      <c r="J54" s="261">
        <f t="shared" si="8"/>
        <v>12966.330365047685</v>
      </c>
      <c r="K54" s="261">
        <f t="shared" si="8"/>
        <v>14129.498768654305</v>
      </c>
      <c r="L54" s="261">
        <f t="shared" si="8"/>
        <v>14332.917465048373</v>
      </c>
      <c r="M54" s="261">
        <f t="shared" si="8"/>
        <v>15066.605346010052</v>
      </c>
      <c r="N54" s="261">
        <f t="shared" si="8"/>
        <v>15852.547167499984</v>
      </c>
      <c r="O54" s="261">
        <f t="shared" si="8"/>
        <v>16758.871036600118</v>
      </c>
      <c r="P54" s="261">
        <f t="shared" si="8"/>
        <v>17597.286998273601</v>
      </c>
      <c r="Q54" s="261">
        <f t="shared" si="8"/>
        <v>18384.83157751348</v>
      </c>
      <c r="R54" s="261">
        <f t="shared" si="8"/>
        <v>19205.604513009908</v>
      </c>
      <c r="S54" s="261">
        <f t="shared" si="8"/>
        <v>20087.976479033918</v>
      </c>
      <c r="T54" s="261">
        <f t="shared" si="8"/>
        <v>20973.86380157544</v>
      </c>
      <c r="U54" s="261">
        <f t="shared" si="8"/>
        <v>21897.801634120566</v>
      </c>
      <c r="V54" s="261">
        <f t="shared" si="8"/>
        <v>22847.05251795525</v>
      </c>
      <c r="W54" s="261">
        <f t="shared" si="8"/>
        <v>23808.856429429692</v>
      </c>
      <c r="X54" s="261">
        <f t="shared" si="8"/>
        <v>24684.047543882294</v>
      </c>
      <c r="Y54" s="261">
        <f t="shared" si="8"/>
        <v>24733.283499239697</v>
      </c>
      <c r="Z54" s="261">
        <f t="shared" si="8"/>
        <v>25167.132578839657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15500.537369034053</v>
      </c>
      <c r="G64" s="156">
        <f t="shared" si="10"/>
        <v>26164.952737875734</v>
      </c>
      <c r="H64" s="156">
        <f t="shared" si="10"/>
        <v>26090.713781669161</v>
      </c>
      <c r="I64" s="156">
        <f t="shared" si="10"/>
        <v>36128.119392120723</v>
      </c>
      <c r="J64" s="156">
        <f t="shared" si="10"/>
        <v>43999.668036563104</v>
      </c>
      <c r="K64" s="156">
        <f t="shared" si="10"/>
        <v>45386.203726737294</v>
      </c>
      <c r="L64" s="156">
        <f t="shared" si="10"/>
        <v>45129.990198008985</v>
      </c>
      <c r="M64" s="156">
        <f t="shared" si="10"/>
        <v>45661.746974175279</v>
      </c>
      <c r="N64" s="156">
        <f t="shared" si="10"/>
        <v>46184.110275933388</v>
      </c>
      <c r="O64" s="156">
        <f t="shared" si="10"/>
        <v>46738.577708942561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-6849.0333355522853</v>
      </c>
      <c r="G66" s="262">
        <f>Allocation!$I$13*(CF!H16+CF!H15)</f>
        <v>-20871.730068328052</v>
      </c>
      <c r="H66" s="262">
        <f>Allocation!$I$13*(CF!I16+CF!I15)</f>
        <v>-20763.341325402092</v>
      </c>
      <c r="I66" s="262">
        <f>Allocation!$I$13*(CF!J16+CF!J15)</f>
        <v>-24780.481892713953</v>
      </c>
      <c r="J66" s="262">
        <f>Allocation!$I$13*(CF!K16+CF!K15)</f>
        <v>-18657.028269156301</v>
      </c>
      <c r="K66" s="262">
        <f>Allocation!$I$13*(CF!L16+CF!L15)</f>
        <v>-19008.501006593691</v>
      </c>
      <c r="L66" s="262">
        <f>Allocation!$I$13*(CF!M16+CF!M15)</f>
        <v>-19115.596397191915</v>
      </c>
      <c r="M66" s="262">
        <f>Allocation!$I$13*(CF!N16+CF!N15)</f>
        <v>-19541.18700718836</v>
      </c>
      <c r="N66" s="262">
        <f>Allocation!$I$13*(CF!O16+CF!O15)</f>
        <v>-19747.452943768028</v>
      </c>
      <c r="O66" s="262">
        <f>Allocation!$I$13*(CF!P16+CF!P15)</f>
        <v>-20179.86374599364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8651.5040334817677</v>
      </c>
      <c r="G67" s="263">
        <f t="shared" si="11"/>
        <v>5293.222669547682</v>
      </c>
      <c r="H67" s="263">
        <f t="shared" si="11"/>
        <v>5327.3724562670686</v>
      </c>
      <c r="I67" s="263">
        <f t="shared" si="11"/>
        <v>11347.63749940677</v>
      </c>
      <c r="J67" s="263">
        <f t="shared" si="11"/>
        <v>25342.639767406803</v>
      </c>
      <c r="K67" s="263">
        <f t="shared" si="11"/>
        <v>26377.702720143603</v>
      </c>
      <c r="L67" s="263">
        <f t="shared" si="11"/>
        <v>26014.39380081707</v>
      </c>
      <c r="M67" s="263">
        <f t="shared" si="11"/>
        <v>26120.559966986919</v>
      </c>
      <c r="N67" s="263">
        <f t="shared" si="11"/>
        <v>26436.65733216536</v>
      </c>
      <c r="O67" s="263">
        <f t="shared" si="11"/>
        <v>26558.713962948921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-211.97379945349783</v>
      </c>
      <c r="M69" s="486">
        <f ca="1">Allocation!$I$13*CF!N24</f>
        <v>-963.86379402579723</v>
      </c>
      <c r="N69" s="486">
        <f ca="1">Allocation!$I$13*CF!O24</f>
        <v>-1039.6670489512269</v>
      </c>
      <c r="O69" s="486">
        <f ca="1">Allocation!$I$13*CF!P24</f>
        <v>-1158.7363358266543</v>
      </c>
      <c r="P69" s="486">
        <f ca="1">Allocation!$I$13*CF!Q24</f>
        <v>-1222.0650207070394</v>
      </c>
      <c r="Q69" s="486">
        <f ca="1">Allocation!$I$13*CF!R24</f>
        <v>-1333.4425252103433</v>
      </c>
      <c r="R69" s="486">
        <f ca="1">Allocation!$I$13*CF!S24</f>
        <v>-1417.260417774816</v>
      </c>
      <c r="S69" s="486">
        <f ca="1">Allocation!$I$13*CF!T24</f>
        <v>-1491.6760435753724</v>
      </c>
      <c r="T69" s="486">
        <f ca="1">Allocation!$I$13*CF!U24</f>
        <v>-1577.4493621012437</v>
      </c>
      <c r="U69" s="486">
        <f ca="1">Allocation!$I$13*CF!V24</f>
        <v>-2355.3884034696139</v>
      </c>
      <c r="V69" s="486">
        <f ca="1">Allocation!$I$13*CF!W24</f>
        <v>-2744.3710703792285</v>
      </c>
      <c r="W69" s="486">
        <f>Allocation!$I$13*CF!X24</f>
        <v>-2839.2138815963835</v>
      </c>
      <c r="X69" s="486">
        <f>Allocation!$I$13*CF!Y24</f>
        <v>-2924.4568644167261</v>
      </c>
      <c r="Y69" s="486">
        <f>Allocation!$I$13*CF!Z24</f>
        <v>-2969.7843204194592</v>
      </c>
      <c r="Z69" s="486">
        <f ca="1">Allocation!$I$13*CF!AA24</f>
        <v>-3039.819214626054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1188.7124266069761</v>
      </c>
      <c r="G70" s="486">
        <f>Allocation!$I$13*CF!H25</f>
        <v>5107.1025964517203</v>
      </c>
      <c r="H70" s="486">
        <f>Allocation!$I$13*CF!I25</f>
        <v>4084.5155419117295</v>
      </c>
      <c r="I70" s="486">
        <f>Allocation!$I$13*CF!J25</f>
        <v>83.008058339509105</v>
      </c>
      <c r="J70" s="486">
        <f ca="1">Allocation!$I$13*CF!K25</f>
        <v>-3222.3132017429461</v>
      </c>
      <c r="K70" s="486">
        <f ca="1">Allocation!$I$13*CF!L25</f>
        <v>-4346.3184065999958</v>
      </c>
      <c r="L70" s="486">
        <f ca="1">Allocation!$I$13*CF!M25</f>
        <v>-4885.9480456868914</v>
      </c>
      <c r="M70" s="486">
        <f ca="1">Allocation!$I$13*CF!N25</f>
        <v>-5193.5068088060352</v>
      </c>
      <c r="N70" s="486">
        <f ca="1">Allocation!$I$13*CF!O25</f>
        <v>-5601.9511585419705</v>
      </c>
      <c r="O70" s="486">
        <f ca="1">Allocation!$I$13*CF!P25</f>
        <v>-6243.5222559730464</v>
      </c>
      <c r="P70" s="486">
        <f ca="1">Allocation!$I$13*CF!Q25</f>
        <v>-6584.7509214313632</v>
      </c>
      <c r="Q70" s="486">
        <f ca="1">Allocation!$I$13*CF!R25</f>
        <v>-7184.877030090086</v>
      </c>
      <c r="R70" s="486">
        <f ca="1">Allocation!$I$13*CF!S25</f>
        <v>-7636.5059826780789</v>
      </c>
      <c r="S70" s="486">
        <f ca="1">Allocation!$I$13*CF!T25</f>
        <v>-8037.4734862529758</v>
      </c>
      <c r="T70" s="486">
        <f ca="1">Allocation!$I$13*CF!U25</f>
        <v>-8499.6386972911623</v>
      </c>
      <c r="U70" s="486">
        <f ca="1">Allocation!$I$13*CF!V25</f>
        <v>-12691.342684124946</v>
      </c>
      <c r="V70" s="486">
        <f ca="1">Allocation!$I$13*CF!W25</f>
        <v>-14787.265512250749</v>
      </c>
      <c r="W70" s="486">
        <f>Allocation!$I$13*CF!X25</f>
        <v>-15298.299113549621</v>
      </c>
      <c r="X70" s="486">
        <f>Allocation!$I$13*CF!Y25</f>
        <v>-15757.606760983192</v>
      </c>
      <c r="Y70" s="486">
        <f>Allocation!$I$13*CF!Z25</f>
        <v>-16001.840907794349</v>
      </c>
      <c r="Z70" s="486">
        <f ca="1">Allocation!$I$13*CF!AA25</f>
        <v>-16379.204081066755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9840.2164600887445</v>
      </c>
      <c r="G72" s="264">
        <f t="shared" ref="G72:Z72" si="12">G67+G70+G69</f>
        <v>10400.325265999403</v>
      </c>
      <c r="H72" s="264">
        <f t="shared" si="12"/>
        <v>9411.8879981787977</v>
      </c>
      <c r="I72" s="264">
        <f t="shared" si="12"/>
        <v>11430.645557746278</v>
      </c>
      <c r="J72" s="264">
        <f t="shared" ca="1" si="12"/>
        <v>22120.326565663858</v>
      </c>
      <c r="K72" s="264">
        <f t="shared" ca="1" si="12"/>
        <v>22031.384313543607</v>
      </c>
      <c r="L72" s="264">
        <f t="shared" ca="1" si="12"/>
        <v>20916.471955676679</v>
      </c>
      <c r="M72" s="264">
        <f t="shared" ca="1" si="12"/>
        <v>19963.189364155085</v>
      </c>
      <c r="N72" s="264">
        <f t="shared" ca="1" si="12"/>
        <v>19795.039124672163</v>
      </c>
      <c r="O72" s="264">
        <f t="shared" ca="1" si="12"/>
        <v>19156.455371149219</v>
      </c>
      <c r="P72" s="264">
        <f t="shared" ca="1" si="12"/>
        <v>21926.652512592813</v>
      </c>
      <c r="Q72" s="264">
        <f t="shared" ca="1" si="12"/>
        <v>22502.363342408789</v>
      </c>
      <c r="R72" s="264">
        <f t="shared" ca="1" si="12"/>
        <v>22484.224232124328</v>
      </c>
      <c r="S72" s="264">
        <f t="shared" ca="1" si="12"/>
        <v>22864.626223127365</v>
      </c>
      <c r="T72" s="264">
        <f t="shared" ca="1" si="12"/>
        <v>23116.123458413691</v>
      </c>
      <c r="U72" s="264">
        <f t="shared" ca="1" si="12"/>
        <v>18742.47487586494</v>
      </c>
      <c r="V72" s="264">
        <f t="shared" ca="1" si="12"/>
        <v>17609.386099241408</v>
      </c>
      <c r="W72" s="264">
        <f t="shared" si="12"/>
        <v>18866.225397996001</v>
      </c>
      <c r="X72" s="264">
        <f t="shared" si="12"/>
        <v>21110.014731143114</v>
      </c>
      <c r="Y72" s="264">
        <f t="shared" si="12"/>
        <v>22316.808310797336</v>
      </c>
      <c r="Z72" s="264">
        <f t="shared" ca="1" si="12"/>
        <v>30910.889036882232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198.77180015651149</v>
      </c>
      <c r="G75" s="155">
        <f t="shared" si="13"/>
        <v>560.43019508812313</v>
      </c>
      <c r="H75" s="155">
        <f t="shared" si="13"/>
        <v>675.45916748642207</v>
      </c>
      <c r="I75" s="155">
        <f t="shared" si="13"/>
        <v>3933.0610643439004</v>
      </c>
      <c r="J75" s="155">
        <f t="shared" si="13"/>
        <v>6483.1651825238423</v>
      </c>
      <c r="K75" s="155">
        <f t="shared" si="13"/>
        <v>7064.7493843271523</v>
      </c>
      <c r="L75" s="155">
        <f t="shared" si="13"/>
        <v>7166.4587325241864</v>
      </c>
      <c r="M75" s="155">
        <f t="shared" si="13"/>
        <v>7533.302673005026</v>
      </c>
      <c r="N75" s="155">
        <f t="shared" si="13"/>
        <v>7926.2735837499922</v>
      </c>
      <c r="O75" s="155">
        <f t="shared" si="13"/>
        <v>8379.4355183000589</v>
      </c>
      <c r="P75" s="155">
        <f t="shared" si="13"/>
        <v>8798.6434991368005</v>
      </c>
      <c r="Q75" s="155">
        <f t="shared" si="13"/>
        <v>9192.4157887567399</v>
      </c>
      <c r="R75" s="155">
        <f t="shared" si="13"/>
        <v>9602.8022565049541</v>
      </c>
      <c r="S75" s="155">
        <f t="shared" si="13"/>
        <v>10043.988239516959</v>
      </c>
      <c r="T75" s="155">
        <f t="shared" si="13"/>
        <v>10486.93190078772</v>
      </c>
      <c r="U75" s="155">
        <f t="shared" si="13"/>
        <v>10948.900817060283</v>
      </c>
      <c r="V75" s="155">
        <f t="shared" si="13"/>
        <v>11423.526258977625</v>
      </c>
      <c r="W75" s="155">
        <f t="shared" si="13"/>
        <v>11904.428214714846</v>
      </c>
      <c r="X75" s="155">
        <f t="shared" si="13"/>
        <v>12342.023771941147</v>
      </c>
      <c r="Y75" s="155">
        <f t="shared" si="13"/>
        <v>12366.641749619848</v>
      </c>
      <c r="Z75" s="155">
        <f t="shared" si="13"/>
        <v>12583.566289419829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4920.1082300443722</v>
      </c>
      <c r="G76" s="155">
        <f t="shared" si="14"/>
        <v>5200.1626329997016</v>
      </c>
      <c r="H76" s="155">
        <f t="shared" si="14"/>
        <v>4705.9439990893989</v>
      </c>
      <c r="I76" s="155">
        <f t="shared" si="14"/>
        <v>5715.3227788731392</v>
      </c>
      <c r="J76" s="155">
        <f t="shared" ca="1" si="14"/>
        <v>11060.163282831929</v>
      </c>
      <c r="K76" s="155">
        <f t="shared" ca="1" si="14"/>
        <v>11015.692156771804</v>
      </c>
      <c r="L76" s="155">
        <f t="shared" ca="1" si="14"/>
        <v>10458.23597783834</v>
      </c>
      <c r="M76" s="155">
        <f t="shared" ca="1" si="14"/>
        <v>9981.5946820775425</v>
      </c>
      <c r="N76" s="155">
        <f t="shared" ca="1" si="14"/>
        <v>9897.5195623360814</v>
      </c>
      <c r="O76" s="155">
        <f t="shared" ca="1" si="14"/>
        <v>9578.2276855746095</v>
      </c>
      <c r="P76" s="155">
        <f t="shared" ca="1" si="14"/>
        <v>10963.326256296406</v>
      </c>
      <c r="Q76" s="155">
        <f t="shared" ca="1" si="14"/>
        <v>11251.181671204395</v>
      </c>
      <c r="R76" s="155">
        <f t="shared" ca="1" si="14"/>
        <v>11242.112116062164</v>
      </c>
      <c r="S76" s="155">
        <f t="shared" ca="1" si="14"/>
        <v>11432.313111563682</v>
      </c>
      <c r="T76" s="155">
        <f t="shared" ca="1" si="14"/>
        <v>11558.061729206845</v>
      </c>
      <c r="U76" s="155">
        <f t="shared" ca="1" si="14"/>
        <v>9371.2374379324701</v>
      </c>
      <c r="V76" s="155">
        <f t="shared" ca="1" si="14"/>
        <v>8804.6930496207042</v>
      </c>
      <c r="W76" s="155">
        <f t="shared" si="14"/>
        <v>9433.1126989980003</v>
      </c>
      <c r="X76" s="155">
        <f t="shared" si="14"/>
        <v>10555.007365571557</v>
      </c>
      <c r="Y76" s="155">
        <f t="shared" si="14"/>
        <v>11158.404155398668</v>
      </c>
      <c r="Z76" s="155">
        <f t="shared" ca="1" si="14"/>
        <v>15455.444518441116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40625" defaultRowHeight="12.75"/>
  <sheetData>
    <row r="2" spans="1:56" ht="20.25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7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5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5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5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75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5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75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75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75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75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75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75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75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75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75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75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75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75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75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75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75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75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75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75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75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75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75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75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75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75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75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5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7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75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2.75"/>
  <cols>
    <col min="1" max="1" width="21.85546875" customWidth="1"/>
    <col min="2" max="2" width="47.5703125" bestFit="1" customWidth="1"/>
    <col min="3" max="3" width="11.42578125" bestFit="1" customWidth="1"/>
    <col min="5" max="5" width="33.42578125" bestFit="1" customWidth="1"/>
    <col min="7" max="7" width="33.28515625" bestFit="1" customWidth="1"/>
    <col min="9" max="9" width="47.7109375" bestFit="1" customWidth="1"/>
    <col min="11" max="11" width="47.7109375" bestFit="1" customWidth="1"/>
    <col min="13" max="13" width="18" bestFit="1" customWidth="1"/>
    <col min="19" max="19" width="8.28515625" bestFit="1" customWidth="1"/>
  </cols>
  <sheetData>
    <row r="2" spans="1:16" ht="20.25">
      <c r="A2" s="65" t="s">
        <v>331</v>
      </c>
      <c r="B2" s="615"/>
    </row>
    <row r="3" spans="1:16" ht="20.25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5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5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abSelected="1" topLeftCell="A36" zoomScale="75" zoomScaleNormal="75" workbookViewId="0">
      <selection activeCell="A68" sqref="A68"/>
    </sheetView>
  </sheetViews>
  <sheetFormatPr defaultRowHeight="12.75"/>
  <cols>
    <col min="1" max="1" width="52.7109375" style="22" customWidth="1"/>
    <col min="2" max="2" width="19.28515625" style="22" customWidth="1"/>
    <col min="3" max="3" width="20.7109375" style="22" bestFit="1" customWidth="1"/>
    <col min="4" max="4" width="17.85546875" style="22" customWidth="1"/>
    <col min="5" max="5" width="20.140625" style="22" customWidth="1"/>
    <col min="6" max="6" width="20.28515625" style="22" customWidth="1"/>
    <col min="7" max="8" width="17.7109375" style="22" customWidth="1"/>
    <col min="9" max="9" width="12.140625" style="22" customWidth="1"/>
    <col min="10" max="10" width="14.140625" style="22" customWidth="1"/>
    <col min="11" max="11" width="40.140625" style="22" customWidth="1"/>
    <col min="12" max="13" width="14.42578125" style="22" customWidth="1"/>
    <col min="14" max="14" width="13.85546875" style="22" customWidth="1"/>
    <col min="15" max="15" width="5.140625" style="22" customWidth="1"/>
    <col min="16" max="17" width="14.42578125" style="22" customWidth="1"/>
    <col min="18" max="18" width="12.28515625" style="22" customWidth="1"/>
    <col min="19" max="19" width="9" style="22" customWidth="1"/>
    <col min="20" max="20" width="12" style="22" customWidth="1"/>
    <col min="21" max="21" width="11.42578125" style="22" customWidth="1"/>
    <col min="22" max="22" width="22.42578125" style="22" customWidth="1"/>
    <col min="23" max="23" width="19" style="22" customWidth="1"/>
    <col min="24" max="24" width="10.28515625" style="22" customWidth="1"/>
    <col min="25" max="36" width="12.85546875" style="22" customWidth="1"/>
    <col min="37" max="44" width="12" style="22" customWidth="1"/>
    <col min="45" max="45" width="9.140625" style="22"/>
    <col min="46" max="48" width="10" style="22" customWidth="1"/>
    <col min="49" max="49" width="12" style="22" customWidth="1"/>
    <col min="50" max="50" width="17.5703125" style="22" customWidth="1"/>
    <col min="51" max="51" width="22.42578125" style="22" customWidth="1"/>
    <col min="52" max="52" width="19" style="22" customWidth="1"/>
    <col min="53" max="53" width="10.28515625" style="22" customWidth="1"/>
    <col min="54" max="73" width="13.140625" style="22" customWidth="1"/>
    <col min="74" max="74" width="9.140625" style="22"/>
    <col min="75" max="84" width="10" style="22" customWidth="1"/>
    <col min="85" max="85" width="9.140625" style="22"/>
    <col min="86" max="91" width="10" style="22" customWidth="1"/>
    <col min="92" max="92" width="9.140625" style="22"/>
    <col min="93" max="98" width="10" style="22" customWidth="1"/>
    <col min="99" max="16384" width="9.140625" style="22"/>
  </cols>
  <sheetData>
    <row r="1" spans="1:49" ht="25.5" hidden="1">
      <c r="A1" s="776" t="s">
        <v>393</v>
      </c>
      <c r="T1" s="271"/>
      <c r="AW1" s="271"/>
    </row>
    <row r="2" spans="1:49" ht="20.25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5" thickBot="1">
      <c r="I5" s="235"/>
      <c r="S5" s="235"/>
    </row>
    <row r="6" spans="1:49" ht="15.75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75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5.75">
      <c r="A8" s="340" t="s">
        <v>46</v>
      </c>
      <c r="B8" s="608">
        <f>C8/$C$11</f>
        <v>0.42527821939586646</v>
      </c>
      <c r="C8" s="559">
        <f>IRR!B62</f>
        <v>535000</v>
      </c>
      <c r="D8" s="705"/>
      <c r="E8" s="342" t="s">
        <v>47</v>
      </c>
      <c r="F8" s="791">
        <f>G8/G14</f>
        <v>0.39379968203497617</v>
      </c>
      <c r="G8" s="565">
        <f>(G14-G11)*Allocation!G10</f>
        <v>495400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75">
      <c r="A9" s="340" t="s">
        <v>54</v>
      </c>
      <c r="B9" s="609">
        <f>C9/C11</f>
        <v>0.57472178060413359</v>
      </c>
      <c r="C9" s="560">
        <f>Assumptions!B22+Assumptions!C22+Assumptions!D22</f>
        <v>723000</v>
      </c>
      <c r="D9" s="365"/>
      <c r="E9" s="342" t="s">
        <v>55</v>
      </c>
      <c r="F9" s="792">
        <f>G9/G14</f>
        <v>0.57592638516447403</v>
      </c>
      <c r="G9" s="565">
        <f>(G14-G11)*Allocation!G15-G12</f>
        <v>724515.39253690827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75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75">
      <c r="A11" s="347" t="s">
        <v>58</v>
      </c>
      <c r="B11" s="590">
        <f>C11/$C$11</f>
        <v>1</v>
      </c>
      <c r="C11" s="561">
        <f>SUM(C8:C9)</f>
        <v>1258000</v>
      </c>
      <c r="D11" s="338"/>
      <c r="E11" s="342" t="s">
        <v>59</v>
      </c>
      <c r="F11" s="792">
        <f>G11/$G$14</f>
        <v>1.5500794912559618E-2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75">
      <c r="A12" s="348"/>
      <c r="B12" s="349"/>
      <c r="C12" s="562"/>
      <c r="D12" s="338"/>
      <c r="E12" s="338" t="s">
        <v>381</v>
      </c>
      <c r="F12" s="792">
        <f>G12/$G$14</f>
        <v>1.4773137887990288E-2</v>
      </c>
      <c r="G12" s="790">
        <f>-(Debt!C104)</f>
        <v>18584.607463091783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75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5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1.0000000000000002</v>
      </c>
      <c r="G14" s="789">
        <f>C11</f>
        <v>1258000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75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5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75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75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75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5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5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75">
      <c r="A22" s="356" t="s">
        <v>77</v>
      </c>
      <c r="B22" s="357">
        <f>Debt!F10</f>
        <v>83000</v>
      </c>
      <c r="C22" s="357">
        <f>Debt!L10</f>
        <v>215000</v>
      </c>
      <c r="D22" s="357">
        <f>Debt!R10</f>
        <v>425000</v>
      </c>
      <c r="E22" s="357">
        <f>SUM(B22:D22)</f>
        <v>723000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75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75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75">
      <c r="A25" s="356" t="s">
        <v>81</v>
      </c>
      <c r="B25" s="421">
        <f>Debt!F9</f>
        <v>2.1137701854974145</v>
      </c>
      <c r="C25" s="421">
        <f>Debt!L9</f>
        <v>7.2762776178110595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75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75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75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6.2407607192254494E-2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75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3.7238934993084373E-2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75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9.9646542185338888E-2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75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75">
      <c r="A32" s="351" t="s">
        <v>514</v>
      </c>
      <c r="B32" s="357">
        <f ca="1">MAX(Debt!C106:Z106)</f>
        <v>112380.20352474868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75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5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75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5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75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75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37742</v>
      </c>
      <c r="M38" s="338"/>
      <c r="N38" s="338"/>
      <c r="O38" s="23"/>
      <c r="P38" s="338"/>
      <c r="Q38" s="338"/>
      <c r="R38" s="352"/>
      <c r="S38" s="7"/>
      <c r="T38" s="675"/>
    </row>
    <row r="39" spans="1:20" ht="16.5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5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75">
      <c r="A41" s="374" t="s">
        <v>105</v>
      </c>
      <c r="B41" s="596">
        <f>Depreciation!B18</f>
        <v>493680.962</v>
      </c>
      <c r="C41" s="366">
        <f>Depreciation!B54</f>
        <v>738629.74002804724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75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75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75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5" thickBot="1">
      <c r="A45" s="374" t="s">
        <v>105</v>
      </c>
      <c r="B45" s="596">
        <f>Depreciation!B42</f>
        <v>493680.962</v>
      </c>
      <c r="C45" s="366">
        <f>Depreciation!B75</f>
        <v>738629.74002804724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5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5" thickBot="1">
      <c r="A47" s="77"/>
      <c r="B47" s="77"/>
      <c r="C47" s="77"/>
      <c r="D47" s="77"/>
      <c r="E47" s="77"/>
      <c r="F47" s="77"/>
      <c r="S47" s="7"/>
      <c r="T47" s="675"/>
    </row>
    <row r="48" spans="1:20" ht="16.5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75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75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75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75">
      <c r="A52" s="351" t="s">
        <v>404</v>
      </c>
      <c r="B52" s="338"/>
      <c r="C52" s="23"/>
      <c r="D52" s="364">
        <f ca="1">MIN(Debt!C114:F114)</f>
        <v>1.2888963749231688</v>
      </c>
      <c r="E52" s="364">
        <f ca="1">AVERAGE(Debt!B114:F114)</f>
        <v>1.3927921351860328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75">
      <c r="A53" s="351" t="s">
        <v>405</v>
      </c>
      <c r="B53" s="338"/>
      <c r="C53" s="23"/>
      <c r="D53" s="364">
        <f>MIN(Debt!G115:V115)</f>
        <v>2.245600577071702</v>
      </c>
      <c r="E53" s="364">
        <f>AVERAGE(Debt!G115:V115)</f>
        <v>2.9648979784554501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75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75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75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75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75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75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75">
      <c r="A60" s="351" t="s">
        <v>132</v>
      </c>
      <c r="B60" s="338"/>
      <c r="C60" s="338"/>
      <c r="D60" s="366">
        <f>G14/F58</f>
        <v>398.227287116176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75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75">
      <c r="A62" s="351" t="s">
        <v>361</v>
      </c>
      <c r="B62" s="338"/>
      <c r="C62" s="338"/>
      <c r="D62" s="567">
        <f ca="1">IRR!D62</f>
        <v>0.12490847350272052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75">
      <c r="A63" s="351" t="s">
        <v>363</v>
      </c>
      <c r="B63" s="338"/>
      <c r="C63" s="338"/>
      <c r="D63" s="567">
        <f ca="1">IRR!D66</f>
        <v>0.14410205445738961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75">
      <c r="A64" s="351" t="s">
        <v>362</v>
      </c>
      <c r="B64" s="373"/>
      <c r="C64" s="365"/>
      <c r="D64" s="567">
        <f ca="1">IRR!D70</f>
        <v>0.13667418477318824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75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133.91003460207611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75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75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75">
      <c r="A68" s="351" t="s">
        <v>140</v>
      </c>
      <c r="B68" s="366">
        <f ca="1">IS!E38</f>
        <v>89343.013167245706</v>
      </c>
      <c r="C68" s="366">
        <f>IS!F38</f>
        <v>121999.06951687927</v>
      </c>
      <c r="D68" s="366">
        <f>IS!G38</f>
        <v>121476.06494435224</v>
      </c>
      <c r="E68" s="366">
        <f>IS!H38</f>
        <v>159397.18597050462</v>
      </c>
      <c r="F68" s="366">
        <f>IS!I38</f>
        <v>190097.33582811028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5" thickBot="1">
      <c r="A69" s="351" t="s">
        <v>141</v>
      </c>
      <c r="B69" s="366">
        <f ca="1">IS!E53</f>
        <v>5274.9272009787128</v>
      </c>
      <c r="C69" s="366">
        <f>IS!F53</f>
        <v>8493.1104021904903</v>
      </c>
      <c r="D69" s="366">
        <f>IS!G53</f>
        <v>9433.8381545091815</v>
      </c>
      <c r="E69" s="366">
        <f>IS!H53</f>
        <v>34701.644790050013</v>
      </c>
      <c r="F69" s="366">
        <f>IS!I53</f>
        <v>55066.003057173308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75">
      <c r="A70" s="351" t="s">
        <v>142</v>
      </c>
      <c r="B70" s="366">
        <f ca="1">CF!G18</f>
        <v>56758.016715222075</v>
      </c>
      <c r="C70" s="366">
        <f>CF!H18</f>
        <v>27345.168791810007</v>
      </c>
      <c r="D70" s="366">
        <f>CF!I18</f>
        <v>27313.710309570757</v>
      </c>
      <c r="E70" s="366">
        <f>CF!J18</f>
        <v>47016.982445755944</v>
      </c>
      <c r="F70" s="366">
        <f>CF!K18</f>
        <v>105487.17194460452</v>
      </c>
      <c r="G70" s="69"/>
      <c r="J70" s="22" t="s">
        <v>473</v>
      </c>
    </row>
    <row r="71" spans="1:36" ht="16.5" thickBot="1">
      <c r="A71" s="353" t="s">
        <v>143</v>
      </c>
      <c r="B71" s="367">
        <f ca="1">CF!G27</f>
        <v>65655.218802759366</v>
      </c>
      <c r="C71" s="367">
        <f>CF!H27</f>
        <v>50506.027071154764</v>
      </c>
      <c r="D71" s="367">
        <f>CF!I27</f>
        <v>45837.106661883081</v>
      </c>
      <c r="E71" s="367">
        <f>CF!J27</f>
        <v>47393.426395908951</v>
      </c>
      <c r="F71" s="367">
        <f ca="1">CF!K27</f>
        <v>90873.888191683232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75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75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75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5.75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75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9.9927798506427887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75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75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5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75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75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75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75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75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75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5.75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75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75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8.965344099643362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75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75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1.9283132611314513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75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5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75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75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75" workbookViewId="0">
      <selection activeCell="I6" sqref="I6"/>
    </sheetView>
  </sheetViews>
  <sheetFormatPr defaultColWidth="9.28515625" defaultRowHeight="15.75"/>
  <cols>
    <col min="1" max="1" width="9.5703125" style="77" customWidth="1"/>
    <col min="2" max="2" width="35.140625" style="77" customWidth="1"/>
    <col min="3" max="3" width="11.140625" style="77" customWidth="1"/>
    <col min="4" max="4" width="3.7109375" style="77" customWidth="1"/>
    <col min="5" max="9" width="9.85546875" style="77" customWidth="1"/>
    <col min="10" max="11" width="11.5703125" style="77" customWidth="1"/>
    <col min="12" max="12" width="10.28515625" style="77" customWidth="1"/>
    <col min="13" max="26" width="9.85546875" style="77" customWidth="1"/>
    <col min="27" max="16384" width="9.285156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6" sqref="I6"/>
    </sheetView>
  </sheetViews>
  <sheetFormatPr defaultRowHeight="12.75"/>
  <cols>
    <col min="1" max="1" width="76" customWidth="1"/>
    <col min="4" max="25" width="12.5703125" customWidth="1"/>
    <col min="26" max="27" width="12.5703125" style="295" customWidth="1"/>
  </cols>
  <sheetData>
    <row r="2" spans="1:27" ht="18.75">
      <c r="A2" s="126" t="s">
        <v>163</v>
      </c>
      <c r="B2" s="10"/>
    </row>
    <row r="4" spans="1:27" s="8" customFormat="1" ht="13.5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57640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1741.6867675798869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5086.2305878305006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125188.07871530697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4840.286965545416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42.527582159999994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1103.000162558589</v>
      </c>
      <c r="F18" s="576">
        <f>Caledonia!G19+'New Albany'!G19+Brownsville!G19+Calvert!G19+Wheatland!G19+Wilton!G19</f>
        <v>1506.1613520602382</v>
      </c>
      <c r="G18" s="576">
        <f>Caledonia!H19+'New Albany'!H19+Brownsville!H19+Calvert!H19+Wheatland!H19+Wilton!H19</f>
        <v>1499.7045054858302</v>
      </c>
      <c r="H18" s="576">
        <f>Caledonia!I19+'New Albany'!I19+Brownsville!I19+Calvert!I19+Wheatland!I19+Wilton!I19</f>
        <v>1967.8664934630203</v>
      </c>
      <c r="I18" s="576">
        <f>Caledonia!J19+'New Albany'!J19+Brownsville!J19+Calvert!J19+Wheatland!J19+Wilton!J19</f>
        <v>2346.8806892359294</v>
      </c>
      <c r="J18" s="576">
        <f>Caledonia!K19+'New Albany'!K19+Brownsville!K19+Calvert!K19+Wheatland!K19+Wilton!K19</f>
        <v>2389.8763369559133</v>
      </c>
      <c r="K18" s="576">
        <f>Caledonia!L19+'New Albany'!L19+Brownsville!L19+Calvert!L19+Wheatland!L19+Wilton!L19</f>
        <v>2404.6395371036697</v>
      </c>
      <c r="L18" s="576">
        <f>Caledonia!M19+'New Albany'!M19+Brownsville!M19+Calvert!M19+Wheatland!M19+Wilton!M19</f>
        <v>2459.1436023150181</v>
      </c>
      <c r="M18" s="576">
        <f>Caledonia!N19+'New Albany'!N19+Brownsville!N19+Calvert!N19+Wheatland!N19+Wilton!N19</f>
        <v>2483.515410904185</v>
      </c>
      <c r="N18" s="576">
        <f>Caledonia!O19+'New Albany'!O19+Brownsville!O19+Calvert!O19+Wheatland!O19+Wilton!O19</f>
        <v>2541.2708302361116</v>
      </c>
      <c r="O18" s="576">
        <f>Caledonia!P19+'New Albany'!P19+Brownsville!P19+Calvert!P19+Wheatland!P19+Wilton!P19</f>
        <v>2551.0644638339977</v>
      </c>
      <c r="P18" s="576">
        <f>Caledonia!Q19+'New Albany'!Q19+Brownsville!Q19+Calvert!Q19+Wheatland!Q19+Wilton!Q19</f>
        <v>2609.9328743621327</v>
      </c>
      <c r="Q18" s="576">
        <f>Caledonia!R19+'New Albany'!R19+Brownsville!R19+Calvert!R19+Wheatland!R19+Wilton!R19</f>
        <v>2635.7594097374322</v>
      </c>
      <c r="R18" s="576">
        <f>Caledonia!S19+'New Albany'!S19+Brownsville!S19+Calvert!S19+Wheatland!S19+Wilton!S19</f>
        <v>2652.1600607100472</v>
      </c>
      <c r="S18" s="576">
        <f>Caledonia!T19+'New Albany'!T19+Brownsville!T19+Calvert!T19+Wheatland!T19+Wilton!T19</f>
        <v>2672.3143615699692</v>
      </c>
      <c r="T18" s="576">
        <f>Caledonia!U19+'New Albany'!U19+Brownsville!U19+Calvert!U19+Wheatland!U19+Wilton!U19</f>
        <v>2695.9997256532984</v>
      </c>
      <c r="U18" s="576">
        <f>Caledonia!V19+'New Albany'!V19+Brownsville!V19+Calvert!V19+Wheatland!V19+Wilton!V19</f>
        <v>2719.6771146257292</v>
      </c>
      <c r="V18" s="576">
        <f>Caledonia!W19+'New Albany'!W19+Brownsville!W19+Calvert!W19+Wheatland!W19+Wilton!W19</f>
        <v>2742.9542970953335</v>
      </c>
      <c r="W18" s="576">
        <f>Caledonia!X19+'New Albany'!X19+Brownsville!X19+Calvert!X19+Wheatland!X19+Wilton!X19</f>
        <v>2762.9140879416223</v>
      </c>
      <c r="X18" s="576">
        <f>Caledonia!Y19+'New Albany'!Y19+Brownsville!Y19+Calvert!Y19+Wheatland!Y19+Wilton!Y19</f>
        <v>2754.0120234768501</v>
      </c>
      <c r="Y18" s="576">
        <f>Caledonia!Z19+'New Albany'!Z19+Brownsville!Z19+Calvert!Z19+Wheatland!Z19+Wilton!Z19</f>
        <v>2790.3050814932235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118196.37291137809</v>
      </c>
      <c r="F19" s="243">
        <f t="shared" si="1"/>
        <v>155288.48207313189</v>
      </c>
      <c r="G19" s="243">
        <f t="shared" si="1"/>
        <v>155745.41484818966</v>
      </c>
      <c r="H19" s="243">
        <f t="shared" si="1"/>
        <v>196506.67711188577</v>
      </c>
      <c r="I19" s="243">
        <f t="shared" si="1"/>
        <v>229235.48292206583</v>
      </c>
      <c r="J19" s="243">
        <f t="shared" si="1"/>
        <v>233760.17700708768</v>
      </c>
      <c r="K19" s="243">
        <f t="shared" si="1"/>
        <v>236075.06512989532</v>
      </c>
      <c r="L19" s="243">
        <f t="shared" si="1"/>
        <v>241658.2053624262</v>
      </c>
      <c r="M19" s="243">
        <f t="shared" si="1"/>
        <v>244794.53751711952</v>
      </c>
      <c r="N19" s="243">
        <f t="shared" si="1"/>
        <v>250550.05827059277</v>
      </c>
      <c r="O19" s="243">
        <f t="shared" si="1"/>
        <v>253688.73891633144</v>
      </c>
      <c r="P19" s="243">
        <f t="shared" si="1"/>
        <v>259614.59709923781</v>
      </c>
      <c r="Q19" s="243">
        <f t="shared" si="1"/>
        <v>262776.75731106265</v>
      </c>
      <c r="R19" s="243">
        <f t="shared" si="1"/>
        <v>265116.45155196084</v>
      </c>
      <c r="S19" s="243">
        <f t="shared" si="1"/>
        <v>268158.31674300577</v>
      </c>
      <c r="T19" s="243">
        <f t="shared" si="1"/>
        <v>271148.86340232706</v>
      </c>
      <c r="U19" s="243">
        <f t="shared" si="1"/>
        <v>274078.54197609227</v>
      </c>
      <c r="V19" s="243">
        <f t="shared" si="1"/>
        <v>276940.63845111721</v>
      </c>
      <c r="W19" s="243">
        <f t="shared" si="1"/>
        <v>279725.58932768065</v>
      </c>
      <c r="X19" s="243">
        <f t="shared" si="1"/>
        <v>280291.75244899763</v>
      </c>
      <c r="Y19" s="243">
        <f t="shared" si="1"/>
        <v>282860.80026543437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4345.1750410916366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2247.6040704949737</v>
      </c>
      <c r="F31" s="293">
        <f>Assumptions!$B$33*MAX(Debt!D106:$V$106)</f>
        <v>2247.6040704949737</v>
      </c>
      <c r="G31" s="293">
        <f>Assumptions!$B$33*MAX(Debt!E106:$V$106)</f>
        <v>2247.6040704949737</v>
      </c>
      <c r="H31" s="293">
        <f>Assumptions!$B$33*MAX(Debt!F106:$V$106)</f>
        <v>2247.6040704949737</v>
      </c>
      <c r="I31" s="293">
        <f>Assumptions!$B$33*MAX(Debt!G106:$V$106)</f>
        <v>1830.3253380583003</v>
      </c>
      <c r="J31" s="293">
        <f>Assumptions!$B$33*MAX(Debt!H106:$V$106)</f>
        <v>1830.3253380583003</v>
      </c>
      <c r="K31" s="293">
        <f>Assumptions!$B$33*MAX(Debt!I106:$V$106)</f>
        <v>1830.3253380583003</v>
      </c>
      <c r="L31" s="293">
        <f>Assumptions!$B$33*MAX(Debt!J106:$V$106)</f>
        <v>1830.3253380583003</v>
      </c>
      <c r="M31" s="293">
        <f>Assumptions!$B$33*MAX(Debt!K106:$V$106)</f>
        <v>1830.3253380583003</v>
      </c>
      <c r="N31" s="293">
        <f>Assumptions!$B$33*MAX(Debt!L106:$V$106)</f>
        <v>1830.3253380583003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1511.1894000000002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741.67128027681679</v>
      </c>
      <c r="F33" s="243">
        <f>Wheatland!G34+'New Albany'!G34+Wilton!G34+Calvert!G34+Brownsville!G34+Caledonia!G34</f>
        <v>1055.393598615917</v>
      </c>
      <c r="G33" s="243">
        <f>Wheatland!H34+'New Albany'!H34+Wilton!H34+Calvert!H34+Brownsville!H34+Caledonia!H34</f>
        <v>1087.0554065743945</v>
      </c>
      <c r="H33" s="243">
        <f>Wheatland!I34+'New Albany'!I34+Wilton!I34+Calvert!I34+Brownsville!I34+Caledonia!I34</f>
        <v>1119.6670687716264</v>
      </c>
      <c r="I33" s="243">
        <f>Wheatland!J34+'New Albany'!J34+Wilton!J34+Calvert!J34+Brownsville!J34+Caledonia!J34</f>
        <v>1153.2570808347753</v>
      </c>
      <c r="J33" s="243">
        <f>Wheatland!K34+'New Albany'!K34+Wilton!K34+Calvert!K34+Brownsville!K34+Caledonia!K34</f>
        <v>1187.8547932598185</v>
      </c>
      <c r="K33" s="243">
        <f>Wheatland!L34+'New Albany'!L34+Wilton!L34+Calvert!L34+Brownsville!L34+Caledonia!L34</f>
        <v>1223.4904370576132</v>
      </c>
      <c r="L33" s="243">
        <f>Wheatland!M34+'New Albany'!M34+Wilton!M34+Calvert!M34+Brownsville!M34+Caledonia!M34</f>
        <v>1260.1951501693416</v>
      </c>
      <c r="M33" s="243">
        <f>Wheatland!N34+'New Albany'!N34+Wilton!N34+Calvert!N34+Brownsville!N34+Caledonia!N34</f>
        <v>1298.0010046744219</v>
      </c>
      <c r="N33" s="243">
        <f>Wheatland!O34+'New Albany'!O34+Wilton!O34+Calvert!O34+Brownsville!O34+Caledonia!O34</f>
        <v>1336.9410348146546</v>
      </c>
      <c r="O33" s="243">
        <f>Wheatland!P34+'New Albany'!P34+Wilton!P34+Calvert!P34+Brownsville!P34+Caledonia!P34</f>
        <v>1377.0492658590942</v>
      </c>
      <c r="P33" s="243">
        <f>Wheatland!Q34+'New Albany'!Q34+Wilton!Q34+Calvert!Q34+Brownsville!Q34+Caledonia!Q34</f>
        <v>1418.3607438348668</v>
      </c>
      <c r="Q33" s="243">
        <f>Wheatland!R34+'New Albany'!R34+Wilton!R34+Calvert!R34+Brownsville!R34+Caledonia!R34</f>
        <v>1460.9115661499131</v>
      </c>
      <c r="R33" s="243">
        <f>Wheatland!S34+'New Albany'!S34+Wilton!S34+Calvert!S34+Brownsville!S34+Caledonia!S34</f>
        <v>1504.7389131344107</v>
      </c>
      <c r="S33" s="243">
        <f>Wheatland!T34+'New Albany'!T34+Wilton!T34+Calvert!T34+Brownsville!T34+Caledonia!T34</f>
        <v>1549.8810805284429</v>
      </c>
      <c r="T33" s="243">
        <f>Wheatland!U34+'New Albany'!U34+Wilton!U34+Calvert!U34+Brownsville!U34+Caledonia!U34</f>
        <v>1596.3775129442961</v>
      </c>
      <c r="U33" s="243">
        <f>Wheatland!V34+'New Albany'!V34+Wilton!V34+Calvert!V34+Brownsville!V34+Caledonia!V34</f>
        <v>1644.2688383326251</v>
      </c>
      <c r="V33" s="243">
        <f>Wheatland!W34+'New Albany'!W34+Wilton!W34+Calvert!W34+Brownsville!W34+Caledonia!W34</f>
        <v>1693.5969034826039</v>
      </c>
      <c r="W33" s="243">
        <f>Wheatland!X34+'New Albany'!X34+Wilton!X34+Calvert!X34+Brownsville!X34+Caledonia!X34</f>
        <v>1744.4048105870825</v>
      </c>
      <c r="X33" s="243">
        <f>Wheatland!Y34+'New Albany'!Y34+Wilton!Y34+Calvert!Y34+Brownsville!Y34+Caledonia!Y34</f>
        <v>1796.7369549046948</v>
      </c>
      <c r="Y33" s="243">
        <f>Wheatland!Z34+'New Albany'!Z34+Wilton!Z34+Calvert!Z34+Brownsville!Z34+Caledonia!Z34</f>
        <v>1850.6390635518355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28853.35974413238</v>
      </c>
      <c r="F35" s="244">
        <f t="shared" si="2"/>
        <v>33289.41255625261</v>
      </c>
      <c r="G35" s="244">
        <f t="shared" si="2"/>
        <v>34269.349903837414</v>
      </c>
      <c r="H35" s="244">
        <f t="shared" si="2"/>
        <v>37109.491141381157</v>
      </c>
      <c r="I35" s="244">
        <f t="shared" si="2"/>
        <v>39138.147093955544</v>
      </c>
      <c r="J35" s="244">
        <f t="shared" si="2"/>
        <v>40180.193713658715</v>
      </c>
      <c r="K35" s="244">
        <f t="shared" si="2"/>
        <v>41299.262624498071</v>
      </c>
      <c r="L35" s="244">
        <f t="shared" si="2"/>
        <v>42467.573574909773</v>
      </c>
      <c r="M35" s="244">
        <f t="shared" si="2"/>
        <v>43629.789233880489</v>
      </c>
      <c r="N35" s="244">
        <f t="shared" si="2"/>
        <v>44707.121021467727</v>
      </c>
      <c r="O35" s="244">
        <f t="shared" si="2"/>
        <v>47052.517345777618</v>
      </c>
      <c r="P35" s="244">
        <f t="shared" si="2"/>
        <v>48210.034275905055</v>
      </c>
      <c r="Q35" s="244">
        <f t="shared" si="2"/>
        <v>49280.245122330627</v>
      </c>
      <c r="R35" s="244">
        <f t="shared" si="2"/>
        <v>50291.486634447043</v>
      </c>
      <c r="S35" s="244">
        <f t="shared" si="2"/>
        <v>51700.853455838318</v>
      </c>
      <c r="T35" s="244">
        <f t="shared" si="2"/>
        <v>52772.885624409842</v>
      </c>
      <c r="U35" s="244">
        <f t="shared" si="2"/>
        <v>53784.695691408255</v>
      </c>
      <c r="V35" s="244">
        <f t="shared" si="2"/>
        <v>54761.340386395219</v>
      </c>
      <c r="W35" s="244">
        <f t="shared" si="2"/>
        <v>55929.548204409315</v>
      </c>
      <c r="X35" s="244">
        <f t="shared" si="2"/>
        <v>57216.778547372793</v>
      </c>
      <c r="Y35" s="244">
        <f t="shared" si="2"/>
        <v>56846.088664483243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89343.013167245706</v>
      </c>
      <c r="F38" s="246">
        <f t="shared" si="3"/>
        <v>121999.06951687927</v>
      </c>
      <c r="G38" s="246">
        <f t="shared" si="3"/>
        <v>121476.06494435224</v>
      </c>
      <c r="H38" s="246">
        <f t="shared" si="3"/>
        <v>159397.18597050462</v>
      </c>
      <c r="I38" s="246">
        <f t="shared" si="3"/>
        <v>190097.33582811028</v>
      </c>
      <c r="J38" s="246">
        <f t="shared" si="3"/>
        <v>193579.98329342896</v>
      </c>
      <c r="K38" s="246">
        <f t="shared" si="3"/>
        <v>194775.80250539724</v>
      </c>
      <c r="L38" s="246">
        <f t="shared" si="3"/>
        <v>199190.63178751644</v>
      </c>
      <c r="M38" s="246">
        <f t="shared" si="3"/>
        <v>201164.74828323902</v>
      </c>
      <c r="N38" s="246">
        <f t="shared" si="3"/>
        <v>205842.93724912504</v>
      </c>
      <c r="O38" s="246">
        <f t="shared" si="3"/>
        <v>206636.22157055381</v>
      </c>
      <c r="P38" s="246">
        <f t="shared" si="3"/>
        <v>211404.56282333276</v>
      </c>
      <c r="Q38" s="246">
        <f t="shared" si="3"/>
        <v>213496.51218873204</v>
      </c>
      <c r="R38" s="246">
        <f t="shared" si="3"/>
        <v>214824.9649175138</v>
      </c>
      <c r="S38" s="246">
        <f t="shared" si="3"/>
        <v>216457.46328716745</v>
      </c>
      <c r="T38" s="246">
        <f t="shared" si="3"/>
        <v>218375.97777791723</v>
      </c>
      <c r="U38" s="246">
        <f t="shared" si="3"/>
        <v>220293.84628468403</v>
      </c>
      <c r="V38" s="246">
        <f t="shared" si="3"/>
        <v>222179.29806472198</v>
      </c>
      <c r="W38" s="246">
        <f t="shared" si="3"/>
        <v>223796.04112327134</v>
      </c>
      <c r="X38" s="246">
        <f t="shared" si="3"/>
        <v>223074.97390162485</v>
      </c>
      <c r="Y38" s="246">
        <f t="shared" si="3"/>
        <v>226014.71160095112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27601.19172104682</v>
      </c>
      <c r="F40" s="243">
        <f>Depreciation!I42+Depreciation!I77</f>
        <v>37944.321060841423</v>
      </c>
      <c r="G40" s="243">
        <f>Depreciation!J42+Depreciation!J77</f>
        <v>37944.321060841423</v>
      </c>
      <c r="H40" s="243">
        <f>Depreciation!K42+Depreciation!K77</f>
        <v>37944.321060841423</v>
      </c>
      <c r="I40" s="243">
        <f>Depreciation!L42+Depreciation!L77</f>
        <v>37944.321060841423</v>
      </c>
      <c r="J40" s="243">
        <f>Depreciation!M42+Depreciation!M77</f>
        <v>37944.321060841423</v>
      </c>
      <c r="K40" s="243">
        <f>Depreciation!N42+Depreciation!N77</f>
        <v>37944.321060841423</v>
      </c>
      <c r="L40" s="243">
        <f>Depreciation!O42+Depreciation!O77</f>
        <v>37944.321060841423</v>
      </c>
      <c r="M40" s="243">
        <f>Depreciation!P42+Depreciation!P77</f>
        <v>37944.321060841423</v>
      </c>
      <c r="N40" s="243">
        <f>Depreciation!Q42+Depreciation!Q77</f>
        <v>37944.321060841423</v>
      </c>
      <c r="O40" s="243">
        <f>Depreciation!R42+Depreciation!R77</f>
        <v>37944.321060841423</v>
      </c>
      <c r="P40" s="243">
        <f>Depreciation!S42+Depreciation!S77</f>
        <v>37944.321060841423</v>
      </c>
      <c r="Q40" s="243">
        <f>Depreciation!T42+Depreciation!T77</f>
        <v>37944.321060841423</v>
      </c>
      <c r="R40" s="243">
        <f>Depreciation!U42+Depreciation!U77</f>
        <v>37944.321060841423</v>
      </c>
      <c r="S40" s="243">
        <f>Depreciation!V42+Depreciation!V77</f>
        <v>37944.321060841423</v>
      </c>
      <c r="T40" s="243">
        <f>Depreciation!W42+Depreciation!W77</f>
        <v>37944.321060841423</v>
      </c>
      <c r="U40" s="243">
        <f>Depreciation!X42+Depreciation!X77</f>
        <v>37944.321060841423</v>
      </c>
      <c r="V40" s="243">
        <f>Depreciation!Y42+Depreciation!Y77</f>
        <v>37944.321060841423</v>
      </c>
      <c r="W40" s="243">
        <f>Depreciation!Z42+Depreciation!Z77</f>
        <v>37944.321060841423</v>
      </c>
      <c r="X40" s="243">
        <f>Depreciation!AA42+Depreciation!AA77</f>
        <v>37944.321060841423</v>
      </c>
      <c r="Y40" s="243">
        <f>Depreciation!AB42+Depreciation!AB77</f>
        <v>36969.321060841423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61741.821446198883</v>
      </c>
      <c r="F42" s="246">
        <f t="shared" si="4"/>
        <v>84054.748456037851</v>
      </c>
      <c r="G42" s="246">
        <f t="shared" si="4"/>
        <v>83531.743883510819</v>
      </c>
      <c r="H42" s="246">
        <f t="shared" si="4"/>
        <v>121452.8649096632</v>
      </c>
      <c r="I42" s="246">
        <f t="shared" si="4"/>
        <v>152153.01476726885</v>
      </c>
      <c r="J42" s="246">
        <f t="shared" si="4"/>
        <v>155635.66223258752</v>
      </c>
      <c r="K42" s="246">
        <f t="shared" si="4"/>
        <v>156831.4814445558</v>
      </c>
      <c r="L42" s="246">
        <f t="shared" si="4"/>
        <v>161246.31072667503</v>
      </c>
      <c r="M42" s="246">
        <f t="shared" si="4"/>
        <v>163220.42722239759</v>
      </c>
      <c r="N42" s="246">
        <f t="shared" si="4"/>
        <v>167898.6161882836</v>
      </c>
      <c r="O42" s="246">
        <f t="shared" si="4"/>
        <v>168691.9005097124</v>
      </c>
      <c r="P42" s="246">
        <f t="shared" si="4"/>
        <v>173460.24176249135</v>
      </c>
      <c r="Q42" s="246">
        <f t="shared" si="4"/>
        <v>175552.1911278906</v>
      </c>
      <c r="R42" s="246">
        <f t="shared" si="4"/>
        <v>176880.6438566724</v>
      </c>
      <c r="S42" s="246">
        <f t="shared" si="4"/>
        <v>178513.14222632605</v>
      </c>
      <c r="T42" s="246">
        <f t="shared" si="4"/>
        <v>180431.65671707579</v>
      </c>
      <c r="U42" s="246">
        <f t="shared" si="4"/>
        <v>182349.52522384259</v>
      </c>
      <c r="V42" s="246">
        <f t="shared" si="4"/>
        <v>184234.97700388054</v>
      </c>
      <c r="W42" s="246">
        <f t="shared" si="4"/>
        <v>185851.7200624299</v>
      </c>
      <c r="X42" s="246">
        <f t="shared" si="4"/>
        <v>185130.65284078341</v>
      </c>
      <c r="Y42" s="246">
        <f t="shared" si="4"/>
        <v>189045.39054010971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75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53156.618328810378</v>
      </c>
      <c r="F44" s="243">
        <f>Debt!D46+Debt!D69+Debt!D92</f>
        <v>70128.43362234268</v>
      </c>
      <c r="G44" s="243">
        <f>Debt!E46+Debt!E69+Debt!E92</f>
        <v>68062.489498989409</v>
      </c>
      <c r="H44" s="243">
        <f>Debt!F46+Debt!F69+Debt!F92</f>
        <v>64609.816057639298</v>
      </c>
      <c r="I44" s="243">
        <f>Debt!G46+Debt!G69+Debt!G92</f>
        <v>61970.964883505774</v>
      </c>
      <c r="J44" s="243">
        <f>Debt!H46+Debt!H69+Debt!H92</f>
        <v>59515.798183505773</v>
      </c>
      <c r="K44" s="243">
        <f>Debt!I46+Debt!I69+Debt!I92</f>
        <v>56824.832383505767</v>
      </c>
      <c r="L44" s="243">
        <f>Debt!J46+Debt!J69+Debt!J92</f>
        <v>53721.479383505772</v>
      </c>
      <c r="M44" s="243">
        <f>Debt!K46+Debt!K69+Debt!K92</f>
        <v>50182.751383505769</v>
      </c>
      <c r="N44" s="243">
        <f>Debt!L46+Debt!L69+Debt!L92</f>
        <v>45884.745127835253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8585.2031173885043</v>
      </c>
      <c r="F48" s="246">
        <f t="shared" si="5"/>
        <v>13926.314833695171</v>
      </c>
      <c r="G48" s="246">
        <f t="shared" si="5"/>
        <v>15469.25438452141</v>
      </c>
      <c r="H48" s="246">
        <f t="shared" si="5"/>
        <v>56843.048852023901</v>
      </c>
      <c r="I48" s="246">
        <f t="shared" si="5"/>
        <v>90182.049883763073</v>
      </c>
      <c r="J48" s="246">
        <f t="shared" si="5"/>
        <v>96119.864049081749</v>
      </c>
      <c r="K48" s="246">
        <f t="shared" si="5"/>
        <v>100006.64906105003</v>
      </c>
      <c r="L48" s="246">
        <f t="shared" si="5"/>
        <v>107524.83134316927</v>
      </c>
      <c r="M48" s="246">
        <f t="shared" si="5"/>
        <v>113037.67583889182</v>
      </c>
      <c r="N48" s="246">
        <f t="shared" si="5"/>
        <v>122013.87106044835</v>
      </c>
      <c r="O48" s="246">
        <f t="shared" si="5"/>
        <v>126599.21423059508</v>
      </c>
      <c r="P48" s="246">
        <f t="shared" si="5"/>
        <v>135003.51492429015</v>
      </c>
      <c r="Q48" s="246">
        <f t="shared" si="5"/>
        <v>141112.25867805368</v>
      </c>
      <c r="R48" s="246">
        <f t="shared" si="5"/>
        <v>146768.39319297206</v>
      </c>
      <c r="S48" s="246">
        <f t="shared" si="5"/>
        <v>153022.52553846376</v>
      </c>
      <c r="T48" s="246">
        <f t="shared" si="5"/>
        <v>159946.60199377182</v>
      </c>
      <c r="U48" s="246">
        <f t="shared" si="5"/>
        <v>167078.4173748332</v>
      </c>
      <c r="V48" s="246">
        <f t="shared" si="5"/>
        <v>174130.10996284313</v>
      </c>
      <c r="W48" s="246">
        <f t="shared" si="5"/>
        <v>180468.04219428822</v>
      </c>
      <c r="X48" s="246">
        <f t="shared" si="5"/>
        <v>183838.20047434993</v>
      </c>
      <c r="Y48" s="246">
        <f t="shared" si="5"/>
        <v>189045.39054010971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-469.93050049818106</v>
      </c>
      <c r="F50" s="244">
        <f>Brownsville!G49+Caledonia!G51+'New Albany'!G51+Calvert!G51+Wheatland!G51+Wilton!G51</f>
        <v>-859.99113801748535</v>
      </c>
      <c r="G50" s="244">
        <f>Brownsville!H49+Caledonia!H51+'New Albany'!H51+Calvert!H51+Wheatland!H51+Wilton!H51</f>
        <v>-955.65722373805795</v>
      </c>
      <c r="H50" s="244">
        <f>Brownsville!I49+Caledonia!I51+'New Albany'!I51+Calvert!I51+Wheatland!I51+Wilton!I51</f>
        <v>-3455.9030211777381</v>
      </c>
      <c r="I50" s="244">
        <f>Brownsville!J49+Caledonia!J51+'New Albany'!J51+Calvert!J51+Wheatland!J51+Wilton!J51</f>
        <v>-5465.1221034964346</v>
      </c>
      <c r="J50" s="244">
        <f>Brownsville!K49+Caledonia!K51+'New Albany'!K51+Calvert!K51+Wheatland!K51+Wilton!K51</f>
        <v>-5827.368056777228</v>
      </c>
      <c r="K50" s="244">
        <f>Brownsville!L49+Caledonia!L51+'New Albany'!L51+Calvert!L51+Wheatland!L51+Wilton!L51</f>
        <v>-6056.520015543515</v>
      </c>
      <c r="L50" s="244">
        <f>Brownsville!M49+Caledonia!M51+'New Albany'!M51+Calvert!M51+Wheatland!M51+Wilton!M51</f>
        <v>-6516.999807494738</v>
      </c>
      <c r="M50" s="244">
        <f>Brownsville!N49+Caledonia!N51+'New Albany'!N51+Calvert!N51+Wheatland!N51+Wilton!N51</f>
        <v>-6853.6048525629849</v>
      </c>
      <c r="N50" s="244">
        <f>Brownsville!O49+Caledonia!O51+'New Albany'!O51+Calvert!O51+Wheatland!O51+Wilton!O51</f>
        <v>-7401.7396569177472</v>
      </c>
      <c r="O50" s="244">
        <f>Brownsville!P49+Caledonia!P51+'New Albany'!P51+Calvert!P51+Wheatland!P51+Wilton!P51</f>
        <v>-7696.5564459390216</v>
      </c>
      <c r="P50" s="244">
        <f>Brownsville!Q49+Caledonia!Q51+'New Albany'!Q51+Calvert!Q51+Wheatland!Q51+Wilton!Q51</f>
        <v>-8210.617580234275</v>
      </c>
      <c r="Q50" s="244">
        <f>Brownsville!R49+Caledonia!R51+'New Albany'!R51+Calvert!R51+Wheatland!R51+Wilton!R51</f>
        <v>-8580.6797988809394</v>
      </c>
      <c r="R50" s="244">
        <f>Brownsville!S49+Caledonia!S51+'New Albany'!S51+Calvert!S51+Wheatland!S51+Wilton!S51</f>
        <v>-8935.6190746050015</v>
      </c>
      <c r="S50" s="244">
        <f>Brownsville!T49+Caledonia!T51+'New Albany'!T51+Calvert!T51+Wheatland!T51+Wilton!T51</f>
        <v>-9315.1721095001867</v>
      </c>
      <c r="T50" s="244">
        <f>Brownsville!U49+Caledonia!U51+'New Albany'!U51+Calvert!U51+Wheatland!U51+Wilton!U51</f>
        <v>-9734.5405476183223</v>
      </c>
      <c r="U50" s="244">
        <f>Brownsville!V49+Caledonia!V51+'New Albany'!V51+Calvert!V51+Wheatland!V51+Wilton!V51</f>
        <v>-10166.218753524196</v>
      </c>
      <c r="V50" s="244">
        <f>Brownsville!W49+Caledonia!W51+'New Albany'!W51+Calvert!W51+Wheatland!W51+Wilton!W51</f>
        <v>-10593.602123179682</v>
      </c>
      <c r="W50" s="244">
        <f>Brownsville!X49+Caledonia!X51+'New Albany'!X51+Calvert!X51+Wheatland!X51+Wilton!X51</f>
        <v>-10979.167691717561</v>
      </c>
      <c r="X50" s="244">
        <f>Brownsville!Y49+Caledonia!Y51+'New Albany'!Y51+Calvert!Y51+Wheatland!Y51+Wilton!Y51</f>
        <v>-11186.216533158229</v>
      </c>
      <c r="Y50" s="244">
        <f>Brownsville!Z49+Caledonia!Z51+'New Albany'!Z51+Calvert!Z51+Wheatland!Z51+Wilton!Z51</f>
        <v>-11481.332044095994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-2840.3454159116113</v>
      </c>
      <c r="F51" s="244">
        <f>Brownsville!G50+Caledonia!G52+'New Albany'!G52+Calvert!G52+Wheatland!G52+Wilton!G52</f>
        <v>-4573.2132934871952</v>
      </c>
      <c r="G51" s="244">
        <f>Brownsville!H50+Caledonia!H52+'New Albany'!H52+Calvert!H52+Wheatland!H52+Wilton!H52</f>
        <v>-5079.7590062741692</v>
      </c>
      <c r="H51" s="244">
        <f>Brownsville!I50+Caledonia!I52+'New Albany'!I52+Calvert!I52+Wheatland!I52+Wilton!I52</f>
        <v>-18685.501040796153</v>
      </c>
      <c r="I51" s="244">
        <f>Brownsville!J50+Caledonia!J52+'New Albany'!J52+Calvert!J52+Wheatland!J52+Wilton!J52</f>
        <v>-29650.924723093329</v>
      </c>
      <c r="J51" s="244">
        <f>Brownsville!K50+Caledonia!K52+'New Albany'!K52+Calvert!K52+Wheatland!K52+Wilton!K52</f>
        <v>-31602.373597306585</v>
      </c>
      <c r="K51" s="244">
        <f>Brownsville!L50+Caledonia!L52+'New Albany'!L52+Calvert!L52+Wheatland!L52+Wilton!L52</f>
        <v>-32882.545165927295</v>
      </c>
      <c r="L51" s="244">
        <f>Brownsville!M50+Caledonia!M52+'New Albany'!M52+Calvert!M52+Wheatland!M52+Wilton!M52</f>
        <v>-35352.741037486077</v>
      </c>
      <c r="M51" s="244">
        <f>Brownsville!N50+Caledonia!N52+'New Albany'!N52+Calvert!N52+Wheatland!N52+Wilton!N52</f>
        <v>-37164.424845215086</v>
      </c>
      <c r="N51" s="244">
        <f>Brownsville!O50+Caledonia!O52+'New Albany'!O52+Calvert!O52+Wheatland!O52+Wilton!O52</f>
        <v>-40114.245991235708</v>
      </c>
      <c r="O51" s="244">
        <f>Brownsville!P50+Caledonia!P52+'New Albany'!P52+Calvert!P52+Wheatland!P52+Wilton!P52</f>
        <v>-41615.930224629614</v>
      </c>
      <c r="P51" s="244">
        <f>Brownsville!Q50+Caledonia!Q52+'New Albany'!Q52+Calvert!Q52+Wheatland!Q52+Wilton!Q52</f>
        <v>-44377.514070419544</v>
      </c>
      <c r="Q51" s="244">
        <f>Brownsville!R50+Caledonia!R52+'New Albany'!R52+Calvert!R52+Wheatland!R52+Wilton!R52</f>
        <v>-46386.052607710444</v>
      </c>
      <c r="R51" s="244">
        <f>Brownsville!S50+Caledonia!S52+'New Albany'!S52+Calvert!S52+Wheatland!S52+Wilton!S52</f>
        <v>-48241.470941428452</v>
      </c>
      <c r="S51" s="244">
        <f>Brownsville!T50+Caledonia!T52+'New Albany'!T52+Calvert!T52+Wheatland!T52+Wilton!T52</f>
        <v>-50297.573700137247</v>
      </c>
      <c r="T51" s="244">
        <f>Brownsville!U50+Caledonia!U52+'New Albany'!U52+Calvert!U52+Wheatland!U52+Wilton!U52</f>
        <v>-52574.221506153714</v>
      </c>
      <c r="U51" s="244">
        <f>Brownsville!V50+Caledonia!V52+'New Albany'!V52+Calvert!V52+Wheatland!V52+Wilton!V52</f>
        <v>-54919.269517458146</v>
      </c>
      <c r="V51" s="244">
        <f>Brownsville!W50+Caledonia!W52+'New Albany'!W52+Calvert!W52+Wheatland!W52+Wilton!W52</f>
        <v>-57237.777743882209</v>
      </c>
      <c r="W51" s="244">
        <f>Brownsville!X50+Caledonia!X52+'New Albany'!X52+Calvert!X52+Wheatland!X52+Wilton!X52</f>
        <v>-59321.106075899748</v>
      </c>
      <c r="X51" s="244">
        <f>Brownsville!Y50+Caledonia!Y52+'New Albany'!Y52+Calvert!Y52+Wheatland!Y52+Wilton!Y52</f>
        <v>-60428.194379417102</v>
      </c>
      <c r="Y51" s="244">
        <f>Brownsville!Z50+Caledonia!Z52+'New Albany'!Z52+Calvert!Z52+Wheatland!Z52+Wilton!Z52</f>
        <v>-62147.420473604783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75">
      <c r="A53" s="106" t="s">
        <v>191</v>
      </c>
      <c r="B53" s="107"/>
      <c r="C53" s="107"/>
      <c r="D53" s="247">
        <f>D48+D50+D51</f>
        <v>0</v>
      </c>
      <c r="E53" s="247">
        <f ca="1">E48+E50+E51</f>
        <v>5274.9272009787128</v>
      </c>
      <c r="F53" s="247">
        <f>F48+F50+F51</f>
        <v>8493.1104021904903</v>
      </c>
      <c r="G53" s="247">
        <f>G48+G50+G51</f>
        <v>9433.8381545091815</v>
      </c>
      <c r="H53" s="247">
        <f t="shared" ref="H53:Y53" si="6">H48+H50+H51</f>
        <v>34701.644790050013</v>
      </c>
      <c r="I53" s="247">
        <f t="shared" si="6"/>
        <v>55066.003057173308</v>
      </c>
      <c r="J53" s="247">
        <f t="shared" si="6"/>
        <v>58690.122394997939</v>
      </c>
      <c r="K53" s="247">
        <f t="shared" si="6"/>
        <v>61067.583879579222</v>
      </c>
      <c r="L53" s="247">
        <f t="shared" si="6"/>
        <v>65655.090498188452</v>
      </c>
      <c r="M53" s="247">
        <f t="shared" si="6"/>
        <v>69019.646141113742</v>
      </c>
      <c r="N53" s="247">
        <f t="shared" si="6"/>
        <v>74497.885412294883</v>
      </c>
      <c r="O53" s="247">
        <f t="shared" si="6"/>
        <v>77286.727560026455</v>
      </c>
      <c r="P53" s="247">
        <f t="shared" si="6"/>
        <v>82415.38327363634</v>
      </c>
      <c r="Q53" s="247">
        <f t="shared" si="6"/>
        <v>86145.526271462295</v>
      </c>
      <c r="R53" s="247">
        <f t="shared" si="6"/>
        <v>89591.303176938614</v>
      </c>
      <c r="S53" s="247">
        <f t="shared" si="6"/>
        <v>93409.779728826325</v>
      </c>
      <c r="T53" s="247">
        <f t="shared" si="6"/>
        <v>97637.839939999787</v>
      </c>
      <c r="U53" s="247">
        <f t="shared" si="6"/>
        <v>101992.92910385087</v>
      </c>
      <c r="V53" s="247">
        <f t="shared" si="6"/>
        <v>106298.73009578124</v>
      </c>
      <c r="W53" s="247">
        <f t="shared" si="6"/>
        <v>110167.76842667091</v>
      </c>
      <c r="X53" s="247">
        <f t="shared" si="6"/>
        <v>112223.78956177458</v>
      </c>
      <c r="Y53" s="247">
        <f t="shared" si="6"/>
        <v>115416.63802240894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18,585.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zoomScale="75" zoomScaleNormal="75" workbookViewId="0">
      <selection activeCell="I6" sqref="I6"/>
    </sheetView>
  </sheetViews>
  <sheetFormatPr defaultRowHeight="12.75" outlineLevelRow="1"/>
  <cols>
    <col min="1" max="1" width="63.5703125" style="22" customWidth="1"/>
    <col min="2" max="2" width="13" style="22" bestFit="1" customWidth="1"/>
    <col min="3" max="3" width="6.5703125" style="22" customWidth="1"/>
    <col min="4" max="4" width="14.140625" style="22" customWidth="1"/>
    <col min="5" max="5" width="13.28515625" customWidth="1"/>
    <col min="6" max="6" width="13" style="22" customWidth="1"/>
    <col min="7" max="7" width="11.5703125" style="22" customWidth="1"/>
    <col min="8" max="10" width="11.140625" style="22" customWidth="1"/>
    <col min="11" max="12" width="12" style="22" customWidth="1"/>
    <col min="13" max="13" width="12.7109375" style="22" customWidth="1"/>
    <col min="14" max="14" width="12.5703125" style="22" customWidth="1"/>
    <col min="15" max="15" width="12.7109375" style="22" customWidth="1"/>
    <col min="16" max="18" width="11.28515625" style="22" customWidth="1"/>
    <col min="19" max="19" width="11.85546875" style="22" customWidth="1"/>
    <col min="20" max="20" width="11.140625" style="22" customWidth="1"/>
    <col min="21" max="21" width="11.85546875" style="22" customWidth="1"/>
    <col min="22" max="22" width="11.140625" style="22" customWidth="1"/>
    <col min="23" max="23" width="11.5703125" style="22" customWidth="1"/>
    <col min="24" max="24" width="11.28515625" style="22" customWidth="1"/>
    <col min="25" max="26" width="11.5703125" style="22" customWidth="1"/>
    <col min="27" max="27" width="12.5703125" style="22" customWidth="1"/>
    <col min="28" max="28" width="12.7109375" style="8" customWidth="1"/>
    <col min="29" max="29" width="12.28515625" style="8" customWidth="1"/>
    <col min="30" max="30" width="13.85546875" style="8" bestFit="1" customWidth="1"/>
    <col min="31" max="32" width="9.85546875" style="22" customWidth="1"/>
    <col min="33" max="33" width="9.140625" style="22"/>
    <col min="34" max="34" width="9.42578125" style="22" customWidth="1"/>
    <col min="35" max="35" width="9.85546875" style="22" customWidth="1"/>
    <col min="36" max="36" width="9.140625" style="22"/>
    <col min="37" max="37" width="9.42578125" style="22" customWidth="1"/>
    <col min="38" max="39" width="9.85546875" style="22" customWidth="1"/>
    <col min="40" max="41" width="9.140625" style="22"/>
    <col min="42" max="43" width="9.85546875" style="22" customWidth="1"/>
    <col min="44" max="85" width="9.140625" style="22"/>
    <col min="86" max="87" width="9.85546875" style="22" customWidth="1"/>
    <col min="88" max="16384" width="9.140625" style="22"/>
  </cols>
  <sheetData>
    <row r="2" spans="1:32" ht="18.75">
      <c r="A2" s="126" t="s">
        <v>418</v>
      </c>
      <c r="B2" s="132"/>
    </row>
    <row r="5" spans="1:32" ht="18.75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5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4450.1773702528308</v>
      </c>
      <c r="F10" s="31">
        <v>0</v>
      </c>
      <c r="G10" s="124">
        <f ca="1">(IS!E38-CF!E10)</f>
        <v>84892.835796992877</v>
      </c>
      <c r="H10" s="124">
        <f>IS!F38</f>
        <v>121999.06951687927</v>
      </c>
      <c r="I10" s="124">
        <f>IS!G38</f>
        <v>121476.06494435224</v>
      </c>
      <c r="J10" s="124">
        <f>IS!H38</f>
        <v>159397.18597050462</v>
      </c>
      <c r="K10" s="124">
        <f>IS!I38</f>
        <v>190097.33582811028</v>
      </c>
      <c r="L10" s="124">
        <f>IS!J38</f>
        <v>193579.98329342896</v>
      </c>
      <c r="M10" s="124">
        <f>IS!K38</f>
        <v>194775.80250539724</v>
      </c>
      <c r="N10" s="124">
        <f>IS!L38</f>
        <v>199190.63178751644</v>
      </c>
      <c r="O10" s="124">
        <f>IS!M38</f>
        <v>201164.74828323902</v>
      </c>
      <c r="P10" s="124">
        <f>IS!N38</f>
        <v>205842.93724912504</v>
      </c>
      <c r="Q10" s="124">
        <f>IS!O38</f>
        <v>206636.22157055381</v>
      </c>
      <c r="R10" s="124">
        <f>IS!P38</f>
        <v>211404.56282333276</v>
      </c>
      <c r="S10" s="124">
        <f>IS!Q38</f>
        <v>213496.51218873204</v>
      </c>
      <c r="T10" s="124">
        <f>IS!R38</f>
        <v>214824.9649175138</v>
      </c>
      <c r="U10" s="124">
        <f>IS!S38</f>
        <v>216457.46328716745</v>
      </c>
      <c r="V10" s="124">
        <f>IS!T38</f>
        <v>218375.97777791723</v>
      </c>
      <c r="W10" s="124">
        <f>IS!U38</f>
        <v>220293.84628468403</v>
      </c>
      <c r="X10" s="124">
        <f>IS!V38</f>
        <v>222179.29806472198</v>
      </c>
      <c r="Y10" s="124">
        <f>IS!W38</f>
        <v>223796.04112327134</v>
      </c>
      <c r="Z10" s="124">
        <f>IS!X38</f>
        <v>223074.97390162485</v>
      </c>
      <c r="AA10" s="124">
        <f>IS!Y38</f>
        <v>226014.71160095112</v>
      </c>
      <c r="AB10" s="760">
        <f ca="1">SUM(D10:AA10)</f>
        <v>4073421.3460862688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-1093.3396039210511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-1093.3396039210511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3320.0248154705105</v>
      </c>
      <c r="F14" s="31">
        <v>0</v>
      </c>
      <c r="G14" s="31">
        <f>-Debt!C104-E14</f>
        <v>15264.582647621271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18584.607463091783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-673.15841513562407</v>
      </c>
      <c r="F15" s="39">
        <v>0</v>
      </c>
      <c r="G15" s="795">
        <f>-(Debt!C36+Debt!C59+Debt!C82)</f>
        <v>-7404.7425664918655</v>
      </c>
      <c r="H15" s="795">
        <f>-(Debt!D31+Debt!D36+Debt!D54+Debt!D59+Debt!D77+Debt!D82)</f>
        <v>-23716.153369009142</v>
      </c>
      <c r="I15" s="795">
        <f>-(Debt!E31+Debt!E36+Debt!E54+Debt!E59+Debt!E77+Debt!E82)</f>
        <v>-25238.597979733666</v>
      </c>
      <c r="J15" s="795">
        <f>-(Debt!F31+Debt!F36+Debt!F54+Debt!F59+Debt!F77+Debt!F82)</f>
        <v>-46070.090637677335</v>
      </c>
      <c r="K15" s="795">
        <f>-(Debt!G31+Debt!G36+Debt!G54+Debt!G59+Debt!G77+Debt!G82)</f>
        <v>-21758</v>
      </c>
      <c r="L15" s="795">
        <f>-(Debt!H31+Debt!H36+Debt!H54+Debt!H59+Debt!H77+Debt!H82)</f>
        <v>-25649.5</v>
      </c>
      <c r="M15" s="795">
        <f>-(Debt!I31+Debt!I36+Debt!I54+Debt!I59+Debt!I77+Debt!I82)</f>
        <v>-28702.5</v>
      </c>
      <c r="N15" s="795">
        <f>-(Debt!J31+Debt!J36+Debt!J54+Debt!J59+Debt!J77+Debt!J82)</f>
        <v>-33540</v>
      </c>
      <c r="O15" s="795">
        <f>-(Debt!K31+Debt!K36+Debt!K54+Debt!K59+Debt!K77+Debt!K82)</f>
        <v>-37840</v>
      </c>
      <c r="P15" s="795">
        <f>-(Debt!L31+Debt!L36+Debt!L54+Debt!L59+Debt!L77+Debt!L82)</f>
        <v>-47407.257031952358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-723000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-6003.7041666666664</v>
      </c>
      <c r="F16" s="429">
        <v>0</v>
      </c>
      <c r="G16" s="254">
        <f>-Debt!C37-Debt!C60-Debt!C83</f>
        <v>-35994.6591629002</v>
      </c>
      <c r="H16" s="254">
        <f>-(Debt!D45+Debt!D68+Debt!D91)</f>
        <v>-70937.747356060121</v>
      </c>
      <c r="I16" s="254">
        <f>-(Debt!E45+Debt!E68+Debt!E91)</f>
        <v>-68923.756655047822</v>
      </c>
      <c r="J16" s="254">
        <f>-(Debt!F45+Debt!F68+Debt!F91)</f>
        <v>-66310.112887071344</v>
      </c>
      <c r="K16" s="254">
        <f>-(Debt!G45+Debt!G68+Debt!G91)</f>
        <v>-62852.163883505767</v>
      </c>
      <c r="L16" s="254">
        <f>-(Debt!H45+Debt!H68+Debt!H91)</f>
        <v>-60554.602933505768</v>
      </c>
      <c r="M16" s="254">
        <f>-(Debt!I45+Debt!I68+Debt!I91)</f>
        <v>-57987.283633505765</v>
      </c>
      <c r="N16" s="254">
        <f>-(Debt!J45+Debt!J68+Debt!J91)</f>
        <v>-55079.849383505774</v>
      </c>
      <c r="O16" s="254">
        <f>-(Debt!K45+Debt!K68+Debt!K91)</f>
        <v>-51715.271383505766</v>
      </c>
      <c r="P16" s="254">
        <f>-(Debt!L45+Debt!L68+Debt!L91)</f>
        <v>-44109.009870962655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-825771.90908288164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56758.016715222075</v>
      </c>
      <c r="H18" s="428">
        <f t="shared" si="2"/>
        <v>27345.168791810007</v>
      </c>
      <c r="I18" s="428">
        <f t="shared" si="2"/>
        <v>27313.710309570757</v>
      </c>
      <c r="J18" s="428">
        <f t="shared" si="2"/>
        <v>47016.982445755944</v>
      </c>
      <c r="K18" s="428">
        <f t="shared" si="2"/>
        <v>105487.17194460452</v>
      </c>
      <c r="L18" s="428">
        <f t="shared" si="2"/>
        <v>107375.88035992319</v>
      </c>
      <c r="M18" s="428">
        <f t="shared" si="2"/>
        <v>108086.01887189147</v>
      </c>
      <c r="N18" s="428">
        <f t="shared" si="2"/>
        <v>110570.78240401066</v>
      </c>
      <c r="O18" s="428">
        <f t="shared" si="2"/>
        <v>111609.47689973326</v>
      </c>
      <c r="P18" s="428">
        <f t="shared" si="2"/>
        <v>114326.67034621004</v>
      </c>
      <c r="Q18" s="428">
        <f t="shared" si="2"/>
        <v>127007.52594153705</v>
      </c>
      <c r="R18" s="428">
        <f t="shared" si="2"/>
        <v>135329.67333442456</v>
      </c>
      <c r="S18" s="428">
        <f t="shared" si="2"/>
        <v>137614.94815996001</v>
      </c>
      <c r="T18" s="428">
        <f t="shared" si="2"/>
        <v>140519.59927476678</v>
      </c>
      <c r="U18" s="428">
        <f t="shared" si="2"/>
        <v>143740.27850551507</v>
      </c>
      <c r="V18" s="428">
        <f t="shared" si="2"/>
        <v>146422.27666342942</v>
      </c>
      <c r="W18" s="428">
        <f t="shared" si="2"/>
        <v>152549.41995278309</v>
      </c>
      <c r="X18" s="428">
        <f t="shared" si="2"/>
        <v>160819.02529481033</v>
      </c>
      <c r="Y18" s="428">
        <f t="shared" si="2"/>
        <v>173223.64239447401</v>
      </c>
      <c r="Z18" s="428">
        <f t="shared" si="2"/>
        <v>183009.72465117494</v>
      </c>
      <c r="AA18" s="428">
        <f t="shared" si="2"/>
        <v>226014.71160095112</v>
      </c>
      <c r="AB18" s="763">
        <f t="shared" ca="1" si="1"/>
        <v>2542140.7048625583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56758.016715222075</v>
      </c>
      <c r="H22" s="74">
        <f t="shared" si="3"/>
        <v>27345.168791810007</v>
      </c>
      <c r="I22" s="74">
        <f t="shared" si="3"/>
        <v>27313.710309570757</v>
      </c>
      <c r="J22" s="74">
        <f t="shared" si="3"/>
        <v>47016.982445755944</v>
      </c>
      <c r="K22" s="74">
        <f t="shared" si="3"/>
        <v>105487.17194460452</v>
      </c>
      <c r="L22" s="74">
        <f t="shared" si="3"/>
        <v>107375.88035992319</v>
      </c>
      <c r="M22" s="74">
        <f t="shared" si="3"/>
        <v>108086.01887189147</v>
      </c>
      <c r="N22" s="74">
        <f t="shared" si="3"/>
        <v>110570.78240401066</v>
      </c>
      <c r="O22" s="74">
        <f t="shared" si="3"/>
        <v>111609.47689973326</v>
      </c>
      <c r="P22" s="74">
        <f t="shared" si="3"/>
        <v>114326.67034621004</v>
      </c>
      <c r="Q22" s="74">
        <f t="shared" si="3"/>
        <v>127007.52594153705</v>
      </c>
      <c r="R22" s="74">
        <f t="shared" si="3"/>
        <v>135329.67333442456</v>
      </c>
      <c r="S22" s="74">
        <f t="shared" si="3"/>
        <v>137614.94815996001</v>
      </c>
      <c r="T22" s="74">
        <f t="shared" si="3"/>
        <v>140519.59927476678</v>
      </c>
      <c r="U22" s="74">
        <f t="shared" si="3"/>
        <v>143740.27850551507</v>
      </c>
      <c r="V22" s="74">
        <f t="shared" si="3"/>
        <v>146422.27666342942</v>
      </c>
      <c r="W22" s="74">
        <f t="shared" si="3"/>
        <v>152549.41995278309</v>
      </c>
      <c r="X22" s="74">
        <f t="shared" si="3"/>
        <v>160819.02529481033</v>
      </c>
      <c r="Y22" s="74">
        <f t="shared" si="3"/>
        <v>173223.64239447401</v>
      </c>
      <c r="Z22" s="74">
        <f t="shared" si="3"/>
        <v>183009.72465117494</v>
      </c>
      <c r="AA22" s="74">
        <f t="shared" si="3"/>
        <v>226014.71160095112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-961.3073235473471</v>
      </c>
      <c r="N24" s="235">
        <f ca="1">-Tax!L28</f>
        <v>-4371.1502387935379</v>
      </c>
      <c r="O24" s="235">
        <f ca="1">-Tax!M28</f>
        <v>-4714.9201966676383</v>
      </c>
      <c r="P24" s="235">
        <f ca="1">-Tax!N28</f>
        <v>-5254.9028632896934</v>
      </c>
      <c r="Q24" s="235">
        <f ca="1">-Tax!O28</f>
        <v>-5542.1002844950044</v>
      </c>
      <c r="R24" s="235">
        <f ca="1">-Tax!P28</f>
        <v>-6047.2004951507179</v>
      </c>
      <c r="S24" s="235">
        <f ca="1">-Tax!Q28</f>
        <v>-6427.3170669830233</v>
      </c>
      <c r="T24" s="235">
        <f ca="1">-Tax!R28</f>
        <v>-6764.7940865621686</v>
      </c>
      <c r="U24" s="235">
        <f ca="1">-Tax!S28</f>
        <v>-7153.7785717978923</v>
      </c>
      <c r="V24" s="235">
        <f ca="1">-Tax!T28</f>
        <v>-10681.754669168715</v>
      </c>
      <c r="W24" s="235">
        <f ca="1">-Tax!U28</f>
        <v>-12445.802336367429</v>
      </c>
      <c r="X24" s="235">
        <f>-Tax!V28</f>
        <v>-12875.917233793094</v>
      </c>
      <c r="Y24" s="235">
        <f>-Tax!W28</f>
        <v>-13262.496631235053</v>
      </c>
      <c r="Z24" s="235">
        <f>-Tax!X28</f>
        <v>-13468.057957802475</v>
      </c>
      <c r="AA24" s="235">
        <f ca="1">-Tax!Y28</f>
        <v>-13785.668232648884</v>
      </c>
      <c r="AB24" s="757">
        <f t="shared" ca="1" si="1"/>
        <v>-123757.16818830269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344.24700450116683</v>
      </c>
      <c r="F25" s="484">
        <v>0</v>
      </c>
      <c r="G25" s="430">
        <f ca="1">(-Tax!E39*11/12)*Allocation!$I$10+(-Tax!E39)*Allocation!$I$15</f>
        <v>8897.2020875372946</v>
      </c>
      <c r="H25" s="430">
        <f>-Tax!F39</f>
        <v>23160.858279344757</v>
      </c>
      <c r="I25" s="430">
        <f>-Tax!G39</f>
        <v>18523.396352312328</v>
      </c>
      <c r="J25" s="430">
        <f>-Tax!H39</f>
        <v>376.44395015300466</v>
      </c>
      <c r="K25" s="430">
        <f ca="1">-Tax!I39</f>
        <v>-14613.283752921283</v>
      </c>
      <c r="L25" s="430">
        <f ca="1">-Tax!J39</f>
        <v>-19710.679930751543</v>
      </c>
      <c r="M25" s="430">
        <f ca="1">-Tax!K39</f>
        <v>-22157.915982541264</v>
      </c>
      <c r="N25" s="430">
        <f ca="1">-Tax!L39</f>
        <v>-23552.70388637585</v>
      </c>
      <c r="O25" s="430">
        <f ca="1">-Tax!M39</f>
        <v>-25405.010849193794</v>
      </c>
      <c r="P25" s="430">
        <f ca="1">-Tax!N39</f>
        <v>-28314.554368849873</v>
      </c>
      <c r="Q25" s="430">
        <f ca="1">-Tax!O39</f>
        <v>-29862.036255550349</v>
      </c>
      <c r="R25" s="430">
        <f ca="1">-Tax!P39</f>
        <v>-32583.62555004314</v>
      </c>
      <c r="S25" s="430">
        <f ca="1">-Tax!Q39</f>
        <v>-34631.775938290055</v>
      </c>
      <c r="T25" s="430">
        <f ca="1">-Tax!R39</f>
        <v>-36450.175187087807</v>
      </c>
      <c r="U25" s="430">
        <f ca="1">-Tax!S39</f>
        <v>-38546.107812748363</v>
      </c>
      <c r="V25" s="430">
        <f ca="1">-Tax!T39</f>
        <v>-57555.606869115996</v>
      </c>
      <c r="W25" s="430">
        <f ca="1">-Tax!U39</f>
        <v>-67060.677634757521</v>
      </c>
      <c r="X25" s="430">
        <f>-Tax!V39</f>
        <v>-69378.229826462004</v>
      </c>
      <c r="Y25" s="430">
        <f>-Tax!W39</f>
        <v>-71461.203318363099</v>
      </c>
      <c r="Z25" s="430">
        <f>-Tax!X39</f>
        <v>-72568.812252086107</v>
      </c>
      <c r="AA25" s="430">
        <f ca="1">-Tax!Y39</f>
        <v>-74280.16517890578</v>
      </c>
      <c r="AB25" s="764">
        <f t="shared" ca="1" si="1"/>
        <v>-666830.41692019533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344.24700450116683</v>
      </c>
      <c r="F27" s="31">
        <f t="shared" ref="F27:Z27" si="4">F18+F25+F24</f>
        <v>0</v>
      </c>
      <c r="G27" s="74">
        <f t="shared" ca="1" si="4"/>
        <v>65655.218802759366</v>
      </c>
      <c r="H27" s="74">
        <f t="shared" si="4"/>
        <v>50506.027071154764</v>
      </c>
      <c r="I27" s="74">
        <f t="shared" si="4"/>
        <v>45837.106661883081</v>
      </c>
      <c r="J27" s="74">
        <f t="shared" si="4"/>
        <v>47393.426395908951</v>
      </c>
      <c r="K27" s="74">
        <f t="shared" ca="1" si="4"/>
        <v>90873.888191683232</v>
      </c>
      <c r="L27" s="74">
        <f t="shared" ca="1" si="4"/>
        <v>87665.200429171644</v>
      </c>
      <c r="M27" s="74">
        <f t="shared" ca="1" si="4"/>
        <v>84966.795565802866</v>
      </c>
      <c r="N27" s="74">
        <f t="shared" ca="1" si="4"/>
        <v>82646.928278841282</v>
      </c>
      <c r="O27" s="74">
        <f t="shared" ca="1" si="4"/>
        <v>81489.545853871823</v>
      </c>
      <c r="P27" s="74">
        <f t="shared" ca="1" si="4"/>
        <v>80757.213114070473</v>
      </c>
      <c r="Q27" s="74">
        <f t="shared" ca="1" si="4"/>
        <v>91603.389401491702</v>
      </c>
      <c r="R27" s="74">
        <f t="shared" ca="1" si="4"/>
        <v>96698.847289230704</v>
      </c>
      <c r="S27" s="74">
        <f t="shared" ca="1" si="4"/>
        <v>96555.855154686928</v>
      </c>
      <c r="T27" s="74">
        <f t="shared" ca="1" si="4"/>
        <v>97304.630001116806</v>
      </c>
      <c r="U27" s="74">
        <f t="shared" ca="1" si="4"/>
        <v>98040.392120968812</v>
      </c>
      <c r="V27" s="74">
        <f t="shared" ca="1" si="4"/>
        <v>78184.915125144718</v>
      </c>
      <c r="W27" s="74">
        <f t="shared" ca="1" si="4"/>
        <v>73042.939981658143</v>
      </c>
      <c r="X27" s="74">
        <f t="shared" si="4"/>
        <v>78564.878234555232</v>
      </c>
      <c r="Y27" s="74">
        <f t="shared" si="4"/>
        <v>88499.942444875851</v>
      </c>
      <c r="Z27" s="74">
        <f t="shared" si="4"/>
        <v>96972.854441286356</v>
      </c>
      <c r="AA27" s="74">
        <f ca="1">AA18+AA25+AA24</f>
        <v>137948.87818939643</v>
      </c>
      <c r="AB27" s="762">
        <f t="shared" ca="1" si="1"/>
        <v>1751553.1197540604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2637.4636004893564</v>
      </c>
      <c r="H29" s="31">
        <f>$C$29*IS!F53</f>
        <v>4246.5552010952451</v>
      </c>
      <c r="I29" s="31">
        <f>$C$29*IS!G53</f>
        <v>4716.9190772545908</v>
      </c>
      <c r="J29" s="31">
        <f>$C$29*IS!H53</f>
        <v>17350.822395025007</v>
      </c>
      <c r="K29" s="31">
        <f>$C$29*IS!I53</f>
        <v>27533.001528586654</v>
      </c>
      <c r="L29" s="31">
        <f>$C$29*IS!J53</f>
        <v>29345.06119749897</v>
      </c>
      <c r="M29" s="31">
        <f>$C$29*IS!K53</f>
        <v>30533.791939789611</v>
      </c>
      <c r="N29" s="31">
        <f>$C$29*IS!L53</f>
        <v>32827.545249094226</v>
      </c>
      <c r="O29" s="31">
        <f>$C$29*IS!M53</f>
        <v>34509.823070556871</v>
      </c>
      <c r="P29" s="31">
        <f>$C$29*IS!N53</f>
        <v>37248.942706147442</v>
      </c>
      <c r="Q29" s="31">
        <f>$C$29*IS!O53</f>
        <v>38643.363780013227</v>
      </c>
      <c r="R29" s="31">
        <f>$C$29*IS!P53</f>
        <v>41207.69163681817</v>
      </c>
      <c r="S29" s="31">
        <f>$C$29*IS!Q53</f>
        <v>43072.763135731147</v>
      </c>
      <c r="T29" s="31">
        <f>$C$29*IS!R53</f>
        <v>44795.651588469307</v>
      </c>
      <c r="U29" s="31">
        <f>$C$29*IS!S53</f>
        <v>46704.889864413162</v>
      </c>
      <c r="V29" s="31">
        <f>$C$29*IS!T53</f>
        <v>48818.919969999894</v>
      </c>
      <c r="W29" s="31">
        <f>$C$29*IS!U53</f>
        <v>50996.464551925434</v>
      </c>
      <c r="X29" s="31">
        <f>$C$29*IS!V53</f>
        <v>53149.36504789062</v>
      </c>
      <c r="Y29" s="31">
        <f>$C$29*IS!W53</f>
        <v>55083.884213335456</v>
      </c>
      <c r="Z29" s="31">
        <f>$C$29*IS!X53</f>
        <v>56111.894780887291</v>
      </c>
      <c r="AA29" s="31">
        <f>$C$29*IS!Y53</f>
        <v>57708.319011204469</v>
      </c>
      <c r="AB29" s="761">
        <f t="shared" ca="1" si="1"/>
        <v>757243.13354622619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172.12350225058341</v>
      </c>
      <c r="F30" s="31">
        <f t="shared" ref="F30:Z30" si="5">(F27)*$C$30</f>
        <v>0</v>
      </c>
      <c r="G30" s="124">
        <f t="shared" ca="1" si="5"/>
        <v>32827.609401379683</v>
      </c>
      <c r="H30" s="124">
        <f t="shared" si="5"/>
        <v>25253.013535577382</v>
      </c>
      <c r="I30" s="124">
        <f t="shared" si="5"/>
        <v>22918.55333094154</v>
      </c>
      <c r="J30" s="124">
        <f t="shared" si="5"/>
        <v>23696.713197954476</v>
      </c>
      <c r="K30" s="124">
        <f t="shared" ca="1" si="5"/>
        <v>45436.944095841616</v>
      </c>
      <c r="L30" s="124">
        <f t="shared" ca="1" si="5"/>
        <v>43832.600214585822</v>
      </c>
      <c r="M30" s="124">
        <f t="shared" ca="1" si="5"/>
        <v>42483.397782901433</v>
      </c>
      <c r="N30" s="124">
        <f t="shared" ca="1" si="5"/>
        <v>41323.464139420641</v>
      </c>
      <c r="O30" s="124">
        <f t="shared" ca="1" si="5"/>
        <v>40744.772926935912</v>
      </c>
      <c r="P30" s="124">
        <f t="shared" ca="1" si="5"/>
        <v>40378.606557035237</v>
      </c>
      <c r="Q30" s="124">
        <f t="shared" ca="1" si="5"/>
        <v>45801.694700745851</v>
      </c>
      <c r="R30" s="124">
        <f t="shared" ca="1" si="5"/>
        <v>48349.423644615352</v>
      </c>
      <c r="S30" s="124">
        <f t="shared" ca="1" si="5"/>
        <v>48277.927577343464</v>
      </c>
      <c r="T30" s="124">
        <f t="shared" ca="1" si="5"/>
        <v>48652.315000558403</v>
      </c>
      <c r="U30" s="124">
        <f t="shared" ca="1" si="5"/>
        <v>49020.196060484406</v>
      </c>
      <c r="V30" s="124">
        <f t="shared" ca="1" si="5"/>
        <v>39092.457562572359</v>
      </c>
      <c r="W30" s="124">
        <f t="shared" ca="1" si="5"/>
        <v>36521.469990829071</v>
      </c>
      <c r="X30" s="124">
        <f t="shared" si="5"/>
        <v>39282.439117277616</v>
      </c>
      <c r="Y30" s="124">
        <f t="shared" si="5"/>
        <v>44249.971222437925</v>
      </c>
      <c r="Z30" s="124">
        <f t="shared" si="5"/>
        <v>48486.427220643178</v>
      </c>
      <c r="AA30" s="124">
        <f ca="1">(AA27)*$C$30</f>
        <v>68974.439094698217</v>
      </c>
      <c r="AB30" s="760">
        <f t="shared" ca="1" si="1"/>
        <v>875776.5598770302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.75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5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28379.008357611037</v>
      </c>
      <c r="H39" s="428">
        <f t="shared" si="8"/>
        <v>13672.584395905003</v>
      </c>
      <c r="I39" s="428">
        <f t="shared" si="8"/>
        <v>13656.855154785379</v>
      </c>
      <c r="J39" s="428">
        <f t="shared" si="8"/>
        <v>23508.491222877972</v>
      </c>
      <c r="K39" s="428">
        <f t="shared" si="8"/>
        <v>52743.585972302259</v>
      </c>
      <c r="L39" s="428">
        <f t="shared" si="8"/>
        <v>53687.940179961595</v>
      </c>
      <c r="M39" s="428">
        <f t="shared" si="8"/>
        <v>54043.009435945736</v>
      </c>
      <c r="N39" s="428">
        <f t="shared" si="8"/>
        <v>55285.391202005332</v>
      </c>
      <c r="O39" s="428">
        <f t="shared" si="8"/>
        <v>55804.738449866629</v>
      </c>
      <c r="P39" s="428">
        <f t="shared" si="8"/>
        <v>57163.335173105021</v>
      </c>
      <c r="Q39" s="428">
        <f t="shared" si="8"/>
        <v>63503.762970768526</v>
      </c>
      <c r="R39" s="428">
        <f t="shared" si="8"/>
        <v>67664.836667212279</v>
      </c>
      <c r="S39" s="428">
        <f t="shared" si="8"/>
        <v>68807.474079980006</v>
      </c>
      <c r="T39" s="428">
        <f t="shared" si="8"/>
        <v>70259.799637383388</v>
      </c>
      <c r="U39" s="428">
        <f t="shared" si="8"/>
        <v>71870.139252757537</v>
      </c>
      <c r="V39" s="428">
        <f t="shared" si="8"/>
        <v>73211.138331714712</v>
      </c>
      <c r="W39" s="428">
        <f t="shared" si="8"/>
        <v>76274.709976391547</v>
      </c>
      <c r="X39" s="428">
        <f t="shared" si="8"/>
        <v>80409.512647405165</v>
      </c>
      <c r="Y39" s="428">
        <f t="shared" si="8"/>
        <v>86611.821197237005</v>
      </c>
      <c r="Z39" s="428">
        <f t="shared" si="8"/>
        <v>91504.86232558747</v>
      </c>
      <c r="AA39" s="428">
        <f t="shared" si="8"/>
        <v>113007.35580047556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-480.65366177367355</v>
      </c>
      <c r="N41" s="280">
        <f t="shared" ca="1" si="9"/>
        <v>-2185.575119396769</v>
      </c>
      <c r="O41" s="280">
        <f t="shared" ca="1" si="9"/>
        <v>-2357.4600983338191</v>
      </c>
      <c r="P41" s="280">
        <f t="shared" ca="1" si="9"/>
        <v>-2627.4514316448467</v>
      </c>
      <c r="Q41" s="280">
        <f t="shared" ca="1" si="9"/>
        <v>-2771.0501422475022</v>
      </c>
      <c r="R41" s="280">
        <f t="shared" ca="1" si="9"/>
        <v>-3023.6002475753589</v>
      </c>
      <c r="S41" s="280">
        <f t="shared" ca="1" si="9"/>
        <v>-3213.6585334915117</v>
      </c>
      <c r="T41" s="280">
        <f t="shared" ca="1" si="9"/>
        <v>-3382.3970432810843</v>
      </c>
      <c r="U41" s="280">
        <f t="shared" ca="1" si="9"/>
        <v>-3576.8892858989461</v>
      </c>
      <c r="V41" s="280">
        <f t="shared" ca="1" si="9"/>
        <v>-5340.8773345843574</v>
      </c>
      <c r="W41" s="280">
        <f t="shared" ca="1" si="9"/>
        <v>-6222.9011681837146</v>
      </c>
      <c r="X41" s="280">
        <f t="shared" si="9"/>
        <v>-6437.958616896547</v>
      </c>
      <c r="Y41" s="280">
        <f t="shared" si="9"/>
        <v>-6631.2483156175267</v>
      </c>
      <c r="Z41" s="280">
        <f t="shared" si="9"/>
        <v>-6734.0289789012377</v>
      </c>
      <c r="AA41" s="280">
        <f t="shared" ca="1" si="9"/>
        <v>-6892.8341163244422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172.12350225058341</v>
      </c>
      <c r="F42" s="484">
        <f t="shared" ref="F42:AA42" si="10">$C$30*F25</f>
        <v>0</v>
      </c>
      <c r="G42" s="284">
        <f t="shared" ca="1" si="10"/>
        <v>4448.6010437686473</v>
      </c>
      <c r="H42" s="284">
        <f t="shared" si="10"/>
        <v>11580.429139672378</v>
      </c>
      <c r="I42" s="284">
        <f t="shared" si="10"/>
        <v>9261.6981761561638</v>
      </c>
      <c r="J42" s="284">
        <f t="shared" si="10"/>
        <v>188.22197507650233</v>
      </c>
      <c r="K42" s="284">
        <f t="shared" ca="1" si="10"/>
        <v>-7306.6418764606415</v>
      </c>
      <c r="L42" s="284">
        <f t="shared" ca="1" si="10"/>
        <v>-9855.3399653757715</v>
      </c>
      <c r="M42" s="284">
        <f t="shared" ca="1" si="10"/>
        <v>-11078.957991270632</v>
      </c>
      <c r="N42" s="284">
        <f t="shared" ca="1" si="10"/>
        <v>-11776.351943187925</v>
      </c>
      <c r="O42" s="284">
        <f t="shared" ca="1" si="10"/>
        <v>-12702.505424596897</v>
      </c>
      <c r="P42" s="284">
        <f t="shared" ca="1" si="10"/>
        <v>-14157.277184424936</v>
      </c>
      <c r="Q42" s="284">
        <f t="shared" ca="1" si="10"/>
        <v>-14931.018127775174</v>
      </c>
      <c r="R42" s="284">
        <f t="shared" ca="1" si="10"/>
        <v>-16291.81277502157</v>
      </c>
      <c r="S42" s="284">
        <f t="shared" ca="1" si="10"/>
        <v>-17315.887969145027</v>
      </c>
      <c r="T42" s="284">
        <f t="shared" ca="1" si="10"/>
        <v>-18225.087593543903</v>
      </c>
      <c r="U42" s="284">
        <f t="shared" ca="1" si="10"/>
        <v>-19273.053906374182</v>
      </c>
      <c r="V42" s="284">
        <f t="shared" ca="1" si="10"/>
        <v>-28777.803434557998</v>
      </c>
      <c r="W42" s="284">
        <f t="shared" ca="1" si="10"/>
        <v>-33530.338817378761</v>
      </c>
      <c r="X42" s="284">
        <f t="shared" si="10"/>
        <v>-34689.114913231002</v>
      </c>
      <c r="Y42" s="284">
        <f t="shared" si="10"/>
        <v>-35730.60165918155</v>
      </c>
      <c r="Z42" s="284">
        <f t="shared" si="10"/>
        <v>-36284.406126043054</v>
      </c>
      <c r="AA42" s="284">
        <f t="shared" ca="1" si="10"/>
        <v>-37140.08258945289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172.12350225058341</v>
      </c>
      <c r="F44" s="74">
        <f t="shared" ref="F44:AA44" si="11">$C$30*F27</f>
        <v>0</v>
      </c>
      <c r="G44" s="428">
        <f t="shared" ca="1" si="11"/>
        <v>32827.609401379683</v>
      </c>
      <c r="H44" s="428">
        <f t="shared" si="11"/>
        <v>25253.013535577382</v>
      </c>
      <c r="I44" s="428">
        <f t="shared" si="11"/>
        <v>22918.55333094154</v>
      </c>
      <c r="J44" s="428">
        <f t="shared" si="11"/>
        <v>23696.713197954476</v>
      </c>
      <c r="K44" s="428">
        <f t="shared" ca="1" si="11"/>
        <v>45436.944095841616</v>
      </c>
      <c r="L44" s="428">
        <f t="shared" ca="1" si="11"/>
        <v>43832.600214585822</v>
      </c>
      <c r="M44" s="428">
        <f t="shared" ca="1" si="11"/>
        <v>42483.397782901433</v>
      </c>
      <c r="N44" s="428">
        <f t="shared" ca="1" si="11"/>
        <v>41323.464139420641</v>
      </c>
      <c r="O44" s="428">
        <f t="shared" ca="1" si="11"/>
        <v>40744.772926935912</v>
      </c>
      <c r="P44" s="428">
        <f t="shared" ca="1" si="11"/>
        <v>40378.606557035237</v>
      </c>
      <c r="Q44" s="428">
        <f t="shared" ca="1" si="11"/>
        <v>45801.694700745851</v>
      </c>
      <c r="R44" s="428">
        <f t="shared" ca="1" si="11"/>
        <v>48349.423644615352</v>
      </c>
      <c r="S44" s="428">
        <f t="shared" ca="1" si="11"/>
        <v>48277.927577343464</v>
      </c>
      <c r="T44" s="428">
        <f t="shared" ca="1" si="11"/>
        <v>48652.315000558403</v>
      </c>
      <c r="U44" s="428">
        <f t="shared" ca="1" si="11"/>
        <v>49020.196060484406</v>
      </c>
      <c r="V44" s="428">
        <f t="shared" ca="1" si="11"/>
        <v>39092.457562572359</v>
      </c>
      <c r="W44" s="428">
        <f t="shared" ca="1" si="11"/>
        <v>36521.469990829071</v>
      </c>
      <c r="X44" s="428">
        <f t="shared" si="11"/>
        <v>39282.439117277616</v>
      </c>
      <c r="Y44" s="428">
        <f t="shared" si="11"/>
        <v>44249.971222437925</v>
      </c>
      <c r="Z44" s="428">
        <f t="shared" si="11"/>
        <v>48486.427220643178</v>
      </c>
      <c r="AA44" s="428">
        <f t="shared" ca="1" si="11"/>
        <v>68974.439094698217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75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32827.609401379683</v>
      </c>
      <c r="H49" s="31">
        <f t="shared" si="12"/>
        <v>25253.013535577382</v>
      </c>
      <c r="I49" s="31">
        <f t="shared" si="12"/>
        <v>22918.55333094154</v>
      </c>
      <c r="J49" s="31">
        <f t="shared" si="12"/>
        <v>23696.713197954476</v>
      </c>
      <c r="K49" s="31">
        <f t="shared" ca="1" si="12"/>
        <v>45436.944095841616</v>
      </c>
      <c r="L49" s="31">
        <f t="shared" ca="1" si="12"/>
        <v>43832.600214585822</v>
      </c>
      <c r="M49" s="31">
        <f t="shared" ca="1" si="12"/>
        <v>42483.397782901433</v>
      </c>
      <c r="N49" s="31">
        <f t="shared" ca="1" si="12"/>
        <v>41323.464139420641</v>
      </c>
      <c r="O49" s="31">
        <f t="shared" ca="1" si="12"/>
        <v>40744.772926935912</v>
      </c>
      <c r="P49" s="31">
        <f t="shared" ca="1" si="12"/>
        <v>40378.606557035237</v>
      </c>
      <c r="Q49" s="31">
        <f t="shared" ca="1" si="12"/>
        <v>45801.694700745851</v>
      </c>
      <c r="R49" s="31">
        <f t="shared" ca="1" si="12"/>
        <v>48349.423644615352</v>
      </c>
      <c r="S49" s="31">
        <f t="shared" ca="1" si="12"/>
        <v>48277.927577343464</v>
      </c>
      <c r="T49" s="31">
        <f t="shared" ca="1" si="12"/>
        <v>48652.315000558403</v>
      </c>
      <c r="U49" s="31">
        <f t="shared" ca="1" si="12"/>
        <v>49020.196060484406</v>
      </c>
      <c r="V49" s="31">
        <f t="shared" ca="1" si="12"/>
        <v>39092.457562572359</v>
      </c>
      <c r="W49" s="31">
        <f t="shared" ca="1" si="12"/>
        <v>36521.469990829071</v>
      </c>
      <c r="X49" s="31">
        <f t="shared" si="12"/>
        <v>39282.439117277616</v>
      </c>
      <c r="Y49" s="31">
        <f t="shared" si="12"/>
        <v>44249.971222437925</v>
      </c>
      <c r="Z49" s="31">
        <f t="shared" si="12"/>
        <v>48486.427220643178</v>
      </c>
      <c r="AA49" s="31">
        <f t="shared" ca="1" si="12"/>
        <v>68974.439094698217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172.12350225058341</v>
      </c>
      <c r="F51" s="39">
        <f t="shared" ref="F51:AA51" si="13">F50+F49</f>
        <v>-133750</v>
      </c>
      <c r="G51" s="236">
        <f t="shared" ca="1" si="13"/>
        <v>32827.609401379683</v>
      </c>
      <c r="H51" s="236">
        <f t="shared" si="13"/>
        <v>25253.013535577382</v>
      </c>
      <c r="I51" s="236">
        <f t="shared" si="13"/>
        <v>22918.55333094154</v>
      </c>
      <c r="J51" s="236">
        <f t="shared" si="13"/>
        <v>23696.713197954476</v>
      </c>
      <c r="K51" s="236">
        <f t="shared" ca="1" si="13"/>
        <v>45436.944095841616</v>
      </c>
      <c r="L51" s="236">
        <f t="shared" ca="1" si="13"/>
        <v>43832.600214585822</v>
      </c>
      <c r="M51" s="236">
        <f t="shared" ca="1" si="13"/>
        <v>42483.397782901433</v>
      </c>
      <c r="N51" s="236">
        <f t="shared" ca="1" si="13"/>
        <v>41323.464139420641</v>
      </c>
      <c r="O51" s="236">
        <f t="shared" ca="1" si="13"/>
        <v>40744.772926935912</v>
      </c>
      <c r="P51" s="236">
        <f t="shared" ca="1" si="13"/>
        <v>40378.606557035237</v>
      </c>
      <c r="Q51" s="236">
        <f t="shared" ca="1" si="13"/>
        <v>45801.694700745851</v>
      </c>
      <c r="R51" s="236">
        <f t="shared" ca="1" si="13"/>
        <v>48349.423644615352</v>
      </c>
      <c r="S51" s="236">
        <f t="shared" ca="1" si="13"/>
        <v>48277.927577343464</v>
      </c>
      <c r="T51" s="236">
        <f t="shared" ca="1" si="13"/>
        <v>48652.315000558403</v>
      </c>
      <c r="U51" s="236">
        <f t="shared" ca="1" si="13"/>
        <v>49020.196060484406</v>
      </c>
      <c r="V51" s="236">
        <f t="shared" ca="1" si="13"/>
        <v>39092.457562572359</v>
      </c>
      <c r="W51" s="236">
        <f t="shared" ca="1" si="13"/>
        <v>36521.469990829071</v>
      </c>
      <c r="X51" s="236">
        <f t="shared" si="13"/>
        <v>39282.439117277616</v>
      </c>
      <c r="Y51" s="236">
        <f t="shared" si="13"/>
        <v>44249.971222437925</v>
      </c>
      <c r="Z51" s="236">
        <f t="shared" si="13"/>
        <v>48486.427220643178</v>
      </c>
      <c r="AA51" s="236">
        <f t="shared" ca="1" si="13"/>
        <v>68974.439094698217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0.12921063170379621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172.12350225058341</v>
      </c>
      <c r="F59" s="236">
        <f t="shared" si="14"/>
        <v>-133750</v>
      </c>
      <c r="G59" s="236">
        <f t="shared" ca="1" si="14"/>
        <v>32827.609401379683</v>
      </c>
      <c r="H59" s="236">
        <f t="shared" si="14"/>
        <v>25253.013535577382</v>
      </c>
      <c r="I59" s="236">
        <f t="shared" si="14"/>
        <v>22918.55333094154</v>
      </c>
      <c r="J59" s="236">
        <f t="shared" si="14"/>
        <v>23696.713197954476</v>
      </c>
      <c r="K59" s="236">
        <f t="shared" ca="1" si="14"/>
        <v>45436.944095841616</v>
      </c>
      <c r="L59" s="236">
        <f t="shared" ca="1" si="14"/>
        <v>43832.600214585822</v>
      </c>
      <c r="M59" s="236">
        <f t="shared" ca="1" si="14"/>
        <v>42483.397782901433</v>
      </c>
      <c r="N59" s="236">
        <f t="shared" ca="1" si="14"/>
        <v>41323.464139420641</v>
      </c>
      <c r="O59" s="236">
        <f t="shared" ca="1" si="14"/>
        <v>40744.772926935912</v>
      </c>
      <c r="P59" s="236">
        <f t="shared" ca="1" si="14"/>
        <v>40378.606557035237</v>
      </c>
      <c r="Q59" s="236">
        <f t="shared" ca="1" si="14"/>
        <v>45801.694700745851</v>
      </c>
      <c r="R59" s="236">
        <f t="shared" ca="1" si="14"/>
        <v>48349.423644615352</v>
      </c>
      <c r="S59" s="236">
        <f t="shared" ca="1" si="14"/>
        <v>48277.927577343464</v>
      </c>
      <c r="T59" s="236">
        <f t="shared" ca="1" si="14"/>
        <v>48652.315000558403</v>
      </c>
      <c r="U59" s="236">
        <f t="shared" ca="1" si="14"/>
        <v>49020.196060484406</v>
      </c>
      <c r="V59" s="236">
        <f t="shared" ca="1" si="14"/>
        <v>39092.457562572359</v>
      </c>
      <c r="W59" s="236">
        <f t="shared" ca="1" si="14"/>
        <v>36521.469990829071</v>
      </c>
      <c r="X59" s="236">
        <f t="shared" si="14"/>
        <v>39282.439117277616</v>
      </c>
      <c r="Y59" s="236">
        <f t="shared" si="14"/>
        <v>44249.971222437925</v>
      </c>
      <c r="Z59" s="236">
        <f t="shared" si="14"/>
        <v>48486.427220643178</v>
      </c>
      <c r="AA59" s="236">
        <f t="shared" ca="1" si="14"/>
        <v>68974.439094698217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565036.77900237776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172.12350225058341</v>
      </c>
      <c r="F61" s="236">
        <f t="shared" si="15"/>
        <v>-133750</v>
      </c>
      <c r="G61" s="236">
        <f t="shared" ca="1" si="15"/>
        <v>32827.609401379683</v>
      </c>
      <c r="H61" s="236">
        <f t="shared" si="15"/>
        <v>25253.013535577382</v>
      </c>
      <c r="I61" s="236">
        <f t="shared" si="15"/>
        <v>22918.55333094154</v>
      </c>
      <c r="J61" s="236">
        <f t="shared" si="15"/>
        <v>23696.713197954476</v>
      </c>
      <c r="K61" s="236">
        <f t="shared" ca="1" si="15"/>
        <v>45436.944095841616</v>
      </c>
      <c r="L61" s="236">
        <f t="shared" ca="1" si="15"/>
        <v>43832.600214585822</v>
      </c>
      <c r="M61" s="236">
        <f t="shared" ca="1" si="15"/>
        <v>42483.397782901433</v>
      </c>
      <c r="N61" s="236">
        <f t="shared" ca="1" si="15"/>
        <v>41323.464139420641</v>
      </c>
      <c r="O61" s="236">
        <f t="shared" ca="1" si="15"/>
        <v>40744.772926935912</v>
      </c>
      <c r="P61" s="236">
        <f t="shared" ca="1" si="15"/>
        <v>40378.606557035237</v>
      </c>
      <c r="Q61" s="236">
        <f t="shared" ca="1" si="15"/>
        <v>45801.694700745851</v>
      </c>
      <c r="R61" s="236">
        <f t="shared" ca="1" si="15"/>
        <v>48349.423644615352</v>
      </c>
      <c r="S61" s="236">
        <f t="shared" ca="1" si="15"/>
        <v>48277.927577343464</v>
      </c>
      <c r="T61" s="236">
        <f t="shared" ca="1" si="15"/>
        <v>48652.315000558403</v>
      </c>
      <c r="U61" s="236">
        <f t="shared" ca="1" si="15"/>
        <v>49020.196060484406</v>
      </c>
      <c r="V61" s="236">
        <f t="shared" ca="1" si="15"/>
        <v>39092.457562572359</v>
      </c>
      <c r="W61" s="236">
        <f t="shared" ca="1" si="15"/>
        <v>36521.469990829071</v>
      </c>
      <c r="X61" s="236">
        <f t="shared" si="15"/>
        <v>39282.439117277616</v>
      </c>
      <c r="Y61" s="236">
        <f t="shared" si="15"/>
        <v>44249.971222437925</v>
      </c>
      <c r="Z61" s="236">
        <f t="shared" si="15"/>
        <v>48486.427220643178</v>
      </c>
      <c r="AA61" s="236">
        <f t="shared" ca="1" si="15"/>
        <v>634011.21809707594</v>
      </c>
    </row>
    <row r="62" spans="1:29">
      <c r="A62" s="70" t="s">
        <v>213</v>
      </c>
      <c r="D62" s="273">
        <f ca="1">D83</f>
        <v>0.14812250293308163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172.12350225058341</v>
      </c>
      <c r="F65" s="236">
        <f t="shared" si="16"/>
        <v>-133750</v>
      </c>
      <c r="G65" s="236">
        <f t="shared" ca="1" si="16"/>
        <v>32827.609401379683</v>
      </c>
      <c r="H65" s="236">
        <f t="shared" si="16"/>
        <v>25253.013535577382</v>
      </c>
      <c r="I65" s="236">
        <f t="shared" si="16"/>
        <v>22918.55333094154</v>
      </c>
      <c r="J65" s="236">
        <f t="shared" si="16"/>
        <v>23696.713197954476</v>
      </c>
      <c r="K65" s="236">
        <f t="shared" ca="1" si="16"/>
        <v>45436.944095841616</v>
      </c>
      <c r="L65" s="236">
        <f t="shared" ca="1" si="16"/>
        <v>43832.600214585822</v>
      </c>
      <c r="M65" s="236">
        <f t="shared" ca="1" si="16"/>
        <v>42483.397782901433</v>
      </c>
      <c r="N65" s="236">
        <f t="shared" ca="1" si="16"/>
        <v>41323.464139420641</v>
      </c>
      <c r="O65" s="236">
        <f t="shared" ca="1" si="16"/>
        <v>40744.772926935912</v>
      </c>
      <c r="P65" s="236">
        <f t="shared" ca="1" si="16"/>
        <v>40378.606557035237</v>
      </c>
      <c r="Q65" s="236">
        <f t="shared" ca="1" si="16"/>
        <v>45801.694700745851</v>
      </c>
      <c r="R65" s="236">
        <f t="shared" ca="1" si="16"/>
        <v>48349.423644615352</v>
      </c>
      <c r="S65" s="236">
        <f t="shared" ca="1" si="16"/>
        <v>48277.927577343464</v>
      </c>
      <c r="T65" s="236">
        <f t="shared" ca="1" si="16"/>
        <v>48652.315000558403</v>
      </c>
      <c r="U65" s="236">
        <f t="shared" ca="1" si="16"/>
        <v>49020.196060484406</v>
      </c>
      <c r="V65" s="236">
        <f t="shared" ca="1" si="16"/>
        <v>39092.457562572359</v>
      </c>
      <c r="W65" s="236">
        <f t="shared" ca="1" si="16"/>
        <v>36521.469990829071</v>
      </c>
      <c r="X65" s="236">
        <f t="shared" si="16"/>
        <v>39282.439117277616</v>
      </c>
      <c r="Y65" s="236">
        <f t="shared" si="16"/>
        <v>44249.971222437925</v>
      </c>
      <c r="Z65" s="236">
        <f t="shared" si="16"/>
        <v>48486.427220643178</v>
      </c>
      <c r="AA65" s="236">
        <f t="shared" ca="1" si="16"/>
        <v>68974.439094698217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314500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172.12350225058341</v>
      </c>
      <c r="F67" s="236">
        <f t="shared" si="17"/>
        <v>-133750</v>
      </c>
      <c r="G67" s="236">
        <f t="shared" ca="1" si="17"/>
        <v>32827.609401379683</v>
      </c>
      <c r="H67" s="236">
        <f t="shared" si="17"/>
        <v>25253.013535577382</v>
      </c>
      <c r="I67" s="236">
        <f t="shared" si="17"/>
        <v>22918.55333094154</v>
      </c>
      <c r="J67" s="236">
        <f t="shared" si="17"/>
        <v>23696.713197954476</v>
      </c>
      <c r="K67" s="236">
        <f t="shared" ca="1" si="17"/>
        <v>45436.944095841616</v>
      </c>
      <c r="L67" s="236">
        <f t="shared" ca="1" si="17"/>
        <v>43832.600214585822</v>
      </c>
      <c r="M67" s="236">
        <f t="shared" ca="1" si="17"/>
        <v>42483.397782901433</v>
      </c>
      <c r="N67" s="236">
        <f t="shared" ca="1" si="17"/>
        <v>41323.464139420641</v>
      </c>
      <c r="O67" s="236">
        <f t="shared" ca="1" si="17"/>
        <v>40744.772926935912</v>
      </c>
      <c r="P67" s="236">
        <f t="shared" ca="1" si="17"/>
        <v>40378.606557035237</v>
      </c>
      <c r="Q67" s="236">
        <f t="shared" ca="1" si="17"/>
        <v>45801.694700745851</v>
      </c>
      <c r="R67" s="236">
        <f t="shared" ca="1" si="17"/>
        <v>48349.423644615352</v>
      </c>
      <c r="S67" s="236">
        <f t="shared" ca="1" si="17"/>
        <v>48277.927577343464</v>
      </c>
      <c r="T67" s="236">
        <f t="shared" ca="1" si="17"/>
        <v>48652.315000558403</v>
      </c>
      <c r="U67" s="236">
        <f t="shared" ca="1" si="17"/>
        <v>49020.196060484406</v>
      </c>
      <c r="V67" s="236">
        <f t="shared" ca="1" si="17"/>
        <v>39092.457562572359</v>
      </c>
      <c r="W67" s="236">
        <f t="shared" ca="1" si="17"/>
        <v>36521.469990829071</v>
      </c>
      <c r="X67" s="236">
        <f t="shared" si="17"/>
        <v>39282.439117277616</v>
      </c>
      <c r="Y67" s="236">
        <f t="shared" si="17"/>
        <v>44249.971222437925</v>
      </c>
      <c r="Z67" s="236">
        <f t="shared" si="17"/>
        <v>48486.427220643178</v>
      </c>
      <c r="AA67" s="236">
        <f ca="1">AA65+AA66</f>
        <v>383474.43909469823</v>
      </c>
      <c r="AB67" s="195"/>
      <c r="AC67" s="195"/>
    </row>
    <row r="68" spans="1:29">
      <c r="A68" s="70" t="s">
        <v>216</v>
      </c>
      <c r="D68" s="273">
        <f ca="1">D87</f>
        <v>0.14079020552538504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8.75">
      <c r="A73" s="292" t="s">
        <v>217</v>
      </c>
      <c r="E73" s="22"/>
    </row>
    <row r="74" spans="1:29" ht="18.75">
      <c r="A74" s="292"/>
      <c r="E74" s="22"/>
    </row>
    <row r="75" spans="1:29" ht="13.5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0.12921063170379621</v>
      </c>
      <c r="D77" s="31">
        <f ca="1">D50+F50/((1+B77)^((F8-D8)/365))</f>
        <v>-263508.61408426519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-263508.61408426519</v>
      </c>
      <c r="E78" s="236">
        <f ca="1">G51+E51</f>
        <v>32999.732903630269</v>
      </c>
      <c r="F78" s="236">
        <f t="shared" ref="F78:Y78" si="18">H51</f>
        <v>25253.013535577382</v>
      </c>
      <c r="G78" s="236">
        <f t="shared" si="18"/>
        <v>22918.55333094154</v>
      </c>
      <c r="H78" s="236">
        <f t="shared" si="18"/>
        <v>23696.713197954476</v>
      </c>
      <c r="I78" s="236">
        <f t="shared" ca="1" si="18"/>
        <v>45436.944095841616</v>
      </c>
      <c r="J78" s="236">
        <f t="shared" ca="1" si="18"/>
        <v>43832.600214585822</v>
      </c>
      <c r="K78" s="236">
        <f t="shared" ca="1" si="18"/>
        <v>42483.397782901433</v>
      </c>
      <c r="L78" s="236">
        <f t="shared" ca="1" si="18"/>
        <v>41323.464139420641</v>
      </c>
      <c r="M78" s="236">
        <f t="shared" ca="1" si="18"/>
        <v>40744.772926935912</v>
      </c>
      <c r="N78" s="236">
        <f t="shared" ca="1" si="18"/>
        <v>40378.606557035237</v>
      </c>
      <c r="O78" s="236">
        <f t="shared" ca="1" si="18"/>
        <v>45801.694700745851</v>
      </c>
      <c r="P78" s="236">
        <f t="shared" ca="1" si="18"/>
        <v>48349.423644615352</v>
      </c>
      <c r="Q78" s="236">
        <f t="shared" ca="1" si="18"/>
        <v>48277.927577343464</v>
      </c>
      <c r="R78" s="236">
        <f t="shared" ca="1" si="18"/>
        <v>48652.315000558403</v>
      </c>
      <c r="S78" s="236">
        <f t="shared" ca="1" si="18"/>
        <v>49020.196060484406</v>
      </c>
      <c r="T78" s="236">
        <f t="shared" ca="1" si="18"/>
        <v>39092.457562572359</v>
      </c>
      <c r="U78" s="236">
        <f t="shared" ca="1" si="18"/>
        <v>36521.469990829071</v>
      </c>
      <c r="V78" s="236">
        <f t="shared" si="18"/>
        <v>39282.439117277616</v>
      </c>
      <c r="W78" s="236">
        <f t="shared" si="18"/>
        <v>44249.971222437925</v>
      </c>
      <c r="X78" s="236">
        <f t="shared" si="18"/>
        <v>48486.427220643178</v>
      </c>
      <c r="Y78" s="236">
        <f t="shared" ca="1" si="18"/>
        <v>68974.439094698217</v>
      </c>
      <c r="Z78"/>
      <c r="AA78" s="8"/>
      <c r="AC78" s="22"/>
    </row>
    <row r="79" spans="1:29">
      <c r="A79" s="22" t="s">
        <v>220</v>
      </c>
      <c r="D79" s="273">
        <f ca="1">IRR(D78:Y78)</f>
        <v>0.12921063170379643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0.14812250293308163</v>
      </c>
      <c r="D81" s="31">
        <f ca="1">D50+F50/((1+B81)^((F8-D8)/365))</f>
        <v>-262972.40549760906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-262972.40549760906</v>
      </c>
      <c r="E82" s="236">
        <f ca="1">G61+E61</f>
        <v>32999.732903630269</v>
      </c>
      <c r="F82" s="236">
        <f t="shared" ref="F82:Y82" si="19">H61</f>
        <v>25253.013535577382</v>
      </c>
      <c r="G82" s="236">
        <f t="shared" si="19"/>
        <v>22918.55333094154</v>
      </c>
      <c r="H82" s="236">
        <f t="shared" si="19"/>
        <v>23696.713197954476</v>
      </c>
      <c r="I82" s="236">
        <f t="shared" ca="1" si="19"/>
        <v>45436.944095841616</v>
      </c>
      <c r="J82" s="236">
        <f t="shared" ca="1" si="19"/>
        <v>43832.600214585822</v>
      </c>
      <c r="K82" s="236">
        <f t="shared" ca="1" si="19"/>
        <v>42483.397782901433</v>
      </c>
      <c r="L82" s="236">
        <f t="shared" ca="1" si="19"/>
        <v>41323.464139420641</v>
      </c>
      <c r="M82" s="236">
        <f t="shared" ca="1" si="19"/>
        <v>40744.772926935912</v>
      </c>
      <c r="N82" s="236">
        <f t="shared" ca="1" si="19"/>
        <v>40378.606557035237</v>
      </c>
      <c r="O82" s="236">
        <f t="shared" ca="1" si="19"/>
        <v>45801.694700745851</v>
      </c>
      <c r="P82" s="236">
        <f t="shared" ca="1" si="19"/>
        <v>48349.423644615352</v>
      </c>
      <c r="Q82" s="236">
        <f t="shared" ca="1" si="19"/>
        <v>48277.927577343464</v>
      </c>
      <c r="R82" s="236">
        <f t="shared" ca="1" si="19"/>
        <v>48652.315000558403</v>
      </c>
      <c r="S82" s="236">
        <f t="shared" ca="1" si="19"/>
        <v>49020.196060484406</v>
      </c>
      <c r="T82" s="236">
        <f t="shared" ca="1" si="19"/>
        <v>39092.457562572359</v>
      </c>
      <c r="U82" s="236">
        <f t="shared" ca="1" si="19"/>
        <v>36521.469990829071</v>
      </c>
      <c r="V82" s="236">
        <f t="shared" si="19"/>
        <v>39282.439117277616</v>
      </c>
      <c r="W82" s="236">
        <f t="shared" si="19"/>
        <v>44249.971222437925</v>
      </c>
      <c r="X82" s="236">
        <f t="shared" si="19"/>
        <v>48486.427220643178</v>
      </c>
      <c r="Y82" s="236">
        <f t="shared" ca="1" si="19"/>
        <v>634011.21809707594</v>
      </c>
      <c r="Z82"/>
      <c r="AA82" s="8"/>
      <c r="AC82" s="22"/>
    </row>
    <row r="83" spans="1:29">
      <c r="A83" s="22" t="s">
        <v>220</v>
      </c>
      <c r="D83" s="273">
        <f ca="1">IRR(D82:Y82)</f>
        <v>0.14812250293308149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0.14079020552538504</v>
      </c>
      <c r="D85" s="31">
        <f ca="1">D50+F50/((1+B85)^((F8-D8)/365))</f>
        <v>-263178.97945573466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-263178.97945573466</v>
      </c>
      <c r="E86" s="236">
        <f ca="1">G67+E67</f>
        <v>32999.732903630269</v>
      </c>
      <c r="F86" s="236">
        <f t="shared" ref="F86:X86" si="20">H67</f>
        <v>25253.013535577382</v>
      </c>
      <c r="G86" s="236">
        <f t="shared" si="20"/>
        <v>22918.55333094154</v>
      </c>
      <c r="H86" s="236">
        <f t="shared" si="20"/>
        <v>23696.713197954476</v>
      </c>
      <c r="I86" s="236">
        <f t="shared" ca="1" si="20"/>
        <v>45436.944095841616</v>
      </c>
      <c r="J86" s="236">
        <f t="shared" ca="1" si="20"/>
        <v>43832.600214585822</v>
      </c>
      <c r="K86" s="236">
        <f t="shared" ca="1" si="20"/>
        <v>42483.397782901433</v>
      </c>
      <c r="L86" s="236">
        <f t="shared" ca="1" si="20"/>
        <v>41323.464139420641</v>
      </c>
      <c r="M86" s="236">
        <f t="shared" ca="1" si="20"/>
        <v>40744.772926935912</v>
      </c>
      <c r="N86" s="236">
        <f t="shared" ca="1" si="20"/>
        <v>40378.606557035237</v>
      </c>
      <c r="O86" s="236">
        <f t="shared" ca="1" si="20"/>
        <v>45801.694700745851</v>
      </c>
      <c r="P86" s="236">
        <f t="shared" ca="1" si="20"/>
        <v>48349.423644615352</v>
      </c>
      <c r="Q86" s="236">
        <f t="shared" ca="1" si="20"/>
        <v>48277.927577343464</v>
      </c>
      <c r="R86" s="236">
        <f t="shared" ca="1" si="20"/>
        <v>48652.315000558403</v>
      </c>
      <c r="S86" s="236">
        <f t="shared" ca="1" si="20"/>
        <v>49020.196060484406</v>
      </c>
      <c r="T86" s="236">
        <f t="shared" ca="1" si="20"/>
        <v>39092.457562572359</v>
      </c>
      <c r="U86" s="236">
        <f t="shared" ca="1" si="20"/>
        <v>36521.469990829071</v>
      </c>
      <c r="V86" s="236">
        <f t="shared" si="20"/>
        <v>39282.439117277616</v>
      </c>
      <c r="W86" s="236">
        <f t="shared" si="20"/>
        <v>44249.971222437925</v>
      </c>
      <c r="X86" s="236">
        <f t="shared" si="20"/>
        <v>48486.427220643178</v>
      </c>
      <c r="Y86" s="236">
        <f ca="1">AA67</f>
        <v>383474.43909469823</v>
      </c>
      <c r="Z86"/>
      <c r="AA86" s="8"/>
      <c r="AC86" s="22"/>
    </row>
    <row r="87" spans="1:29">
      <c r="A87" s="22" t="s">
        <v>220</v>
      </c>
      <c r="D87" s="273">
        <f ca="1">IRR(D86:Y86)</f>
        <v>0.14079020552539445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0"/>
  <sheetViews>
    <sheetView topLeftCell="AC1" zoomScale="75" zoomScaleNormal="75" workbookViewId="0">
      <selection activeCell="I6" sqref="I6"/>
    </sheetView>
  </sheetViews>
  <sheetFormatPr defaultRowHeight="12.75"/>
  <cols>
    <col min="1" max="1" width="52" style="22" customWidth="1"/>
    <col min="2" max="2" width="14.140625" style="22" customWidth="1"/>
    <col min="3" max="7" width="9.140625" style="22"/>
    <col min="8" max="8" width="9.7109375" style="22" customWidth="1"/>
    <col min="9" max="45" width="9.140625" style="22"/>
    <col min="46" max="46" width="9.7109375" style="22" bestFit="1" customWidth="1"/>
    <col min="47" max="47" width="9.28515625" style="22" bestFit="1" customWidth="1"/>
    <col min="48" max="48" width="11.7109375" style="22" bestFit="1" customWidth="1"/>
    <col min="49" max="16384" width="9.140625" style="22"/>
  </cols>
  <sheetData>
    <row r="1" spans="1:81" ht="18.75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.75">
      <c r="A4" s="292" t="s">
        <v>403</v>
      </c>
      <c r="B4" s="439"/>
      <c r="E4"/>
      <c r="AB4" s="8"/>
      <c r="AC4" s="8"/>
      <c r="AD4" s="8"/>
    </row>
    <row r="5" spans="1:81" ht="18.75">
      <c r="A5" s="292"/>
      <c r="E5"/>
      <c r="AB5" s="302"/>
      <c r="AC5" s="302"/>
      <c r="AD5" s="8"/>
    </row>
    <row r="6" spans="1:81" ht="13.5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4450.1773702528308</v>
      </c>
      <c r="F8" s="235">
        <v>0</v>
      </c>
      <c r="G8" s="235">
        <f ca="1">6/12*(Brownsville!F39+Caledonia!F39+'New Albany'!F39)+2/7*(Wilton!F39)+1/6*(Calvert!F39+Wheatland!F39)</f>
        <v>34536.513743294418</v>
      </c>
      <c r="H8" s="253">
        <f ca="1">5/12*(Brownsville!F39+Caledonia!F39+'New Albany'!F39)+5/7*(Wilton!F39)+5/6*(Calvert!F39+Wheatland!F39)+1/12*(SUM(Brownsville:Wilton!G39))</f>
        <v>60522.911180105053</v>
      </c>
      <c r="I8" s="253">
        <f>1/2*(SUM(Brownsville:Wilton!G39))</f>
        <v>60999.534758439644</v>
      </c>
      <c r="J8" s="253">
        <f>5/12*(SUM(Brownsville:Wilton!G39))+1/12*(SUM(Brownsville:Wilton!H39))</f>
        <v>60955.951044062385</v>
      </c>
      <c r="K8" s="253">
        <f>1/2*(SUM(Brownsville:Wilton!H39))</f>
        <v>60738.032472176114</v>
      </c>
      <c r="L8" s="253">
        <f>5/12*(SUM(Brownsville:Wilton!H39))+1/12*(SUM(Brownsville:Wilton!I39))</f>
        <v>63898.125891022151</v>
      </c>
      <c r="M8" s="253">
        <f>1/2*(SUM(Brownsville:Wilton!I39))</f>
        <v>79698.592985252311</v>
      </c>
      <c r="N8" s="253">
        <f>5/12*(SUM(Brownsville:Wilton!I39))+1/12*(SUM(Brownsville:Wilton!J39))</f>
        <v>82256.938806719452</v>
      </c>
      <c r="O8" s="253">
        <f>1/2*(SUM(Brownsville:Wilton!J39))</f>
        <v>95048.667914055142</v>
      </c>
      <c r="P8" s="253">
        <f>5/12*(SUM(Brownsville:Wilton!J39))+1/12*(SUM(Brownsville:Wilton!K39))</f>
        <v>95338.888536165046</v>
      </c>
      <c r="Q8" s="253">
        <f>1/2*(SUM(Brownsville:Wilton!K39))</f>
        <v>96789.991646714479</v>
      </c>
      <c r="R8" s="253">
        <f>5/12*(SUM(Brownsville:Wilton!K39))+1/12*(SUM(Brownsville:Wilton!L39))</f>
        <v>96889.643247711851</v>
      </c>
      <c r="S8" s="253">
        <f>1/2*(SUM(Brownsville:Wilton!L39))</f>
        <v>97387.901252698619</v>
      </c>
      <c r="T8" s="253">
        <f>5/12*(SUM(Brownsville:Wilton!L39))+1/12*(SUM(Brownsville:Wilton!M39))</f>
        <v>97755.803692875226</v>
      </c>
      <c r="U8" s="253">
        <f>1/2*(SUM(Brownsville:Wilton!M39))</f>
        <v>99595.315893758219</v>
      </c>
      <c r="V8" s="253">
        <f>5/12*(SUM(Brownsville:Wilton!M39))+1/12*(SUM(Brownsville:Wilton!N39))</f>
        <v>99759.825601735094</v>
      </c>
      <c r="W8" s="253">
        <f>1/2*(SUM(Brownsville:Wilton!N39))</f>
        <v>100582.37414161951</v>
      </c>
      <c r="X8" s="253">
        <f>5/12*(SUM(Brownsville:Wilton!N39))+1/12*(SUM(Brownsville:Wilton!O39))</f>
        <v>100972.22322211001</v>
      </c>
      <c r="Y8" s="253">
        <f>1/2*(SUM(Brownsville:Wilton!O39))</f>
        <v>102921.46862456251</v>
      </c>
      <c r="Z8" s="253">
        <f>5/12*(SUM(Brownsville:Wilton!O39))+1/12*(SUM(Brownsville:Wilton!P39))</f>
        <v>102987.57565134825</v>
      </c>
      <c r="AA8" s="253">
        <f>1/2*(SUM(Brownsville:Wilton!P39))</f>
        <v>103318.11078527692</v>
      </c>
      <c r="AB8" s="253">
        <f>5/12*(SUM(Brownsville:Wilton!P39))+1/12*(SUM(Brownsville:Wilton!Q39))</f>
        <v>103715.47255634182</v>
      </c>
      <c r="AC8" s="253">
        <f>1/2*(SUM(Brownsville:Wilton!Q39))</f>
        <v>105702.28141166636</v>
      </c>
      <c r="AD8" s="253">
        <f>5/12*(SUM(Brownsville:Wilton!Q39))+1/12*(SUM(Brownsville:Wilton!R39))</f>
        <v>105876.61052544965</v>
      </c>
      <c r="AE8" s="253">
        <f>1/2*(SUM(Brownsville:Wilton!R39))</f>
        <v>106748.25609436601</v>
      </c>
      <c r="AF8" s="253">
        <f>5/12*(SUM(Brownsville:Wilton!R39))+1/12*(SUM(Brownsville:Wilton!S39))</f>
        <v>106858.96048843116</v>
      </c>
      <c r="AG8" s="253">
        <f>1/2*(SUM(Brownsville:Wilton!S39))</f>
        <v>107412.4824587569</v>
      </c>
      <c r="AH8" s="253">
        <f>5/12*(SUM(Brownsville:Wilton!S39))+1/12*(SUM(Brownsville:Wilton!T39))</f>
        <v>107548.52398956136</v>
      </c>
      <c r="AI8" s="253">
        <f>1/2*(SUM(Brownsville:Wilton!T39))</f>
        <v>108228.73164358374</v>
      </c>
      <c r="AJ8" s="253">
        <f>5/12*(SUM(Brownsville:Wilton!T39))+1/12*(SUM(Brownsville:Wilton!U39))</f>
        <v>108388.60785114623</v>
      </c>
      <c r="AK8" s="253">
        <f>1/2*(SUM(Brownsville:Wilton!U39))</f>
        <v>109187.9888889586</v>
      </c>
      <c r="AL8" s="253">
        <f>5/12*(SUM(Brownsville:Wilton!U39))+1/12*(SUM(Brownsville:Wilton!V39))</f>
        <v>109347.8112645225</v>
      </c>
      <c r="AM8" s="253">
        <f>1/2*(SUM(Brownsville:Wilton!V39))</f>
        <v>110146.92314234201</v>
      </c>
      <c r="AN8" s="253">
        <f>5/12*(SUM(Brownsville:Wilton!V39))+1/12*(SUM(Brownsville:Wilton!W39))</f>
        <v>110304.04412401184</v>
      </c>
      <c r="AO8" s="253">
        <f>1/2*(SUM(Brownsville:Wilton!W39))</f>
        <v>111089.64903236099</v>
      </c>
      <c r="AP8" s="253">
        <f>5/12*(SUM(Brownsville:Wilton!W39))+1/12*(SUM(Brownsville:Wilton!X39))</f>
        <v>111224.37762057345</v>
      </c>
      <c r="AQ8" s="253">
        <f>1/2*(SUM(Brownsville:Wilton!X39))</f>
        <v>111898.0205616357</v>
      </c>
      <c r="AR8" s="253">
        <f>5/12*(SUM(Brownsville:Wilton!X39))+1/12*(SUM(Brownsville:Wilton!Y39))</f>
        <v>111837.93162649848</v>
      </c>
      <c r="AS8" s="253">
        <f>1/2*(SUM(Brownsville:Wilton!Y39))</f>
        <v>111537.48695081242</v>
      </c>
      <c r="AT8" s="253">
        <f>5/12*(SUM(Brownsville:Wilton!Y39))+1/12*(SUM(Brownsville:Wilton!Z39))</f>
        <v>111782.46509242295</v>
      </c>
      <c r="AU8" s="253">
        <f>11/12*(SUM(Brownsville:Wilton!Z39))</f>
        <v>207180.15230087179</v>
      </c>
      <c r="AV8" s="761">
        <f ca="1">SUM(D8:AU8)</f>
        <v>4073421.3460862688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-1093.3396039210511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-1093.3396039210511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3320.0248154705105</v>
      </c>
      <c r="F12" s="280">
        <v>0</v>
      </c>
      <c r="G12" s="280">
        <f>CF!G14</f>
        <v>15264.582647621271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18584.607463091783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-673.15841513562407</v>
      </c>
      <c r="F13" s="235">
        <v>0</v>
      </c>
      <c r="G13" s="235">
        <f>-(Debt!C36+Debt!C59+Debt!C82)</f>
        <v>-7404.7425664918655</v>
      </c>
      <c r="H13" s="235">
        <f>-HLOOKUP(H$2,Debt!$A$17:$V$115,94)-I13</f>
        <v>-10869.903627462523</v>
      </c>
      <c r="I13" s="235">
        <f>-(Debt!D36+Debt!D59+Debt!D82)</f>
        <v>-12846.249741546619</v>
      </c>
      <c r="J13" s="235">
        <f>-HLOOKUP(J$2,Debt!$A$17:$V$115,94)-K13</f>
        <v>-12619.298989866833</v>
      </c>
      <c r="K13" s="235">
        <f>-(Debt!E36+Debt!E59+Debt!E82)</f>
        <v>-12619.298989866833</v>
      </c>
      <c r="L13" s="235">
        <f>-HLOOKUP(L$2,Debt!$A$17:$V$115,94)-M13</f>
        <v>-25967.347669629693</v>
      </c>
      <c r="M13" s="235">
        <f>-(Debt!F36+Debt!F59+Debt!F82)</f>
        <v>-20102.742968047642</v>
      </c>
      <c r="N13" s="235">
        <f>-HLOOKUP(N$2,Debt!$A$17:$V$115,94)-O13</f>
        <v>-9065.8333333333339</v>
      </c>
      <c r="O13" s="235">
        <f>-(Debt!G36+Debt!G59+Debt!G82)</f>
        <v>-12692.166666666666</v>
      </c>
      <c r="P13" s="235">
        <f>-HLOOKUP(P$2,Debt!$A$17:$V$115,94)-Q13</f>
        <v>-12824.75</v>
      </c>
      <c r="Q13" s="235">
        <f>-(Debt!H36+Debt!H59+Debt!H82)</f>
        <v>-12824.75</v>
      </c>
      <c r="R13" s="235">
        <f>-HLOOKUP(R$2,Debt!$A$17:$V$115,94)-S13</f>
        <v>-14351.25</v>
      </c>
      <c r="S13" s="235">
        <f>-(Debt!I36+Debt!I59+Debt!I82)</f>
        <v>-14351.25</v>
      </c>
      <c r="T13" s="235">
        <f>-HLOOKUP(T$2,Debt!$A$17:$V$115,94)-U13</f>
        <v>-16770</v>
      </c>
      <c r="U13" s="235">
        <f>-(Debt!J36+Debt!J59+Debt!J82)</f>
        <v>-16770</v>
      </c>
      <c r="V13" s="235">
        <f>-HLOOKUP(V$2,Debt!$A$17:$V$115,94)-W13</f>
        <v>-18920</v>
      </c>
      <c r="W13" s="235">
        <f>-(Debt!K36+Debt!K59+Debt!K82)</f>
        <v>-18920</v>
      </c>
      <c r="X13" s="235">
        <f>-HLOOKUP(X$2,Debt!$A$17:$V$115,94)-Y13</f>
        <v>-23703.628515976179</v>
      </c>
      <c r="Y13" s="235">
        <f>-(Debt!L36+Debt!L59+Debt!L82)</f>
        <v>-23703.628515976179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-723000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-6003.7041666666664</v>
      </c>
      <c r="F14" s="280">
        <v>0</v>
      </c>
      <c r="G14" s="280">
        <f>-(Debt!C37+Debt!C60+Debt!C83)</f>
        <v>-35994.6591629002</v>
      </c>
      <c r="H14" s="280">
        <f>-HLOOKUP(H$2,Debt!$A$17:$V$115,92)-I14</f>
        <v>-35691.43495480236</v>
      </c>
      <c r="I14" s="280">
        <f>-(Debt!D37+Debt!D60+Debt!D83)</f>
        <v>-35246.312401257761</v>
      </c>
      <c r="J14" s="280">
        <f>-HLOOKUP(J$2,Debt!$A$17:$V$115,92)-K14</f>
        <v>-34720.258474341434</v>
      </c>
      <c r="K14" s="280">
        <f>-(Debt!E37+Debt!E60+Debt!E83)</f>
        <v>-34203.498180706389</v>
      </c>
      <c r="L14" s="280">
        <f>-HLOOKUP(L$2,Debt!$A$17:$V$115,92)-M14</f>
        <v>-33686.737887071344</v>
      </c>
      <c r="M14" s="280">
        <f>-(Debt!F37+Debt!F60+Debt!F83)</f>
        <v>-32623.375</v>
      </c>
      <c r="N14" s="280">
        <f>-HLOOKUP(N$2,Debt!$A$17:$V$115,92)-O14</f>
        <v>-31646.381691752882</v>
      </c>
      <c r="O14" s="280">
        <f>-(Debt!G37+Debt!G60+Debt!G83)</f>
        <v>-31205.782191752885</v>
      </c>
      <c r="P14" s="280">
        <f>-HLOOKUP(P$2,Debt!$A$17:$V$115,92)-Q14</f>
        <v>-30588.942891752882</v>
      </c>
      <c r="Q14" s="280">
        <f>-(Debt!H37+Debt!H60+Debt!H83)</f>
        <v>-29965.660041752886</v>
      </c>
      <c r="R14" s="280">
        <f>-HLOOKUP(R$2,Debt!$A$17:$V$115,92)-S14</f>
        <v>-29342.377191752879</v>
      </c>
      <c r="S14" s="280">
        <f>-(Debt!I37+Debt!I60+Debt!I83)</f>
        <v>-28644.906441752886</v>
      </c>
      <c r="T14" s="280">
        <f>-HLOOKUP(T$2,Debt!$A$17:$V$115,92)-U14</f>
        <v>-27947.435691752889</v>
      </c>
      <c r="U14" s="280">
        <f>-(Debt!J37+Debt!J60+Debt!J83)</f>
        <v>-27132.413691752885</v>
      </c>
      <c r="V14" s="280">
        <f>-HLOOKUP(V$2,Debt!$A$17:$V$115,92)-W14</f>
        <v>-26317.39169175288</v>
      </c>
      <c r="W14" s="280">
        <f>-(Debt!K37+Debt!K60+Debt!K83)</f>
        <v>-25397.879691752885</v>
      </c>
      <c r="X14" s="280">
        <f>-HLOOKUP(X$2,Debt!$A$17:$V$115,92)-Y14</f>
        <v>-24478.367691752879</v>
      </c>
      <c r="Y14" s="280">
        <f>-(Debt!L37+Debt!L60+Debt!L83)</f>
        <v>-19630.642179209775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-825771.90908288164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6401.6946615236229</v>
      </c>
      <c r="H16" s="428">
        <f t="shared" ref="H16:AS16" ca="1" si="0">SUM(H8:H15)</f>
        <v>13961.572597840168</v>
      </c>
      <c r="I16" s="428">
        <f t="shared" si="0"/>
        <v>12906.972615635263</v>
      </c>
      <c r="J16" s="428">
        <f t="shared" si="0"/>
        <v>13616.393579854121</v>
      </c>
      <c r="K16" s="428">
        <f t="shared" si="0"/>
        <v>13915.235301602894</v>
      </c>
      <c r="L16" s="428">
        <f t="shared" si="0"/>
        <v>4244.0403343211146</v>
      </c>
      <c r="M16" s="428">
        <f t="shared" si="0"/>
        <v>26972.47501720467</v>
      </c>
      <c r="N16" s="428">
        <f t="shared" si="0"/>
        <v>41544.723781633242</v>
      </c>
      <c r="O16" s="428">
        <f t="shared" si="0"/>
        <v>51150.719055635585</v>
      </c>
      <c r="P16" s="428">
        <f t="shared" si="0"/>
        <v>51925.195644412161</v>
      </c>
      <c r="Q16" s="428">
        <f t="shared" si="0"/>
        <v>53999.581604961597</v>
      </c>
      <c r="R16" s="428">
        <f t="shared" si="0"/>
        <v>53196.016055958971</v>
      </c>
      <c r="S16" s="428">
        <f t="shared" si="0"/>
        <v>54391.744810945733</v>
      </c>
      <c r="T16" s="428">
        <f t="shared" si="0"/>
        <v>53038.368001122333</v>
      </c>
      <c r="U16" s="428">
        <f t="shared" si="0"/>
        <v>55692.902202005338</v>
      </c>
      <c r="V16" s="428">
        <f t="shared" si="0"/>
        <v>54522.43390998221</v>
      </c>
      <c r="W16" s="428">
        <f t="shared" si="0"/>
        <v>56264.49444986663</v>
      </c>
      <c r="X16" s="428">
        <f t="shared" si="0"/>
        <v>52790.227014380958</v>
      </c>
      <c r="Y16" s="428">
        <f t="shared" si="0"/>
        <v>59587.197929376554</v>
      </c>
      <c r="Z16" s="428">
        <f t="shared" si="0"/>
        <v>60902.351305841032</v>
      </c>
      <c r="AA16" s="428">
        <f t="shared" si="0"/>
        <v>65774.639501767379</v>
      </c>
      <c r="AB16" s="428">
        <f t="shared" si="0"/>
        <v>65207.791390548693</v>
      </c>
      <c r="AC16" s="428">
        <f t="shared" si="0"/>
        <v>68135.073088551289</v>
      </c>
      <c r="AD16" s="428">
        <f t="shared" si="0"/>
        <v>67417.797773914848</v>
      </c>
      <c r="AE16" s="428">
        <f t="shared" si="0"/>
        <v>69325.504817128778</v>
      </c>
      <c r="AF16" s="428">
        <f t="shared" si="0"/>
        <v>69153.852700731426</v>
      </c>
      <c r="AG16" s="428">
        <f t="shared" si="0"/>
        <v>70812.224603709605</v>
      </c>
      <c r="AH16" s="428">
        <f t="shared" si="0"/>
        <v>70599.587711428656</v>
      </c>
      <c r="AI16" s="428">
        <f t="shared" si="0"/>
        <v>72460.483140064083</v>
      </c>
      <c r="AJ16" s="428">
        <f t="shared" si="0"/>
        <v>71768.386369200904</v>
      </c>
      <c r="AK16" s="428">
        <f t="shared" si="0"/>
        <v>73854.509256416131</v>
      </c>
      <c r="AL16" s="428">
        <f t="shared" si="0"/>
        <v>74819.668521992513</v>
      </c>
      <c r="AM16" s="428">
        <f t="shared" si="0"/>
        <v>76930.639552971057</v>
      </c>
      <c r="AN16" s="428">
        <f t="shared" si="0"/>
        <v>78983.202375851033</v>
      </c>
      <c r="AO16" s="428">
        <f t="shared" si="0"/>
        <v>81050.218010610159</v>
      </c>
      <c r="AP16" s="428">
        <f t="shared" si="0"/>
        <v>85373.30796785932</v>
      </c>
      <c r="AQ16" s="428">
        <f t="shared" si="0"/>
        <v>87176.691485552496</v>
      </c>
      <c r="AR16" s="428">
        <f t="shared" si="0"/>
        <v>91320.637363860966</v>
      </c>
      <c r="AS16" s="259">
        <f t="shared" si="0"/>
        <v>91989.53196300003</v>
      </c>
      <c r="AT16" s="259">
        <f>SUM(AT8:AT15)</f>
        <v>111782.46509242295</v>
      </c>
      <c r="AU16" s="259">
        <f>SUM(AU8:AU15)</f>
        <v>207180.15230087179</v>
      </c>
      <c r="AV16" s="762">
        <f ca="1">SUM(D16:AU16)</f>
        <v>2542140.7048625587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6401.6946615236229</v>
      </c>
      <c r="H20" s="428">
        <f t="shared" ca="1" si="1"/>
        <v>13961.572597840168</v>
      </c>
      <c r="I20" s="428">
        <f t="shared" si="1"/>
        <v>12906.972615635263</v>
      </c>
      <c r="J20" s="428">
        <f t="shared" si="1"/>
        <v>13616.393579854121</v>
      </c>
      <c r="K20" s="428">
        <f t="shared" si="1"/>
        <v>13915.235301602894</v>
      </c>
      <c r="L20" s="428">
        <f t="shared" si="1"/>
        <v>4244.0403343211146</v>
      </c>
      <c r="M20" s="428">
        <f t="shared" si="1"/>
        <v>26972.47501720467</v>
      </c>
      <c r="N20" s="428">
        <f t="shared" si="1"/>
        <v>41544.723781633242</v>
      </c>
      <c r="O20" s="428">
        <f t="shared" si="1"/>
        <v>51150.719055635585</v>
      </c>
      <c r="P20" s="428">
        <f t="shared" si="1"/>
        <v>51925.195644412161</v>
      </c>
      <c r="Q20" s="428">
        <f t="shared" si="1"/>
        <v>53999.581604961597</v>
      </c>
      <c r="R20" s="428">
        <f t="shared" si="1"/>
        <v>53196.016055958971</v>
      </c>
      <c r="S20" s="428">
        <f t="shared" si="1"/>
        <v>54391.744810945733</v>
      </c>
      <c r="T20" s="428">
        <f t="shared" si="1"/>
        <v>53038.368001122333</v>
      </c>
      <c r="U20" s="428">
        <f t="shared" si="1"/>
        <v>55692.902202005338</v>
      </c>
      <c r="V20" s="428">
        <f t="shared" si="1"/>
        <v>54522.43390998221</v>
      </c>
      <c r="W20" s="428">
        <f t="shared" si="1"/>
        <v>56264.49444986663</v>
      </c>
      <c r="X20" s="428">
        <f t="shared" si="1"/>
        <v>52790.227014380958</v>
      </c>
      <c r="Y20" s="428">
        <f t="shared" si="1"/>
        <v>59587.197929376554</v>
      </c>
      <c r="Z20" s="428">
        <f t="shared" si="1"/>
        <v>60902.351305841032</v>
      </c>
      <c r="AA20" s="428">
        <f t="shared" si="1"/>
        <v>65774.639501767379</v>
      </c>
      <c r="AB20" s="428">
        <f t="shared" si="1"/>
        <v>65207.791390548693</v>
      </c>
      <c r="AC20" s="428">
        <f t="shared" si="1"/>
        <v>68135.073088551289</v>
      </c>
      <c r="AD20" s="428">
        <f t="shared" si="1"/>
        <v>67417.797773914848</v>
      </c>
      <c r="AE20" s="428">
        <f t="shared" si="1"/>
        <v>69325.504817128778</v>
      </c>
      <c r="AF20" s="428">
        <f t="shared" si="1"/>
        <v>69153.852700731426</v>
      </c>
      <c r="AG20" s="428">
        <f t="shared" si="1"/>
        <v>70812.224603709605</v>
      </c>
      <c r="AH20" s="428">
        <f t="shared" si="1"/>
        <v>70599.587711428656</v>
      </c>
      <c r="AI20" s="428">
        <f t="shared" si="1"/>
        <v>72460.483140064083</v>
      </c>
      <c r="AJ20" s="428">
        <f t="shared" si="1"/>
        <v>71768.386369200904</v>
      </c>
      <c r="AK20" s="428">
        <f t="shared" si="1"/>
        <v>73854.509256416131</v>
      </c>
      <c r="AL20" s="428">
        <f t="shared" si="1"/>
        <v>74819.668521992513</v>
      </c>
      <c r="AM20" s="428">
        <f t="shared" si="1"/>
        <v>76930.639552971057</v>
      </c>
      <c r="AN20" s="428">
        <f t="shared" si="1"/>
        <v>78983.202375851033</v>
      </c>
      <c r="AO20" s="428">
        <f t="shared" si="1"/>
        <v>81050.218010610159</v>
      </c>
      <c r="AP20" s="428">
        <f t="shared" si="1"/>
        <v>85373.30796785932</v>
      </c>
      <c r="AQ20" s="428">
        <f t="shared" si="1"/>
        <v>87176.691485552496</v>
      </c>
      <c r="AR20" s="428">
        <f t="shared" si="1"/>
        <v>91320.637363860966</v>
      </c>
      <c r="AS20" s="259">
        <f t="shared" si="1"/>
        <v>91989.53196300003</v>
      </c>
      <c r="AT20" s="259">
        <f>AT16+AT18</f>
        <v>111782.46509242295</v>
      </c>
      <c r="AU20" s="259">
        <f>AU16+AU18</f>
        <v>207180.15230087179</v>
      </c>
      <c r="AV20" s="762">
        <f ca="1">SUM(D20:AU20)</f>
        <v>2542140.7048625587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>5/12*(SUM(Brownsville:Wilton!H69))+1/12*(SUM(Brownsville:Wilton!I69))</f>
        <v>0</v>
      </c>
      <c r="M22" s="235">
        <f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-80.108943628945582</v>
      </c>
      <c r="S22" s="235">
        <f ca="1">1/2*(SUM(Brownsville:Wilton!L69))</f>
        <v>-480.65366177367355</v>
      </c>
      <c r="T22" s="235">
        <f ca="1">5/12*(SUM(Brownsville:Wilton!L69))+1/12*(SUM(Brownsville:Wilton!M69))</f>
        <v>-764.80723804418949</v>
      </c>
      <c r="U22" s="235">
        <f ca="1">1/2*(SUM(Brownsville:Wilton!M69))</f>
        <v>-2185.575119396769</v>
      </c>
      <c r="V22" s="235">
        <f ca="1">5/12*(SUM(Brownsville:Wilton!M69))+1/12*(SUM(Brownsville:Wilton!N69))</f>
        <v>-2214.2226158862773</v>
      </c>
      <c r="W22" s="235">
        <f ca="1">1/2*(SUM(Brownsville:Wilton!N69))</f>
        <v>-2357.4600983338191</v>
      </c>
      <c r="X22" s="235">
        <f ca="1">5/12*(SUM(Brownsville:Wilton!N69))+1/12*(SUM(Brownsville:Wilton!O69))</f>
        <v>-2402.458653885657</v>
      </c>
      <c r="Y22" s="235">
        <f ca="1">1/2*(SUM(Brownsville:Wilton!O69))</f>
        <v>-2627.4514316448467</v>
      </c>
      <c r="Z22" s="235">
        <f ca="1">5/12*(SUM(Brownsville:Wilton!O69))+1/12*(SUM(Brownsville:Wilton!P69))</f>
        <v>-2651.3845500786229</v>
      </c>
      <c r="AA22" s="235">
        <f ca="1">1/2*(SUM(Brownsville:Wilton!P69))</f>
        <v>-2771.0501422475022</v>
      </c>
      <c r="AB22" s="235">
        <f ca="1">5/12*(SUM(Brownsville:Wilton!P69))+1/12*(SUM(Brownsville:Wilton!Q69))</f>
        <v>-2813.1418264688114</v>
      </c>
      <c r="AC22" s="235">
        <f ca="1">1/2*(SUM(Brownsville:Wilton!Q69))</f>
        <v>-3023.6002475753585</v>
      </c>
      <c r="AD22" s="235">
        <f ca="1">5/12*(SUM(Brownsville:Wilton!Q69))+1/12*(SUM(Brownsville:Wilton!R69))</f>
        <v>-3055.2766285613843</v>
      </c>
      <c r="AE22" s="235">
        <f ca="1">1/2*(SUM(Brownsville:Wilton!R69))</f>
        <v>-3213.6585334915121</v>
      </c>
      <c r="AF22" s="235">
        <f ca="1">5/12*(SUM(Brownsville:Wilton!R69))+1/12*(SUM(Brownsville:Wilton!S69))</f>
        <v>-3241.7816184564408</v>
      </c>
      <c r="AG22" s="235">
        <f ca="1">1/2*(SUM(Brownsville:Wilton!S69))</f>
        <v>-3382.3970432810838</v>
      </c>
      <c r="AH22" s="235">
        <f ca="1">5/12*(SUM(Brownsville:Wilton!S69))+1/12*(SUM(Brownsville:Wilton!T69))</f>
        <v>-3414.8124170507281</v>
      </c>
      <c r="AI22" s="235">
        <f ca="1">1/2*(SUM(Brownsville:Wilton!T69))</f>
        <v>-3576.8892858989461</v>
      </c>
      <c r="AJ22" s="235">
        <f ca="1">5/12*(SUM(Brownsville:Wilton!T69))+1/12*(SUM(Brownsville:Wilton!U69))</f>
        <v>-3870.8872940131814</v>
      </c>
      <c r="AK22" s="235">
        <f ca="1">1/2*(SUM(Brownsville:Wilton!U69))</f>
        <v>-5340.8773345843583</v>
      </c>
      <c r="AL22" s="235">
        <f ca="1">5/12*(SUM(Brownsville:Wilton!U69))+1/12*(SUM(Brownsville:Wilton!V69))</f>
        <v>-5487.881306850918</v>
      </c>
      <c r="AM22" s="235">
        <f ca="1">1/2*(SUM(Brownsville:Wilton!V69))</f>
        <v>-6222.9011681837146</v>
      </c>
      <c r="AN22" s="235">
        <f ca="1">5/12*(SUM(Brownsville:Wilton!V69))+1/12*(SUM(Brownsville:Wilton!W69))</f>
        <v>-6258.7440763025197</v>
      </c>
      <c r="AO22" s="235">
        <f>1/2*(SUM(Brownsville:Wilton!W69))</f>
        <v>-6437.958616896547</v>
      </c>
      <c r="AP22" s="235">
        <f>5/12*(SUM(Brownsville:Wilton!W69))+1/12*(SUM(Brownsville:Wilton!X69))</f>
        <v>-6470.1735666833774</v>
      </c>
      <c r="AQ22" s="235">
        <f>1/2*(SUM(Brownsville:Wilton!X69))</f>
        <v>-6631.2483156175267</v>
      </c>
      <c r="AR22" s="235">
        <f>5/12*(SUM(Brownsville:Wilton!X69))+1/12*(SUM(Brownsville:Wilton!Y69))</f>
        <v>-6648.3784261648116</v>
      </c>
      <c r="AS22" s="253">
        <f>1/2*(SUM(Brownsville:Wilton!Y69))</f>
        <v>-6734.0289789012377</v>
      </c>
      <c r="AT22" s="253">
        <f ca="1">5/12*(SUM(Brownsville:Wilton!Y69))+1/12*(SUM(Brownsville:Wilton!Z69))</f>
        <v>-6760.4965018051053</v>
      </c>
      <c r="AU22" s="253">
        <f ca="1">11/12*(SUM(Brownsville:Wilton!Z69))</f>
        <v>-12636.862546594808</v>
      </c>
      <c r="AV22" s="761">
        <f ca="1">SUM(D22:AU22)</f>
        <v>-123757.16818830268</v>
      </c>
    </row>
    <row r="23" spans="1:63">
      <c r="A23" s="4" t="s">
        <v>196</v>
      </c>
      <c r="D23" s="284">
        <f>CF!D25</f>
        <v>0</v>
      </c>
      <c r="E23" s="284">
        <f ca="1">CF!E25</f>
        <v>344.24700450116683</v>
      </c>
      <c r="F23" s="284">
        <v>0</v>
      </c>
      <c r="G23" s="284">
        <f ca="1">1/2*(-Tax!E39)*Allocation!$I$10+2/7*(-Tax!E39)*Allocation!$I$15</f>
        <v>3525.6206092997036</v>
      </c>
      <c r="H23" s="284">
        <f ca="1">5/12*(-Tax!E39)*Allocation!$I$10+5/7*(-Tax!E39)*Allocation!$I$15+1/12*(SUM(Brownsville:Wilton!G70))</f>
        <v>7301.6530015163216</v>
      </c>
      <c r="I23" s="284">
        <f>1/2*(SUM(Brownsville:Wilton!G70))</f>
        <v>11580.429139672378</v>
      </c>
      <c r="J23" s="284">
        <f>5/12*(SUM(Brownsville:Wilton!G70))+1/12*(SUM(Brownsville:Wilton!H70))</f>
        <v>11193.973979086342</v>
      </c>
      <c r="K23" s="284">
        <f>1/2*(SUM(Brownsville:Wilton!H70))</f>
        <v>9261.6981761561638</v>
      </c>
      <c r="L23" s="284">
        <f>5/12*(SUM(Brownsville:Wilton!H70))+1/12*(SUM(Brownsville:Wilton!I70))</f>
        <v>7749.4521426428873</v>
      </c>
      <c r="M23" s="284">
        <f>1/2*(SUM(Brownsville:Wilton!I70))</f>
        <v>188.22197507650233</v>
      </c>
      <c r="N23" s="284">
        <f ca="1">5/12*(SUM(Brownsville:Wilton!I70))+1/12*(SUM(Brownsville:Wilton!J70))</f>
        <v>-1060.9220001796884</v>
      </c>
      <c r="O23" s="284">
        <f ca="1">1/2*(SUM(Brownsville:Wilton!J70))</f>
        <v>-7306.6418764606424</v>
      </c>
      <c r="P23" s="284">
        <f ca="1">5/12*(SUM(Brownsville:Wilton!J70))+1/12*(SUM(Brownsville:Wilton!K70))</f>
        <v>-7731.4248912798303</v>
      </c>
      <c r="Q23" s="284">
        <f ca="1">1/2*(SUM(Brownsville:Wilton!K70))</f>
        <v>-9855.3399653757697</v>
      </c>
      <c r="R23" s="284">
        <f ca="1">5/12*(SUM(Brownsville:Wilton!K70))+1/12*(SUM(Brownsville:Wilton!L70))</f>
        <v>-10059.276303024913</v>
      </c>
      <c r="S23" s="284">
        <f ca="1">1/2*(SUM(Brownsville:Wilton!L70))</f>
        <v>-11078.957991270632</v>
      </c>
      <c r="T23" s="284">
        <f ca="1">5/12*(SUM(Brownsville:Wilton!L70))+1/12*(SUM(Brownsville:Wilton!M70))</f>
        <v>-11195.19031659018</v>
      </c>
      <c r="U23" s="284">
        <f ca="1">1/2*(SUM(Brownsville:Wilton!M70))</f>
        <v>-11776.351943187925</v>
      </c>
      <c r="V23" s="284">
        <f ca="1">5/12*(SUM(Brownsville:Wilton!M70))+1/12*(SUM(Brownsville:Wilton!N70))</f>
        <v>-11930.710856756086</v>
      </c>
      <c r="W23" s="284">
        <f ca="1">1/2*(SUM(Brownsville:Wilton!N70))</f>
        <v>-12702.505424596897</v>
      </c>
      <c r="X23" s="284">
        <f ca="1">5/12*(SUM(Brownsville:Wilton!N70))+1/12*(SUM(Brownsville:Wilton!O70))</f>
        <v>-12944.967384568237</v>
      </c>
      <c r="Y23" s="284">
        <f ca="1">1/2*(SUM(Brownsville:Wilton!O70))</f>
        <v>-14157.277184424935</v>
      </c>
      <c r="Z23" s="284">
        <f ca="1">5/12*(SUM(Brownsville:Wilton!O70))+1/12*(SUM(Brownsville:Wilton!P70))</f>
        <v>-14286.234008316642</v>
      </c>
      <c r="AA23" s="284">
        <f ca="1">1/2*(SUM(Brownsville:Wilton!P70))</f>
        <v>-14931.018127775173</v>
      </c>
      <c r="AB23" s="284">
        <f ca="1">5/12*(SUM(Brownsville:Wilton!P70))+1/12*(SUM(Brownsville:Wilton!Q70))</f>
        <v>-15157.817235649574</v>
      </c>
      <c r="AC23" s="284">
        <f ca="1">1/2*(SUM(Brownsville:Wilton!Q70))</f>
        <v>-16291.812775021572</v>
      </c>
      <c r="AD23" s="284">
        <f ca="1">5/12*(SUM(Brownsville:Wilton!Q70))+1/12*(SUM(Brownsville:Wilton!R70))</f>
        <v>-16462.49197404215</v>
      </c>
      <c r="AE23" s="284">
        <f ca="1">1/2*(SUM(Brownsville:Wilton!R70))</f>
        <v>-17315.887969145027</v>
      </c>
      <c r="AF23" s="284">
        <f ca="1">5/12*(SUM(Brownsville:Wilton!R70))+1/12*(SUM(Brownsville:Wilton!S70))</f>
        <v>-17467.421239878175</v>
      </c>
      <c r="AG23" s="284">
        <f ca="1">1/2*(SUM(Brownsville:Wilton!S70))</f>
        <v>-18225.0875935439</v>
      </c>
      <c r="AH23" s="284">
        <f ca="1">5/12*(SUM(Brownsville:Wilton!S70))+1/12*(SUM(Brownsville:Wilton!T70))</f>
        <v>-18399.748645682281</v>
      </c>
      <c r="AI23" s="284">
        <f ca="1">1/2*(SUM(Brownsville:Wilton!T70))</f>
        <v>-19273.053906374182</v>
      </c>
      <c r="AJ23" s="284">
        <f ca="1">5/12*(SUM(Brownsville:Wilton!T70))+1/12*(SUM(Brownsville:Wilton!U70))</f>
        <v>-20857.178827738149</v>
      </c>
      <c r="AK23" s="284">
        <f ca="1">1/2*(SUM(Brownsville:Wilton!U70))</f>
        <v>-28777.803434557994</v>
      </c>
      <c r="AL23" s="284">
        <f ca="1">5/12*(SUM(Brownsville:Wilton!U70))+1/12*(SUM(Brownsville:Wilton!V70))</f>
        <v>-29569.892665028121</v>
      </c>
      <c r="AM23" s="284">
        <f ca="1">1/2*(SUM(Brownsville:Wilton!V70))</f>
        <v>-33530.338817378753</v>
      </c>
      <c r="AN23" s="284">
        <f ca="1">5/12*(SUM(Brownsville:Wilton!V70))+1/12*(SUM(Brownsville:Wilton!W70))</f>
        <v>-33723.46816668746</v>
      </c>
      <c r="AO23" s="284">
        <f>1/2*(SUM(Brownsville:Wilton!W70))</f>
        <v>-34689.114913231002</v>
      </c>
      <c r="AP23" s="284">
        <f>5/12*(SUM(Brownsville:Wilton!W70))+1/12*(SUM(Brownsville:Wilton!X70))</f>
        <v>-34862.696037556096</v>
      </c>
      <c r="AQ23" s="284">
        <f>1/2*(SUM(Brownsville:Wilton!X70))</f>
        <v>-35730.60165918155</v>
      </c>
      <c r="AR23" s="284">
        <f>5/12*(SUM(Brownsville:Wilton!X70))+1/12*(SUM(Brownsville:Wilton!Y70))</f>
        <v>-35822.902403658467</v>
      </c>
      <c r="AS23" s="768">
        <f>1/2*(SUM(Brownsville:Wilton!Y70))</f>
        <v>-36284.406126043054</v>
      </c>
      <c r="AT23" s="768">
        <f ca="1">5/12*(SUM(Brownsville:Wilton!Y70))+1/12*(SUM(Brownsville:Wilton!Z70))</f>
        <v>-36427.018869944695</v>
      </c>
      <c r="AU23" s="768">
        <f ca="1">11/12*(SUM(Brownsville:Wilton!Z70))</f>
        <v>-68090.151413996966</v>
      </c>
      <c r="AV23" s="773">
        <f ca="1">SUM(D23:AU23)</f>
        <v>-666830.41692019522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344.24700450116683</v>
      </c>
      <c r="F25" s="428">
        <f>F20+SUM(F22:F23)</f>
        <v>0</v>
      </c>
      <c r="G25" s="428">
        <f ca="1">G20+SUM(G22:G23)</f>
        <v>9927.3152708233265</v>
      </c>
      <c r="H25" s="428">
        <f ca="1">H20+SUM(H22:H23)</f>
        <v>21263.22559935649</v>
      </c>
      <c r="I25" s="428">
        <f t="shared" ref="I25:AS25" si="2">I20+SUM(I22:I23)</f>
        <v>24487.401755307641</v>
      </c>
      <c r="J25" s="428">
        <f t="shared" si="2"/>
        <v>24810.367558940463</v>
      </c>
      <c r="K25" s="428">
        <f t="shared" si="2"/>
        <v>23176.933477759056</v>
      </c>
      <c r="L25" s="428">
        <f t="shared" si="2"/>
        <v>11993.492476964002</v>
      </c>
      <c r="M25" s="428">
        <f t="shared" si="2"/>
        <v>27160.696992281173</v>
      </c>
      <c r="N25" s="428">
        <f t="shared" ca="1" si="2"/>
        <v>40483.801781453556</v>
      </c>
      <c r="O25" s="428">
        <f t="shared" ca="1" si="2"/>
        <v>43844.077179174943</v>
      </c>
      <c r="P25" s="428">
        <f t="shared" ca="1" si="2"/>
        <v>44193.770753132332</v>
      </c>
      <c r="Q25" s="428">
        <f t="shared" ca="1" si="2"/>
        <v>44144.241639585831</v>
      </c>
      <c r="R25" s="428">
        <f t="shared" ca="1" si="2"/>
        <v>43056.630809305112</v>
      </c>
      <c r="S25" s="428">
        <f t="shared" ca="1" si="2"/>
        <v>42832.13315790143</v>
      </c>
      <c r="T25" s="428">
        <f t="shared" ca="1" si="2"/>
        <v>41078.370446487963</v>
      </c>
      <c r="U25" s="428">
        <f t="shared" ca="1" si="2"/>
        <v>41730.97513942064</v>
      </c>
      <c r="V25" s="428">
        <f t="shared" ca="1" si="2"/>
        <v>40377.500437339848</v>
      </c>
      <c r="W25" s="428">
        <f t="shared" ca="1" si="2"/>
        <v>41204.528926935913</v>
      </c>
      <c r="X25" s="428">
        <f t="shared" ca="1" si="2"/>
        <v>37442.800975927064</v>
      </c>
      <c r="Y25" s="428">
        <f t="shared" ca="1" si="2"/>
        <v>42802.469313306778</v>
      </c>
      <c r="Z25" s="428">
        <f t="shared" ca="1" si="2"/>
        <v>43964.732747445771</v>
      </c>
      <c r="AA25" s="428">
        <f t="shared" ca="1" si="2"/>
        <v>48072.571231744703</v>
      </c>
      <c r="AB25" s="428">
        <f t="shared" ca="1" si="2"/>
        <v>47236.832328430304</v>
      </c>
      <c r="AC25" s="428">
        <f t="shared" ca="1" si="2"/>
        <v>48819.660065954362</v>
      </c>
      <c r="AD25" s="428">
        <f t="shared" ca="1" si="2"/>
        <v>47900.029171311311</v>
      </c>
      <c r="AE25" s="428">
        <f t="shared" ca="1" si="2"/>
        <v>48795.958314492236</v>
      </c>
      <c r="AF25" s="428">
        <f t="shared" ca="1" si="2"/>
        <v>48444.649842396815</v>
      </c>
      <c r="AG25" s="428">
        <f t="shared" ca="1" si="2"/>
        <v>49204.739966884619</v>
      </c>
      <c r="AH25" s="428">
        <f t="shared" ca="1" si="2"/>
        <v>48785.026648695646</v>
      </c>
      <c r="AI25" s="428">
        <f t="shared" ca="1" si="2"/>
        <v>49610.539947790952</v>
      </c>
      <c r="AJ25" s="428">
        <f t="shared" ca="1" si="2"/>
        <v>47040.320247449577</v>
      </c>
      <c r="AK25" s="428">
        <f t="shared" ca="1" si="2"/>
        <v>39735.828487273779</v>
      </c>
      <c r="AL25" s="428">
        <f t="shared" ca="1" si="2"/>
        <v>39761.894550113473</v>
      </c>
      <c r="AM25" s="428">
        <f t="shared" ca="1" si="2"/>
        <v>37177.399567408589</v>
      </c>
      <c r="AN25" s="428">
        <f t="shared" ca="1" si="2"/>
        <v>39000.99013286105</v>
      </c>
      <c r="AO25" s="428">
        <f t="shared" si="2"/>
        <v>39923.14448048261</v>
      </c>
      <c r="AP25" s="428">
        <f t="shared" si="2"/>
        <v>44040.438363619847</v>
      </c>
      <c r="AQ25" s="428">
        <f t="shared" si="2"/>
        <v>44814.841510753417</v>
      </c>
      <c r="AR25" s="428">
        <f t="shared" si="2"/>
        <v>48849.356534037688</v>
      </c>
      <c r="AS25" s="259">
        <f t="shared" si="2"/>
        <v>48971.096858055738</v>
      </c>
      <c r="AT25" s="259">
        <f ca="1">AT20+SUM(AT22:AT23)</f>
        <v>68594.949720673147</v>
      </c>
      <c r="AU25" s="259">
        <f ca="1">AU20+SUM(AU22:AU23)</f>
        <v>126453.13834028001</v>
      </c>
      <c r="AV25" s="762">
        <f ca="1">SUM(D25:AU25)</f>
        <v>1751553.1197540602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4450.1773702528317</v>
      </c>
      <c r="F27" s="118">
        <v>0</v>
      </c>
      <c r="G27" s="734">
        <f>-SUM(G10:G14)</f>
        <v>28134.819081770795</v>
      </c>
      <c r="H27" s="734">
        <f t="shared" ref="H27:AS27" si="3">-SUM(H10:H14)</f>
        <v>46561.338582264885</v>
      </c>
      <c r="I27" s="734">
        <f t="shared" si="3"/>
        <v>48092.562142804381</v>
      </c>
      <c r="J27" s="734">
        <f t="shared" si="3"/>
        <v>47339.557464208265</v>
      </c>
      <c r="K27" s="734">
        <f t="shared" si="3"/>
        <v>46822.79717057322</v>
      </c>
      <c r="L27" s="734">
        <f t="shared" si="3"/>
        <v>59654.085556701037</v>
      </c>
      <c r="M27" s="734">
        <f t="shared" si="3"/>
        <v>52726.117968047642</v>
      </c>
      <c r="N27" s="734">
        <f t="shared" si="3"/>
        <v>40712.215025086218</v>
      </c>
      <c r="O27" s="734">
        <f t="shared" si="3"/>
        <v>43897.94885841955</v>
      </c>
      <c r="P27" s="734">
        <f t="shared" si="3"/>
        <v>43413.692891752886</v>
      </c>
      <c r="Q27" s="734">
        <f t="shared" si="3"/>
        <v>42790.410041752883</v>
      </c>
      <c r="R27" s="734">
        <f t="shared" si="3"/>
        <v>43693.627191752879</v>
      </c>
      <c r="S27" s="734">
        <f t="shared" si="3"/>
        <v>42996.156441752886</v>
      </c>
      <c r="T27" s="734">
        <f t="shared" si="3"/>
        <v>44717.435691752893</v>
      </c>
      <c r="U27" s="734">
        <f t="shared" si="3"/>
        <v>43902.413691752881</v>
      </c>
      <c r="V27" s="734">
        <f t="shared" si="3"/>
        <v>45237.391691752884</v>
      </c>
      <c r="W27" s="734">
        <f t="shared" si="3"/>
        <v>44317.879691752882</v>
      </c>
      <c r="X27" s="734">
        <f t="shared" si="3"/>
        <v>48181.996207729055</v>
      </c>
      <c r="Y27" s="734">
        <f t="shared" si="3"/>
        <v>43334.270695185958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1531280.641223711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0.99999999999999978</v>
      </c>
      <c r="F28" s="120">
        <v>0</v>
      </c>
      <c r="G28" s="735">
        <f t="shared" ref="G28:AS28" ca="1" si="4">SUM(G8:G10)/G27</f>
        <v>1.2275363720277637</v>
      </c>
      <c r="H28" s="735">
        <f t="shared" ca="1" si="4"/>
        <v>1.2998533337518372</v>
      </c>
      <c r="I28" s="735">
        <f t="shared" si="4"/>
        <v>1.2683777291238871</v>
      </c>
      <c r="J28" s="735">
        <f t="shared" si="4"/>
        <v>1.2876324644595376</v>
      </c>
      <c r="K28" s="735">
        <f t="shared" si="4"/>
        <v>1.2971893210674781</v>
      </c>
      <c r="L28" s="735">
        <f t="shared" si="4"/>
        <v>1.0711441688312726</v>
      </c>
      <c r="M28" s="735">
        <f t="shared" si="4"/>
        <v>1.5115581434148093</v>
      </c>
      <c r="N28" s="735">
        <f t="shared" si="4"/>
        <v>2.0204486234913537</v>
      </c>
      <c r="O28" s="735">
        <f t="shared" si="4"/>
        <v>2.1652188857526764</v>
      </c>
      <c r="P28" s="735">
        <f t="shared" si="4"/>
        <v>2.1960557185006522</v>
      </c>
      <c r="Q28" s="735">
        <f t="shared" si="4"/>
        <v>2.2619552267031637</v>
      </c>
      <c r="R28" s="735">
        <f t="shared" si="4"/>
        <v>2.2174776843887125</v>
      </c>
      <c r="S28" s="735">
        <f t="shared" si="4"/>
        <v>2.2650373733901192</v>
      </c>
      <c r="T28" s="735">
        <f t="shared" si="4"/>
        <v>2.1860780293111497</v>
      </c>
      <c r="U28" s="735">
        <f t="shared" si="4"/>
        <v>2.2685612821435219</v>
      </c>
      <c r="V28" s="735">
        <f t="shared" si="4"/>
        <v>2.2052514937531655</v>
      </c>
      <c r="W28" s="735">
        <f t="shared" si="4"/>
        <v>2.2695664783876586</v>
      </c>
      <c r="X28" s="735">
        <f t="shared" si="4"/>
        <v>2.0956421727896921</v>
      </c>
      <c r="Y28" s="735">
        <f t="shared" si="4"/>
        <v>2.3750594384872419</v>
      </c>
      <c r="Z28" s="735">
        <f t="shared" si="4"/>
        <v>2.4471195592507904</v>
      </c>
      <c r="AA28" s="735">
        <f t="shared" si="4"/>
        <v>2.7519594553489783</v>
      </c>
      <c r="AB28" s="735">
        <f t="shared" si="4"/>
        <v>2.6933710214800892</v>
      </c>
      <c r="AC28" s="735">
        <f t="shared" si="4"/>
        <v>2.813684756730455</v>
      </c>
      <c r="AD28" s="735">
        <f t="shared" si="4"/>
        <v>2.7529869736091719</v>
      </c>
      <c r="AE28" s="735">
        <f t="shared" si="4"/>
        <v>2.8524962075489277</v>
      </c>
      <c r="AF28" s="735">
        <f t="shared" si="4"/>
        <v>2.8340712109909676</v>
      </c>
      <c r="AG28" s="735">
        <f t="shared" si="4"/>
        <v>2.9347466043588089</v>
      </c>
      <c r="AH28" s="735">
        <f t="shared" si="4"/>
        <v>2.9107339702553556</v>
      </c>
      <c r="AI28" s="735">
        <f t="shared" si="4"/>
        <v>3.0258325797790699</v>
      </c>
      <c r="AJ28" s="735">
        <f t="shared" si="4"/>
        <v>2.9598020837909043</v>
      </c>
      <c r="AK28" s="735">
        <f t="shared" si="4"/>
        <v>3.0902133054678091</v>
      </c>
      <c r="AL28" s="735">
        <f t="shared" si="4"/>
        <v>3.1669184201394502</v>
      </c>
      <c r="AM28" s="735">
        <f t="shared" si="4"/>
        <v>3.3160519853457799</v>
      </c>
      <c r="AN28" s="735">
        <f t="shared" si="4"/>
        <v>3.5217458397486712</v>
      </c>
      <c r="AO28" s="735">
        <f t="shared" si="4"/>
        <v>3.6981276027473227</v>
      </c>
      <c r="AP28" s="735">
        <f t="shared" si="4"/>
        <v>4.3025058194795367</v>
      </c>
      <c r="AQ28" s="735">
        <f t="shared" si="4"/>
        <v>4.5263755932075691</v>
      </c>
      <c r="AR28" s="735">
        <f t="shared" si="4"/>
        <v>5.4509103488444905</v>
      </c>
      <c r="AS28" s="769">
        <f t="shared" si="4"/>
        <v>5.7058391540369797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.75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5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6401.6946615236229</v>
      </c>
      <c r="H34" s="801">
        <f t="shared" ca="1" si="5"/>
        <v>13961.572597840168</v>
      </c>
      <c r="I34" s="801">
        <f t="shared" si="5"/>
        <v>12906.972615635263</v>
      </c>
      <c r="J34" s="801">
        <f t="shared" si="5"/>
        <v>13616.393579854121</v>
      </c>
      <c r="K34" s="801">
        <f t="shared" si="5"/>
        <v>13915.235301602894</v>
      </c>
      <c r="L34" s="801">
        <f t="shared" si="5"/>
        <v>4244.0403343211146</v>
      </c>
      <c r="M34" s="801">
        <f t="shared" si="5"/>
        <v>26972.47501720467</v>
      </c>
      <c r="N34" s="801">
        <f t="shared" si="5"/>
        <v>41544.723781633242</v>
      </c>
      <c r="O34" s="801">
        <f t="shared" si="5"/>
        <v>51150.719055635585</v>
      </c>
      <c r="P34" s="801">
        <f t="shared" si="5"/>
        <v>51925.195644412161</v>
      </c>
      <c r="Q34" s="801">
        <f t="shared" si="5"/>
        <v>53999.581604961597</v>
      </c>
      <c r="R34" s="801">
        <f t="shared" si="5"/>
        <v>53196.016055958971</v>
      </c>
      <c r="S34" s="801">
        <f t="shared" si="5"/>
        <v>54391.744810945733</v>
      </c>
      <c r="T34" s="801">
        <f t="shared" si="5"/>
        <v>53038.368001122333</v>
      </c>
      <c r="U34" s="801">
        <f t="shared" si="5"/>
        <v>55692.902202005338</v>
      </c>
      <c r="V34" s="801">
        <f t="shared" si="5"/>
        <v>54522.43390998221</v>
      </c>
      <c r="W34" s="801">
        <f t="shared" si="5"/>
        <v>56264.49444986663</v>
      </c>
      <c r="X34" s="801">
        <f t="shared" si="5"/>
        <v>52790.227014380958</v>
      </c>
      <c r="Y34" s="801">
        <f t="shared" si="5"/>
        <v>59587.197929376554</v>
      </c>
      <c r="Z34" s="801">
        <f t="shared" si="5"/>
        <v>60902.351305841032</v>
      </c>
      <c r="AA34" s="801">
        <f t="shared" si="5"/>
        <v>65774.639501767379</v>
      </c>
      <c r="AB34" s="801">
        <f t="shared" si="5"/>
        <v>65207.791390548693</v>
      </c>
      <c r="AC34" s="801">
        <f t="shared" si="5"/>
        <v>68135.073088551289</v>
      </c>
      <c r="AD34" s="801">
        <f t="shared" si="5"/>
        <v>67417.797773914848</v>
      </c>
      <c r="AE34" s="801">
        <f t="shared" si="5"/>
        <v>69325.504817128778</v>
      </c>
      <c r="AF34" s="801">
        <f t="shared" si="5"/>
        <v>69153.852700731426</v>
      </c>
      <c r="AG34" s="801">
        <f t="shared" si="5"/>
        <v>70812.224603709605</v>
      </c>
      <c r="AH34" s="801">
        <f t="shared" si="5"/>
        <v>70599.587711428656</v>
      </c>
      <c r="AI34" s="801">
        <f t="shared" si="5"/>
        <v>72460.483140064083</v>
      </c>
      <c r="AJ34" s="801">
        <f t="shared" si="5"/>
        <v>71768.386369200904</v>
      </c>
      <c r="AK34" s="801">
        <f t="shared" si="5"/>
        <v>73854.509256416131</v>
      </c>
      <c r="AL34" s="801">
        <f t="shared" si="5"/>
        <v>74819.668521992513</v>
      </c>
      <c r="AM34" s="801">
        <f t="shared" si="5"/>
        <v>76930.639552971057</v>
      </c>
      <c r="AN34" s="801">
        <f t="shared" si="5"/>
        <v>78983.202375851033</v>
      </c>
      <c r="AO34" s="801">
        <f t="shared" si="5"/>
        <v>81050.218010610159</v>
      </c>
      <c r="AP34" s="801">
        <f t="shared" si="5"/>
        <v>85373.30796785932</v>
      </c>
      <c r="AQ34" s="801">
        <f t="shared" si="5"/>
        <v>87176.691485552496</v>
      </c>
      <c r="AR34" s="801">
        <f t="shared" si="5"/>
        <v>91320.637363860966</v>
      </c>
      <c r="AS34" s="801">
        <f t="shared" si="5"/>
        <v>91989.53196300003</v>
      </c>
      <c r="AT34" s="801">
        <f t="shared" si="5"/>
        <v>111782.46509242295</v>
      </c>
      <c r="AU34" s="801">
        <f t="shared" si="5"/>
        <v>207180.15230087179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si="6"/>
        <v>0</v>
      </c>
      <c r="M36" s="802">
        <f t="shared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-80.108943628945582</v>
      </c>
      <c r="S36" s="802">
        <f t="shared" ca="1" si="6"/>
        <v>-480.65366177367355</v>
      </c>
      <c r="T36" s="802">
        <f t="shared" ca="1" si="6"/>
        <v>-764.80723804418949</v>
      </c>
      <c r="U36" s="802">
        <f t="shared" ca="1" si="6"/>
        <v>-2185.575119396769</v>
      </c>
      <c r="V36" s="802">
        <f t="shared" ca="1" si="6"/>
        <v>-2214.2226158862773</v>
      </c>
      <c r="W36" s="802">
        <f t="shared" ca="1" si="6"/>
        <v>-2357.4600983338191</v>
      </c>
      <c r="X36" s="802">
        <f t="shared" ca="1" si="6"/>
        <v>-2402.458653885657</v>
      </c>
      <c r="Y36" s="802">
        <f t="shared" ca="1" si="6"/>
        <v>-2627.4514316448467</v>
      </c>
      <c r="Z36" s="802">
        <f t="shared" ca="1" si="6"/>
        <v>-2651.3845500786229</v>
      </c>
      <c r="AA36" s="802">
        <f t="shared" ca="1" si="6"/>
        <v>-2771.0501422475022</v>
      </c>
      <c r="AB36" s="802">
        <f t="shared" ca="1" si="6"/>
        <v>-2813.1418264688114</v>
      </c>
      <c r="AC36" s="802">
        <f t="shared" ca="1" si="6"/>
        <v>-3023.6002475753585</v>
      </c>
      <c r="AD36" s="802">
        <f t="shared" ca="1" si="6"/>
        <v>-3055.2766285613843</v>
      </c>
      <c r="AE36" s="802">
        <f t="shared" ca="1" si="6"/>
        <v>-3213.6585334915121</v>
      </c>
      <c r="AF36" s="802">
        <f t="shared" ca="1" si="6"/>
        <v>-3241.7816184564408</v>
      </c>
      <c r="AG36" s="802">
        <f t="shared" ca="1" si="6"/>
        <v>-3382.3970432810838</v>
      </c>
      <c r="AH36" s="802">
        <f t="shared" ca="1" si="6"/>
        <v>-3414.8124170507281</v>
      </c>
      <c r="AI36" s="802">
        <f t="shared" ca="1" si="6"/>
        <v>-3576.8892858989461</v>
      </c>
      <c r="AJ36" s="802">
        <f t="shared" ca="1" si="6"/>
        <v>-3870.8872940131814</v>
      </c>
      <c r="AK36" s="802">
        <f t="shared" ca="1" si="6"/>
        <v>-5340.8773345843583</v>
      </c>
      <c r="AL36" s="802">
        <f t="shared" ca="1" si="6"/>
        <v>-5487.881306850918</v>
      </c>
      <c r="AM36" s="802">
        <f t="shared" ca="1" si="6"/>
        <v>-6222.9011681837146</v>
      </c>
      <c r="AN36" s="802">
        <f t="shared" ca="1" si="6"/>
        <v>-6258.7440763025197</v>
      </c>
      <c r="AO36" s="802">
        <f t="shared" si="6"/>
        <v>-6437.958616896547</v>
      </c>
      <c r="AP36" s="802">
        <f t="shared" si="6"/>
        <v>-6470.1735666833774</v>
      </c>
      <c r="AQ36" s="802">
        <f t="shared" si="6"/>
        <v>-6631.2483156175267</v>
      </c>
      <c r="AR36" s="802">
        <f t="shared" si="6"/>
        <v>-6648.3784261648116</v>
      </c>
      <c r="AS36" s="802">
        <f t="shared" si="6"/>
        <v>-6734.0289789012377</v>
      </c>
      <c r="AT36" s="802">
        <f t="shared" ca="1" si="6"/>
        <v>-6760.4965018051053</v>
      </c>
      <c r="AU36" s="802">
        <f t="shared" ca="1" si="6"/>
        <v>-12636.862546594808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344.24700450116683</v>
      </c>
      <c r="F37" s="805">
        <f t="shared" si="7"/>
        <v>0</v>
      </c>
      <c r="G37" s="805">
        <f t="shared" ca="1" si="7"/>
        <v>3525.6206092997036</v>
      </c>
      <c r="H37" s="805">
        <f t="shared" ca="1" si="7"/>
        <v>7301.6530015163216</v>
      </c>
      <c r="I37" s="805">
        <f t="shared" si="7"/>
        <v>11580.429139672378</v>
      </c>
      <c r="J37" s="805">
        <f t="shared" si="7"/>
        <v>11193.973979086342</v>
      </c>
      <c r="K37" s="805">
        <f t="shared" si="7"/>
        <v>9261.6981761561638</v>
      </c>
      <c r="L37" s="805">
        <f t="shared" si="7"/>
        <v>7749.4521426428873</v>
      </c>
      <c r="M37" s="805">
        <f t="shared" si="7"/>
        <v>188.22197507650233</v>
      </c>
      <c r="N37" s="805">
        <f t="shared" ca="1" si="7"/>
        <v>-1060.9220001796884</v>
      </c>
      <c r="O37" s="805">
        <f t="shared" ca="1" si="7"/>
        <v>-7306.6418764606424</v>
      </c>
      <c r="P37" s="805">
        <f t="shared" ca="1" si="7"/>
        <v>-7731.4248912798303</v>
      </c>
      <c r="Q37" s="805">
        <f t="shared" ca="1" si="7"/>
        <v>-9855.3399653757697</v>
      </c>
      <c r="R37" s="805">
        <f t="shared" ca="1" si="7"/>
        <v>-10059.276303024913</v>
      </c>
      <c r="S37" s="805">
        <f t="shared" ca="1" si="7"/>
        <v>-11078.957991270632</v>
      </c>
      <c r="T37" s="805">
        <f t="shared" ca="1" si="7"/>
        <v>-11195.19031659018</v>
      </c>
      <c r="U37" s="805">
        <f t="shared" ca="1" si="7"/>
        <v>-11776.351943187925</v>
      </c>
      <c r="V37" s="805">
        <f t="shared" ca="1" si="7"/>
        <v>-11930.710856756086</v>
      </c>
      <c r="W37" s="805">
        <f t="shared" ca="1" si="7"/>
        <v>-12702.505424596897</v>
      </c>
      <c r="X37" s="805">
        <f t="shared" ca="1" si="7"/>
        <v>-12944.967384568237</v>
      </c>
      <c r="Y37" s="805">
        <f t="shared" ca="1" si="7"/>
        <v>-14157.277184424935</v>
      </c>
      <c r="Z37" s="805">
        <f t="shared" ca="1" si="7"/>
        <v>-14286.234008316642</v>
      </c>
      <c r="AA37" s="805">
        <f t="shared" ca="1" si="7"/>
        <v>-14931.018127775173</v>
      </c>
      <c r="AB37" s="805">
        <f t="shared" ca="1" si="7"/>
        <v>-15157.817235649574</v>
      </c>
      <c r="AC37" s="805">
        <f t="shared" ca="1" si="7"/>
        <v>-16291.812775021572</v>
      </c>
      <c r="AD37" s="805">
        <f t="shared" ca="1" si="7"/>
        <v>-16462.49197404215</v>
      </c>
      <c r="AE37" s="805">
        <f t="shared" ca="1" si="7"/>
        <v>-17315.887969145027</v>
      </c>
      <c r="AF37" s="805">
        <f t="shared" ca="1" si="7"/>
        <v>-17467.421239878175</v>
      </c>
      <c r="AG37" s="805">
        <f t="shared" ca="1" si="7"/>
        <v>-18225.0875935439</v>
      </c>
      <c r="AH37" s="805">
        <f t="shared" ca="1" si="7"/>
        <v>-18399.748645682281</v>
      </c>
      <c r="AI37" s="805">
        <f t="shared" ca="1" si="7"/>
        <v>-19273.053906374182</v>
      </c>
      <c r="AJ37" s="805">
        <f t="shared" ca="1" si="7"/>
        <v>-20857.178827738149</v>
      </c>
      <c r="AK37" s="805">
        <f t="shared" ca="1" si="7"/>
        <v>-28777.803434557994</v>
      </c>
      <c r="AL37" s="805">
        <f t="shared" ca="1" si="7"/>
        <v>-29569.892665028121</v>
      </c>
      <c r="AM37" s="805">
        <f t="shared" ca="1" si="7"/>
        <v>-33530.338817378753</v>
      </c>
      <c r="AN37" s="805">
        <f t="shared" ca="1" si="7"/>
        <v>-33723.46816668746</v>
      </c>
      <c r="AO37" s="805">
        <f t="shared" si="7"/>
        <v>-34689.114913231002</v>
      </c>
      <c r="AP37" s="805">
        <f t="shared" si="7"/>
        <v>-34862.696037556096</v>
      </c>
      <c r="AQ37" s="805">
        <f t="shared" si="7"/>
        <v>-35730.60165918155</v>
      </c>
      <c r="AR37" s="805">
        <f t="shared" si="7"/>
        <v>-35822.902403658467</v>
      </c>
      <c r="AS37" s="805">
        <f t="shared" si="7"/>
        <v>-36284.406126043054</v>
      </c>
      <c r="AT37" s="805">
        <f t="shared" ca="1" si="7"/>
        <v>-36427.018869944695</v>
      </c>
      <c r="AU37" s="805">
        <f t="shared" ca="1" si="7"/>
        <v>-68090.151413996966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344.24700450116683</v>
      </c>
      <c r="F39" s="801">
        <f t="shared" si="8"/>
        <v>0</v>
      </c>
      <c r="G39" s="801">
        <f t="shared" ca="1" si="8"/>
        <v>9927.3152708233265</v>
      </c>
      <c r="H39" s="801">
        <f t="shared" ca="1" si="8"/>
        <v>21263.22559935649</v>
      </c>
      <c r="I39" s="801">
        <f t="shared" si="8"/>
        <v>24487.401755307641</v>
      </c>
      <c r="J39" s="801">
        <f t="shared" si="8"/>
        <v>24810.367558940463</v>
      </c>
      <c r="K39" s="801">
        <f t="shared" si="8"/>
        <v>23176.933477759056</v>
      </c>
      <c r="L39" s="801">
        <f t="shared" si="8"/>
        <v>11993.492476964002</v>
      </c>
      <c r="M39" s="801">
        <f t="shared" si="8"/>
        <v>27160.696992281173</v>
      </c>
      <c r="N39" s="801">
        <f t="shared" ca="1" si="8"/>
        <v>40483.801781453556</v>
      </c>
      <c r="O39" s="801">
        <f t="shared" ca="1" si="8"/>
        <v>43844.077179174943</v>
      </c>
      <c r="P39" s="801">
        <f t="shared" ca="1" si="8"/>
        <v>44193.770753132332</v>
      </c>
      <c r="Q39" s="801">
        <f t="shared" ca="1" si="8"/>
        <v>44144.241639585831</v>
      </c>
      <c r="R39" s="801">
        <f t="shared" ca="1" si="8"/>
        <v>43056.630809305112</v>
      </c>
      <c r="S39" s="801">
        <f t="shared" ca="1" si="8"/>
        <v>42832.13315790143</v>
      </c>
      <c r="T39" s="801">
        <f t="shared" ca="1" si="8"/>
        <v>41078.370446487963</v>
      </c>
      <c r="U39" s="801">
        <f t="shared" ca="1" si="8"/>
        <v>41730.97513942064</v>
      </c>
      <c r="V39" s="801">
        <f t="shared" ca="1" si="8"/>
        <v>40377.500437339848</v>
      </c>
      <c r="W39" s="801">
        <f t="shared" ca="1" si="8"/>
        <v>41204.528926935913</v>
      </c>
      <c r="X39" s="801">
        <f t="shared" ca="1" si="8"/>
        <v>37442.800975927064</v>
      </c>
      <c r="Y39" s="801">
        <f t="shared" ca="1" si="8"/>
        <v>42802.469313306778</v>
      </c>
      <c r="Z39" s="801">
        <f t="shared" ca="1" si="8"/>
        <v>43964.732747445771</v>
      </c>
      <c r="AA39" s="801">
        <f t="shared" ca="1" si="8"/>
        <v>48072.571231744703</v>
      </c>
      <c r="AB39" s="801">
        <f t="shared" ca="1" si="8"/>
        <v>47236.832328430304</v>
      </c>
      <c r="AC39" s="801">
        <f t="shared" ca="1" si="8"/>
        <v>48819.660065954362</v>
      </c>
      <c r="AD39" s="801">
        <f t="shared" ca="1" si="8"/>
        <v>47900.029171311311</v>
      </c>
      <c r="AE39" s="801">
        <f t="shared" ca="1" si="8"/>
        <v>48795.958314492236</v>
      </c>
      <c r="AF39" s="801">
        <f t="shared" ca="1" si="8"/>
        <v>48444.649842396815</v>
      </c>
      <c r="AG39" s="801">
        <f t="shared" ca="1" si="8"/>
        <v>49204.739966884619</v>
      </c>
      <c r="AH39" s="801">
        <f t="shared" ca="1" si="8"/>
        <v>48785.026648695646</v>
      </c>
      <c r="AI39" s="801">
        <f t="shared" ca="1" si="8"/>
        <v>49610.539947790952</v>
      </c>
      <c r="AJ39" s="801">
        <f t="shared" ca="1" si="8"/>
        <v>47040.320247449577</v>
      </c>
      <c r="AK39" s="801">
        <f t="shared" ca="1" si="8"/>
        <v>39735.828487273779</v>
      </c>
      <c r="AL39" s="801">
        <f t="shared" ca="1" si="8"/>
        <v>39761.894550113473</v>
      </c>
      <c r="AM39" s="801">
        <f t="shared" ca="1" si="8"/>
        <v>37177.399567408589</v>
      </c>
      <c r="AN39" s="801">
        <f t="shared" ca="1" si="8"/>
        <v>39000.99013286105</v>
      </c>
      <c r="AO39" s="801">
        <f t="shared" si="8"/>
        <v>39923.14448048261</v>
      </c>
      <c r="AP39" s="801">
        <f t="shared" si="8"/>
        <v>44040.438363619847</v>
      </c>
      <c r="AQ39" s="801">
        <f t="shared" si="8"/>
        <v>44814.841510753417</v>
      </c>
      <c r="AR39" s="801">
        <f t="shared" si="8"/>
        <v>48849.356534037688</v>
      </c>
      <c r="AS39" s="801">
        <f t="shared" si="8"/>
        <v>48971.096858055738</v>
      </c>
      <c r="AT39" s="801">
        <f t="shared" ca="1" si="8"/>
        <v>68594.949720673147</v>
      </c>
      <c r="AU39" s="801">
        <f t="shared" ca="1" si="8"/>
        <v>126453.13834028001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172.12350225058341</v>
      </c>
      <c r="F43" s="74">
        <f ca="1">$D$75*H8</f>
        <v>0</v>
      </c>
      <c r="G43" s="235">
        <f ca="1">G25*$B$43</f>
        <v>4963.6576354116633</v>
      </c>
      <c r="H43" s="235">
        <f t="shared" ref="H43:AS43" ca="1" si="9">H25*$B$43</f>
        <v>10631.612799678245</v>
      </c>
      <c r="I43" s="235">
        <f t="shared" si="9"/>
        <v>12243.70087765382</v>
      </c>
      <c r="J43" s="235">
        <f>J25*$B$43</f>
        <v>12405.183779470231</v>
      </c>
      <c r="K43" s="235">
        <f t="shared" si="9"/>
        <v>11588.466738879528</v>
      </c>
      <c r="L43" s="235">
        <f t="shared" si="9"/>
        <v>5996.746238482001</v>
      </c>
      <c r="M43" s="235">
        <f t="shared" si="9"/>
        <v>13580.348496140587</v>
      </c>
      <c r="N43" s="235">
        <f t="shared" ca="1" si="9"/>
        <v>20241.900890726778</v>
      </c>
      <c r="O43" s="235">
        <f t="shared" ca="1" si="9"/>
        <v>21922.038589587472</v>
      </c>
      <c r="P43" s="235">
        <f t="shared" ca="1" si="9"/>
        <v>22096.885376566166</v>
      </c>
      <c r="Q43" s="235">
        <f t="shared" ca="1" si="9"/>
        <v>22072.120819792915</v>
      </c>
      <c r="R43" s="235">
        <f t="shared" ca="1" si="9"/>
        <v>21528.315404652556</v>
      </c>
      <c r="S43" s="235">
        <f t="shared" ca="1" si="9"/>
        <v>21416.066578950715</v>
      </c>
      <c r="T43" s="235">
        <f t="shared" ca="1" si="9"/>
        <v>20539.185223243981</v>
      </c>
      <c r="U43" s="235">
        <f t="shared" ca="1" si="9"/>
        <v>20865.48756971032</v>
      </c>
      <c r="V43" s="235">
        <f t="shared" ca="1" si="9"/>
        <v>20188.750218669924</v>
      </c>
      <c r="W43" s="235">
        <f t="shared" ca="1" si="9"/>
        <v>20602.264463467956</v>
      </c>
      <c r="X43" s="235">
        <f t="shared" ca="1" si="9"/>
        <v>18721.400487963532</v>
      </c>
      <c r="Y43" s="235">
        <f t="shared" ca="1" si="9"/>
        <v>21401.234656653389</v>
      </c>
      <c r="Z43" s="235">
        <f t="shared" ca="1" si="9"/>
        <v>21982.366373722885</v>
      </c>
      <c r="AA43" s="235">
        <f t="shared" ca="1" si="9"/>
        <v>24036.285615872352</v>
      </c>
      <c r="AB43" s="235">
        <f t="shared" ca="1" si="9"/>
        <v>23618.416164215152</v>
      </c>
      <c r="AC43" s="235">
        <f t="shared" ca="1" si="9"/>
        <v>24409.830032977181</v>
      </c>
      <c r="AD43" s="235">
        <f t="shared" ca="1" si="9"/>
        <v>23950.014585655656</v>
      </c>
      <c r="AE43" s="235">
        <f t="shared" ca="1" si="9"/>
        <v>24397.979157246118</v>
      </c>
      <c r="AF43" s="235">
        <f t="shared" ca="1" si="9"/>
        <v>24222.324921198408</v>
      </c>
      <c r="AG43" s="235">
        <f t="shared" ca="1" si="9"/>
        <v>24602.36998344231</v>
      </c>
      <c r="AH43" s="235">
        <f t="shared" ca="1" si="9"/>
        <v>24392.513324347823</v>
      </c>
      <c r="AI43" s="235">
        <f t="shared" ca="1" si="9"/>
        <v>24805.269973895476</v>
      </c>
      <c r="AJ43" s="235">
        <f t="shared" ca="1" si="9"/>
        <v>23520.160123724789</v>
      </c>
      <c r="AK43" s="235">
        <f t="shared" ca="1" si="9"/>
        <v>19867.914243636889</v>
      </c>
      <c r="AL43" s="235">
        <f t="shared" ca="1" si="9"/>
        <v>19880.947275056737</v>
      </c>
      <c r="AM43" s="235">
        <f t="shared" ca="1" si="9"/>
        <v>18588.699783704295</v>
      </c>
      <c r="AN43" s="235">
        <f t="shared" ca="1" si="9"/>
        <v>19500.495066430525</v>
      </c>
      <c r="AO43" s="235">
        <f t="shared" si="9"/>
        <v>19961.572240241305</v>
      </c>
      <c r="AP43" s="235">
        <f t="shared" si="9"/>
        <v>22020.219181809924</v>
      </c>
      <c r="AQ43" s="235">
        <f t="shared" si="9"/>
        <v>22407.420755376708</v>
      </c>
      <c r="AR43" s="235">
        <f t="shared" si="9"/>
        <v>24424.678267018844</v>
      </c>
      <c r="AS43" s="253">
        <f t="shared" si="9"/>
        <v>24485.548429027869</v>
      </c>
      <c r="AT43" s="253">
        <f ca="1">AT25*$B$43</f>
        <v>34297.474860336573</v>
      </c>
      <c r="AU43" s="253">
        <f ca="1">AU25*$B$43</f>
        <v>63226.569170140006</v>
      </c>
      <c r="AV43" s="761">
        <f ca="1">SUM(D43:AU43)</f>
        <v>875776.55987703009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172.12350225058341</v>
      </c>
      <c r="F45" s="39">
        <f ca="1">F44+F43</f>
        <v>-133750</v>
      </c>
      <c r="G45" s="235">
        <f ca="1">G44+G43</f>
        <v>4963.6576354116633</v>
      </c>
      <c r="H45" s="235">
        <f t="shared" ref="H45:AS45" ca="1" si="10">H44+H43</f>
        <v>10631.612799678245</v>
      </c>
      <c r="I45" s="235">
        <f t="shared" si="10"/>
        <v>12243.70087765382</v>
      </c>
      <c r="J45" s="235">
        <f t="shared" si="10"/>
        <v>12405.183779470231</v>
      </c>
      <c r="K45" s="235">
        <f t="shared" si="10"/>
        <v>11588.466738879528</v>
      </c>
      <c r="L45" s="235">
        <f t="shared" si="10"/>
        <v>5996.746238482001</v>
      </c>
      <c r="M45" s="235">
        <f t="shared" si="10"/>
        <v>13580.348496140587</v>
      </c>
      <c r="N45" s="235">
        <f t="shared" ca="1" si="10"/>
        <v>20241.900890726778</v>
      </c>
      <c r="O45" s="235">
        <f t="shared" ca="1" si="10"/>
        <v>21922.038589587472</v>
      </c>
      <c r="P45" s="235">
        <f t="shared" ca="1" si="10"/>
        <v>22096.885376566166</v>
      </c>
      <c r="Q45" s="235">
        <f t="shared" ca="1" si="10"/>
        <v>22072.120819792915</v>
      </c>
      <c r="R45" s="235">
        <f t="shared" ca="1" si="10"/>
        <v>21528.315404652556</v>
      </c>
      <c r="S45" s="235">
        <f t="shared" ca="1" si="10"/>
        <v>21416.066578950715</v>
      </c>
      <c r="T45" s="235">
        <f t="shared" ca="1" si="10"/>
        <v>20539.185223243981</v>
      </c>
      <c r="U45" s="235">
        <f t="shared" ca="1" si="10"/>
        <v>20865.48756971032</v>
      </c>
      <c r="V45" s="235">
        <f t="shared" ca="1" si="10"/>
        <v>20188.750218669924</v>
      </c>
      <c r="W45" s="235">
        <f t="shared" ca="1" si="10"/>
        <v>20602.264463467956</v>
      </c>
      <c r="X45" s="235">
        <f t="shared" ca="1" si="10"/>
        <v>18721.400487963532</v>
      </c>
      <c r="Y45" s="235">
        <f t="shared" ca="1" si="10"/>
        <v>21401.234656653389</v>
      </c>
      <c r="Z45" s="235">
        <f t="shared" ca="1" si="10"/>
        <v>21982.366373722885</v>
      </c>
      <c r="AA45" s="235">
        <f t="shared" ca="1" si="10"/>
        <v>24036.285615872352</v>
      </c>
      <c r="AB45" s="235">
        <f t="shared" ca="1" si="10"/>
        <v>23618.416164215152</v>
      </c>
      <c r="AC45" s="235">
        <f t="shared" ca="1" si="10"/>
        <v>24409.830032977181</v>
      </c>
      <c r="AD45" s="235">
        <f t="shared" ca="1" si="10"/>
        <v>23950.014585655656</v>
      </c>
      <c r="AE45" s="235">
        <f t="shared" ca="1" si="10"/>
        <v>24397.979157246118</v>
      </c>
      <c r="AF45" s="235">
        <f t="shared" ca="1" si="10"/>
        <v>24222.324921198408</v>
      </c>
      <c r="AG45" s="235">
        <f t="shared" ca="1" si="10"/>
        <v>24602.36998344231</v>
      </c>
      <c r="AH45" s="235">
        <f t="shared" ca="1" si="10"/>
        <v>24392.513324347823</v>
      </c>
      <c r="AI45" s="235">
        <f t="shared" ca="1" si="10"/>
        <v>24805.269973895476</v>
      </c>
      <c r="AJ45" s="235">
        <f t="shared" ca="1" si="10"/>
        <v>23520.160123724789</v>
      </c>
      <c r="AK45" s="235">
        <f t="shared" ca="1" si="10"/>
        <v>19867.914243636889</v>
      </c>
      <c r="AL45" s="235">
        <f t="shared" ca="1" si="10"/>
        <v>19880.947275056737</v>
      </c>
      <c r="AM45" s="235">
        <f t="shared" ca="1" si="10"/>
        <v>18588.699783704295</v>
      </c>
      <c r="AN45" s="235">
        <f t="shared" ca="1" si="10"/>
        <v>19500.495066430525</v>
      </c>
      <c r="AO45" s="235">
        <f t="shared" si="10"/>
        <v>19961.572240241305</v>
      </c>
      <c r="AP45" s="235">
        <f t="shared" si="10"/>
        <v>22020.219181809924</v>
      </c>
      <c r="AQ45" s="235">
        <f t="shared" si="10"/>
        <v>22407.420755376708</v>
      </c>
      <c r="AR45" s="235">
        <f t="shared" si="10"/>
        <v>24424.678267018844</v>
      </c>
      <c r="AS45" s="253">
        <f t="shared" si="10"/>
        <v>24485.548429027869</v>
      </c>
      <c r="AT45" s="253">
        <f ca="1">AT44+AT43</f>
        <v>34297.474860336573</v>
      </c>
      <c r="AU45" s="253">
        <f ca="1">AU44+AU43</f>
        <v>63226.569170140006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0.12490847350272052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8.75">
      <c r="A54" s="292" t="s">
        <v>217</v>
      </c>
      <c r="D54"/>
      <c r="E54"/>
      <c r="F54"/>
      <c r="AB54" s="8"/>
      <c r="AC54" s="8"/>
      <c r="AD54" s="8"/>
    </row>
    <row r="55" spans="1:47" ht="18.75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5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0.12490847350272052</v>
      </c>
      <c r="D60" s="31">
        <f ca="1">D44+F44/((1+B60)^((F6-D6)/365))</f>
        <v>-263632.16086560773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-263632.16086560773</v>
      </c>
      <c r="E61" s="236"/>
      <c r="F61" s="236"/>
      <c r="G61" s="236"/>
      <c r="H61" s="236">
        <f ca="1">D61</f>
        <v>-263632.16086560773</v>
      </c>
      <c r="I61" s="236">
        <f ca="1">E79*((1+$B$60)^((I58-E77)/365))+G79*((1+$B$60)^((I58-G77)/365))</f>
        <v>5380.3672454914449</v>
      </c>
      <c r="J61" s="236">
        <f ca="1">H79*((1+$B$60)^($C$56/365))+I79*((1+$B$60)^($C$57/365))</f>
        <v>24588.15865388466</v>
      </c>
      <c r="K61" s="236">
        <f ca="1">J79*((1+$B$60)^($C$56/365))+K79*((1+$B$60)^($C$57/365))</f>
        <v>25869.470249808248</v>
      </c>
      <c r="L61" s="236">
        <f ca="1">L79*((1+$B$60)^($C$56/365))+M79*((1+$B$60)^($C$57/365))</f>
        <v>20846.943015646168</v>
      </c>
      <c r="M61" s="236">
        <f ca="1">N79*((1+$B$60)^($C$56/365))+O79*((1+$B$60)^($C$57/365))</f>
        <v>45361.869549155301</v>
      </c>
      <c r="N61" s="236">
        <f ca="1">P79*((1+$B$60)^($C$56/365))+Q79*((1+$B$60)^($C$57/365))</f>
        <v>47575.407547171053</v>
      </c>
      <c r="O61" s="236">
        <f ca="1">R79*((1+$B$60)^($C$56/365))+S79*((1+$B$60)^($C$57/365))</f>
        <v>46259.123940337129</v>
      </c>
      <c r="P61" s="236">
        <f ca="1">T79*((1+$B$60)^($C$56/365))+U79*((1+$B$60)^($C$57/365))</f>
        <v>44586.839112090864</v>
      </c>
      <c r="Q61" s="236">
        <f ca="1">V79*((1+$B$60)^($C$56/365))+W79*((1+$B$60)^($C$57/365))</f>
        <v>43923.109591337474</v>
      </c>
      <c r="R61" s="236">
        <f ca="1">X79*((1+$B$60)^($C$56/365))+Y79*((1+$B$60)^($C$57/365))</f>
        <v>43131.583189450248</v>
      </c>
      <c r="S61" s="236">
        <f ca="1">Z79*((1+$B$60)^($C$56/365))+AA79*((1+$B$60)^($C$57/365))</f>
        <v>49501.985962904197</v>
      </c>
      <c r="T61" s="236">
        <f ca="1">AB79*((1+$B$60)^($C$56/365))+AC79*((1+$B$60)^($C$57/365))</f>
        <v>51706.421533747111</v>
      </c>
      <c r="U61" s="236">
        <f ca="1">AD79*((1+$B$60)^($C$56/365))+AE79*((1+$B$60)^($C$57/365))</f>
        <v>52061.675407569695</v>
      </c>
      <c r="V61" s="236">
        <f ca="1">AF79*((1+$B$60)^($C$56/365))+AG79*((1+$B$60)^($C$57/365))</f>
        <v>52577.278406632773</v>
      </c>
      <c r="W61" s="236">
        <f ca="1">AH79*((1+$B$60)^($C$56/365))+AI79*((1+$B$60)^($C$57/365))</f>
        <v>52978.099875326094</v>
      </c>
      <c r="X61" s="236">
        <f ca="1">AJ79*((1+$B$60)^($C$56/365))+AK79*((1+$B$60)^($C$57/365))</f>
        <v>46848.884934819696</v>
      </c>
      <c r="Y61" s="236">
        <f ca="1">AL79*((1+$B$60)^($C$56/365))+AM79*((1+$B$60)^($C$57/365))</f>
        <v>41476.653861093917</v>
      </c>
      <c r="Z61" s="236">
        <f ca="1">AN79*((1+$B$60)^($C$56/365))+AO79*((1+$B$60)^($C$57/365))</f>
        <v>42490.191793395119</v>
      </c>
      <c r="AA61" s="236">
        <f ca="1">AP79*((1+$B$60)^($C$56/365))+AQ79*((1+$B$60)^($C$57/365))</f>
        <v>47840.965606560138</v>
      </c>
      <c r="AB61" s="236">
        <f ca="1">AR79*((1+$B$60)^($C$56/365))+AS79*((1+$B$60)^($C$57/365))</f>
        <v>52679.490461498615</v>
      </c>
      <c r="AC61" s="236">
        <f ca="1">AT79*((1+$B$60)^($C$56/365))+AU79*((1+$B$60)^($C$57/365))</f>
        <v>104129.45253395777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0.12490847350272061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0.14410205445738961</v>
      </c>
      <c r="D64" s="31">
        <f ca="1">D44+F44/((1+B64)^((F6-D6)/365))</f>
        <v>-263085.46942185774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-263085.46942185774</v>
      </c>
      <c r="E65" s="236"/>
      <c r="F65" s="236"/>
      <c r="G65" s="236"/>
      <c r="H65" s="236">
        <f ca="1">D65</f>
        <v>-263085.46942185774</v>
      </c>
      <c r="I65" s="236">
        <f ca="1">E79*((1+$B$64)^((I58-E77)/365))+G79*((1+$B$64)^((I58-G77)/365))</f>
        <v>5416.520426234687</v>
      </c>
      <c r="J65" s="236">
        <f ca="1">H79*((1+$B$64)^($C$56/365))+I79*((1+$B$64)^($C$57/365))</f>
        <v>24846.441698829509</v>
      </c>
      <c r="K65" s="236">
        <f ca="1">J79*((1+$B$64)^($C$56/365))+K79*((1+$B$64)^($C$57/365))</f>
        <v>26152.74091318106</v>
      </c>
      <c r="L65" s="236">
        <f ca="1">L79*((1+$B$64)^($C$56/365))+M79*((1+$B$64)^($C$57/365))</f>
        <v>21037.405589860249</v>
      </c>
      <c r="M65" s="236">
        <f ca="1">N79*((1+$B$64)^($C$56/365))+O79*((1+$B$64)^($C$57/365))</f>
        <v>45844.303645672866</v>
      </c>
      <c r="N65" s="236">
        <f ca="1">P79*((1+$B$64)^($C$56/365))+Q79*((1+$B$64)^($C$57/365))</f>
        <v>48089.581003741165</v>
      </c>
      <c r="O65" s="236">
        <f ca="1">R79*((1+$B$64)^($C$56/365))+S79*((1+$B$64)^($C$57/365))</f>
        <v>46759.47610255162</v>
      </c>
      <c r="P65" s="236">
        <f ca="1">T79*((1+$B$64)^($C$56/365))+U79*((1+$B$64)^($C$57/365))</f>
        <v>45067.109991081154</v>
      </c>
      <c r="Q65" s="236">
        <f ca="1">V79*((1+$B$64)^($C$56/365))+W79*((1+$B$64)^($C$57/365))</f>
        <v>44395.808657638001</v>
      </c>
      <c r="R65" s="236">
        <f ca="1">X79*((1+$B$64)^($C$56/365))+Y79*((1+$B$64)^($C$57/365))</f>
        <v>43585.332291833212</v>
      </c>
      <c r="S65" s="236">
        <f ca="1">Z79*((1+$B$64)^($C$56/365))+AA79*((1+$B$64)^($C$57/365))</f>
        <v>50027.439844991539</v>
      </c>
      <c r="T65" s="236">
        <f ca="1">AB79*((1+$B$64)^($C$56/365))+AC79*((1+$B$64)^($C$57/365))</f>
        <v>52261.486799614861</v>
      </c>
      <c r="U65" s="236">
        <f ca="1">AD79*((1+$B$64)^($C$56/365))+AE79*((1+$B$64)^($C$57/365))</f>
        <v>52622.154920579807</v>
      </c>
      <c r="V65" s="236">
        <f ca="1">AF79*((1+$B$64)^($C$56/365))+AG79*((1+$B$64)^($C$57/365))</f>
        <v>53143.640692326466</v>
      </c>
      <c r="W65" s="236">
        <f ca="1">AH79*((1+$B$64)^($C$56/365))+AI79*((1+$B$64)^($C$57/365))</f>
        <v>53548.643026884092</v>
      </c>
      <c r="X65" s="236">
        <f ca="1">AJ79*((1+$B$64)^($C$56/365))+AK79*((1+$B$64)^($C$57/365))</f>
        <v>47371.850314279945</v>
      </c>
      <c r="Y65" s="236">
        <f ca="1">AL79*((1+$B$64)^($C$56/365))+AM79*((1+$B$64)^($C$57/365))</f>
        <v>41930.74425748676</v>
      </c>
      <c r="Z65" s="236">
        <f ca="1">AN79*((1+$B$64)^($C$56/365))+AO79*((1+$B$64)^($C$57/365))</f>
        <v>42947.189746451062</v>
      </c>
      <c r="AA65" s="236">
        <f ca="1">AP79*((1+$B$64)^($C$56/365))+AQ79*((1+$B$64)^($C$57/365))</f>
        <v>48356.11844691851</v>
      </c>
      <c r="AB65" s="236">
        <f ca="1">AR79*((1+$B$64)^($C$56/365))+AS79*((1+$B$64)^($C$57/365))</f>
        <v>53248.421471466005</v>
      </c>
      <c r="AC65" s="236">
        <f ca="1">AT79*((1+$B$64)^($C$56/365))+AU79*((1+$B$64)^($C$57/365))+5*IS!Y38*$B$43</f>
        <v>670158.64627416153</v>
      </c>
      <c r="AD65" s="236"/>
    </row>
    <row r="66" spans="1:47">
      <c r="A66" s="22" t="s">
        <v>220</v>
      </c>
      <c r="D66" s="273">
        <f ca="1">IRR(H65:AC65)</f>
        <v>0.14410205445735458</v>
      </c>
    </row>
    <row r="68" spans="1:47">
      <c r="A68" s="22" t="s">
        <v>218</v>
      </c>
      <c r="B68" s="657">
        <f ca="1">D70</f>
        <v>0.13667418477318824</v>
      </c>
      <c r="D68" s="31">
        <f ca="1">D44+F44/((1+B68)^((F6-D6)/365))</f>
        <v>-263295.66906460753</v>
      </c>
    </row>
    <row r="69" spans="1:47">
      <c r="A69" s="22" t="s">
        <v>214</v>
      </c>
      <c r="D69" s="31">
        <f ca="1">D68+$D$43</f>
        <v>-263295.66906460753</v>
      </c>
      <c r="E69" s="236"/>
      <c r="F69" s="236"/>
      <c r="G69" s="236"/>
      <c r="H69" s="236">
        <f ca="1">D69</f>
        <v>-263295.66906460753</v>
      </c>
      <c r="I69" s="236">
        <f ca="1">E79*((1+$B$68)^((I58-E77)/365))+G79*((1+$B$68)^((I58-G77)/365))</f>
        <v>5402.571455979235</v>
      </c>
      <c r="J69" s="236">
        <f ca="1">H79*((1+$B$68)^($C$56/365))+I79*((1+$B$68)^($C$57/365))</f>
        <v>24746.632741640686</v>
      </c>
      <c r="K69" s="236">
        <f ca="1">J79*((1+$B$68)^($C$56/365))+K79*((1+$B$68)^($C$57/365))</f>
        <v>26043.263591566934</v>
      </c>
      <c r="L69" s="236">
        <f ca="1">L79*((1+$B$68)^($C$56/365))+M79*((1+$B$68)^($C$57/365))</f>
        <v>20963.835187773107</v>
      </c>
      <c r="M69" s="236">
        <f ca="1">N79*((1+$B$68)^($C$56/365))+O79*((1+$B$68)^($C$57/365))</f>
        <v>45657.869089208114</v>
      </c>
      <c r="N69" s="236">
        <f ca="1">P79*((1+$B$68)^($C$56/365))+Q79*((1+$B$68)^($C$57/365))</f>
        <v>47890.872244653103</v>
      </c>
      <c r="O69" s="236">
        <f ca="1">R79*((1+$B$68)^($C$56/365))+S79*((1+$B$68)^($C$57/365))</f>
        <v>46566.108334683231</v>
      </c>
      <c r="P69" s="236">
        <f ca="1">T79*((1+$B$68)^($C$56/365))+U79*((1+$B$68)^($C$57/365))</f>
        <v>44881.504974707168</v>
      </c>
      <c r="Q69" s="236">
        <f ca="1">V79*((1+$B$68)^($C$56/365))+W79*((1+$B$68)^($C$57/365))</f>
        <v>44213.130277442397</v>
      </c>
      <c r="R69" s="236">
        <f ca="1">X79*((1+$B$68)^($C$56/365))+Y79*((1+$B$68)^($C$57/365))</f>
        <v>43409.988174856247</v>
      </c>
      <c r="S69" s="236">
        <f ca="1">Z79*((1+$B$68)^($C$56/365))+AA79*((1+$B$68)^($C$57/365))</f>
        <v>49824.381548628262</v>
      </c>
      <c r="T69" s="236">
        <f ca="1">AB79*((1+$B$68)^($C$56/365))+AC79*((1+$B$68)^($C$57/365))</f>
        <v>52046.978794730509</v>
      </c>
      <c r="U69" s="236">
        <f ca="1">AD79*((1+$B$68)^($C$56/365))+AE79*((1+$B$68)^($C$57/365))</f>
        <v>52405.552874172281</v>
      </c>
      <c r="V69" s="236">
        <f ca="1">AF79*((1+$B$68)^($C$56/365))+AG79*((1+$B$68)^($C$57/365))</f>
        <v>52924.764852057124</v>
      </c>
      <c r="W69" s="236">
        <f ca="1">AH79*((1+$B$68)^($C$56/365))+AI79*((1+$B$68)^($C$57/365))</f>
        <v>53328.151595837408</v>
      </c>
      <c r="X69" s="236">
        <f ca="1">AJ79*((1+$B$68)^($C$56/365))+AK79*((1+$B$68)^($C$57/365))</f>
        <v>47169.726494730006</v>
      </c>
      <c r="Y69" s="236">
        <f ca="1">AL79*((1+$B$68)^($C$56/365))+AM79*((1+$B$68)^($C$57/365))</f>
        <v>41755.249284483347</v>
      </c>
      <c r="Z69" s="236">
        <f ca="1">AN79*((1+$B$68)^($C$56/365))+AO79*((1+$B$68)^($C$57/365))</f>
        <v>42770.579481130066</v>
      </c>
      <c r="AA69" s="236">
        <f ca="1">AP79*((1+$B$68)^($C$56/365))+AQ79*((1+$B$68)^($C$57/365))</f>
        <v>48157.033159265775</v>
      </c>
      <c r="AB69" s="236">
        <f ca="1">AR79*((1+$B$68)^($C$56/365))+AS79*((1+$B$68)^($C$57/365))</f>
        <v>53028.551392760754</v>
      </c>
      <c r="AC69" s="236">
        <f ca="1">AT79*((1+$B$68)^($C$56/365))+AU79*((1+$B$68)^($C$57/365))+0.5*Assumptions!$C$11*$B$43</f>
        <v>419238.47449876188</v>
      </c>
      <c r="AD69" s="236"/>
    </row>
    <row r="70" spans="1:47">
      <c r="A70" s="22" t="s">
        <v>220</v>
      </c>
      <c r="D70" s="273">
        <f ca="1">IRR(H69:AC69)</f>
        <v>0.13667418477319004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0.12465111613273619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172.12350225058341</v>
      </c>
      <c r="F79" s="31">
        <f>F44</f>
        <v>-133750</v>
      </c>
      <c r="G79" s="235">
        <f t="shared" ref="G79:AU79" ca="1" si="13">G45</f>
        <v>4963.6576354116633</v>
      </c>
      <c r="H79" s="235">
        <f t="shared" ca="1" si="13"/>
        <v>10631.612799678245</v>
      </c>
      <c r="I79" s="235">
        <f t="shared" si="13"/>
        <v>12243.70087765382</v>
      </c>
      <c r="J79" s="235">
        <f t="shared" si="13"/>
        <v>12405.183779470231</v>
      </c>
      <c r="K79" s="235">
        <f t="shared" si="13"/>
        <v>11588.466738879528</v>
      </c>
      <c r="L79" s="235">
        <f t="shared" si="13"/>
        <v>5996.746238482001</v>
      </c>
      <c r="M79" s="235">
        <f t="shared" si="13"/>
        <v>13580.348496140587</v>
      </c>
      <c r="N79" s="235">
        <f t="shared" ca="1" si="13"/>
        <v>20241.900890726778</v>
      </c>
      <c r="O79" s="235">
        <f t="shared" ca="1" si="13"/>
        <v>21922.038589587472</v>
      </c>
      <c r="P79" s="235">
        <f t="shared" ca="1" si="13"/>
        <v>22096.885376566166</v>
      </c>
      <c r="Q79" s="235">
        <f t="shared" ca="1" si="13"/>
        <v>22072.120819792915</v>
      </c>
      <c r="R79" s="235">
        <f t="shared" ca="1" si="13"/>
        <v>21528.315404652556</v>
      </c>
      <c r="S79" s="235">
        <f t="shared" ca="1" si="13"/>
        <v>21416.066578950715</v>
      </c>
      <c r="T79" s="235">
        <f t="shared" ca="1" si="13"/>
        <v>20539.185223243981</v>
      </c>
      <c r="U79" s="235">
        <f t="shared" ca="1" si="13"/>
        <v>20865.48756971032</v>
      </c>
      <c r="V79" s="235">
        <f t="shared" ca="1" si="13"/>
        <v>20188.750218669924</v>
      </c>
      <c r="W79" s="235">
        <f t="shared" ca="1" si="13"/>
        <v>20602.264463467956</v>
      </c>
      <c r="X79" s="235">
        <f t="shared" ca="1" si="13"/>
        <v>18721.400487963532</v>
      </c>
      <c r="Y79" s="235">
        <f t="shared" ca="1" si="13"/>
        <v>21401.234656653389</v>
      </c>
      <c r="Z79" s="235">
        <f t="shared" ca="1" si="13"/>
        <v>21982.366373722885</v>
      </c>
      <c r="AA79" s="235">
        <f t="shared" ca="1" si="13"/>
        <v>24036.285615872352</v>
      </c>
      <c r="AB79" s="235">
        <f t="shared" ca="1" si="13"/>
        <v>23618.416164215152</v>
      </c>
      <c r="AC79" s="235">
        <f t="shared" ca="1" si="13"/>
        <v>24409.830032977181</v>
      </c>
      <c r="AD79" s="235">
        <f t="shared" ca="1" si="13"/>
        <v>23950.014585655656</v>
      </c>
      <c r="AE79" s="235">
        <f t="shared" ca="1" si="13"/>
        <v>24397.979157246118</v>
      </c>
      <c r="AF79" s="235">
        <f t="shared" ca="1" si="13"/>
        <v>24222.324921198408</v>
      </c>
      <c r="AG79" s="235">
        <f t="shared" ca="1" si="13"/>
        <v>24602.36998344231</v>
      </c>
      <c r="AH79" s="235">
        <f t="shared" ca="1" si="13"/>
        <v>24392.513324347823</v>
      </c>
      <c r="AI79" s="235">
        <f t="shared" ca="1" si="13"/>
        <v>24805.269973895476</v>
      </c>
      <c r="AJ79" s="235">
        <f t="shared" ca="1" si="13"/>
        <v>23520.160123724789</v>
      </c>
      <c r="AK79" s="235">
        <f t="shared" ca="1" si="13"/>
        <v>19867.914243636889</v>
      </c>
      <c r="AL79" s="235">
        <f t="shared" ca="1" si="13"/>
        <v>19880.947275056737</v>
      </c>
      <c r="AM79" s="235">
        <f t="shared" ca="1" si="13"/>
        <v>18588.699783704295</v>
      </c>
      <c r="AN79" s="235">
        <f t="shared" ca="1" si="13"/>
        <v>19500.495066430525</v>
      </c>
      <c r="AO79" s="235">
        <f t="shared" si="13"/>
        <v>19961.572240241305</v>
      </c>
      <c r="AP79" s="235">
        <f t="shared" si="13"/>
        <v>22020.219181809924</v>
      </c>
      <c r="AQ79" s="235">
        <f t="shared" si="13"/>
        <v>22407.420755376708</v>
      </c>
      <c r="AR79" s="235">
        <f t="shared" si="13"/>
        <v>24424.678267018844</v>
      </c>
      <c r="AS79" s="253">
        <f t="shared" si="13"/>
        <v>24485.548429027869</v>
      </c>
      <c r="AT79" s="253">
        <f t="shared" ca="1" si="13"/>
        <v>34297.474860336573</v>
      </c>
      <c r="AU79" s="253">
        <f t="shared" ca="1" si="13"/>
        <v>63226.569170140006</v>
      </c>
    </row>
    <row r="80" spans="1:47">
      <c r="A80" s="22" t="s">
        <v>220</v>
      </c>
      <c r="D80" s="273">
        <f ca="1">XIRR(D79:AU79,D77:AU77)</f>
        <v>0.12465111613273619</v>
      </c>
      <c r="AS80" s="7"/>
      <c r="AT80" s="7"/>
      <c r="AU80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H1" zoomScale="75" zoomScaleNormal="75" workbookViewId="0">
      <pane ySplit="5835" topLeftCell="A112"/>
      <selection activeCell="I6" sqref="I6"/>
      <selection pane="bottomLeft" activeCell="I6" sqref="I6"/>
    </sheetView>
  </sheetViews>
  <sheetFormatPr defaultRowHeight="12.75"/>
  <cols>
    <col min="1" max="1" width="36" style="22" customWidth="1"/>
    <col min="2" max="2" width="18.42578125" style="22" customWidth="1"/>
    <col min="3" max="6" width="14.5703125" style="22" customWidth="1"/>
    <col min="7" max="7" width="17.5703125" style="22" customWidth="1"/>
    <col min="8" max="8" width="16.140625" style="22" customWidth="1"/>
    <col min="9" max="9" width="16.28515625" style="22" customWidth="1"/>
    <col min="10" max="22" width="14.5703125" style="22" customWidth="1"/>
    <col min="23" max="26" width="14.42578125" style="22" customWidth="1"/>
    <col min="27" max="28" width="14.42578125" style="8" customWidth="1"/>
    <col min="29" max="42" width="14.42578125" style="22" customWidth="1"/>
    <col min="43" max="16384" width="9.140625" style="22"/>
  </cols>
  <sheetData>
    <row r="1" spans="1:28" ht="18.75">
      <c r="A1" s="132"/>
    </row>
    <row r="2" spans="1:28" ht="18.75">
      <c r="A2" s="132"/>
    </row>
    <row r="4" spans="1:28" ht="15.75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75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75">
      <c r="A9" s="76"/>
      <c r="C9" s="100" t="s">
        <v>226</v>
      </c>
      <c r="D9" s="120"/>
      <c r="E9" s="120"/>
      <c r="F9" s="101">
        <f>B131</f>
        <v>2.1137701854974145</v>
      </c>
      <c r="I9" s="100" t="s">
        <v>227</v>
      </c>
      <c r="J9" s="102"/>
      <c r="K9" s="102"/>
      <c r="L9" s="101">
        <f>B132</f>
        <v>7.2762776178110595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83000</v>
      </c>
      <c r="I10" s="128" t="s">
        <v>228</v>
      </c>
      <c r="J10" s="133"/>
      <c r="K10" s="133"/>
      <c r="L10" s="130">
        <v>215000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8.75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5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5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9.7324108212379384E-2</v>
      </c>
      <c r="D21" s="578">
        <v>0.28573678757842341</v>
      </c>
      <c r="E21" s="578">
        <v>0.30407949373173093</v>
      </c>
      <c r="F21" s="578">
        <f>1-SUM(B21:E21)</f>
        <v>0.31285961047746624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9.3501130083942521E-2</v>
      </c>
      <c r="G23" s="581">
        <v>0.1012</v>
      </c>
      <c r="H23" s="581">
        <v>0.1193</v>
      </c>
      <c r="I23" s="581">
        <v>0.13350000000000001</v>
      </c>
      <c r="J23" s="581">
        <v>0.156</v>
      </c>
      <c r="K23" s="581">
        <v>0.17599999999999999</v>
      </c>
      <c r="L23" s="581">
        <f>1-SUM(F23:K23)</f>
        <v>0.22049886991605749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83000</v>
      </c>
      <c r="C30" s="85">
        <f>B43</f>
        <v>83000</v>
      </c>
      <c r="D30" s="85">
        <f t="shared" ref="D30:V30" si="1">C43</f>
        <v>74922.099018372508</v>
      </c>
      <c r="E30" s="85">
        <f t="shared" si="1"/>
        <v>51205.945649363362</v>
      </c>
      <c r="F30" s="85">
        <f t="shared" si="1"/>
        <v>25967.3476696297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673.15841513562407</v>
      </c>
      <c r="D31" s="85">
        <f>$B$30*D21*5.5/12</f>
        <v>10869.903627462523</v>
      </c>
      <c r="E31" s="85">
        <f>$B$30*E21*6/12</f>
        <v>12619.298989866833</v>
      </c>
      <c r="F31" s="85">
        <f>$B$30*F21*12/12</f>
        <v>25967.347669629697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566.47500000000002</v>
      </c>
      <c r="D32" s="85">
        <f t="shared" ref="D32:V32" si="3">D30*$F$7*1/12</f>
        <v>511.34332580039239</v>
      </c>
      <c r="E32" s="85">
        <f t="shared" si="3"/>
        <v>349.4805790569049</v>
      </c>
      <c r="F32" s="85">
        <f t="shared" si="3"/>
        <v>177.2271478452227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83000</v>
      </c>
      <c r="C33" s="85">
        <f>C30-C31-B41</f>
        <v>82326.841584864378</v>
      </c>
      <c r="D33" s="85">
        <f t="shared" ref="D33:R33" si="4">D30-D31</f>
        <v>64052.195390909983</v>
      </c>
      <c r="E33" s="85">
        <f t="shared" si="4"/>
        <v>38586.646659496531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83000</v>
      </c>
      <c r="C35" s="85">
        <f t="shared" ref="C35:V35" si="5">C33</f>
        <v>82326.841584864378</v>
      </c>
      <c r="D35" s="85">
        <f t="shared" si="5"/>
        <v>64052.195390909983</v>
      </c>
      <c r="E35" s="85">
        <f t="shared" si="5"/>
        <v>38586.646659496531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7404.7425664918655</v>
      </c>
      <c r="D36" s="85">
        <f>$B$30*D21*6.5/12</f>
        <v>12846.249741546619</v>
      </c>
      <c r="E36" s="85">
        <f>$B$30*E21*6/12</f>
        <v>12619.298989866833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3371.2841629001964</v>
      </c>
      <c r="D37" s="85">
        <f t="shared" si="7"/>
        <v>2622.9374012577637</v>
      </c>
      <c r="E37" s="85">
        <f t="shared" si="7"/>
        <v>1580.123180706383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83000</v>
      </c>
      <c r="C38" s="85">
        <f t="shared" ref="C38:R38" si="8">C35-C36</f>
        <v>74922.099018372508</v>
      </c>
      <c r="D38" s="85">
        <f t="shared" si="8"/>
        <v>51205.945649363362</v>
      </c>
      <c r="E38" s="85">
        <f t="shared" si="8"/>
        <v>25967.3476696297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83000</v>
      </c>
      <c r="C40" s="85">
        <f t="shared" ref="C40:V40" si="9">C38</f>
        <v>74922.099018372508</v>
      </c>
      <c r="D40" s="85">
        <f t="shared" si="9"/>
        <v>51205.945649363362</v>
      </c>
      <c r="E40" s="85">
        <f t="shared" si="9"/>
        <v>25967.3476696297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2556.7166290019618</v>
      </c>
      <c r="D42" s="85">
        <f t="shared" ref="D42:V42" si="10">D40*$F$7*5/12</f>
        <v>1747.4028952845247</v>
      </c>
      <c r="E42" s="85">
        <f t="shared" si="10"/>
        <v>886.13573922611351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83000</v>
      </c>
      <c r="C43" s="85">
        <f t="shared" ref="C43:R43" si="11">C40-C41</f>
        <v>74922.099018372508</v>
      </c>
      <c r="D43" s="85">
        <f t="shared" si="11"/>
        <v>51205.945649363362</v>
      </c>
      <c r="E43" s="85">
        <f t="shared" si="11"/>
        <v>25967.3476696297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3937.7591629001963</v>
      </c>
      <c r="D45" s="85">
        <f>D32+D37+C42</f>
        <v>5690.9973560601175</v>
      </c>
      <c r="E45" s="85">
        <f t="shared" ref="E45:V45" si="12">E32+E37+D42</f>
        <v>3677.0066550478123</v>
      </c>
      <c r="F45" s="85">
        <f t="shared" si="12"/>
        <v>1063.3628870713362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6494.4757919021577</v>
      </c>
      <c r="D46" s="85">
        <f t="shared" ref="D46:V46" si="13">D32+D37+D42</f>
        <v>4881.6836223426808</v>
      </c>
      <c r="E46" s="85">
        <f t="shared" si="13"/>
        <v>2815.7394989894015</v>
      </c>
      <c r="F46" s="85">
        <f t="shared" si="13"/>
        <v>177.2271478452227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8077.9009816274893</v>
      </c>
      <c r="D47" s="727">
        <f t="shared" ref="D47:V47" si="14">D31+D36+C41</f>
        <v>23716.153369009142</v>
      </c>
      <c r="E47" s="727">
        <f t="shared" si="14"/>
        <v>25238.597979733666</v>
      </c>
      <c r="F47" s="727">
        <f t="shared" si="14"/>
        <v>25967.347669629697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215000</v>
      </c>
      <c r="C53" s="85">
        <f>B66</f>
        <v>215000</v>
      </c>
      <c r="D53" s="85">
        <f t="shared" ref="D53:V53" si="16">C66</f>
        <v>215000</v>
      </c>
      <c r="E53" s="85">
        <f t="shared" si="16"/>
        <v>215000</v>
      </c>
      <c r="F53" s="85">
        <f t="shared" si="16"/>
        <v>215000</v>
      </c>
      <c r="G53" s="85">
        <f t="shared" si="16"/>
        <v>194897.25703195235</v>
      </c>
      <c r="H53" s="85">
        <f t="shared" si="16"/>
        <v>173139.25703195235</v>
      </c>
      <c r="I53" s="85">
        <f t="shared" si="16"/>
        <v>147489.75703195235</v>
      </c>
      <c r="J53" s="85">
        <f t="shared" si="16"/>
        <v>118787.25703195235</v>
      </c>
      <c r="K53" s="85">
        <f t="shared" si="16"/>
        <v>85247.257031952351</v>
      </c>
      <c r="L53" s="85">
        <f t="shared" si="16"/>
        <v>47407.257031952351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9065.8333333333339</v>
      </c>
      <c r="H54" s="85">
        <f t="shared" si="17"/>
        <v>12824.75</v>
      </c>
      <c r="I54" s="85">
        <f t="shared" si="17"/>
        <v>14351.25</v>
      </c>
      <c r="J54" s="85">
        <f t="shared" si="17"/>
        <v>16770</v>
      </c>
      <c r="K54" s="85">
        <f t="shared" si="17"/>
        <v>18920</v>
      </c>
      <c r="L54" s="85">
        <f t="shared" si="17"/>
        <v>23703.628515976179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1741.5000000000002</v>
      </c>
      <c r="D55" s="85">
        <f t="shared" ref="D55:V55" si="18">D53*$L$7*1/12</f>
        <v>1741.5000000000002</v>
      </c>
      <c r="E55" s="85">
        <f t="shared" si="18"/>
        <v>1741.5000000000002</v>
      </c>
      <c r="F55" s="85">
        <f t="shared" si="18"/>
        <v>1741.5000000000002</v>
      </c>
      <c r="G55" s="85">
        <f t="shared" si="18"/>
        <v>1578.6677819588142</v>
      </c>
      <c r="H55" s="85">
        <f t="shared" si="18"/>
        <v>1402.4279819588144</v>
      </c>
      <c r="I55" s="85">
        <f t="shared" si="18"/>
        <v>1194.6670319588141</v>
      </c>
      <c r="J55" s="85">
        <f t="shared" si="18"/>
        <v>962.1767819588141</v>
      </c>
      <c r="K55" s="85">
        <f t="shared" si="18"/>
        <v>690.50278195881413</v>
      </c>
      <c r="L55" s="85">
        <f t="shared" si="18"/>
        <v>383.99878195881411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215000</v>
      </c>
      <c r="C56" s="85">
        <f t="shared" ref="C56:R56" si="19">C53-C54</f>
        <v>215000</v>
      </c>
      <c r="D56" s="85">
        <f t="shared" si="19"/>
        <v>215000</v>
      </c>
      <c r="E56" s="85">
        <f t="shared" si="19"/>
        <v>215000</v>
      </c>
      <c r="F56" s="85">
        <f t="shared" si="19"/>
        <v>215000</v>
      </c>
      <c r="G56" s="85">
        <f t="shared" si="19"/>
        <v>185831.42369861901</v>
      </c>
      <c r="H56" s="85">
        <f t="shared" si="19"/>
        <v>160314.50703195235</v>
      </c>
      <c r="I56" s="85">
        <f t="shared" si="19"/>
        <v>133138.50703195235</v>
      </c>
      <c r="J56" s="85">
        <f t="shared" si="19"/>
        <v>102017.25703195235</v>
      </c>
      <c r="K56" s="85">
        <f t="shared" si="19"/>
        <v>66327.257031952351</v>
      </c>
      <c r="L56" s="85">
        <f t="shared" si="19"/>
        <v>23703.628515976172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215000</v>
      </c>
      <c r="C58" s="85">
        <f t="shared" ref="C58:V58" si="20">C56</f>
        <v>215000</v>
      </c>
      <c r="D58" s="85">
        <f t="shared" si="20"/>
        <v>215000</v>
      </c>
      <c r="E58" s="85">
        <f t="shared" si="20"/>
        <v>215000</v>
      </c>
      <c r="F58" s="85">
        <f t="shared" si="20"/>
        <v>215000</v>
      </c>
      <c r="G58" s="85">
        <f t="shared" si="20"/>
        <v>185831.42369861901</v>
      </c>
      <c r="H58" s="85">
        <f t="shared" si="20"/>
        <v>160314.50703195235</v>
      </c>
      <c r="I58" s="85">
        <f t="shared" si="20"/>
        <v>133138.50703195235</v>
      </c>
      <c r="J58" s="85">
        <f t="shared" si="20"/>
        <v>102017.25703195235</v>
      </c>
      <c r="K58" s="85">
        <f t="shared" si="20"/>
        <v>66327.257031952351</v>
      </c>
      <c r="L58" s="85">
        <f t="shared" si="20"/>
        <v>23703.628515976172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20102.742968047642</v>
      </c>
      <c r="G59" s="796">
        <f>$B$53*7/12*G23</f>
        <v>12692.166666666666</v>
      </c>
      <c r="H59" s="85">
        <f t="shared" si="21"/>
        <v>12824.75</v>
      </c>
      <c r="I59" s="85">
        <f t="shared" si="21"/>
        <v>14351.25</v>
      </c>
      <c r="J59" s="85">
        <f t="shared" si="21"/>
        <v>16770</v>
      </c>
      <c r="K59" s="85">
        <f t="shared" si="21"/>
        <v>18920</v>
      </c>
      <c r="L59" s="85">
        <f t="shared" si="21"/>
        <v>23703.628515976179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10449.000000000002</v>
      </c>
      <c r="D60" s="85">
        <f t="shared" si="22"/>
        <v>10449.000000000002</v>
      </c>
      <c r="E60" s="85">
        <f t="shared" si="22"/>
        <v>10449.000000000002</v>
      </c>
      <c r="F60" s="85">
        <f t="shared" si="22"/>
        <v>10449.000000000002</v>
      </c>
      <c r="G60" s="85">
        <f t="shared" si="22"/>
        <v>9031.4071917528854</v>
      </c>
      <c r="H60" s="85">
        <f t="shared" si="22"/>
        <v>7791.2850417528853</v>
      </c>
      <c r="I60" s="85">
        <f t="shared" si="22"/>
        <v>6470.5314417528853</v>
      </c>
      <c r="J60" s="85">
        <f t="shared" si="22"/>
        <v>4958.0386917528849</v>
      </c>
      <c r="K60" s="85">
        <f t="shared" si="22"/>
        <v>3223.5046917528844</v>
      </c>
      <c r="L60" s="85">
        <f t="shared" si="22"/>
        <v>1151.9963458764421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215000</v>
      </c>
      <c r="C61" s="85">
        <f t="shared" ref="C61:R61" si="23">C58-C59</f>
        <v>215000</v>
      </c>
      <c r="D61" s="85">
        <f t="shared" si="23"/>
        <v>215000</v>
      </c>
      <c r="E61" s="85">
        <f t="shared" si="23"/>
        <v>215000</v>
      </c>
      <c r="F61" s="85">
        <f t="shared" si="23"/>
        <v>194897.25703195235</v>
      </c>
      <c r="G61" s="85">
        <f t="shared" si="23"/>
        <v>173139.25703195235</v>
      </c>
      <c r="H61" s="85">
        <f t="shared" si="23"/>
        <v>147489.75703195235</v>
      </c>
      <c r="I61" s="85">
        <f t="shared" si="23"/>
        <v>118787.25703195235</v>
      </c>
      <c r="J61" s="85">
        <f t="shared" si="23"/>
        <v>85247.257031952351</v>
      </c>
      <c r="K61" s="85">
        <f t="shared" si="23"/>
        <v>47407.257031952351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215000</v>
      </c>
      <c r="C63" s="85">
        <f t="shared" ref="C63:V63" si="24">C61</f>
        <v>215000</v>
      </c>
      <c r="D63" s="85">
        <f t="shared" si="24"/>
        <v>215000</v>
      </c>
      <c r="E63" s="85">
        <f t="shared" si="24"/>
        <v>215000</v>
      </c>
      <c r="F63" s="85">
        <f t="shared" si="24"/>
        <v>194897.25703195235</v>
      </c>
      <c r="G63" s="85">
        <f t="shared" si="24"/>
        <v>173139.25703195235</v>
      </c>
      <c r="H63" s="85">
        <f t="shared" si="24"/>
        <v>147489.75703195235</v>
      </c>
      <c r="I63" s="85">
        <f t="shared" si="24"/>
        <v>118787.25703195235</v>
      </c>
      <c r="J63" s="85">
        <f t="shared" si="24"/>
        <v>85247.257031952351</v>
      </c>
      <c r="K63" s="85">
        <f t="shared" si="24"/>
        <v>47407.257031952351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8707.5000000000018</v>
      </c>
      <c r="D65" s="85">
        <f t="shared" si="25"/>
        <v>8707.5000000000018</v>
      </c>
      <c r="E65" s="85">
        <f t="shared" si="25"/>
        <v>8707.5000000000018</v>
      </c>
      <c r="F65" s="85">
        <f t="shared" si="25"/>
        <v>7893.3389097940717</v>
      </c>
      <c r="G65" s="85">
        <f t="shared" si="25"/>
        <v>7012.1399097940712</v>
      </c>
      <c r="H65" s="85">
        <f t="shared" si="25"/>
        <v>5973.3351597940709</v>
      </c>
      <c r="I65" s="85">
        <f t="shared" si="25"/>
        <v>4810.8839097940709</v>
      </c>
      <c r="J65" s="85">
        <f t="shared" si="25"/>
        <v>3452.5139097940705</v>
      </c>
      <c r="K65" s="85">
        <f t="shared" si="25"/>
        <v>1919.9939097940705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215000</v>
      </c>
      <c r="C66" s="85">
        <f t="shared" ref="C66:R66" si="26">C63-C64</f>
        <v>215000</v>
      </c>
      <c r="D66" s="85">
        <f t="shared" si="26"/>
        <v>215000</v>
      </c>
      <c r="E66" s="85">
        <f t="shared" si="26"/>
        <v>215000</v>
      </c>
      <c r="F66" s="85">
        <f t="shared" si="26"/>
        <v>194897.25703195235</v>
      </c>
      <c r="G66" s="85">
        <f t="shared" si="26"/>
        <v>173139.25703195235</v>
      </c>
      <c r="H66" s="85">
        <f t="shared" si="26"/>
        <v>147489.75703195235</v>
      </c>
      <c r="I66" s="85">
        <f t="shared" si="26"/>
        <v>118787.25703195235</v>
      </c>
      <c r="J66" s="85">
        <f t="shared" si="26"/>
        <v>85247.257031952351</v>
      </c>
      <c r="K66" s="85">
        <f t="shared" si="26"/>
        <v>47407.257031952351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12190.500000000002</v>
      </c>
      <c r="D68" s="85">
        <f>D55+D60+C65</f>
        <v>20898.000000000004</v>
      </c>
      <c r="E68" s="85">
        <f t="shared" ref="E68:V68" si="27">E55+E60+D65</f>
        <v>20898.000000000004</v>
      </c>
      <c r="F68" s="85">
        <f t="shared" si="27"/>
        <v>20898.000000000004</v>
      </c>
      <c r="G68" s="85">
        <f t="shared" si="27"/>
        <v>18503.413883505771</v>
      </c>
      <c r="H68" s="85">
        <f t="shared" si="27"/>
        <v>16205.852933505772</v>
      </c>
      <c r="I68" s="85">
        <f t="shared" si="27"/>
        <v>13638.533633505769</v>
      </c>
      <c r="J68" s="85">
        <f t="shared" si="27"/>
        <v>10731.099383505771</v>
      </c>
      <c r="K68" s="85">
        <f t="shared" si="27"/>
        <v>7366.5213835057693</v>
      </c>
      <c r="L68" s="85">
        <f t="shared" si="27"/>
        <v>3455.989037629327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20898.000000000004</v>
      </c>
      <c r="D69" s="85">
        <f t="shared" ref="D69:V69" si="28">D55+D60+D65</f>
        <v>20898.000000000004</v>
      </c>
      <c r="E69" s="85">
        <f t="shared" si="28"/>
        <v>20898.000000000004</v>
      </c>
      <c r="F69" s="85">
        <f t="shared" si="28"/>
        <v>20083.838909794074</v>
      </c>
      <c r="G69" s="85">
        <f t="shared" si="28"/>
        <v>17622.214883505771</v>
      </c>
      <c r="H69" s="85">
        <f t="shared" si="28"/>
        <v>15167.048183505771</v>
      </c>
      <c r="I69" s="85">
        <f t="shared" si="28"/>
        <v>12476.082383505771</v>
      </c>
      <c r="J69" s="85">
        <f t="shared" si="28"/>
        <v>9372.7293835057699</v>
      </c>
      <c r="K69" s="85">
        <f t="shared" si="28"/>
        <v>5834.0013835057689</v>
      </c>
      <c r="L69" s="85">
        <f t="shared" si="28"/>
        <v>1535.9951278352562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20102.742968047642</v>
      </c>
      <c r="G70" s="727">
        <f t="shared" si="29"/>
        <v>21758</v>
      </c>
      <c r="H70" s="727">
        <f t="shared" si="29"/>
        <v>25649.5</v>
      </c>
      <c r="I70" s="727">
        <f t="shared" si="29"/>
        <v>28702.5</v>
      </c>
      <c r="J70" s="727">
        <f t="shared" si="29"/>
        <v>33540</v>
      </c>
      <c r="K70" s="727">
        <f t="shared" si="29"/>
        <v>37840</v>
      </c>
      <c r="L70" s="727">
        <f t="shared" si="29"/>
        <v>47407.257031952358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89343.013167245706</v>
      </c>
      <c r="D97" s="104">
        <f>IS!F38</f>
        <v>121999.06951687927</v>
      </c>
      <c r="E97" s="104">
        <f>IS!G38</f>
        <v>121476.06494435224</v>
      </c>
      <c r="F97" s="104">
        <f>IS!H38</f>
        <v>159397.18597050462</v>
      </c>
      <c r="G97" s="104">
        <f>IS!I38</f>
        <v>190097.33582811028</v>
      </c>
      <c r="H97" s="104">
        <f>IS!J38</f>
        <v>193579.98329342896</v>
      </c>
      <c r="I97" s="104">
        <f>IS!K38</f>
        <v>194775.80250539724</v>
      </c>
      <c r="J97" s="104">
        <f>IS!L38</f>
        <v>199190.63178751644</v>
      </c>
      <c r="K97" s="104">
        <f>IS!M38</f>
        <v>201164.74828323902</v>
      </c>
      <c r="L97" s="104">
        <f>IS!N38</f>
        <v>205842.93724912504</v>
      </c>
      <c r="M97" s="104">
        <f>IS!O38</f>
        <v>206636.22157055381</v>
      </c>
      <c r="N97" s="104">
        <f>IS!P38</f>
        <v>211404.56282333276</v>
      </c>
      <c r="O97" s="104">
        <f>IS!Q38</f>
        <v>213496.51218873204</v>
      </c>
      <c r="P97" s="104">
        <f>IS!R38</f>
        <v>214824.9649175138</v>
      </c>
      <c r="Q97" s="104">
        <f>IS!S38</f>
        <v>216457.46328716745</v>
      </c>
      <c r="R97" s="104">
        <f>IS!T38</f>
        <v>218375.97777791723</v>
      </c>
      <c r="S97" s="104">
        <f>IS!U38</f>
        <v>220293.84628468403</v>
      </c>
      <c r="T97" s="104">
        <f>IS!V38</f>
        <v>222179.29806472198</v>
      </c>
      <c r="U97" s="104">
        <f>IS!W38</f>
        <v>223796.04112327134</v>
      </c>
      <c r="V97" s="104">
        <f>IS!X38</f>
        <v>223074.97390162485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12015.660144527686</v>
      </c>
      <c r="D99" s="88">
        <f t="shared" ref="D99:V99" si="46">D45+D47</f>
        <v>29407.150725069259</v>
      </c>
      <c r="E99" s="88">
        <f t="shared" si="46"/>
        <v>28915.604634781477</v>
      </c>
      <c r="F99" s="88">
        <f t="shared" si="46"/>
        <v>27030.710556701033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12190.500000000002</v>
      </c>
      <c r="D100" s="88">
        <f t="shared" ref="D100:V100" si="47">D68+D70</f>
        <v>20898.000000000004</v>
      </c>
      <c r="E100" s="88">
        <f t="shared" si="47"/>
        <v>20898.000000000004</v>
      </c>
      <c r="F100" s="88">
        <f t="shared" si="47"/>
        <v>41000.742968047649</v>
      </c>
      <c r="G100" s="88">
        <f t="shared" si="47"/>
        <v>40261.413883505767</v>
      </c>
      <c r="H100" s="88">
        <f t="shared" si="47"/>
        <v>41855.352933505768</v>
      </c>
      <c r="I100" s="88">
        <f t="shared" si="47"/>
        <v>42341.033633505765</v>
      </c>
      <c r="J100" s="88">
        <f t="shared" si="47"/>
        <v>44271.099383505774</v>
      </c>
      <c r="K100" s="88">
        <f t="shared" si="47"/>
        <v>45206.521383505766</v>
      </c>
      <c r="L100" s="88">
        <f t="shared" si="47"/>
        <v>50863.246069581684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1093.3396039210511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-18584.607463091783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32584.996452023628</v>
      </c>
      <c r="D106" s="89">
        <f t="shared" ref="D106:V106" si="49">SUM(D99:D103)</f>
        <v>94653.900725069267</v>
      </c>
      <c r="E106" s="89">
        <f t="shared" si="49"/>
        <v>94162.354634781484</v>
      </c>
      <c r="F106" s="89">
        <f t="shared" si="49"/>
        <v>112380.20352474868</v>
      </c>
      <c r="G106" s="89">
        <f t="shared" si="49"/>
        <v>84610.163883505767</v>
      </c>
      <c r="H106" s="89">
        <f t="shared" si="49"/>
        <v>86204.102933505768</v>
      </c>
      <c r="I106" s="89">
        <f t="shared" si="49"/>
        <v>86689.783633505765</v>
      </c>
      <c r="J106" s="89">
        <f t="shared" si="49"/>
        <v>88619.849383505774</v>
      </c>
      <c r="K106" s="89">
        <f t="shared" si="49"/>
        <v>89555.271383505766</v>
      </c>
      <c r="L106" s="89">
        <f t="shared" si="49"/>
        <v>91516.266902915013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41998.36332956687</v>
      </c>
      <c r="D108" s="89">
        <f t="shared" si="50"/>
        <v>70937.747356060121</v>
      </c>
      <c r="E108" s="89">
        <f t="shared" si="50"/>
        <v>68923.756655047822</v>
      </c>
      <c r="F108" s="89">
        <f t="shared" si="50"/>
        <v>66310.112887071344</v>
      </c>
      <c r="G108" s="89">
        <f t="shared" si="50"/>
        <v>62852.163883505767</v>
      </c>
      <c r="H108" s="89">
        <f t="shared" si="50"/>
        <v>60554.602933505768</v>
      </c>
      <c r="I108" s="89">
        <f t="shared" si="50"/>
        <v>57987.283633505765</v>
      </c>
      <c r="J108" s="89">
        <f t="shared" si="50"/>
        <v>55079.849383505774</v>
      </c>
      <c r="K108" s="89">
        <f t="shared" si="50"/>
        <v>51715.271383505766</v>
      </c>
      <c r="L108" s="89">
        <f t="shared" si="50"/>
        <v>44109.009870962655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71741.225791902165</v>
      </c>
      <c r="D109" s="89">
        <f t="shared" si="51"/>
        <v>70128.43362234268</v>
      </c>
      <c r="E109" s="89">
        <f t="shared" si="51"/>
        <v>68062.489498989409</v>
      </c>
      <c r="F109" s="89">
        <f t="shared" si="51"/>
        <v>64609.816057639298</v>
      </c>
      <c r="G109" s="89">
        <f t="shared" si="51"/>
        <v>61970.964883505774</v>
      </c>
      <c r="H109" s="89">
        <f t="shared" si="51"/>
        <v>59515.798183505773</v>
      </c>
      <c r="I109" s="89">
        <f t="shared" si="51"/>
        <v>56824.832383505767</v>
      </c>
      <c r="J109" s="89">
        <f t="shared" si="51"/>
        <v>53721.479383505772</v>
      </c>
      <c r="K109" s="89">
        <f t="shared" si="51"/>
        <v>50182.751383505769</v>
      </c>
      <c r="L109" s="89">
        <f t="shared" si="51"/>
        <v>45884.745127835253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8077.9009816274893</v>
      </c>
      <c r="D110" s="89">
        <f t="shared" si="52"/>
        <v>23716.153369009142</v>
      </c>
      <c r="E110" s="89">
        <f t="shared" si="52"/>
        <v>25238.597979733666</v>
      </c>
      <c r="F110" s="89">
        <f t="shared" si="52"/>
        <v>46070.090637677335</v>
      </c>
      <c r="G110" s="89">
        <f t="shared" si="52"/>
        <v>21758</v>
      </c>
      <c r="H110" s="89">
        <f t="shared" si="52"/>
        <v>25649.5</v>
      </c>
      <c r="I110" s="89">
        <f t="shared" si="52"/>
        <v>28702.5</v>
      </c>
      <c r="J110" s="89">
        <f t="shared" si="52"/>
        <v>33540</v>
      </c>
      <c r="K110" s="89">
        <f t="shared" si="52"/>
        <v>37840</v>
      </c>
      <c r="L110" s="89">
        <f t="shared" si="52"/>
        <v>47407.257031952358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0.83524159807549314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1.5994096472475363</v>
      </c>
      <c r="D114" s="721">
        <f>D97/D106</f>
        <v>1.2888963749231688</v>
      </c>
      <c r="E114" s="721">
        <f>E97/E106</f>
        <v>1.2900703833873932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>(IS!H13+IS!H14+IS!H15+7/12*IS!H18-7/12*IS!H35)/SUM(F36,F37,F59,F60,F82,F83)</f>
        <v>2.0781278129521037</v>
      </c>
      <c r="G115" s="577">
        <f t="shared" ref="G115:V115" si="54">G97/G106</f>
        <v>2.246743501050807</v>
      </c>
      <c r="H115" s="577">
        <f t="shared" si="54"/>
        <v>2.245600577071702</v>
      </c>
      <c r="I115" s="577">
        <f t="shared" si="54"/>
        <v>2.2468138036754315</v>
      </c>
      <c r="J115" s="577">
        <f t="shared" si="54"/>
        <v>2.2476977017362261</v>
      </c>
      <c r="K115" s="577">
        <f t="shared" si="54"/>
        <v>2.2462636221801393</v>
      </c>
      <c r="L115" s="577">
        <f t="shared" si="54"/>
        <v>2.2492497149986836</v>
      </c>
      <c r="M115" s="577">
        <f t="shared" si="54"/>
        <v>2.5949969409677913</v>
      </c>
      <c r="N115" s="577">
        <f t="shared" si="54"/>
        <v>2.7789006890921053</v>
      </c>
      <c r="O115" s="577">
        <f t="shared" si="54"/>
        <v>2.8135491791890384</v>
      </c>
      <c r="P115" s="577">
        <f t="shared" si="54"/>
        <v>2.8911097208022811</v>
      </c>
      <c r="Q115" s="577">
        <f t="shared" si="54"/>
        <v>2.9767030164482238</v>
      </c>
      <c r="R115" s="577">
        <f t="shared" si="54"/>
        <v>3.0349512866676909</v>
      </c>
      <c r="S115" s="577">
        <f t="shared" si="54"/>
        <v>3.2518372095350867</v>
      </c>
      <c r="T115" s="577">
        <f>T97/T106</f>
        <v>3.620898148511309</v>
      </c>
      <c r="U115" s="577">
        <f t="shared" si="54"/>
        <v>4.425260552172217</v>
      </c>
      <c r="V115" s="730">
        <f t="shared" si="54"/>
        <v>5.5677919911884706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1.3927921351860328</v>
      </c>
      <c r="F118" s="90"/>
      <c r="G118" s="94" t="s">
        <v>400</v>
      </c>
      <c r="H118" s="233"/>
      <c r="I118" s="233"/>
      <c r="J118" s="95">
        <f>AVERAGE(F115:V115)</f>
        <v>2.9127350275434885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1.2888963749231688</v>
      </c>
      <c r="F119" s="92"/>
      <c r="G119" s="100" t="s">
        <v>401</v>
      </c>
      <c r="H119" s="91"/>
      <c r="I119" s="91"/>
      <c r="J119" s="121">
        <f>MIN(F115:V115)</f>
        <v>2.0781278129521037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673.15841513562407</v>
      </c>
      <c r="D126" s="85">
        <f>C36</f>
        <v>7404.7425664918655</v>
      </c>
      <c r="E126" s="85">
        <f>D31</f>
        <v>10869.903627462523</v>
      </c>
      <c r="F126" s="85">
        <f>D36</f>
        <v>12846.249741546619</v>
      </c>
      <c r="G126" s="85">
        <f>E31</f>
        <v>12619.298989866833</v>
      </c>
      <c r="H126" s="85">
        <f>E36</f>
        <v>12619.298989866833</v>
      </c>
      <c r="I126" s="85">
        <f>F31</f>
        <v>25967.347669629697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9065.8333333333339</v>
      </c>
      <c r="L127" s="85">
        <f>G59</f>
        <v>12692.166666666666</v>
      </c>
      <c r="M127" s="85">
        <f>H54</f>
        <v>12824.75</v>
      </c>
      <c r="N127" s="85">
        <f>H59</f>
        <v>12824.75</v>
      </c>
      <c r="O127" s="85">
        <f>I54</f>
        <v>14351.25</v>
      </c>
      <c r="P127" s="85">
        <f>I59</f>
        <v>14351.25</v>
      </c>
      <c r="Q127" s="85">
        <f>J54</f>
        <v>16770</v>
      </c>
      <c r="R127" s="85">
        <f>J59</f>
        <v>16770</v>
      </c>
      <c r="S127" s="85">
        <f>K54</f>
        <v>18920</v>
      </c>
      <c r="T127" s="85">
        <f>K59</f>
        <v>18920</v>
      </c>
      <c r="U127" s="85">
        <f>L54</f>
        <v>23703.628515976179</v>
      </c>
      <c r="V127" s="85">
        <f>L59</f>
        <v>23703.628515976179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2.1137701854974145</v>
      </c>
    </row>
    <row r="132" spans="1:31">
      <c r="A132" s="22" t="s">
        <v>71</v>
      </c>
      <c r="B132" s="290">
        <f>SUMPRODUCT(B127:AP127,B124:AP124)/SUM(B127:AP127)</f>
        <v>7.2762776178110595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-18584.607463091783</v>
      </c>
      <c r="D136" s="243">
        <f>C104</f>
        <v>-18584.607463091783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-3320.0248154705105</v>
      </c>
      <c r="C138" s="842">
        <f>D136-B138</f>
        <v>-15264.582647621271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89343.013167245706</v>
      </c>
      <c r="D140" s="848">
        <f>D97</f>
        <v>121999.06951687927</v>
      </c>
      <c r="E140" s="848">
        <f>E97</f>
        <v>121476.06494435224</v>
      </c>
      <c r="F140" s="848">
        <f>F97-F154</f>
        <v>49825.573752111159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18920</v>
      </c>
      <c r="L144" s="853">
        <f t="shared" si="59"/>
        <v>23703.628515976179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4.3622270808186574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109571.61221839346</v>
      </c>
      <c r="G154" s="848">
        <f>G97</f>
        <v>190097.33582811028</v>
      </c>
      <c r="H154" s="848">
        <f t="shared" ref="H154:V154" si="60">H97</f>
        <v>193579.98329342896</v>
      </c>
      <c r="I154" s="848">
        <f t="shared" si="60"/>
        <v>194775.80250539724</v>
      </c>
      <c r="J154" s="848">
        <f t="shared" si="60"/>
        <v>199190.63178751644</v>
      </c>
      <c r="K154" s="848">
        <f t="shared" si="60"/>
        <v>201164.74828323902</v>
      </c>
      <c r="L154" s="848">
        <f t="shared" si="60"/>
        <v>205842.93724912504</v>
      </c>
      <c r="M154" s="848">
        <f t="shared" si="60"/>
        <v>206636.22157055381</v>
      </c>
      <c r="N154" s="848">
        <f t="shared" si="60"/>
        <v>211404.56282333276</v>
      </c>
      <c r="O154" s="848">
        <f t="shared" si="60"/>
        <v>213496.51218873204</v>
      </c>
      <c r="P154" s="848">
        <f t="shared" si="60"/>
        <v>214824.9649175138</v>
      </c>
      <c r="Q154" s="848">
        <f t="shared" si="60"/>
        <v>216457.46328716745</v>
      </c>
      <c r="R154" s="848">
        <f t="shared" si="60"/>
        <v>218375.97777791723</v>
      </c>
      <c r="S154" s="848">
        <f t="shared" si="60"/>
        <v>220293.84628468403</v>
      </c>
      <c r="T154" s="848">
        <f t="shared" si="60"/>
        <v>222179.29806472198</v>
      </c>
      <c r="U154" s="848">
        <f t="shared" si="60"/>
        <v>223796.04112327134</v>
      </c>
      <c r="V154" s="848">
        <f t="shared" si="60"/>
        <v>223074.97390162485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50129.455382843094</v>
      </c>
      <c r="D157" s="860">
        <f>D140/D155</f>
        <v>94695.247811051115</v>
      </c>
      <c r="E157" s="860">
        <f>E140/E155</f>
        <v>94198.267259050204</v>
      </c>
      <c r="F157" s="860">
        <f>F140/F155</f>
        <v>49632.831588937675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51121.095214985442</v>
      </c>
      <c r="G158" s="860">
        <f t="shared" ref="G158:V158" si="61">G154/G156</f>
        <v>84219.673422783017</v>
      </c>
      <c r="H158" s="860">
        <f t="shared" si="61"/>
        <v>86016.849994878925</v>
      </c>
      <c r="I158" s="860">
        <f t="shared" si="61"/>
        <v>84923.488627769751</v>
      </c>
      <c r="J158" s="860">
        <f t="shared" si="61"/>
        <v>85453.002285938419</v>
      </c>
      <c r="K158" s="860">
        <f t="shared" si="61"/>
        <v>85530.441783052695</v>
      </c>
      <c r="L158" s="860">
        <f t="shared" si="61"/>
        <v>84407.136018012316</v>
      </c>
      <c r="M158" s="860">
        <f t="shared" si="61"/>
        <v>78625.948294048532</v>
      </c>
      <c r="N158" s="860">
        <f t="shared" si="61"/>
        <v>75224.98360071241</v>
      </c>
      <c r="O158" s="860">
        <f t="shared" si="61"/>
        <v>75113.63288431718</v>
      </c>
      <c r="P158" s="860">
        <f t="shared" si="61"/>
        <v>73627.014356797314</v>
      </c>
      <c r="Q158" s="860">
        <f t="shared" si="61"/>
        <v>72134.375001688619</v>
      </c>
      <c r="R158" s="860">
        <f t="shared" si="61"/>
        <v>71473.44106114535</v>
      </c>
      <c r="S158" s="860">
        <f t="shared" si="61"/>
        <v>67374.091425952574</v>
      </c>
      <c r="T158" s="860">
        <f t="shared" si="61"/>
        <v>61100.769376197619</v>
      </c>
      <c r="U158" s="860">
        <f t="shared" si="61"/>
        <v>50418.499304404024</v>
      </c>
      <c r="V158" s="860">
        <f t="shared" si="61"/>
        <v>40003.717179302861</v>
      </c>
      <c r="W158"/>
      <c r="X158"/>
      <c r="Y158"/>
      <c r="Z158"/>
      <c r="AA158"/>
      <c r="AB158"/>
      <c r="AC158"/>
      <c r="AD158"/>
      <c r="AE158"/>
    </row>
    <row r="159" spans="1:31" ht="13.5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45812.865055642324</v>
      </c>
      <c r="D161" s="867">
        <f ca="1">L197</f>
        <v>0</v>
      </c>
      <c r="E161" s="868">
        <f ca="1">V220</f>
        <v>10251.335974429174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5" thickBot="1">
      <c r="A162" s="1"/>
      <c r="B162" s="227"/>
      <c r="C162" s="869">
        <f ca="1">SUM(C114:E114,F113)-SUM(C155:F155)</f>
        <v>-0.16498056610234624</v>
      </c>
      <c r="D162" s="870">
        <f>SUM(F115:V115)-SUM(F156:V156)</f>
        <v>-0.72538655093070048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5" thickBot="1">
      <c r="A163"/>
      <c r="B163"/>
      <c r="C163" s="872">
        <f ca="1">SUM(C250:F250)-SUM(C155:F155)</f>
        <v>0</v>
      </c>
      <c r="D163" s="873">
        <f ca="1">SUM(F251:V251)-SUM(F156:V156)</f>
        <v>-2.9497612079056523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105356.92930507715</v>
      </c>
      <c r="E166" s="85">
        <f t="shared" ca="1" si="62"/>
        <v>83643.632565939159</v>
      </c>
      <c r="F166" s="85">
        <f t="shared" ca="1" si="62"/>
        <v>60584.390839694512</v>
      </c>
      <c r="G166" s="85">
        <f t="shared" ca="1" si="62"/>
        <v>45812.865055642324</v>
      </c>
      <c r="H166" s="85">
        <f t="shared" ca="1" si="62"/>
        <v>45812.865055642324</v>
      </c>
      <c r="I166" s="85">
        <f t="shared" ca="1" si="62"/>
        <v>45812.865055642324</v>
      </c>
      <c r="J166" s="85">
        <f t="shared" ca="1" si="62"/>
        <v>45812.865055642324</v>
      </c>
      <c r="K166" s="85">
        <f t="shared" ca="1" si="62"/>
        <v>45812.865055642324</v>
      </c>
      <c r="L166" s="85">
        <f t="shared" ca="1" si="62"/>
        <v>45812.865055642324</v>
      </c>
      <c r="M166" s="85">
        <f t="shared" ca="1" si="62"/>
        <v>45812.865055642324</v>
      </c>
      <c r="N166" s="85">
        <f t="shared" ca="1" si="62"/>
        <v>45812.865055642324</v>
      </c>
      <c r="O166" s="85">
        <f t="shared" ca="1" si="62"/>
        <v>45812.865055642324</v>
      </c>
      <c r="P166" s="85">
        <f t="shared" ca="1" si="62"/>
        <v>45812.865055642324</v>
      </c>
      <c r="Q166" s="85">
        <f t="shared" ca="1" si="62"/>
        <v>45812.865055642324</v>
      </c>
      <c r="R166" s="85">
        <f t="shared" ca="1" si="62"/>
        <v>45812.865055642324</v>
      </c>
      <c r="S166" s="85">
        <f t="shared" ca="1" si="62"/>
        <v>45812.865055642324</v>
      </c>
      <c r="T166" s="85">
        <f t="shared" ca="1" si="62"/>
        <v>45812.865055642324</v>
      </c>
      <c r="U166" s="85">
        <f t="shared" ca="1" si="62"/>
        <v>45812.865055642309</v>
      </c>
      <c r="V166" s="85">
        <f t="shared" ca="1" si="62"/>
        <v>45812.865055641567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-863.07744208976237</v>
      </c>
      <c r="D167" s="875">
        <f ca="1">(D157-D168-D173-D191-D196-D214-D219-C178-C201-C224-C177)*5.5/12</f>
        <v>9951.9276721049155</v>
      </c>
      <c r="E167" s="875">
        <f ca="1">(E157-E168-E173-E191-E196-E214-E219-D178-D201-D224-D177)*6/12</f>
        <v>11529.620863122322</v>
      </c>
      <c r="F167" s="875">
        <f ca="1">(F157-F168-F191-F214-E178-E201-E224-E177)</f>
        <v>14771.525784052192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719.06104250715146</v>
      </c>
      <c r="E168" s="85">
        <f t="shared" ca="1" si="63"/>
        <v>570.86779226253475</v>
      </c>
      <c r="F168" s="720">
        <f t="shared" ca="1" si="63"/>
        <v>413.48846748091506</v>
      </c>
      <c r="G168" s="85">
        <f t="shared" ca="1" si="63"/>
        <v>312.67280400475886</v>
      </c>
      <c r="H168" s="85">
        <f t="shared" ca="1" si="63"/>
        <v>312.67280400475886</v>
      </c>
      <c r="I168" s="85">
        <f t="shared" ca="1" si="63"/>
        <v>312.67280400475886</v>
      </c>
      <c r="J168" s="85">
        <f t="shared" ca="1" si="63"/>
        <v>312.67280400475886</v>
      </c>
      <c r="K168" s="85">
        <f t="shared" ca="1" si="63"/>
        <v>312.67280400475886</v>
      </c>
      <c r="L168" s="85">
        <f t="shared" ca="1" si="63"/>
        <v>312.67280400475886</v>
      </c>
      <c r="M168" s="85">
        <f t="shared" ca="1" si="63"/>
        <v>312.67280400475886</v>
      </c>
      <c r="N168" s="85">
        <f t="shared" ca="1" si="63"/>
        <v>312.67280400475886</v>
      </c>
      <c r="O168" s="85">
        <f t="shared" ca="1" si="63"/>
        <v>312.67280400475886</v>
      </c>
      <c r="P168" s="85">
        <f t="shared" ca="1" si="63"/>
        <v>312.67280400475886</v>
      </c>
      <c r="Q168" s="85">
        <f t="shared" ca="1" si="63"/>
        <v>312.67280400475886</v>
      </c>
      <c r="R168" s="85">
        <f t="shared" ca="1" si="63"/>
        <v>312.67280400475886</v>
      </c>
      <c r="S168" s="85">
        <f t="shared" ca="1" si="63"/>
        <v>312.67280400475886</v>
      </c>
      <c r="T168" s="85">
        <f t="shared" ca="1" si="63"/>
        <v>312.67280400475886</v>
      </c>
      <c r="U168" s="85">
        <f t="shared" ca="1" si="63"/>
        <v>312.67280400475875</v>
      </c>
      <c r="V168" s="85">
        <f t="shared" ca="1" si="63"/>
        <v>312.67280400475369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95863.077442089765</v>
      </c>
      <c r="D169" s="85">
        <f t="shared" ref="D169:R169" ca="1" si="64">D166-D167</f>
        <v>95405.001632972242</v>
      </c>
      <c r="E169" s="85">
        <f t="shared" ca="1" si="64"/>
        <v>72114.011702816832</v>
      </c>
      <c r="F169" s="876">
        <f t="shared" ca="1" si="64"/>
        <v>45812.865055642324</v>
      </c>
      <c r="G169" s="85">
        <f t="shared" ca="1" si="64"/>
        <v>45812.865055642324</v>
      </c>
      <c r="H169" s="85">
        <f t="shared" ca="1" si="64"/>
        <v>45812.865055642324</v>
      </c>
      <c r="I169" s="85">
        <f t="shared" ca="1" si="64"/>
        <v>45812.865055642324</v>
      </c>
      <c r="J169" s="85">
        <f t="shared" ca="1" si="64"/>
        <v>45812.865055642324</v>
      </c>
      <c r="K169" s="85">
        <f t="shared" ca="1" si="64"/>
        <v>45812.865055642324</v>
      </c>
      <c r="L169" s="85">
        <f t="shared" ca="1" si="64"/>
        <v>45812.865055642324</v>
      </c>
      <c r="M169" s="85">
        <f t="shared" ca="1" si="64"/>
        <v>45812.865055642324</v>
      </c>
      <c r="N169" s="85">
        <f t="shared" ca="1" si="64"/>
        <v>45812.865055642324</v>
      </c>
      <c r="O169" s="85">
        <f t="shared" ca="1" si="64"/>
        <v>45812.865055642324</v>
      </c>
      <c r="P169" s="85">
        <f t="shared" ca="1" si="64"/>
        <v>45812.865055642324</v>
      </c>
      <c r="Q169" s="85">
        <f t="shared" ca="1" si="64"/>
        <v>45812.865055642324</v>
      </c>
      <c r="R169" s="85">
        <f t="shared" ca="1" si="64"/>
        <v>45812.865055642324</v>
      </c>
      <c r="S169" s="85">
        <f ca="1">S166-S167</f>
        <v>45812.865055642324</v>
      </c>
      <c r="T169" s="85">
        <f ca="1">T166-T167</f>
        <v>45812.865055642324</v>
      </c>
      <c r="U169" s="85">
        <f ca="1">U166-U167</f>
        <v>45812.865055642309</v>
      </c>
      <c r="V169" s="85">
        <f ca="1">V166-V167</f>
        <v>45812.865055641567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95863.077442089765</v>
      </c>
      <c r="D171" s="85">
        <f t="shared" ca="1" si="65"/>
        <v>95405.001632972242</v>
      </c>
      <c r="E171" s="85">
        <f t="shared" ca="1" si="65"/>
        <v>72114.011702816832</v>
      </c>
      <c r="F171" s="85">
        <f t="shared" ca="1" si="65"/>
        <v>45812.865055642324</v>
      </c>
      <c r="G171" s="85">
        <f t="shared" ca="1" si="65"/>
        <v>45812.865055642324</v>
      </c>
      <c r="H171" s="85">
        <f t="shared" ca="1" si="65"/>
        <v>45812.865055642324</v>
      </c>
      <c r="I171" s="85">
        <f t="shared" ca="1" si="65"/>
        <v>45812.865055642324</v>
      </c>
      <c r="J171" s="85">
        <f t="shared" ca="1" si="65"/>
        <v>45812.865055642324</v>
      </c>
      <c r="K171" s="85">
        <f t="shared" ca="1" si="65"/>
        <v>45812.865055642324</v>
      </c>
      <c r="L171" s="85">
        <f t="shared" ca="1" si="65"/>
        <v>45812.865055642324</v>
      </c>
      <c r="M171" s="85">
        <f t="shared" ca="1" si="65"/>
        <v>45812.865055642324</v>
      </c>
      <c r="N171" s="85">
        <f t="shared" ca="1" si="65"/>
        <v>45812.865055642324</v>
      </c>
      <c r="O171" s="85">
        <f t="shared" ca="1" si="65"/>
        <v>45812.865055642324</v>
      </c>
      <c r="P171" s="85">
        <f t="shared" ca="1" si="65"/>
        <v>45812.865055642324</v>
      </c>
      <c r="Q171" s="85">
        <f t="shared" ca="1" si="65"/>
        <v>45812.865055642324</v>
      </c>
      <c r="R171" s="85">
        <f t="shared" ca="1" si="65"/>
        <v>45812.865055642324</v>
      </c>
      <c r="S171" s="85">
        <f t="shared" ca="1" si="65"/>
        <v>45812.865055642324</v>
      </c>
      <c r="T171" s="85">
        <f t="shared" ca="1" si="65"/>
        <v>45812.865055642324</v>
      </c>
      <c r="U171" s="85">
        <f t="shared" ca="1" si="65"/>
        <v>45812.865055642309</v>
      </c>
      <c r="V171" s="85">
        <f t="shared" ca="1" si="65"/>
        <v>45812.865055641567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-9493.851862987387</v>
      </c>
      <c r="D172" s="878">
        <f ca="1">D157-D168-D173-C178-D191-D196-C201-D214-D219-C224-D167-C177</f>
        <v>11761.369067033082</v>
      </c>
      <c r="E172" s="878">
        <f ca="1">E157-E168-E173-D178-E191-E196-D201-E214-E219-D224-E167-D177</f>
        <v>11529.620863122322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3925.5930212535759</v>
      </c>
      <c r="D173" s="85">
        <f t="shared" ca="1" si="66"/>
        <v>3906.8348168702132</v>
      </c>
      <c r="E173" s="85">
        <f t="shared" ca="1" si="66"/>
        <v>2953.0687792303493</v>
      </c>
      <c r="F173" s="85">
        <f t="shared" ca="1" si="66"/>
        <v>1876.0368240285532</v>
      </c>
      <c r="G173" s="85">
        <f t="shared" ca="1" si="66"/>
        <v>1876.0368240285532</v>
      </c>
      <c r="H173" s="85">
        <f t="shared" ca="1" si="66"/>
        <v>1876.0368240285532</v>
      </c>
      <c r="I173" s="85">
        <f t="shared" ca="1" si="66"/>
        <v>1876.0368240285532</v>
      </c>
      <c r="J173" s="85">
        <f t="shared" ca="1" si="66"/>
        <v>1876.0368240285532</v>
      </c>
      <c r="K173" s="85">
        <f t="shared" ca="1" si="66"/>
        <v>1876.0368240285532</v>
      </c>
      <c r="L173" s="85">
        <f t="shared" ca="1" si="66"/>
        <v>1876.0368240285532</v>
      </c>
      <c r="M173" s="85">
        <f t="shared" ca="1" si="66"/>
        <v>1876.0368240285532</v>
      </c>
      <c r="N173" s="85">
        <f t="shared" ca="1" si="66"/>
        <v>1876.0368240285532</v>
      </c>
      <c r="O173" s="85">
        <f t="shared" ca="1" si="66"/>
        <v>1876.0368240285532</v>
      </c>
      <c r="P173" s="85">
        <f t="shared" ca="1" si="66"/>
        <v>1876.0368240285532</v>
      </c>
      <c r="Q173" s="85">
        <f t="shared" ca="1" si="66"/>
        <v>1876.0368240285532</v>
      </c>
      <c r="R173" s="85">
        <f t="shared" ca="1" si="66"/>
        <v>1876.0368240285532</v>
      </c>
      <c r="S173" s="85">
        <f t="shared" ca="1" si="66"/>
        <v>1876.0368240285532</v>
      </c>
      <c r="T173" s="85">
        <f t="shared" ca="1" si="66"/>
        <v>1876.0368240285532</v>
      </c>
      <c r="U173" s="85">
        <f t="shared" ca="1" si="66"/>
        <v>1876.0368240285525</v>
      </c>
      <c r="V173" s="85">
        <f t="shared" ca="1" si="66"/>
        <v>1876.0368240285222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105356.92930507715</v>
      </c>
      <c r="D174" s="85">
        <f t="shared" ca="1" si="67"/>
        <v>83643.632565939159</v>
      </c>
      <c r="E174" s="85">
        <f t="shared" ca="1" si="67"/>
        <v>60584.390839694512</v>
      </c>
      <c r="F174" s="85">
        <f t="shared" ca="1" si="67"/>
        <v>45812.865055642324</v>
      </c>
      <c r="G174" s="85">
        <f t="shared" ca="1" si="67"/>
        <v>45812.865055642324</v>
      </c>
      <c r="H174" s="85">
        <f t="shared" ca="1" si="67"/>
        <v>45812.865055642324</v>
      </c>
      <c r="I174" s="85">
        <f t="shared" ca="1" si="67"/>
        <v>45812.865055642324</v>
      </c>
      <c r="J174" s="85">
        <f t="shared" ca="1" si="67"/>
        <v>45812.865055642324</v>
      </c>
      <c r="K174" s="85">
        <f t="shared" ca="1" si="67"/>
        <v>45812.865055642324</v>
      </c>
      <c r="L174" s="85">
        <f t="shared" ca="1" si="67"/>
        <v>45812.865055642324</v>
      </c>
      <c r="M174" s="85">
        <f t="shared" ca="1" si="67"/>
        <v>45812.865055642324</v>
      </c>
      <c r="N174" s="85">
        <f t="shared" ca="1" si="67"/>
        <v>45812.865055642324</v>
      </c>
      <c r="O174" s="85">
        <f t="shared" ca="1" si="67"/>
        <v>45812.865055642324</v>
      </c>
      <c r="P174" s="85">
        <f t="shared" ca="1" si="67"/>
        <v>45812.865055642324</v>
      </c>
      <c r="Q174" s="85">
        <f t="shared" ca="1" si="67"/>
        <v>45812.865055642324</v>
      </c>
      <c r="R174" s="85">
        <f t="shared" ca="1" si="67"/>
        <v>45812.865055642324</v>
      </c>
      <c r="S174" s="85">
        <f ca="1">S171-S172</f>
        <v>45812.865055642324</v>
      </c>
      <c r="T174" s="85">
        <f ca="1">T171-T172</f>
        <v>45812.865055642324</v>
      </c>
      <c r="U174" s="85">
        <f ca="1">U171-U172</f>
        <v>45812.865055642309</v>
      </c>
      <c r="V174" s="85">
        <f ca="1">V171-V172</f>
        <v>45812.865055641567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105356.92930507715</v>
      </c>
      <c r="D176" s="85">
        <f t="shared" ca="1" si="68"/>
        <v>83643.632565939159</v>
      </c>
      <c r="E176" s="85">
        <f t="shared" ca="1" si="68"/>
        <v>60584.390839694512</v>
      </c>
      <c r="F176" s="85">
        <f t="shared" ca="1" si="68"/>
        <v>45812.865055642324</v>
      </c>
      <c r="G176" s="85">
        <f t="shared" ca="1" si="68"/>
        <v>45812.865055642324</v>
      </c>
      <c r="H176" s="85">
        <f t="shared" ca="1" si="68"/>
        <v>45812.865055642324</v>
      </c>
      <c r="I176" s="85">
        <f t="shared" ca="1" si="68"/>
        <v>45812.865055642324</v>
      </c>
      <c r="J176" s="85">
        <f t="shared" ca="1" si="68"/>
        <v>45812.865055642324</v>
      </c>
      <c r="K176" s="85">
        <f t="shared" ca="1" si="68"/>
        <v>45812.865055642324</v>
      </c>
      <c r="L176" s="85">
        <f t="shared" ca="1" si="68"/>
        <v>45812.865055642324</v>
      </c>
      <c r="M176" s="85">
        <f t="shared" ca="1" si="68"/>
        <v>45812.865055642324</v>
      </c>
      <c r="N176" s="85">
        <f t="shared" ca="1" si="68"/>
        <v>45812.865055642324</v>
      </c>
      <c r="O176" s="85">
        <f t="shared" ca="1" si="68"/>
        <v>45812.865055642324</v>
      </c>
      <c r="P176" s="85">
        <f t="shared" ca="1" si="68"/>
        <v>45812.865055642324</v>
      </c>
      <c r="Q176" s="85">
        <f t="shared" ca="1" si="68"/>
        <v>45812.865055642324</v>
      </c>
      <c r="R176" s="85">
        <f t="shared" ca="1" si="68"/>
        <v>45812.865055642324</v>
      </c>
      <c r="S176" s="85">
        <f t="shared" ca="1" si="68"/>
        <v>45812.865055642324</v>
      </c>
      <c r="T176" s="85">
        <f t="shared" ca="1" si="68"/>
        <v>45812.865055642324</v>
      </c>
      <c r="U176" s="85">
        <f t="shared" ca="1" si="68"/>
        <v>45812.865055642309</v>
      </c>
      <c r="V176" s="85">
        <f t="shared" ca="1" si="68"/>
        <v>45812.865055641567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3595.3052125357572</v>
      </c>
      <c r="D178" s="85">
        <f t="shared" ref="D178:V178" ca="1" si="69">D176*$F$7*5/12</f>
        <v>2854.3389613126733</v>
      </c>
      <c r="E178" s="85">
        <f t="shared" ca="1" si="69"/>
        <v>2067.4423374045755</v>
      </c>
      <c r="F178" s="85">
        <f t="shared" ca="1" si="69"/>
        <v>1563.3640200237942</v>
      </c>
      <c r="G178" s="85">
        <f t="shared" ca="1" si="69"/>
        <v>1563.3640200237942</v>
      </c>
      <c r="H178" s="85">
        <f t="shared" ca="1" si="69"/>
        <v>1563.3640200237942</v>
      </c>
      <c r="I178" s="85">
        <f t="shared" ca="1" si="69"/>
        <v>1563.3640200237942</v>
      </c>
      <c r="J178" s="85">
        <f t="shared" ca="1" si="69"/>
        <v>1563.3640200237942</v>
      </c>
      <c r="K178" s="85">
        <f t="shared" ca="1" si="69"/>
        <v>1563.3640200237942</v>
      </c>
      <c r="L178" s="85">
        <f t="shared" ca="1" si="69"/>
        <v>1563.3640200237942</v>
      </c>
      <c r="M178" s="85">
        <f t="shared" ca="1" si="69"/>
        <v>1563.3640200237942</v>
      </c>
      <c r="N178" s="85">
        <f t="shared" ca="1" si="69"/>
        <v>1563.3640200237942</v>
      </c>
      <c r="O178" s="85">
        <f t="shared" ca="1" si="69"/>
        <v>1563.3640200237942</v>
      </c>
      <c r="P178" s="85">
        <f t="shared" ca="1" si="69"/>
        <v>1563.3640200237942</v>
      </c>
      <c r="Q178" s="85">
        <f t="shared" ca="1" si="69"/>
        <v>1563.3640200237942</v>
      </c>
      <c r="R178" s="85">
        <f t="shared" ca="1" si="69"/>
        <v>1563.3640200237942</v>
      </c>
      <c r="S178" s="85">
        <f t="shared" ca="1" si="69"/>
        <v>1563.3640200237942</v>
      </c>
      <c r="T178" s="85">
        <f t="shared" ca="1" si="69"/>
        <v>1563.3640200237942</v>
      </c>
      <c r="U178" s="85">
        <f t="shared" ca="1" si="69"/>
        <v>1563.364020023794</v>
      </c>
      <c r="V178" s="85">
        <f t="shared" ca="1" si="69"/>
        <v>1563.3640200237685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105356.92930507715</v>
      </c>
      <c r="D179" s="85">
        <f t="shared" ca="1" si="70"/>
        <v>83643.632565939159</v>
      </c>
      <c r="E179" s="85">
        <f t="shared" ca="1" si="70"/>
        <v>60584.390839694512</v>
      </c>
      <c r="F179" s="85">
        <f t="shared" ca="1" si="70"/>
        <v>45812.865055642324</v>
      </c>
      <c r="G179" s="85">
        <f t="shared" ca="1" si="70"/>
        <v>45812.865055642324</v>
      </c>
      <c r="H179" s="85">
        <f t="shared" ca="1" si="70"/>
        <v>45812.865055642324</v>
      </c>
      <c r="I179" s="85">
        <f t="shared" ca="1" si="70"/>
        <v>45812.865055642324</v>
      </c>
      <c r="J179" s="85">
        <f t="shared" ca="1" si="70"/>
        <v>45812.865055642324</v>
      </c>
      <c r="K179" s="85">
        <f t="shared" ca="1" si="70"/>
        <v>45812.865055642324</v>
      </c>
      <c r="L179" s="85">
        <f t="shared" ca="1" si="70"/>
        <v>45812.865055642324</v>
      </c>
      <c r="M179" s="85">
        <f t="shared" ca="1" si="70"/>
        <v>45812.865055642324</v>
      </c>
      <c r="N179" s="85">
        <f t="shared" ca="1" si="70"/>
        <v>45812.865055642324</v>
      </c>
      <c r="O179" s="85">
        <f t="shared" ca="1" si="70"/>
        <v>45812.865055642324</v>
      </c>
      <c r="P179" s="85">
        <f t="shared" ca="1" si="70"/>
        <v>45812.865055642324</v>
      </c>
      <c r="Q179" s="85">
        <f t="shared" ca="1" si="70"/>
        <v>45812.865055642324</v>
      </c>
      <c r="R179" s="85">
        <f t="shared" ca="1" si="70"/>
        <v>45812.865055642324</v>
      </c>
      <c r="S179" s="85">
        <f ca="1">S176-S177</f>
        <v>45812.865055642324</v>
      </c>
      <c r="T179" s="85">
        <f ca="1">T176-T177</f>
        <v>45812.865055642324</v>
      </c>
      <c r="U179" s="85">
        <f ca="1">U176-U177</f>
        <v>45812.865055642309</v>
      </c>
      <c r="V179" s="85">
        <f ca="1">V176-V177</f>
        <v>45812.865055641567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6519.0930212535759</v>
      </c>
      <c r="D181" s="85">
        <f t="shared" ca="1" si="71"/>
        <v>8221.2010719131213</v>
      </c>
      <c r="E181" s="85">
        <f t="shared" ca="1" si="71"/>
        <v>6378.2755328055573</v>
      </c>
      <c r="F181" s="85">
        <f t="shared" ca="1" si="71"/>
        <v>4356.9676289140443</v>
      </c>
      <c r="G181" s="85">
        <f t="shared" ca="1" si="71"/>
        <v>3752.0736480571063</v>
      </c>
      <c r="H181" s="85">
        <f t="shared" ca="1" si="71"/>
        <v>3752.0736480571063</v>
      </c>
      <c r="I181" s="85">
        <f t="shared" ca="1" si="71"/>
        <v>3752.0736480571063</v>
      </c>
      <c r="J181" s="85">
        <f t="shared" ca="1" si="71"/>
        <v>3752.0736480571063</v>
      </c>
      <c r="K181" s="85">
        <f t="shared" ca="1" si="71"/>
        <v>3752.0736480571063</v>
      </c>
      <c r="L181" s="85">
        <f t="shared" ca="1" si="71"/>
        <v>3752.0736480571063</v>
      </c>
      <c r="M181" s="85">
        <f t="shared" ca="1" si="71"/>
        <v>3752.0736480571063</v>
      </c>
      <c r="N181" s="85">
        <f t="shared" ca="1" si="71"/>
        <v>3752.0736480571063</v>
      </c>
      <c r="O181" s="85">
        <f t="shared" ca="1" si="71"/>
        <v>3752.0736480571063</v>
      </c>
      <c r="P181" s="85">
        <f t="shared" ca="1" si="71"/>
        <v>3752.0736480571063</v>
      </c>
      <c r="Q181" s="85">
        <f t="shared" ca="1" si="71"/>
        <v>3752.0736480571063</v>
      </c>
      <c r="R181" s="85">
        <f t="shared" ca="1" si="71"/>
        <v>3752.0736480571063</v>
      </c>
      <c r="S181" s="85">
        <f t="shared" ca="1" si="71"/>
        <v>3752.0736480571063</v>
      </c>
      <c r="T181" s="85">
        <f t="shared" ca="1" si="71"/>
        <v>3752.0736480571063</v>
      </c>
      <c r="U181" s="85">
        <f t="shared" ca="1" si="71"/>
        <v>3752.0736480571054</v>
      </c>
      <c r="V181" s="85">
        <f t="shared" ca="1" si="71"/>
        <v>3752.0736480570695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8169.2732337893331</v>
      </c>
      <c r="D182" s="85">
        <f t="shared" ref="D182:V182" ca="1" si="72">D168+D173+D178</f>
        <v>7480.2348206900388</v>
      </c>
      <c r="E182" s="85">
        <f t="shared" ca="1" si="72"/>
        <v>5591.378908897459</v>
      </c>
      <c r="F182" s="85">
        <f t="shared" ca="1" si="72"/>
        <v>3852.8893115332626</v>
      </c>
      <c r="G182" s="85">
        <f t="shared" ca="1" si="72"/>
        <v>3752.0736480571063</v>
      </c>
      <c r="H182" s="85">
        <f t="shared" ca="1" si="72"/>
        <v>3752.0736480571063</v>
      </c>
      <c r="I182" s="85">
        <f t="shared" ca="1" si="72"/>
        <v>3752.0736480571063</v>
      </c>
      <c r="J182" s="85">
        <f t="shared" ca="1" si="72"/>
        <v>3752.0736480571063</v>
      </c>
      <c r="K182" s="85">
        <f t="shared" ca="1" si="72"/>
        <v>3752.0736480571063</v>
      </c>
      <c r="L182" s="85">
        <f t="shared" ca="1" si="72"/>
        <v>3752.0736480571063</v>
      </c>
      <c r="M182" s="85">
        <f t="shared" ca="1" si="72"/>
        <v>3752.0736480571063</v>
      </c>
      <c r="N182" s="85">
        <f t="shared" ca="1" si="72"/>
        <v>3752.0736480571063</v>
      </c>
      <c r="O182" s="85">
        <f t="shared" ca="1" si="72"/>
        <v>3752.0736480571063</v>
      </c>
      <c r="P182" s="85">
        <f t="shared" ca="1" si="72"/>
        <v>3752.0736480571063</v>
      </c>
      <c r="Q182" s="85">
        <f t="shared" ca="1" si="72"/>
        <v>3752.0736480571063</v>
      </c>
      <c r="R182" s="85">
        <f t="shared" ca="1" si="72"/>
        <v>3752.0736480571063</v>
      </c>
      <c r="S182" s="85">
        <f t="shared" ca="1" si="72"/>
        <v>3752.0736480571063</v>
      </c>
      <c r="T182" s="85">
        <f t="shared" ca="1" si="72"/>
        <v>3752.0736480571063</v>
      </c>
      <c r="U182" s="85">
        <f t="shared" ca="1" si="72"/>
        <v>3752.0736480571049</v>
      </c>
      <c r="V182" s="85">
        <f t="shared" ca="1" si="72"/>
        <v>3752.073648057044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-10356.929305077148</v>
      </c>
      <c r="D183" s="727">
        <f t="shared" ca="1" si="73"/>
        <v>21713.296739137997</v>
      </c>
      <c r="E183" s="727">
        <f t="shared" ca="1" si="73"/>
        <v>23059.241726244643</v>
      </c>
      <c r="F183" s="727">
        <f t="shared" ca="1" si="73"/>
        <v>14771.525784052192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191259.27978501457</v>
      </c>
      <c r="H189" s="85">
        <f t="shared" ca="1" si="75"/>
        <v>169538.92109383864</v>
      </c>
      <c r="I189" s="85">
        <f t="shared" ca="1" si="75"/>
        <v>143722.66931095679</v>
      </c>
      <c r="J189" s="85">
        <f t="shared" ca="1" si="75"/>
        <v>116455.17400425929</v>
      </c>
      <c r="K189" s="85">
        <f t="shared" ca="1" si="75"/>
        <v>85928.568108262145</v>
      </c>
      <c r="L189" s="85">
        <f t="shared" ca="1" si="75"/>
        <v>52281.509624169063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9050.1494546566337</v>
      </c>
      <c r="H190" s="875">
        <f ca="1">6/12*(H158-H191-G201-H214-G224-H196-H219)</f>
        <v>12908.125891440919</v>
      </c>
      <c r="I190" s="875">
        <f ca="1">6/12*(I158-I191-H201-I214-H224-I196-I219)</f>
        <v>13633.747653348746</v>
      </c>
      <c r="J190" s="875">
        <f ca="1">6/12*(J158-J191-I201-J214-I224-J196-J219)</f>
        <v>15263.302947998578</v>
      </c>
      <c r="K190" s="875">
        <f ca="1">6/12*(K158-K191-J201-K214-J224-K196-K219)</f>
        <v>16823.529242046541</v>
      </c>
      <c r="L190" s="880">
        <f ca="1">L189/2</f>
        <v>26140.754812084531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1549.2001662586181</v>
      </c>
      <c r="H191" s="85">
        <f t="shared" ca="1" si="76"/>
        <v>1373.2652608600931</v>
      </c>
      <c r="I191" s="85">
        <f t="shared" ca="1" si="76"/>
        <v>1164.1536214187502</v>
      </c>
      <c r="J191" s="85">
        <f t="shared" ca="1" si="76"/>
        <v>943.28690943450022</v>
      </c>
      <c r="K191" s="85">
        <f t="shared" ca="1" si="76"/>
        <v>696.02140167692335</v>
      </c>
      <c r="L191" s="85">
        <f t="shared" ca="1" si="76"/>
        <v>423.48022795576941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182209.13033035793</v>
      </c>
      <c r="H192" s="85">
        <f t="shared" ca="1" si="78"/>
        <v>156630.79520239771</v>
      </c>
      <c r="I192" s="85">
        <f t="shared" ca="1" si="78"/>
        <v>130088.92165760804</v>
      </c>
      <c r="J192" s="85">
        <f t="shared" ca="1" si="78"/>
        <v>101191.87105626072</v>
      </c>
      <c r="K192" s="85">
        <f t="shared" ca="1" si="78"/>
        <v>69105.038866215604</v>
      </c>
      <c r="L192" s="85">
        <f t="shared" ca="1" si="78"/>
        <v>26140.754812084531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182209.13033035793</v>
      </c>
      <c r="H194" s="85">
        <f t="shared" ca="1" si="79"/>
        <v>156630.79520239771</v>
      </c>
      <c r="I194" s="85">
        <f t="shared" ca="1" si="79"/>
        <v>130088.92165760804</v>
      </c>
      <c r="J194" s="85">
        <f t="shared" ca="1" si="79"/>
        <v>101191.87105626072</v>
      </c>
      <c r="K194" s="85">
        <f t="shared" ca="1" si="79"/>
        <v>69105.038866215604</v>
      </c>
      <c r="L194" s="85">
        <f t="shared" ca="1" si="79"/>
        <v>26140.754812084531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18740.720214985442</v>
      </c>
      <c r="G195" s="875">
        <f ca="1">G158-G191-F201-G214-F224-G196-G219-G190</f>
        <v>12670.209236519286</v>
      </c>
      <c r="H195" s="875">
        <f ca="1">H158-H191-G201-H214-G224-H196-H219-H190</f>
        <v>12908.125891440919</v>
      </c>
      <c r="I195" s="875">
        <f ca="1">I158-I191-H201-I214-H224-I196-I219-I190</f>
        <v>13633.747653348746</v>
      </c>
      <c r="J195" s="875">
        <f ca="1">J158-J191-I201-J214-I224-J196-J219-J190</f>
        <v>15263.302947998578</v>
      </c>
      <c r="K195" s="875">
        <f ca="1">K158-K191-J201-K214-J224-K196-K219-K190</f>
        <v>16823.529242046541</v>
      </c>
      <c r="L195" s="880">
        <f ca="1">L190</f>
        <v>26140.754812084531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8855.363734055396</v>
      </c>
      <c r="H196" s="85">
        <f t="shared" ca="1" si="80"/>
        <v>7612.2566468365294</v>
      </c>
      <c r="I196" s="85">
        <f t="shared" ca="1" si="80"/>
        <v>6322.3215925597515</v>
      </c>
      <c r="J196" s="85">
        <f t="shared" ca="1" si="80"/>
        <v>4917.9249333342714</v>
      </c>
      <c r="K196" s="85">
        <f t="shared" ca="1" si="80"/>
        <v>3358.5048888980787</v>
      </c>
      <c r="L196" s="85">
        <f t="shared" ca="1" si="80"/>
        <v>1270.4406838673083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191259.27978501457</v>
      </c>
      <c r="G197" s="85">
        <f t="shared" ca="1" si="82"/>
        <v>169538.92109383864</v>
      </c>
      <c r="H197" s="85">
        <f t="shared" ca="1" si="82"/>
        <v>143722.66931095679</v>
      </c>
      <c r="I197" s="85">
        <f t="shared" ca="1" si="82"/>
        <v>116455.17400425929</v>
      </c>
      <c r="J197" s="85">
        <f t="shared" ca="1" si="82"/>
        <v>85928.568108262145</v>
      </c>
      <c r="K197" s="85">
        <f t="shared" ca="1" si="82"/>
        <v>52281.509624169063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191259.27978501457</v>
      </c>
      <c r="G199" s="85">
        <f t="shared" ca="1" si="83"/>
        <v>169538.92109383864</v>
      </c>
      <c r="H199" s="85">
        <f t="shared" ca="1" si="83"/>
        <v>143722.66931095679</v>
      </c>
      <c r="I199" s="85">
        <f t="shared" ca="1" si="83"/>
        <v>116455.17400425929</v>
      </c>
      <c r="J199" s="85">
        <f t="shared" ca="1" si="83"/>
        <v>85928.568108262145</v>
      </c>
      <c r="K199" s="85">
        <f t="shared" ca="1" si="83"/>
        <v>52281.509624169063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7746.0008312930904</v>
      </c>
      <c r="G201" s="85">
        <f t="shared" ca="1" si="84"/>
        <v>6866.3263043004663</v>
      </c>
      <c r="H201" s="85">
        <f t="shared" ca="1" si="84"/>
        <v>5820.7681070937506</v>
      </c>
      <c r="I201" s="85">
        <f t="shared" ca="1" si="84"/>
        <v>4716.4345471725019</v>
      </c>
      <c r="J201" s="85">
        <f t="shared" ca="1" si="84"/>
        <v>3480.1070083846171</v>
      </c>
      <c r="K201" s="85">
        <f t="shared" ca="1" si="84"/>
        <v>2117.4011397788472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191259.27978501457</v>
      </c>
      <c r="G202" s="85">
        <f t="shared" ca="1" si="86"/>
        <v>169538.92109383864</v>
      </c>
      <c r="H202" s="85">
        <f t="shared" ca="1" si="86"/>
        <v>143722.66931095679</v>
      </c>
      <c r="I202" s="85">
        <f t="shared" ca="1" si="86"/>
        <v>116455.17400425929</v>
      </c>
      <c r="J202" s="85">
        <f t="shared" ca="1" si="86"/>
        <v>85928.568108262145</v>
      </c>
      <c r="K202" s="85">
        <f t="shared" ca="1" si="86"/>
        <v>52281.509624169063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18150.564731607104</v>
      </c>
      <c r="H204" s="85">
        <f t="shared" ca="1" si="87"/>
        <v>15851.848211997089</v>
      </c>
      <c r="I204" s="85">
        <f t="shared" ca="1" si="87"/>
        <v>13307.243321072252</v>
      </c>
      <c r="J204" s="85">
        <f t="shared" ca="1" si="87"/>
        <v>10577.646389941274</v>
      </c>
      <c r="K204" s="85">
        <f t="shared" ca="1" si="87"/>
        <v>7534.6332989596194</v>
      </c>
      <c r="L204" s="85">
        <f t="shared" ca="1" si="87"/>
        <v>3811.3220516019246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19653.000831293091</v>
      </c>
      <c r="G205" s="85">
        <f t="shared" ca="1" si="88"/>
        <v>17270.890204614479</v>
      </c>
      <c r="H205" s="85">
        <f t="shared" ca="1" si="88"/>
        <v>14806.290014790373</v>
      </c>
      <c r="I205" s="85">
        <f t="shared" ca="1" si="88"/>
        <v>12202.909761151004</v>
      </c>
      <c r="J205" s="85">
        <f t="shared" ca="1" si="88"/>
        <v>9341.3188511533881</v>
      </c>
      <c r="K205" s="85">
        <f t="shared" ca="1" si="88"/>
        <v>6171.9274303538496</v>
      </c>
      <c r="L205" s="85">
        <f t="shared" ca="1" si="88"/>
        <v>1693.9209118230776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18740.720214985442</v>
      </c>
      <c r="G206" s="727">
        <f t="shared" ca="1" si="89"/>
        <v>21720.358691175919</v>
      </c>
      <c r="H206" s="727">
        <f t="shared" ca="1" si="89"/>
        <v>25816.251782881838</v>
      </c>
      <c r="I206" s="727">
        <f t="shared" ca="1" si="89"/>
        <v>27267.495306697492</v>
      </c>
      <c r="J206" s="727">
        <f t="shared" ca="1" si="89"/>
        <v>30526.605895997156</v>
      </c>
      <c r="K206" s="727">
        <f t="shared" ca="1" si="89"/>
        <v>33647.058484093082</v>
      </c>
      <c r="L206" s="727">
        <f t="shared" ca="1" si="89"/>
        <v>52281.509624169063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393599.36685545999</v>
      </c>
      <c r="O212" s="85">
        <f t="shared" ca="1" si="91"/>
        <v>358531.64807236078</v>
      </c>
      <c r="P212" s="85">
        <f t="shared" ca="1" si="91"/>
        <v>319820.92672114458</v>
      </c>
      <c r="Q212" s="85">
        <f t="shared" ca="1" si="91"/>
        <v>278488.97887834976</v>
      </c>
      <c r="R212" s="85">
        <f t="shared" ca="1" si="91"/>
        <v>234261.13494397904</v>
      </c>
      <c r="S212" s="85">
        <f t="shared" ca="1" si="91"/>
        <v>185973.12998486706</v>
      </c>
      <c r="T212" s="85">
        <f t="shared" ca="1" si="91"/>
        <v>136720.4555279403</v>
      </c>
      <c r="U212" s="85">
        <f t="shared" ca="1" si="91"/>
        <v>88631.956980219591</v>
      </c>
      <c r="V212" s="85">
        <f t="shared" ca="1" si="91"/>
        <v>46359.417513359789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15700.316572270025</v>
      </c>
      <c r="N213" s="878">
        <f t="shared" ca="1" si="92"/>
        <v>17533.859391549624</v>
      </c>
      <c r="O213" s="878">
        <f t="shared" ca="1" si="92"/>
        <v>19355.360675608092</v>
      </c>
      <c r="P213" s="878">
        <f t="shared" ca="1" si="92"/>
        <v>20665.973921397395</v>
      </c>
      <c r="Q213" s="878">
        <f t="shared" ca="1" si="92"/>
        <v>22113.921967185357</v>
      </c>
      <c r="R213" s="878">
        <f t="shared" ca="1" si="92"/>
        <v>24144.002479555984</v>
      </c>
      <c r="S213" s="878">
        <f t="shared" ca="1" si="92"/>
        <v>24626.337228463384</v>
      </c>
      <c r="T213" s="878">
        <f t="shared" ca="1" si="92"/>
        <v>24044.249273860358</v>
      </c>
      <c r="U213" s="878">
        <f t="shared" ca="1" si="92"/>
        <v>21136.269733429905</v>
      </c>
      <c r="V213" s="878">
        <f t="shared" ca="1" si="92"/>
        <v>18054.040769465308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3422.674494280604</v>
      </c>
      <c r="O214" s="720">
        <f t="shared" ca="1" si="93"/>
        <v>3117.731456362571</v>
      </c>
      <c r="P214" s="720">
        <f t="shared" ca="1" si="93"/>
        <v>2781.1094752792865</v>
      </c>
      <c r="Q214" s="720">
        <f t="shared" ca="1" si="93"/>
        <v>2421.6937454963168</v>
      </c>
      <c r="R214" s="720">
        <f t="shared" ca="1" si="93"/>
        <v>2037.0957859503508</v>
      </c>
      <c r="S214" s="720">
        <f t="shared" ca="1" si="93"/>
        <v>1617.1913428267399</v>
      </c>
      <c r="T214" s="881">
        <f t="shared" ca="1" si="93"/>
        <v>1188.8982945283808</v>
      </c>
      <c r="U214" s="720">
        <f t="shared" ca="1" si="93"/>
        <v>770.72872590715951</v>
      </c>
      <c r="V214" s="720">
        <f t="shared" ca="1" si="93"/>
        <v>403.13376812659118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409299.68342772999</v>
      </c>
      <c r="N215" s="720">
        <f t="shared" ca="1" si="94"/>
        <v>376065.50746391038</v>
      </c>
      <c r="O215" s="720">
        <f t="shared" ca="1" si="94"/>
        <v>339176.28739675268</v>
      </c>
      <c r="P215" s="720">
        <f t="shared" ca="1" si="94"/>
        <v>299154.95279974717</v>
      </c>
      <c r="Q215" s="720">
        <f t="shared" ca="1" si="94"/>
        <v>256375.0569111644</v>
      </c>
      <c r="R215" s="720">
        <f t="shared" ca="1" si="94"/>
        <v>210117.13246442305</v>
      </c>
      <c r="S215" s="720">
        <f ca="1">S212-S213</f>
        <v>161346.79275640368</v>
      </c>
      <c r="T215" s="720">
        <f ca="1">T212-T213</f>
        <v>112676.20625407994</v>
      </c>
      <c r="U215" s="720">
        <f ca="1">U212-U213</f>
        <v>67495.68724678969</v>
      </c>
      <c r="V215" s="720">
        <f ca="1">V212-V213</f>
        <v>28305.376743894481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409299.68342772999</v>
      </c>
      <c r="N217" s="720">
        <f t="shared" ca="1" si="95"/>
        <v>376065.50746391038</v>
      </c>
      <c r="O217" s="720">
        <f t="shared" ca="1" si="95"/>
        <v>339176.28739675268</v>
      </c>
      <c r="P217" s="720">
        <f t="shared" ca="1" si="95"/>
        <v>299154.95279974717</v>
      </c>
      <c r="Q217" s="720">
        <f t="shared" ca="1" si="95"/>
        <v>256375.0569111644</v>
      </c>
      <c r="R217" s="720">
        <f t="shared" ca="1" si="95"/>
        <v>210117.13246442305</v>
      </c>
      <c r="S217" s="720">
        <f t="shared" ca="1" si="95"/>
        <v>161346.79275640368</v>
      </c>
      <c r="T217" s="720">
        <f t="shared" ca="1" si="95"/>
        <v>112676.20625407994</v>
      </c>
      <c r="U217" s="720">
        <f t="shared" ca="1" si="95"/>
        <v>67495.68724678969</v>
      </c>
      <c r="V217" s="720">
        <f t="shared" ca="1" si="95"/>
        <v>28305.376743894481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15700.316572270025</v>
      </c>
      <c r="N218" s="875">
        <f t="shared" ref="N218:V218" ca="1" si="96">N158-N214-N219-M224-N213</f>
        <v>17533.859391549624</v>
      </c>
      <c r="O218" s="875">
        <f t="shared" ca="1" si="96"/>
        <v>19355.360675608092</v>
      </c>
      <c r="P218" s="875">
        <f t="shared" ca="1" si="96"/>
        <v>20665.973921397388</v>
      </c>
      <c r="Q218" s="875">
        <f t="shared" ca="1" si="96"/>
        <v>22113.921967185357</v>
      </c>
      <c r="R218" s="875">
        <f t="shared" ca="1" si="96"/>
        <v>24144.002479555984</v>
      </c>
      <c r="S218" s="875">
        <f t="shared" ca="1" si="96"/>
        <v>24626.337228463392</v>
      </c>
      <c r="T218" s="875">
        <f t="shared" ca="1" si="96"/>
        <v>24044.249273860351</v>
      </c>
      <c r="U218" s="875">
        <f t="shared" ca="1" si="96"/>
        <v>21136.269733429905</v>
      </c>
      <c r="V218" s="875">
        <f t="shared" ca="1" si="96"/>
        <v>18054.040769465308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21355.210982841811</v>
      </c>
      <c r="N219" s="85">
        <f t="shared" ca="1" si="97"/>
        <v>19621.217851929523</v>
      </c>
      <c r="O219" s="85">
        <f t="shared" ca="1" si="97"/>
        <v>17696.522794925571</v>
      </c>
      <c r="P219" s="85">
        <f t="shared" ca="1" si="97"/>
        <v>15608.409662326809</v>
      </c>
      <c r="Q219" s="85">
        <f t="shared" ca="1" si="97"/>
        <v>13376.368594340003</v>
      </c>
      <c r="R219" s="85">
        <f t="shared" ca="1" si="97"/>
        <v>10962.861386331273</v>
      </c>
      <c r="S219" s="85">
        <f t="shared" ca="1" si="97"/>
        <v>8418.2689120653613</v>
      </c>
      <c r="T219" s="85">
        <f t="shared" ca="1" si="97"/>
        <v>5878.8810613066207</v>
      </c>
      <c r="U219" s="85">
        <f t="shared" ca="1" si="97"/>
        <v>3521.5874821012521</v>
      </c>
      <c r="V219" s="85">
        <f t="shared" ca="1" si="97"/>
        <v>1476.8330316126946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393599.36685545999</v>
      </c>
      <c r="N220" s="85">
        <f t="shared" ca="1" si="98"/>
        <v>358531.64807236078</v>
      </c>
      <c r="O220" s="85">
        <f t="shared" ca="1" si="98"/>
        <v>319820.92672114458</v>
      </c>
      <c r="P220" s="85">
        <f t="shared" ca="1" si="98"/>
        <v>278488.97887834976</v>
      </c>
      <c r="Q220" s="85">
        <f t="shared" ca="1" si="98"/>
        <v>234261.13494397904</v>
      </c>
      <c r="R220" s="85">
        <f t="shared" ca="1" si="98"/>
        <v>185973.12998486706</v>
      </c>
      <c r="S220" s="85">
        <f ca="1">S217-S218</f>
        <v>136720.4555279403</v>
      </c>
      <c r="T220" s="85">
        <f ca="1">T217-T218</f>
        <v>88631.956980219591</v>
      </c>
      <c r="U220" s="85">
        <f ca="1">U217-U218</f>
        <v>46359.417513359789</v>
      </c>
      <c r="V220" s="876">
        <f ca="1">V217-V218</f>
        <v>10251.335974429174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393599.36685545999</v>
      </c>
      <c r="N222" s="85">
        <f t="shared" ca="1" si="99"/>
        <v>358531.64807236078</v>
      </c>
      <c r="O222" s="85">
        <f t="shared" ca="1" si="99"/>
        <v>319820.92672114458</v>
      </c>
      <c r="P222" s="85">
        <f t="shared" ca="1" si="99"/>
        <v>278488.97887834976</v>
      </c>
      <c r="Q222" s="85">
        <f t="shared" ca="1" si="99"/>
        <v>234261.13494397904</v>
      </c>
      <c r="R222" s="85">
        <f t="shared" ca="1" si="99"/>
        <v>185973.12998486706</v>
      </c>
      <c r="S222" s="85">
        <f t="shared" ca="1" si="99"/>
        <v>136720.4555279403</v>
      </c>
      <c r="T222" s="85">
        <f t="shared" ca="1" si="99"/>
        <v>88631.956980219591</v>
      </c>
      <c r="U222" s="85">
        <f t="shared" ca="1" si="99"/>
        <v>46359.417513359789</v>
      </c>
      <c r="V222" s="85">
        <f t="shared" ca="1" si="99"/>
        <v>10251.335974429174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17113.372471403021</v>
      </c>
      <c r="N224" s="85">
        <f t="shared" ca="1" si="100"/>
        <v>15588.657281812853</v>
      </c>
      <c r="O224" s="85">
        <f t="shared" ca="1" si="100"/>
        <v>13905.547376396431</v>
      </c>
      <c r="P224" s="85">
        <f t="shared" ca="1" si="100"/>
        <v>12108.468727481582</v>
      </c>
      <c r="Q224" s="85">
        <f t="shared" ca="1" si="100"/>
        <v>10185.478929751755</v>
      </c>
      <c r="R224" s="85">
        <f t="shared" ca="1" si="100"/>
        <v>8085.9567141336993</v>
      </c>
      <c r="S224" s="85">
        <f t="shared" ca="1" si="100"/>
        <v>5944.4914726419047</v>
      </c>
      <c r="T224" s="720">
        <f t="shared" ca="1" si="100"/>
        <v>3853.6436295357976</v>
      </c>
      <c r="U224" s="85">
        <f t="shared" ca="1" si="100"/>
        <v>2015.6688406329558</v>
      </c>
      <c r="V224" s="85">
        <f t="shared" ca="1" si="100"/>
        <v>445.71954538820177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393599.36685545999</v>
      </c>
      <c r="N225" s="85">
        <f t="shared" ca="1" si="101"/>
        <v>358531.64807236078</v>
      </c>
      <c r="O225" s="85">
        <f t="shared" ca="1" si="101"/>
        <v>319820.92672114458</v>
      </c>
      <c r="P225" s="85">
        <f t="shared" ca="1" si="101"/>
        <v>278488.97887834976</v>
      </c>
      <c r="Q225" s="85">
        <f t="shared" ca="1" si="101"/>
        <v>234261.13494397904</v>
      </c>
      <c r="R225" s="85">
        <f t="shared" ca="1" si="101"/>
        <v>185973.12998486706</v>
      </c>
      <c r="S225" s="85">
        <f ca="1">S222-S223</f>
        <v>136720.4555279403</v>
      </c>
      <c r="T225" s="85">
        <f ca="1">T222-T223</f>
        <v>88631.956980219591</v>
      </c>
      <c r="U225" s="85">
        <f ca="1">U222-U223</f>
        <v>46359.417513359789</v>
      </c>
      <c r="V225" s="85">
        <f ca="1">V222-V223</f>
        <v>10251.335974429174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47225.315149508475</v>
      </c>
      <c r="N227" s="85">
        <f t="shared" ca="1" si="102"/>
        <v>40157.264817613148</v>
      </c>
      <c r="O227" s="85">
        <f t="shared" ca="1" si="102"/>
        <v>36402.911533100996</v>
      </c>
      <c r="P227" s="85">
        <f t="shared" ca="1" si="102"/>
        <v>32295.066514002523</v>
      </c>
      <c r="Q227" s="85">
        <f t="shared" ca="1" si="102"/>
        <v>27906.531067317905</v>
      </c>
      <c r="R227" s="85">
        <f t="shared" ca="1" si="102"/>
        <v>23185.436102033378</v>
      </c>
      <c r="S227" s="85">
        <f t="shared" ca="1" si="102"/>
        <v>18121.416969025799</v>
      </c>
      <c r="T227" s="85">
        <f t="shared" ca="1" si="102"/>
        <v>13012.270828476907</v>
      </c>
      <c r="U227" s="85">
        <f t="shared" ca="1" si="102"/>
        <v>8145.9598375442092</v>
      </c>
      <c r="V227" s="85">
        <f t="shared" ca="1" si="102"/>
        <v>3895.6356403722416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42164.3126209115</v>
      </c>
      <c r="N228" s="85">
        <f t="shared" ca="1" si="103"/>
        <v>38632.549628022978</v>
      </c>
      <c r="O228" s="85">
        <f t="shared" ca="1" si="103"/>
        <v>34719.801627684574</v>
      </c>
      <c r="P228" s="85">
        <f t="shared" ca="1" si="103"/>
        <v>30497.987865087678</v>
      </c>
      <c r="Q228" s="85">
        <f t="shared" ca="1" si="103"/>
        <v>25983.541269588073</v>
      </c>
      <c r="R228" s="85">
        <f t="shared" ca="1" si="103"/>
        <v>21085.913886415321</v>
      </c>
      <c r="S228" s="85">
        <f t="shared" ca="1" si="103"/>
        <v>15979.951727534006</v>
      </c>
      <c r="T228" s="85">
        <f t="shared" ca="1" si="103"/>
        <v>10921.422985370798</v>
      </c>
      <c r="U228" s="85">
        <f t="shared" ca="1" si="103"/>
        <v>6307.985048641367</v>
      </c>
      <c r="V228" s="85">
        <f t="shared" ca="1" si="103"/>
        <v>2325.6863451274876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31400.63314454005</v>
      </c>
      <c r="N229" s="727">
        <f t="shared" ca="1" si="104"/>
        <v>35067.718783099248</v>
      </c>
      <c r="O229" s="727">
        <f t="shared" ca="1" si="104"/>
        <v>38710.721351216183</v>
      </c>
      <c r="P229" s="727">
        <f t="shared" ca="1" si="104"/>
        <v>41331.947842794783</v>
      </c>
      <c r="Q229" s="727">
        <f t="shared" ca="1" si="104"/>
        <v>44227.843934370714</v>
      </c>
      <c r="R229" s="727">
        <f t="shared" ca="1" si="104"/>
        <v>48288.004959111968</v>
      </c>
      <c r="S229" s="727">
        <f t="shared" ca="1" si="104"/>
        <v>49252.674456926776</v>
      </c>
      <c r="T229" s="727">
        <f t="shared" ca="1" si="104"/>
        <v>48088.498547720708</v>
      </c>
      <c r="U229" s="727">
        <f t="shared" ca="1" si="104"/>
        <v>42272.539466859809</v>
      </c>
      <c r="V229" s="727">
        <f t="shared" ca="1" si="104"/>
        <v>36108.081538930615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89343.013167245706</v>
      </c>
      <c r="D233" s="104">
        <f t="shared" ref="D233:V233" si="106">D140+D154</f>
        <v>121999.06951687927</v>
      </c>
      <c r="E233" s="104">
        <f t="shared" si="106"/>
        <v>121476.06494435224</v>
      </c>
      <c r="F233" s="104">
        <f t="shared" si="106"/>
        <v>159397.18597050462</v>
      </c>
      <c r="G233" s="104">
        <f t="shared" si="106"/>
        <v>190097.33582811028</v>
      </c>
      <c r="H233" s="104">
        <f t="shared" si="106"/>
        <v>193579.98329342896</v>
      </c>
      <c r="I233" s="104">
        <f t="shared" si="106"/>
        <v>194775.80250539724</v>
      </c>
      <c r="J233" s="104">
        <f t="shared" si="106"/>
        <v>199190.63178751644</v>
      </c>
      <c r="K233" s="104">
        <f t="shared" si="106"/>
        <v>201164.74828323902</v>
      </c>
      <c r="L233" s="104">
        <f t="shared" si="106"/>
        <v>205842.93724912504</v>
      </c>
      <c r="M233" s="104">
        <f t="shared" si="106"/>
        <v>206636.22157055381</v>
      </c>
      <c r="N233" s="104">
        <f t="shared" si="106"/>
        <v>211404.56282333276</v>
      </c>
      <c r="O233" s="104">
        <f t="shared" si="106"/>
        <v>213496.51218873204</v>
      </c>
      <c r="P233" s="104">
        <f t="shared" si="106"/>
        <v>214824.9649175138</v>
      </c>
      <c r="Q233" s="104">
        <f t="shared" si="106"/>
        <v>216457.46328716745</v>
      </c>
      <c r="R233" s="104">
        <f t="shared" si="106"/>
        <v>218375.97777791723</v>
      </c>
      <c r="S233" s="104">
        <f t="shared" si="106"/>
        <v>220293.84628468403</v>
      </c>
      <c r="T233" s="104">
        <f t="shared" si="106"/>
        <v>222179.29806472198</v>
      </c>
      <c r="U233" s="104">
        <f t="shared" si="106"/>
        <v>223796.04112327134</v>
      </c>
      <c r="V233" s="104">
        <f t="shared" si="106"/>
        <v>223074.97390162485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-3837.8362838235726</v>
      </c>
      <c r="D235" s="88">
        <f t="shared" ref="D235:V235" ca="1" si="107">D181+D183</f>
        <v>29934.497811051118</v>
      </c>
      <c r="E235" s="88">
        <f t="shared" ca="1" si="107"/>
        <v>29437.517259050201</v>
      </c>
      <c r="F235" s="88">
        <f t="shared" ca="1" si="107"/>
        <v>19128.493412966236</v>
      </c>
      <c r="G235" s="88">
        <f t="shared" ca="1" si="107"/>
        <v>3752.0736480571063</v>
      </c>
      <c r="H235" s="88">
        <f t="shared" ca="1" si="107"/>
        <v>3752.0736480571063</v>
      </c>
      <c r="I235" s="88">
        <f t="shared" ca="1" si="107"/>
        <v>3752.0736480571063</v>
      </c>
      <c r="J235" s="88">
        <f t="shared" ca="1" si="107"/>
        <v>3752.0736480571063</v>
      </c>
      <c r="K235" s="88">
        <f t="shared" ca="1" si="107"/>
        <v>3752.0736480571063</v>
      </c>
      <c r="L235" s="88">
        <f t="shared" ca="1" si="107"/>
        <v>3752.0736480571063</v>
      </c>
      <c r="M235" s="88">
        <f t="shared" ca="1" si="107"/>
        <v>3752.0736480571063</v>
      </c>
      <c r="N235" s="88">
        <f t="shared" ca="1" si="107"/>
        <v>3752.0736480571063</v>
      </c>
      <c r="O235" s="88">
        <f t="shared" ca="1" si="107"/>
        <v>3752.0736480571063</v>
      </c>
      <c r="P235" s="88">
        <f t="shared" ca="1" si="107"/>
        <v>3752.0736480571063</v>
      </c>
      <c r="Q235" s="88">
        <f t="shared" ca="1" si="107"/>
        <v>3752.0736480571063</v>
      </c>
      <c r="R235" s="88">
        <f t="shared" ca="1" si="107"/>
        <v>3752.0736480571063</v>
      </c>
      <c r="S235" s="88">
        <f t="shared" ca="1" si="107"/>
        <v>3752.0736480571063</v>
      </c>
      <c r="T235" s="88">
        <f t="shared" ca="1" si="107"/>
        <v>3752.0736480571063</v>
      </c>
      <c r="U235" s="88">
        <f t="shared" ca="1" si="107"/>
        <v>3752.0736480571054</v>
      </c>
      <c r="V235" s="88">
        <f t="shared" ca="1" si="107"/>
        <v>3752.0736480570695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39152.720214985442</v>
      </c>
      <c r="G236" s="88">
        <f t="shared" ca="1" si="108"/>
        <v>39870.923422783024</v>
      </c>
      <c r="H236" s="88">
        <f t="shared" ca="1" si="108"/>
        <v>41668.099994878925</v>
      </c>
      <c r="I236" s="88">
        <f t="shared" ca="1" si="108"/>
        <v>40574.738627769744</v>
      </c>
      <c r="J236" s="88">
        <f t="shared" ca="1" si="108"/>
        <v>41104.252285938433</v>
      </c>
      <c r="K236" s="88">
        <f t="shared" ca="1" si="108"/>
        <v>41181.691783052702</v>
      </c>
      <c r="L236" s="88">
        <f t="shared" ca="1" si="108"/>
        <v>56092.831675770984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78625.948294048518</v>
      </c>
      <c r="N237" s="88">
        <f t="shared" ca="1" si="109"/>
        <v>75224.983600712396</v>
      </c>
      <c r="O237" s="88">
        <f t="shared" ca="1" si="109"/>
        <v>75113.63288431718</v>
      </c>
      <c r="P237" s="88">
        <f t="shared" ca="1" si="109"/>
        <v>73627.014356797299</v>
      </c>
      <c r="Q237" s="88">
        <f t="shared" ca="1" si="109"/>
        <v>72134.375001688619</v>
      </c>
      <c r="R237" s="88">
        <f t="shared" ca="1" si="109"/>
        <v>71473.44106114535</v>
      </c>
      <c r="S237" s="88">
        <f t="shared" ca="1" si="109"/>
        <v>67374.091425952574</v>
      </c>
      <c r="T237" s="88">
        <f t="shared" ca="1" si="109"/>
        <v>61100.769376197612</v>
      </c>
      <c r="U237" s="88">
        <f t="shared" ca="1" si="109"/>
        <v>50418.499304404017</v>
      </c>
      <c r="V237" s="88">
        <f t="shared" ca="1" si="109"/>
        <v>40003.717179302854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1093.3396039210511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-18584.607463091783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32638.187523672361</v>
      </c>
      <c r="D242" s="89">
        <f t="shared" ca="1" si="110"/>
        <v>94695.247811051115</v>
      </c>
      <c r="E242" s="89">
        <f t="shared" ca="1" si="110"/>
        <v>94198.267259050204</v>
      </c>
      <c r="F242" s="89">
        <f t="shared" ca="1" si="110"/>
        <v>102629.96362795169</v>
      </c>
      <c r="G242" s="89">
        <f t="shared" ca="1" si="110"/>
        <v>87971.747070840123</v>
      </c>
      <c r="H242" s="89">
        <f t="shared" ca="1" si="110"/>
        <v>89768.923642936032</v>
      </c>
      <c r="I242" s="89">
        <f t="shared" ca="1" si="110"/>
        <v>88675.562275826844</v>
      </c>
      <c r="J242" s="89">
        <f t="shared" ca="1" si="110"/>
        <v>89205.07593399554</v>
      </c>
      <c r="K242" s="89">
        <f t="shared" ca="1" si="110"/>
        <v>89282.515431109816</v>
      </c>
      <c r="L242" s="89">
        <f t="shared" ca="1" si="110"/>
        <v>100497.92615716142</v>
      </c>
      <c r="M242" s="89">
        <f t="shared" ca="1" si="110"/>
        <v>82378.021942105624</v>
      </c>
      <c r="N242" s="89">
        <f t="shared" ca="1" si="110"/>
        <v>78977.057248769503</v>
      </c>
      <c r="O242" s="89">
        <f t="shared" ca="1" si="110"/>
        <v>78865.706532374286</v>
      </c>
      <c r="P242" s="89">
        <f t="shared" ca="1" si="110"/>
        <v>77379.088004854406</v>
      </c>
      <c r="Q242" s="89">
        <f t="shared" ca="1" si="110"/>
        <v>75886.448649745726</v>
      </c>
      <c r="R242" s="89">
        <f t="shared" ca="1" si="110"/>
        <v>75225.514709202456</v>
      </c>
      <c r="S242" s="89">
        <f t="shared" ca="1" si="110"/>
        <v>71126.165074009681</v>
      </c>
      <c r="T242" s="89">
        <f t="shared" ca="1" si="110"/>
        <v>64852.843024254718</v>
      </c>
      <c r="U242" s="89">
        <f t="shared" ca="1" si="110"/>
        <v>54170.572952461123</v>
      </c>
      <c r="V242" s="89">
        <f t="shared" ca="1" si="110"/>
        <v>43755.790827359924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53.191071648732759</v>
      </c>
      <c r="D243" s="884">
        <f t="shared" ref="D243:V243" ca="1" si="111">D242-D106</f>
        <v>41.347085981848068</v>
      </c>
      <c r="E243" s="884">
        <f t="shared" ca="1" si="111"/>
        <v>35.91262426871981</v>
      </c>
      <c r="F243" s="884">
        <f t="shared" ca="1" si="111"/>
        <v>-9750.239896796993</v>
      </c>
      <c r="G243" s="884">
        <f t="shared" ca="1" si="111"/>
        <v>3361.5831873343559</v>
      </c>
      <c r="H243" s="884">
        <f t="shared" ca="1" si="111"/>
        <v>3564.8207094302634</v>
      </c>
      <c r="I243" s="884">
        <f t="shared" ca="1" si="111"/>
        <v>1985.7786423210782</v>
      </c>
      <c r="J243" s="884">
        <f t="shared" ca="1" si="111"/>
        <v>585.22655048976594</v>
      </c>
      <c r="K243" s="884">
        <f t="shared" ca="1" si="111"/>
        <v>-272.75595239594986</v>
      </c>
      <c r="L243" s="884">
        <f t="shared" ca="1" si="111"/>
        <v>8981.6592542464059</v>
      </c>
      <c r="M243" s="884">
        <f t="shared" ca="1" si="111"/>
        <v>2749.3263130888663</v>
      </c>
      <c r="N243" s="884">
        <f t="shared" ca="1" si="111"/>
        <v>2902.1677598613023</v>
      </c>
      <c r="O243" s="884">
        <f t="shared" ca="1" si="111"/>
        <v>2984.142503602241</v>
      </c>
      <c r="P243" s="884">
        <f t="shared" ca="1" si="111"/>
        <v>3073.7223621073645</v>
      </c>
      <c r="Q243" s="884">
        <f t="shared" ca="1" si="111"/>
        <v>3169.2638680933596</v>
      </c>
      <c r="R243" s="884">
        <f t="shared" ca="1" si="111"/>
        <v>3271.8135947146511</v>
      </c>
      <c r="S243" s="884">
        <f t="shared" ca="1" si="111"/>
        <v>3381.7387421087333</v>
      </c>
      <c r="T243" s="884">
        <f t="shared" ca="1" si="111"/>
        <v>3492.5702543430671</v>
      </c>
      <c r="U243" s="884">
        <f t="shared" ca="1" si="111"/>
        <v>3598.1742236637656</v>
      </c>
      <c r="V243" s="884">
        <f t="shared" ca="1" si="111"/>
        <v>3690.5415769100218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60486.384687920247</v>
      </c>
      <c r="D244" s="89">
        <f t="shared" ca="1" si="112"/>
        <v>72981.951071913121</v>
      </c>
      <c r="E244" s="89">
        <f t="shared" ca="1" si="112"/>
        <v>71139.025532805565</v>
      </c>
      <c r="F244" s="89">
        <f t="shared" ca="1" si="112"/>
        <v>69117.717628914048</v>
      </c>
      <c r="G244" s="89">
        <f t="shared" ca="1" si="112"/>
        <v>66251.388379664219</v>
      </c>
      <c r="H244" s="89">
        <f t="shared" ca="1" si="112"/>
        <v>63952.671860054194</v>
      </c>
      <c r="I244" s="89">
        <f t="shared" ca="1" si="112"/>
        <v>61408.066969129359</v>
      </c>
      <c r="J244" s="89">
        <f t="shared" ca="1" si="112"/>
        <v>58678.470037998384</v>
      </c>
      <c r="K244" s="89">
        <f t="shared" ca="1" si="112"/>
        <v>55635.456947016726</v>
      </c>
      <c r="L244" s="89">
        <f t="shared" ca="1" si="112"/>
        <v>48216.416532992356</v>
      </c>
      <c r="M244" s="89">
        <f t="shared" ca="1" si="112"/>
        <v>50977.388797565582</v>
      </c>
      <c r="N244" s="89">
        <f t="shared" ca="1" si="112"/>
        <v>43909.338465670255</v>
      </c>
      <c r="O244" s="89">
        <f t="shared" ca="1" si="112"/>
        <v>40154.985181158103</v>
      </c>
      <c r="P244" s="89">
        <f t="shared" ca="1" si="112"/>
        <v>36047.14016205963</v>
      </c>
      <c r="Q244" s="89">
        <f t="shared" ca="1" si="112"/>
        <v>31658.604715375011</v>
      </c>
      <c r="R244" s="89">
        <f t="shared" ca="1" si="112"/>
        <v>26937.509750090485</v>
      </c>
      <c r="S244" s="89">
        <f t="shared" ca="1" si="112"/>
        <v>21873.490617082905</v>
      </c>
      <c r="T244" s="89">
        <f t="shared" ca="1" si="112"/>
        <v>16764.344476534014</v>
      </c>
      <c r="U244" s="89">
        <f t="shared" ca="1" si="112"/>
        <v>11898.033485601314</v>
      </c>
      <c r="V244" s="89">
        <f t="shared" ca="1" si="112"/>
        <v>7647.7092884293106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72930.023233789339</v>
      </c>
      <c r="D245" s="89">
        <f t="shared" ca="1" si="112"/>
        <v>72240.984820690035</v>
      </c>
      <c r="E245" s="89">
        <f t="shared" ca="1" si="112"/>
        <v>70352.128908897459</v>
      </c>
      <c r="F245" s="89">
        <f t="shared" ca="1" si="112"/>
        <v>67854.640142826349</v>
      </c>
      <c r="G245" s="89">
        <f t="shared" ca="1" si="112"/>
        <v>65371.713852671586</v>
      </c>
      <c r="H245" s="89">
        <f t="shared" ca="1" si="112"/>
        <v>62907.113662847478</v>
      </c>
      <c r="I245" s="89">
        <f t="shared" ca="1" si="112"/>
        <v>60303.733409208115</v>
      </c>
      <c r="J245" s="89">
        <f t="shared" ca="1" si="112"/>
        <v>57442.142499210495</v>
      </c>
      <c r="K245" s="89">
        <f t="shared" ca="1" si="112"/>
        <v>54272.751078410955</v>
      </c>
      <c r="L245" s="89">
        <f t="shared" ca="1" si="112"/>
        <v>49794.744559880186</v>
      </c>
      <c r="M245" s="89">
        <f t="shared" ca="1" si="112"/>
        <v>45916.386268968607</v>
      </c>
      <c r="N245" s="89">
        <f t="shared" ca="1" si="112"/>
        <v>42384.623276080085</v>
      </c>
      <c r="O245" s="89">
        <f t="shared" ca="1" si="112"/>
        <v>38471.875275741681</v>
      </c>
      <c r="P245" s="89">
        <f t="shared" ca="1" si="112"/>
        <v>34250.061513144785</v>
      </c>
      <c r="Q245" s="89">
        <f t="shared" ca="1" si="112"/>
        <v>29735.61491764518</v>
      </c>
      <c r="R245" s="89">
        <f t="shared" ca="1" si="112"/>
        <v>24837.987534472428</v>
      </c>
      <c r="S245" s="89">
        <f t="shared" ca="1" si="112"/>
        <v>19732.025375591111</v>
      </c>
      <c r="T245" s="89">
        <f t="shared" ca="1" si="112"/>
        <v>14673.496633427905</v>
      </c>
      <c r="U245" s="89">
        <f t="shared" ca="1" si="112"/>
        <v>10060.058696698472</v>
      </c>
      <c r="V245" s="89">
        <f t="shared" ca="1" si="112"/>
        <v>6077.7599931845316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-10356.929305077148</v>
      </c>
      <c r="D246" s="89">
        <f t="shared" ca="1" si="113"/>
        <v>21713.296739137997</v>
      </c>
      <c r="E246" s="89">
        <f t="shared" ca="1" si="113"/>
        <v>23059.241726244643</v>
      </c>
      <c r="F246" s="89">
        <f t="shared" ca="1" si="113"/>
        <v>33512.245999037637</v>
      </c>
      <c r="G246" s="89">
        <f t="shared" ca="1" si="113"/>
        <v>21720.358691175919</v>
      </c>
      <c r="H246" s="89">
        <f t="shared" ca="1" si="113"/>
        <v>25816.251782881838</v>
      </c>
      <c r="I246" s="89">
        <f t="shared" ca="1" si="113"/>
        <v>27267.495306697492</v>
      </c>
      <c r="J246" s="89">
        <f t="shared" ca="1" si="113"/>
        <v>30526.605895997156</v>
      </c>
      <c r="K246" s="89">
        <f t="shared" ca="1" si="113"/>
        <v>33647.058484093082</v>
      </c>
      <c r="L246" s="89">
        <f t="shared" ca="1" si="113"/>
        <v>52281.509624169063</v>
      </c>
      <c r="M246" s="89">
        <f t="shared" ca="1" si="113"/>
        <v>31400.63314454005</v>
      </c>
      <c r="N246" s="89">
        <f t="shared" ca="1" si="113"/>
        <v>35067.718783099248</v>
      </c>
      <c r="O246" s="89">
        <f t="shared" ca="1" si="113"/>
        <v>38710.721351216183</v>
      </c>
      <c r="P246" s="89">
        <f t="shared" ca="1" si="113"/>
        <v>41331.947842794783</v>
      </c>
      <c r="Q246" s="89">
        <f t="shared" ca="1" si="113"/>
        <v>44227.843934370714</v>
      </c>
      <c r="R246" s="89">
        <f t="shared" ca="1" si="113"/>
        <v>48288.004959111968</v>
      </c>
      <c r="S246" s="89">
        <f t="shared" ca="1" si="113"/>
        <v>49252.674456926776</v>
      </c>
      <c r="T246" s="89">
        <f t="shared" ca="1" si="113"/>
        <v>48088.498547720708</v>
      </c>
      <c r="U246" s="89">
        <f t="shared" ca="1" si="113"/>
        <v>42272.539466859809</v>
      </c>
      <c r="V246" s="89">
        <f t="shared" ca="1" si="113"/>
        <v>36108.081538930615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855.24969689959732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1.0038833602074082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2.0675007873583047</v>
      </c>
      <c r="G251" s="577">
        <f ca="1">G233/G242</f>
        <v>2.1608907650206435</v>
      </c>
      <c r="H251" s="577">
        <f t="shared" ref="H251:V251" ca="1" si="115">H233/H242</f>
        <v>2.1564253578823198</v>
      </c>
      <c r="I251" s="577">
        <f t="shared" ca="1" si="115"/>
        <v>2.1964992102282226</v>
      </c>
      <c r="J251" s="577">
        <f t="shared" ca="1" si="115"/>
        <v>2.2329517653782527</v>
      </c>
      <c r="K251" s="577">
        <f t="shared" ca="1" si="115"/>
        <v>2.2531259039006049</v>
      </c>
      <c r="L251" s="577">
        <f t="shared" ca="1" si="115"/>
        <v>2.0482306960963772</v>
      </c>
      <c r="M251" s="577">
        <f t="shared" ca="1" si="115"/>
        <v>2.5083901834372218</v>
      </c>
      <c r="N251" s="889">
        <f t="shared" ca="1" si="115"/>
        <v>2.6767845015727847</v>
      </c>
      <c r="O251" s="577">
        <f t="shared" ca="1" si="115"/>
        <v>2.7070893240662461</v>
      </c>
      <c r="P251" s="577">
        <f t="shared" ca="1" si="115"/>
        <v>2.7762664365343346</v>
      </c>
      <c r="Q251" s="577">
        <f t="shared" ca="1" si="115"/>
        <v>2.8523862578709926</v>
      </c>
      <c r="R251" s="577">
        <f t="shared" ca="1" si="115"/>
        <v>2.9029509285790631</v>
      </c>
      <c r="S251" s="577">
        <f t="shared" ca="1" si="115"/>
        <v>3.0972265418142433</v>
      </c>
      <c r="T251" s="577">
        <f t="shared" ca="1" si="115"/>
        <v>3.4258991233680804</v>
      </c>
      <c r="U251" s="577">
        <f t="shared" ca="1" si="115"/>
        <v>4.1313212861837316</v>
      </c>
      <c r="V251" s="730">
        <f t="shared" ca="1" si="115"/>
        <v>5.098181741972744</v>
      </c>
      <c r="W251"/>
      <c r="X251"/>
      <c r="Y251"/>
      <c r="Z251"/>
      <c r="AA251"/>
      <c r="AB251"/>
      <c r="AC251"/>
      <c r="AD251"/>
    </row>
    <row r="252" spans="1:31" ht="13.5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5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2.7818894594861279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2.0482306960963772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0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-7.587293649481941E-2</v>
      </c>
      <c r="G259" s="883">
        <f t="shared" ca="1" si="116"/>
        <v>-9.626992086590791E-2</v>
      </c>
      <c r="H259" s="883">
        <f t="shared" ca="1" si="116"/>
        <v>-9.4063741694726755E-2</v>
      </c>
      <c r="I259" s="883">
        <f t="shared" ca="1" si="116"/>
        <v>-9.704531617629053E-2</v>
      </c>
      <c r="J259" s="883">
        <f t="shared" ca="1" si="116"/>
        <v>-9.8044530351592218E-2</v>
      </c>
      <c r="K259" s="883">
        <f t="shared" ca="1" si="116"/>
        <v>-9.8840765387645302E-2</v>
      </c>
      <c r="L259" s="883">
        <f t="shared" ca="1" si="116"/>
        <v>-0.3904604733942989</v>
      </c>
      <c r="M259" s="883">
        <f t="shared" ca="1" si="116"/>
        <v>-0.11970176399172683</v>
      </c>
      <c r="N259" s="883">
        <f t="shared" ca="1" si="116"/>
        <v>-0.13351272554858706</v>
      </c>
      <c r="O259" s="883">
        <f t="shared" ca="1" si="116"/>
        <v>-0.13522443431019804</v>
      </c>
      <c r="P259" s="883">
        <f t="shared" ca="1" si="116"/>
        <v>-0.141480083465372</v>
      </c>
      <c r="Q259" s="883">
        <f t="shared" ca="1" si="116"/>
        <v>-0.14836703460711265</v>
      </c>
      <c r="R259" s="883">
        <f t="shared" ca="1" si="116"/>
        <v>-0.1523934697841991</v>
      </c>
      <c r="S259" s="883">
        <f t="shared" ca="1" si="116"/>
        <v>-0.17248502864600956</v>
      </c>
      <c r="T259" s="883">
        <f ca="1">T251-T156</f>
        <v>-0.21037747892416547</v>
      </c>
      <c r="U259" s="883">
        <f ca="1">U251-U156</f>
        <v>-0.30744710658600116</v>
      </c>
      <c r="V259" s="883">
        <f ca="1">V251-V156</f>
        <v>-0.47817439767718461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A4" zoomScale="75" workbookViewId="0">
      <selection activeCell="I6" sqref="I6"/>
    </sheetView>
  </sheetViews>
  <sheetFormatPr defaultRowHeight="12.75"/>
  <cols>
    <col min="1" max="1" width="60.42578125" style="22" customWidth="1"/>
    <col min="2" max="2" width="9.7109375" style="22" customWidth="1"/>
    <col min="3" max="6" width="9" style="41" customWidth="1"/>
    <col min="7" max="7" width="14.85546875" style="22" customWidth="1"/>
    <col min="8" max="8" width="14.140625" style="22" customWidth="1"/>
    <col min="9" max="9" width="11.140625" style="22" customWidth="1"/>
    <col min="10" max="12" width="11.5703125" style="22" customWidth="1"/>
    <col min="13" max="13" width="11.28515625" style="22" customWidth="1"/>
    <col min="14" max="14" width="11.5703125" style="22" customWidth="1"/>
    <col min="15" max="15" width="11.28515625" style="22" customWidth="1"/>
    <col min="16" max="17" width="11.5703125" style="22" customWidth="1"/>
    <col min="18" max="18" width="11.140625" style="22" customWidth="1"/>
    <col min="19" max="19" width="10.5703125" style="22" customWidth="1"/>
    <col min="20" max="22" width="11.140625" style="22" customWidth="1"/>
    <col min="23" max="23" width="10.85546875" style="22" customWidth="1"/>
    <col min="24" max="24" width="11.140625" style="22" customWidth="1"/>
    <col min="25" max="25" width="10.85546875" style="22" customWidth="1"/>
    <col min="26" max="27" width="11.140625" style="22" customWidth="1"/>
    <col min="28" max="28" width="11.5703125" style="22" customWidth="1"/>
    <col min="29" max="29" width="11.140625" style="22" customWidth="1"/>
    <col min="30" max="31" width="9.140625" style="8"/>
    <col min="32" max="32" width="12.140625" style="22" hidden="1" customWidth="1"/>
    <col min="33" max="33" width="11.7109375" style="22" hidden="1" customWidth="1"/>
    <col min="34" max="16384" width="9.140625" style="22"/>
  </cols>
  <sheetData>
    <row r="2" spans="1:33" ht="18.75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0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5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75">
      <c r="A11" s="47" t="s">
        <v>40</v>
      </c>
      <c r="AF11" s="810" t="s">
        <v>246</v>
      </c>
      <c r="AG11" s="423"/>
    </row>
    <row r="12" spans="1:33" ht="15.75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V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493680.962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24684.0481</v>
      </c>
      <c r="I18" s="250">
        <f t="shared" si="2"/>
        <v>46899.69139</v>
      </c>
      <c r="J18" s="250">
        <f t="shared" si="2"/>
        <v>42209.722251000007</v>
      </c>
      <c r="K18" s="250">
        <f t="shared" si="2"/>
        <v>38013.434073999997</v>
      </c>
      <c r="L18" s="250">
        <f t="shared" si="2"/>
        <v>34212.090666600001</v>
      </c>
      <c r="M18" s="250">
        <f t="shared" si="2"/>
        <v>30756.3239326</v>
      </c>
      <c r="N18" s="250">
        <f t="shared" si="2"/>
        <v>29127.176757999998</v>
      </c>
      <c r="O18" s="250">
        <f t="shared" si="2"/>
        <v>29176.544854200001</v>
      </c>
      <c r="P18" s="250">
        <f t="shared" si="2"/>
        <v>29127.176757999998</v>
      </c>
      <c r="Q18" s="250">
        <f t="shared" si="2"/>
        <v>29176.544854200001</v>
      </c>
      <c r="R18" s="250">
        <f t="shared" si="2"/>
        <v>29127.176757999998</v>
      </c>
      <c r="S18" s="250">
        <f t="shared" si="2"/>
        <v>29176.544854200001</v>
      </c>
      <c r="T18" s="250">
        <f t="shared" si="2"/>
        <v>29127.176757999998</v>
      </c>
      <c r="U18" s="250">
        <f t="shared" si="2"/>
        <v>29176.544854200001</v>
      </c>
      <c r="V18" s="250">
        <f t="shared" si="2"/>
        <v>29127.176757999998</v>
      </c>
      <c r="W18" s="250">
        <f t="shared" si="2"/>
        <v>0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501480.962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25074.0481</v>
      </c>
      <c r="I20" s="250">
        <f t="shared" si="4"/>
        <v>47289.69139</v>
      </c>
      <c r="J20" s="250">
        <f t="shared" si="4"/>
        <v>42599.722251000007</v>
      </c>
      <c r="K20" s="250">
        <f t="shared" si="4"/>
        <v>38403.434073999997</v>
      </c>
      <c r="L20" s="250">
        <f t="shared" si="4"/>
        <v>34602.090666600001</v>
      </c>
      <c r="M20" s="250">
        <f t="shared" si="4"/>
        <v>31146.3239326</v>
      </c>
      <c r="N20" s="250">
        <f t="shared" si="4"/>
        <v>29517.176757999998</v>
      </c>
      <c r="O20" s="250">
        <f t="shared" si="4"/>
        <v>29566.544854200001</v>
      </c>
      <c r="P20" s="250">
        <f t="shared" si="4"/>
        <v>29517.176757999998</v>
      </c>
      <c r="Q20" s="250">
        <f t="shared" si="4"/>
        <v>29566.544854200001</v>
      </c>
      <c r="R20" s="250">
        <f t="shared" si="4"/>
        <v>29517.176757999998</v>
      </c>
      <c r="S20" s="250">
        <f t="shared" si="4"/>
        <v>29566.544854200001</v>
      </c>
      <c r="T20" s="250">
        <f t="shared" si="4"/>
        <v>29517.176757999998</v>
      </c>
      <c r="U20" s="250">
        <f t="shared" si="4"/>
        <v>29566.544854200001</v>
      </c>
      <c r="V20" s="250">
        <f t="shared" si="4"/>
        <v>29517.176757999998</v>
      </c>
      <c r="W20" s="250">
        <f t="shared" si="4"/>
        <v>390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501480.962</v>
      </c>
      <c r="H22" s="250">
        <f>G22-H20</f>
        <v>476406.91389999999</v>
      </c>
      <c r="I22" s="250">
        <f t="shared" ref="I22:AA22" si="5">H22-I20</f>
        <v>429117.22250999999</v>
      </c>
      <c r="J22" s="250">
        <f t="shared" si="5"/>
        <v>386517.50025899999</v>
      </c>
      <c r="K22" s="250">
        <f t="shared" si="5"/>
        <v>348114.066185</v>
      </c>
      <c r="L22" s="250">
        <f t="shared" si="5"/>
        <v>313511.97551840002</v>
      </c>
      <c r="M22" s="250">
        <f t="shared" si="5"/>
        <v>282365.65158580005</v>
      </c>
      <c r="N22" s="250">
        <f t="shared" si="5"/>
        <v>252848.47482780006</v>
      </c>
      <c r="O22" s="250">
        <f t="shared" si="5"/>
        <v>223281.92997360005</v>
      </c>
      <c r="P22" s="250">
        <f t="shared" si="5"/>
        <v>193764.75321560007</v>
      </c>
      <c r="Q22" s="250">
        <f t="shared" si="5"/>
        <v>164198.20836140006</v>
      </c>
      <c r="R22" s="250">
        <f t="shared" si="5"/>
        <v>134681.03160340007</v>
      </c>
      <c r="S22" s="250">
        <f t="shared" si="5"/>
        <v>105114.48674920006</v>
      </c>
      <c r="T22" s="250">
        <f t="shared" si="5"/>
        <v>75597.309991200062</v>
      </c>
      <c r="U22" s="250">
        <f t="shared" si="5"/>
        <v>46030.76513700006</v>
      </c>
      <c r="V22" s="250">
        <f t="shared" si="5"/>
        <v>16513.588379000063</v>
      </c>
      <c r="W22" s="250">
        <f t="shared" si="5"/>
        <v>16123.588379000063</v>
      </c>
      <c r="X22" s="250">
        <f t="shared" si="5"/>
        <v>15733.588379000063</v>
      </c>
      <c r="Y22" s="250">
        <f t="shared" si="5"/>
        <v>15343.588379000063</v>
      </c>
      <c r="Z22" s="250">
        <f t="shared" si="5"/>
        <v>14953.588379000063</v>
      </c>
      <c r="AA22" s="250">
        <f t="shared" si="5"/>
        <v>14563.588379000063</v>
      </c>
      <c r="AB22" s="250">
        <f>AA22-AB20</f>
        <v>14563.588379000063</v>
      </c>
      <c r="AC22" s="250">
        <f>AB22-AC20</f>
        <v>14563.588379000063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0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493680.962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24684.0481</v>
      </c>
      <c r="I30" s="250">
        <f t="shared" si="8"/>
        <v>46899.69139</v>
      </c>
      <c r="J30" s="250">
        <f t="shared" si="8"/>
        <v>42209.722251000007</v>
      </c>
      <c r="K30" s="250">
        <f t="shared" si="8"/>
        <v>38013.434073999997</v>
      </c>
      <c r="L30" s="250">
        <f t="shared" si="8"/>
        <v>34212.090666600001</v>
      </c>
      <c r="M30" s="250">
        <f t="shared" si="8"/>
        <v>30756.3239326</v>
      </c>
      <c r="N30" s="250">
        <f t="shared" si="8"/>
        <v>29127.176757999998</v>
      </c>
      <c r="O30" s="250">
        <f t="shared" si="8"/>
        <v>29176.544854200001</v>
      </c>
      <c r="P30" s="250">
        <f t="shared" si="8"/>
        <v>29127.176757999998</v>
      </c>
      <c r="Q30" s="250">
        <f t="shared" si="8"/>
        <v>29176.544854200001</v>
      </c>
      <c r="R30" s="250">
        <f t="shared" si="8"/>
        <v>29127.176757999998</v>
      </c>
      <c r="S30" s="250">
        <f t="shared" si="8"/>
        <v>29176.544854200001</v>
      </c>
      <c r="T30" s="250">
        <f t="shared" si="8"/>
        <v>29127.176757999998</v>
      </c>
      <c r="U30" s="250">
        <f t="shared" si="8"/>
        <v>29176.544854200001</v>
      </c>
      <c r="V30" s="250">
        <f t="shared" si="8"/>
        <v>29127.176757999998</v>
      </c>
      <c r="W30" s="250">
        <f t="shared" si="8"/>
        <v>0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501480.962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25074.0481</v>
      </c>
      <c r="I32" s="250">
        <f t="shared" si="10"/>
        <v>47289.69139</v>
      </c>
      <c r="J32" s="250">
        <f t="shared" si="10"/>
        <v>42599.722251000007</v>
      </c>
      <c r="K32" s="250">
        <f t="shared" si="10"/>
        <v>38403.434073999997</v>
      </c>
      <c r="L32" s="250">
        <f t="shared" si="10"/>
        <v>34602.090666600001</v>
      </c>
      <c r="M32" s="250">
        <f t="shared" si="10"/>
        <v>31146.3239326</v>
      </c>
      <c r="N32" s="250">
        <f t="shared" si="10"/>
        <v>29517.176757999998</v>
      </c>
      <c r="O32" s="250">
        <f t="shared" si="10"/>
        <v>29566.544854200001</v>
      </c>
      <c r="P32" s="250">
        <f t="shared" si="10"/>
        <v>29517.176757999998</v>
      </c>
      <c r="Q32" s="250">
        <f t="shared" si="10"/>
        <v>29566.544854200001</v>
      </c>
      <c r="R32" s="250">
        <f t="shared" si="10"/>
        <v>29517.176757999998</v>
      </c>
      <c r="S32" s="250">
        <f t="shared" si="10"/>
        <v>29566.544854200001</v>
      </c>
      <c r="T32" s="250">
        <f t="shared" si="10"/>
        <v>29517.176757999998</v>
      </c>
      <c r="U32" s="250">
        <f t="shared" si="10"/>
        <v>29566.544854200001</v>
      </c>
      <c r="V32" s="250">
        <f t="shared" si="10"/>
        <v>29517.176757999998</v>
      </c>
      <c r="W32" s="250">
        <f t="shared" si="10"/>
        <v>390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501480.962</v>
      </c>
      <c r="H34" s="31">
        <f>G34-H32</f>
        <v>476406.91389999999</v>
      </c>
      <c r="I34" s="31">
        <f t="shared" ref="I34:AC34" si="11">H34-I32</f>
        <v>429117.22250999999</v>
      </c>
      <c r="J34" s="31">
        <f t="shared" si="11"/>
        <v>386517.50025899999</v>
      </c>
      <c r="K34" s="31">
        <f t="shared" si="11"/>
        <v>348114.066185</v>
      </c>
      <c r="L34" s="31">
        <f t="shared" si="11"/>
        <v>313511.97551840002</v>
      </c>
      <c r="M34" s="31">
        <f t="shared" si="11"/>
        <v>282365.65158580005</v>
      </c>
      <c r="N34" s="31">
        <f t="shared" si="11"/>
        <v>252848.47482780006</v>
      </c>
      <c r="O34" s="31">
        <f t="shared" si="11"/>
        <v>223281.92997360005</v>
      </c>
      <c r="P34" s="31">
        <f t="shared" si="11"/>
        <v>193764.75321560007</v>
      </c>
      <c r="Q34" s="31">
        <f t="shared" si="11"/>
        <v>164198.20836140006</v>
      </c>
      <c r="R34" s="31">
        <f t="shared" si="11"/>
        <v>134681.03160340007</v>
      </c>
      <c r="S34" s="31">
        <f t="shared" si="11"/>
        <v>105114.48674920006</v>
      </c>
      <c r="T34" s="31">
        <f t="shared" si="11"/>
        <v>75597.309991200062</v>
      </c>
      <c r="U34" s="31">
        <f t="shared" si="11"/>
        <v>46030.76513700006</v>
      </c>
      <c r="V34" s="31">
        <f t="shared" si="11"/>
        <v>16513.588379000063</v>
      </c>
      <c r="W34" s="31">
        <f t="shared" si="11"/>
        <v>16123.588379000063</v>
      </c>
      <c r="X34" s="31">
        <f t="shared" si="11"/>
        <v>15733.588379000063</v>
      </c>
      <c r="Y34" s="31">
        <f t="shared" si="11"/>
        <v>15343.588379000063</v>
      </c>
      <c r="Z34" s="31">
        <f t="shared" si="11"/>
        <v>14953.588379000063</v>
      </c>
      <c r="AA34" s="31">
        <f>Z34-AA32</f>
        <v>14563.588379000063</v>
      </c>
      <c r="AB34" s="31">
        <f>AA34-AB32</f>
        <v>14563.588379000063</v>
      </c>
      <c r="AC34" s="31">
        <f t="shared" si="11"/>
        <v>14563.588379000063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14810.428860000002</v>
      </c>
      <c r="I40" s="250">
        <f t="shared" si="14"/>
        <v>14810.428860000002</v>
      </c>
      <c r="J40" s="250">
        <f t="shared" si="14"/>
        <v>14810.428860000002</v>
      </c>
      <c r="K40" s="250">
        <f t="shared" si="14"/>
        <v>14810.428860000002</v>
      </c>
      <c r="L40" s="250">
        <f t="shared" si="14"/>
        <v>14810.428860000002</v>
      </c>
      <c r="M40" s="250">
        <f t="shared" si="14"/>
        <v>14810.428860000002</v>
      </c>
      <c r="N40" s="250">
        <f t="shared" si="14"/>
        <v>14810.428860000002</v>
      </c>
      <c r="O40" s="250">
        <f t="shared" si="14"/>
        <v>14810.428860000002</v>
      </c>
      <c r="P40" s="250">
        <f t="shared" si="14"/>
        <v>14810.428860000002</v>
      </c>
      <c r="Q40" s="250">
        <f t="shared" si="14"/>
        <v>14810.428860000002</v>
      </c>
      <c r="R40" s="250">
        <f t="shared" si="14"/>
        <v>14810.428860000002</v>
      </c>
      <c r="S40" s="250">
        <f t="shared" si="14"/>
        <v>14810.428860000002</v>
      </c>
      <c r="T40" s="250">
        <f t="shared" si="14"/>
        <v>14810.428860000002</v>
      </c>
      <c r="U40" s="250">
        <f t="shared" si="14"/>
        <v>14810.428860000002</v>
      </c>
      <c r="V40" s="250">
        <f t="shared" si="14"/>
        <v>14810.428860000002</v>
      </c>
      <c r="W40" s="250">
        <f t="shared" si="14"/>
        <v>14810.428860000002</v>
      </c>
      <c r="X40" s="250">
        <f t="shared" si="14"/>
        <v>14810.428860000002</v>
      </c>
      <c r="Y40" s="250">
        <f t="shared" si="14"/>
        <v>14810.428860000002</v>
      </c>
      <c r="Z40" s="250">
        <f t="shared" si="14"/>
        <v>14810.428860000002</v>
      </c>
      <c r="AA40" s="250">
        <f t="shared" si="14"/>
        <v>14810.428860000002</v>
      </c>
      <c r="AB40" s="250">
        <f t="shared" si="14"/>
        <v>14810.428860000002</v>
      </c>
      <c r="AC40" s="250">
        <f t="shared" si="14"/>
        <v>14810.428860000002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493680.962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15200.428860000002</v>
      </c>
      <c r="I42" s="250">
        <f t="shared" si="16"/>
        <v>15200.428860000002</v>
      </c>
      <c r="J42" s="250">
        <f t="shared" si="16"/>
        <v>15200.428860000002</v>
      </c>
      <c r="K42" s="250">
        <f t="shared" si="16"/>
        <v>15200.428860000002</v>
      </c>
      <c r="L42" s="250">
        <f t="shared" si="16"/>
        <v>15200.428860000002</v>
      </c>
      <c r="M42" s="250">
        <f t="shared" si="16"/>
        <v>15200.428860000002</v>
      </c>
      <c r="N42" s="250">
        <f t="shared" si="16"/>
        <v>15200.428860000002</v>
      </c>
      <c r="O42" s="250">
        <f t="shared" si="16"/>
        <v>15200.428860000002</v>
      </c>
      <c r="P42" s="250">
        <f t="shared" si="16"/>
        <v>15200.428860000002</v>
      </c>
      <c r="Q42" s="250">
        <f t="shared" si="16"/>
        <v>15200.428860000002</v>
      </c>
      <c r="R42" s="250">
        <f t="shared" si="16"/>
        <v>15200.428860000002</v>
      </c>
      <c r="S42" s="250">
        <f t="shared" si="16"/>
        <v>15200.428860000002</v>
      </c>
      <c r="T42" s="250">
        <f t="shared" si="16"/>
        <v>15200.428860000002</v>
      </c>
      <c r="U42" s="250">
        <f t="shared" si="16"/>
        <v>15200.428860000002</v>
      </c>
      <c r="V42" s="250">
        <f t="shared" si="16"/>
        <v>15200.428860000002</v>
      </c>
      <c r="W42" s="250">
        <f t="shared" si="16"/>
        <v>15200.428860000002</v>
      </c>
      <c r="X42" s="250">
        <f t="shared" si="16"/>
        <v>15200.428860000002</v>
      </c>
      <c r="Y42" s="250">
        <f t="shared" si="16"/>
        <v>15200.428860000002</v>
      </c>
      <c r="Z42" s="250">
        <f t="shared" si="16"/>
        <v>15200.428860000002</v>
      </c>
      <c r="AA42" s="250">
        <f t="shared" si="16"/>
        <v>15200.428860000002</v>
      </c>
      <c r="AB42" s="250">
        <f t="shared" si="16"/>
        <v>14810.428860000002</v>
      </c>
      <c r="AC42" s="250">
        <f t="shared" si="16"/>
        <v>14810.428860000002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501480.962</v>
      </c>
      <c r="C44" s="249"/>
      <c r="D44" s="59"/>
      <c r="E44" s="59"/>
      <c r="F44" s="59"/>
      <c r="G44" s="250">
        <f>B44-G42</f>
        <v>501480.962</v>
      </c>
      <c r="H44" s="250">
        <f>G44-H42</f>
        <v>486280.53314000001</v>
      </c>
      <c r="I44" s="250">
        <f t="shared" ref="I44:AB44" si="17">H44-I42</f>
        <v>471080.10428000003</v>
      </c>
      <c r="J44" s="250">
        <f t="shared" si="17"/>
        <v>455879.67542000004</v>
      </c>
      <c r="K44" s="250">
        <f t="shared" si="17"/>
        <v>440679.24656000006</v>
      </c>
      <c r="L44" s="250">
        <f t="shared" si="17"/>
        <v>425478.81770000007</v>
      </c>
      <c r="M44" s="250">
        <f t="shared" si="17"/>
        <v>410278.38884000009</v>
      </c>
      <c r="N44" s="250">
        <f t="shared" si="17"/>
        <v>395077.9599800001</v>
      </c>
      <c r="O44" s="250">
        <f t="shared" si="17"/>
        <v>379877.53112000012</v>
      </c>
      <c r="P44" s="250">
        <f t="shared" si="17"/>
        <v>364677.10226000013</v>
      </c>
      <c r="Q44" s="250">
        <f t="shared" si="17"/>
        <v>349476.67340000015</v>
      </c>
      <c r="R44" s="250">
        <f t="shared" si="17"/>
        <v>334276.24454000016</v>
      </c>
      <c r="S44" s="250">
        <f t="shared" si="17"/>
        <v>319075.81568000017</v>
      </c>
      <c r="T44" s="250">
        <f t="shared" si="17"/>
        <v>303875.38682000019</v>
      </c>
      <c r="U44" s="250">
        <f t="shared" si="17"/>
        <v>288674.9579600002</v>
      </c>
      <c r="V44" s="250">
        <f t="shared" si="17"/>
        <v>273474.52910000022</v>
      </c>
      <c r="W44" s="250">
        <f t="shared" si="17"/>
        <v>258274.1002400002</v>
      </c>
      <c r="X44" s="250">
        <f t="shared" si="17"/>
        <v>243073.67138000019</v>
      </c>
      <c r="Y44" s="250">
        <f t="shared" si="17"/>
        <v>227873.24252000017</v>
      </c>
      <c r="Z44" s="250">
        <f t="shared" si="17"/>
        <v>212672.81366000016</v>
      </c>
      <c r="AA44" s="250">
        <f t="shared" si="17"/>
        <v>197472.38480000015</v>
      </c>
      <c r="AB44" s="250">
        <f t="shared" si="17"/>
        <v>182661.95594000013</v>
      </c>
      <c r="AC44" s="250">
        <f>AB44-AC42</f>
        <v>167851.52708000012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75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738629.74002804724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36931.487001402362</v>
      </c>
      <c r="I54" s="250">
        <f t="shared" si="20"/>
        <v>70169.825302664482</v>
      </c>
      <c r="J54" s="250">
        <f t="shared" si="20"/>
        <v>63152.842772398042</v>
      </c>
      <c r="K54" s="250">
        <f t="shared" si="20"/>
        <v>56874.489982159634</v>
      </c>
      <c r="L54" s="250">
        <f t="shared" si="20"/>
        <v>51187.040983943676</v>
      </c>
      <c r="M54" s="250">
        <f t="shared" si="20"/>
        <v>46016.632803747343</v>
      </c>
      <c r="N54" s="250">
        <f t="shared" si="20"/>
        <v>43579.154661654786</v>
      </c>
      <c r="O54" s="250">
        <f t="shared" si="20"/>
        <v>43653.01763565759</v>
      </c>
      <c r="P54" s="250">
        <f t="shared" si="20"/>
        <v>43579.154661654786</v>
      </c>
      <c r="Q54" s="250">
        <f t="shared" si="20"/>
        <v>43653.01763565759</v>
      </c>
      <c r="R54" s="250">
        <f t="shared" si="20"/>
        <v>43579.154661654786</v>
      </c>
      <c r="S54" s="250">
        <f t="shared" si="20"/>
        <v>43653.01763565759</v>
      </c>
      <c r="T54" s="250">
        <f t="shared" si="20"/>
        <v>43579.154661654786</v>
      </c>
      <c r="U54" s="250">
        <f t="shared" si="20"/>
        <v>43653.01763565759</v>
      </c>
      <c r="V54" s="250">
        <f t="shared" si="20"/>
        <v>43579.154661654786</v>
      </c>
      <c r="W54" s="250">
        <f t="shared" si="20"/>
        <v>21789.577330827393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750329.74002804724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37516.487001402362</v>
      </c>
      <c r="I56" s="250">
        <f t="shared" si="22"/>
        <v>70754.825302664482</v>
      </c>
      <c r="J56" s="250">
        <f t="shared" si="22"/>
        <v>63737.842772398042</v>
      </c>
      <c r="K56" s="250">
        <f t="shared" si="22"/>
        <v>57459.489982159634</v>
      </c>
      <c r="L56" s="250">
        <f t="shared" si="22"/>
        <v>51772.040983943676</v>
      </c>
      <c r="M56" s="250">
        <f t="shared" si="22"/>
        <v>46601.632803747343</v>
      </c>
      <c r="N56" s="250">
        <f t="shared" si="22"/>
        <v>44164.154661654786</v>
      </c>
      <c r="O56" s="250">
        <f t="shared" si="22"/>
        <v>44238.01763565759</v>
      </c>
      <c r="P56" s="250">
        <f t="shared" si="22"/>
        <v>44164.154661654786</v>
      </c>
      <c r="Q56" s="250">
        <f t="shared" si="22"/>
        <v>44238.01763565759</v>
      </c>
      <c r="R56" s="250">
        <f t="shared" si="22"/>
        <v>44164.154661654786</v>
      </c>
      <c r="S56" s="250">
        <f t="shared" si="22"/>
        <v>44238.01763565759</v>
      </c>
      <c r="T56" s="250">
        <f t="shared" si="22"/>
        <v>44164.154661654786</v>
      </c>
      <c r="U56" s="250">
        <f t="shared" si="22"/>
        <v>44238.01763565759</v>
      </c>
      <c r="V56" s="250">
        <f t="shared" si="22"/>
        <v>44164.154661654786</v>
      </c>
      <c r="W56" s="250">
        <f t="shared" si="22"/>
        <v>22374.577330827393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750329.74002804724</v>
      </c>
      <c r="H58" s="31">
        <f>G58-H56</f>
        <v>712813.25302664493</v>
      </c>
      <c r="I58" s="31">
        <f t="shared" ref="I58:AC58" si="23">H58-I56</f>
        <v>642058.42772398051</v>
      </c>
      <c r="J58" s="31">
        <f t="shared" si="23"/>
        <v>578320.58495158248</v>
      </c>
      <c r="K58" s="31">
        <f t="shared" si="23"/>
        <v>520861.09496942285</v>
      </c>
      <c r="L58" s="31">
        <f t="shared" si="23"/>
        <v>469089.05398547917</v>
      </c>
      <c r="M58" s="31">
        <f t="shared" si="23"/>
        <v>422487.42118173186</v>
      </c>
      <c r="N58" s="31">
        <f t="shared" si="23"/>
        <v>378323.26652007707</v>
      </c>
      <c r="O58" s="31">
        <f t="shared" si="23"/>
        <v>334085.2488844195</v>
      </c>
      <c r="P58" s="31">
        <f t="shared" si="23"/>
        <v>289921.09422276472</v>
      </c>
      <c r="Q58" s="31">
        <f t="shared" si="23"/>
        <v>245683.07658710712</v>
      </c>
      <c r="R58" s="31">
        <f t="shared" si="23"/>
        <v>201518.92192545233</v>
      </c>
      <c r="S58" s="31">
        <f t="shared" si="23"/>
        <v>157280.90428979474</v>
      </c>
      <c r="T58" s="31">
        <f t="shared" si="23"/>
        <v>113116.74962813995</v>
      </c>
      <c r="U58" s="31">
        <f t="shared" si="23"/>
        <v>68878.731992482353</v>
      </c>
      <c r="V58" s="31">
        <f t="shared" si="23"/>
        <v>24714.577330827567</v>
      </c>
      <c r="W58" s="31">
        <f t="shared" si="23"/>
        <v>2340.0000000001746</v>
      </c>
      <c r="X58" s="31">
        <f t="shared" si="23"/>
        <v>1755.0000000001746</v>
      </c>
      <c r="Y58" s="31">
        <f t="shared" si="23"/>
        <v>1170.0000000001746</v>
      </c>
      <c r="Z58" s="31">
        <f t="shared" si="23"/>
        <v>585.00000000017462</v>
      </c>
      <c r="AA58" s="31">
        <f t="shared" si="23"/>
        <v>1.7462298274040222E-10</v>
      </c>
      <c r="AB58" s="31">
        <f t="shared" si="23"/>
        <v>1.7462298274040222E-10</v>
      </c>
      <c r="AC58" s="31">
        <f t="shared" si="23"/>
        <v>1.7462298274040222E-10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738629.74002804724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36931.487001402362</v>
      </c>
      <c r="I65" s="250">
        <f t="shared" si="26"/>
        <v>70169.825302664482</v>
      </c>
      <c r="J65" s="250">
        <f t="shared" si="26"/>
        <v>63152.842772398042</v>
      </c>
      <c r="K65" s="250">
        <f t="shared" si="26"/>
        <v>56874.489982159634</v>
      </c>
      <c r="L65" s="250">
        <f t="shared" si="26"/>
        <v>51187.040983943676</v>
      </c>
      <c r="M65" s="250">
        <f t="shared" si="26"/>
        <v>46016.632803747343</v>
      </c>
      <c r="N65" s="250">
        <f t="shared" si="26"/>
        <v>43579.154661654786</v>
      </c>
      <c r="O65" s="250">
        <f t="shared" si="26"/>
        <v>43653.01763565759</v>
      </c>
      <c r="P65" s="250">
        <f t="shared" si="26"/>
        <v>43579.154661654786</v>
      </c>
      <c r="Q65" s="250">
        <f t="shared" si="26"/>
        <v>43653.01763565759</v>
      </c>
      <c r="R65" s="250">
        <f t="shared" si="26"/>
        <v>43579.154661654786</v>
      </c>
      <c r="S65" s="250">
        <f t="shared" si="26"/>
        <v>43653.01763565759</v>
      </c>
      <c r="T65" s="250">
        <f t="shared" si="26"/>
        <v>43579.154661654786</v>
      </c>
      <c r="U65" s="250">
        <f t="shared" si="26"/>
        <v>43653.01763565759</v>
      </c>
      <c r="V65" s="250">
        <f t="shared" si="26"/>
        <v>43579.154661654786</v>
      </c>
      <c r="W65" s="250">
        <f t="shared" si="26"/>
        <v>21789.577330827393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750329.74002804724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37516.487001402362</v>
      </c>
      <c r="I67" s="250">
        <f t="shared" si="28"/>
        <v>70754.825302664482</v>
      </c>
      <c r="J67" s="250">
        <f t="shared" si="28"/>
        <v>63737.842772398042</v>
      </c>
      <c r="K67" s="250">
        <f t="shared" si="28"/>
        <v>57459.489982159634</v>
      </c>
      <c r="L67" s="250">
        <f t="shared" si="28"/>
        <v>51772.040983943676</v>
      </c>
      <c r="M67" s="250">
        <f t="shared" si="28"/>
        <v>46601.632803747343</v>
      </c>
      <c r="N67" s="250">
        <f t="shared" si="28"/>
        <v>44164.154661654786</v>
      </c>
      <c r="O67" s="250">
        <f t="shared" si="28"/>
        <v>44238.01763565759</v>
      </c>
      <c r="P67" s="250">
        <f t="shared" si="28"/>
        <v>44164.154661654786</v>
      </c>
      <c r="Q67" s="250">
        <f t="shared" si="28"/>
        <v>44238.01763565759</v>
      </c>
      <c r="R67" s="250">
        <f t="shared" si="28"/>
        <v>44164.154661654786</v>
      </c>
      <c r="S67" s="250">
        <f t="shared" si="28"/>
        <v>44238.01763565759</v>
      </c>
      <c r="T67" s="250">
        <f t="shared" si="28"/>
        <v>44164.154661654786</v>
      </c>
      <c r="U67" s="250">
        <f t="shared" si="28"/>
        <v>44238.01763565759</v>
      </c>
      <c r="V67" s="250">
        <f t="shared" si="28"/>
        <v>44164.154661654786</v>
      </c>
      <c r="W67" s="250">
        <f t="shared" si="28"/>
        <v>22374.577330827393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750329.74002804724</v>
      </c>
      <c r="H69" s="31">
        <f>G69-H67</f>
        <v>712813.25302664493</v>
      </c>
      <c r="I69" s="31">
        <f t="shared" ref="I69:AC69" si="29">H69-I67</f>
        <v>642058.42772398051</v>
      </c>
      <c r="J69" s="31">
        <f t="shared" si="29"/>
        <v>578320.58495158248</v>
      </c>
      <c r="K69" s="31">
        <f t="shared" si="29"/>
        <v>520861.09496942285</v>
      </c>
      <c r="L69" s="31">
        <f t="shared" si="29"/>
        <v>469089.05398547917</v>
      </c>
      <c r="M69" s="31">
        <f t="shared" si="29"/>
        <v>422487.42118173186</v>
      </c>
      <c r="N69" s="31">
        <f t="shared" si="29"/>
        <v>378323.26652007707</v>
      </c>
      <c r="O69" s="31">
        <f t="shared" si="29"/>
        <v>334085.2488844195</v>
      </c>
      <c r="P69" s="31">
        <f t="shared" si="29"/>
        <v>289921.09422276472</v>
      </c>
      <c r="Q69" s="31">
        <f t="shared" si="29"/>
        <v>245683.07658710712</v>
      </c>
      <c r="R69" s="31">
        <f t="shared" si="29"/>
        <v>201518.92192545233</v>
      </c>
      <c r="S69" s="31">
        <f t="shared" si="29"/>
        <v>157280.90428979474</v>
      </c>
      <c r="T69" s="31">
        <f t="shared" si="29"/>
        <v>113116.74962813995</v>
      </c>
      <c r="U69" s="31">
        <f t="shared" si="29"/>
        <v>68878.731992482353</v>
      </c>
      <c r="V69" s="31">
        <f t="shared" si="29"/>
        <v>24714.577330827567</v>
      </c>
      <c r="W69" s="31">
        <f t="shared" si="29"/>
        <v>2340.0000000001746</v>
      </c>
      <c r="X69" s="31">
        <f t="shared" si="29"/>
        <v>1755.0000000001746</v>
      </c>
      <c r="Y69" s="31">
        <f t="shared" si="29"/>
        <v>1170.0000000001746</v>
      </c>
      <c r="Z69" s="31">
        <f t="shared" si="29"/>
        <v>585.00000000017462</v>
      </c>
      <c r="AA69" s="31">
        <f t="shared" si="29"/>
        <v>1.7462298274040222E-10</v>
      </c>
      <c r="AB69" s="31">
        <f t="shared" si="29"/>
        <v>1.7462298274040222E-10</v>
      </c>
      <c r="AC69" s="31">
        <f t="shared" si="29"/>
        <v>1.7462298274040222E-10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738629.74002804724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11815.762861046818</v>
      </c>
      <c r="I75" s="250">
        <f t="shared" si="32"/>
        <v>22158.892200841419</v>
      </c>
      <c r="J75" s="250">
        <f t="shared" si="32"/>
        <v>22158.892200841419</v>
      </c>
      <c r="K75" s="250">
        <f t="shared" si="32"/>
        <v>22158.892200841419</v>
      </c>
      <c r="L75" s="250">
        <f t="shared" si="32"/>
        <v>22158.892200841419</v>
      </c>
      <c r="M75" s="250">
        <f t="shared" si="32"/>
        <v>22158.892200841419</v>
      </c>
      <c r="N75" s="250">
        <f t="shared" si="32"/>
        <v>22158.892200841419</v>
      </c>
      <c r="O75" s="250">
        <f t="shared" si="32"/>
        <v>22158.892200841419</v>
      </c>
      <c r="P75" s="250">
        <f t="shared" si="32"/>
        <v>22158.892200841419</v>
      </c>
      <c r="Q75" s="250">
        <f t="shared" si="32"/>
        <v>22158.892200841419</v>
      </c>
      <c r="R75" s="250">
        <f t="shared" si="32"/>
        <v>22158.892200841419</v>
      </c>
      <c r="S75" s="250">
        <f t="shared" si="32"/>
        <v>22158.892200841419</v>
      </c>
      <c r="T75" s="250">
        <f t="shared" si="32"/>
        <v>22158.892200841419</v>
      </c>
      <c r="U75" s="250">
        <f t="shared" si="32"/>
        <v>22158.892200841419</v>
      </c>
      <c r="V75" s="250">
        <f t="shared" si="32"/>
        <v>22158.892200841419</v>
      </c>
      <c r="W75" s="250">
        <f t="shared" si="32"/>
        <v>22158.892200841419</v>
      </c>
      <c r="X75" s="250">
        <f t="shared" si="32"/>
        <v>22158.892200841419</v>
      </c>
      <c r="Y75" s="250">
        <f t="shared" si="32"/>
        <v>22158.892200841419</v>
      </c>
      <c r="Z75" s="250">
        <f t="shared" si="32"/>
        <v>22158.892200841419</v>
      </c>
      <c r="AA75" s="250">
        <f t="shared" si="32"/>
        <v>22158.892200841419</v>
      </c>
      <c r="AB75" s="250">
        <f t="shared" si="32"/>
        <v>22158.892200841419</v>
      </c>
      <c r="AC75" s="250">
        <f t="shared" si="32"/>
        <v>22158.892200841419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750329.74002804724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12400.762861046818</v>
      </c>
      <c r="I77" s="250">
        <f t="shared" si="34"/>
        <v>22743.892200841419</v>
      </c>
      <c r="J77" s="250">
        <f t="shared" si="34"/>
        <v>22743.892200841419</v>
      </c>
      <c r="K77" s="250">
        <f t="shared" si="34"/>
        <v>22743.892200841419</v>
      </c>
      <c r="L77" s="250">
        <f t="shared" si="34"/>
        <v>22743.892200841419</v>
      </c>
      <c r="M77" s="250">
        <f t="shared" si="34"/>
        <v>22743.892200841419</v>
      </c>
      <c r="N77" s="250">
        <f t="shared" si="34"/>
        <v>22743.892200841419</v>
      </c>
      <c r="O77" s="250">
        <f t="shared" si="34"/>
        <v>22743.892200841419</v>
      </c>
      <c r="P77" s="250">
        <f t="shared" si="34"/>
        <v>22743.892200841419</v>
      </c>
      <c r="Q77" s="250">
        <f t="shared" si="34"/>
        <v>22743.892200841419</v>
      </c>
      <c r="R77" s="250">
        <f t="shared" si="34"/>
        <v>22743.892200841419</v>
      </c>
      <c r="S77" s="250">
        <f t="shared" si="34"/>
        <v>22743.892200841419</v>
      </c>
      <c r="T77" s="250">
        <f t="shared" si="34"/>
        <v>22743.892200841419</v>
      </c>
      <c r="U77" s="250">
        <f t="shared" si="34"/>
        <v>22743.892200841419</v>
      </c>
      <c r="V77" s="250">
        <f t="shared" si="34"/>
        <v>22743.892200841419</v>
      </c>
      <c r="W77" s="250">
        <f t="shared" si="34"/>
        <v>22743.892200841419</v>
      </c>
      <c r="X77" s="250">
        <f t="shared" si="34"/>
        <v>22743.892200841419</v>
      </c>
      <c r="Y77" s="250">
        <f t="shared" si="34"/>
        <v>22743.892200841419</v>
      </c>
      <c r="Z77" s="250">
        <f t="shared" si="34"/>
        <v>22743.892200841419</v>
      </c>
      <c r="AA77" s="250">
        <f t="shared" si="34"/>
        <v>22743.892200841419</v>
      </c>
      <c r="AB77" s="250">
        <f t="shared" si="34"/>
        <v>22158.892200841419</v>
      </c>
      <c r="AC77" s="250">
        <f t="shared" si="34"/>
        <v>22158.892200841419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750329.74002804724</v>
      </c>
      <c r="H79" s="250">
        <f>G79-H77</f>
        <v>737928.97716700041</v>
      </c>
      <c r="I79" s="250">
        <f t="shared" ref="I79:AB79" si="35">H79-I77</f>
        <v>715185.08496615896</v>
      </c>
      <c r="J79" s="250">
        <f t="shared" si="35"/>
        <v>692441.19276531751</v>
      </c>
      <c r="K79" s="250">
        <f t="shared" si="35"/>
        <v>669697.30056447606</v>
      </c>
      <c r="L79" s="250">
        <f t="shared" si="35"/>
        <v>646953.4083636346</v>
      </c>
      <c r="M79" s="250">
        <f t="shared" si="35"/>
        <v>624209.51616279315</v>
      </c>
      <c r="N79" s="250">
        <f t="shared" si="35"/>
        <v>601465.6239619517</v>
      </c>
      <c r="O79" s="250">
        <f t="shared" si="35"/>
        <v>578721.73176111025</v>
      </c>
      <c r="P79" s="250">
        <f t="shared" si="35"/>
        <v>555977.8395602688</v>
      </c>
      <c r="Q79" s="250">
        <f t="shared" si="35"/>
        <v>533233.94735942734</v>
      </c>
      <c r="R79" s="250">
        <f t="shared" si="35"/>
        <v>510490.05515858595</v>
      </c>
      <c r="S79" s="250">
        <f t="shared" si="35"/>
        <v>487746.16295774456</v>
      </c>
      <c r="T79" s="250">
        <f t="shared" si="35"/>
        <v>465002.27075690316</v>
      </c>
      <c r="U79" s="250">
        <f t="shared" si="35"/>
        <v>442258.37855606177</v>
      </c>
      <c r="V79" s="250">
        <f t="shared" si="35"/>
        <v>419514.48635522038</v>
      </c>
      <c r="W79" s="250">
        <f t="shared" si="35"/>
        <v>396770.59415437898</v>
      </c>
      <c r="X79" s="250">
        <f t="shared" si="35"/>
        <v>374026.70195353759</v>
      </c>
      <c r="Y79" s="250">
        <f t="shared" si="35"/>
        <v>351282.80975269619</v>
      </c>
      <c r="Z79" s="250">
        <f t="shared" si="35"/>
        <v>328538.9175518548</v>
      </c>
      <c r="AA79" s="250">
        <f t="shared" si="35"/>
        <v>305795.02535101341</v>
      </c>
      <c r="AB79" s="250">
        <f t="shared" si="35"/>
        <v>283636.13315017201</v>
      </c>
      <c r="AC79" s="250">
        <f>AB79-AC77</f>
        <v>261477.24094933059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6" sqref="I6"/>
    </sheetView>
  </sheetViews>
  <sheetFormatPr defaultRowHeight="12.75"/>
  <cols>
    <col min="1" max="1" width="38.28515625" style="22" customWidth="1"/>
    <col min="2" max="2" width="9.140625" style="22"/>
    <col min="3" max="3" width="16.85546875" style="22" customWidth="1"/>
    <col min="4" max="4" width="17.5703125" style="22" customWidth="1"/>
    <col min="5" max="5" width="10.140625" style="22" customWidth="1"/>
    <col min="6" max="7" width="10.42578125" style="22" customWidth="1"/>
    <col min="8" max="11" width="10.140625" style="22" customWidth="1"/>
    <col min="12" max="25" width="10" style="22" customWidth="1"/>
    <col min="26" max="27" width="10" style="7" customWidth="1"/>
    <col min="28" max="16384" width="9.140625" style="7"/>
  </cols>
  <sheetData>
    <row r="2" spans="1:28" ht="18.75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5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5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8585.2031173885043</v>
      </c>
      <c r="F11" s="32">
        <f>IS!F48</f>
        <v>13926.314833695171</v>
      </c>
      <c r="G11" s="32">
        <f>IS!G48</f>
        <v>15469.25438452141</v>
      </c>
      <c r="H11" s="32">
        <f>IS!H48</f>
        <v>56843.048852023901</v>
      </c>
      <c r="I11" s="32">
        <f>IS!I48</f>
        <v>90182.049883763073</v>
      </c>
      <c r="J11" s="32">
        <f>IS!J48</f>
        <v>96119.864049081749</v>
      </c>
      <c r="K11" s="32">
        <f>IS!K48</f>
        <v>100006.64906105003</v>
      </c>
      <c r="L11" s="32">
        <f>IS!L48</f>
        <v>107524.83134316927</v>
      </c>
      <c r="M11" s="32">
        <f>IS!M48</f>
        <v>113037.67583889182</v>
      </c>
      <c r="N11" s="32">
        <f>IS!N48</f>
        <v>122013.87106044835</v>
      </c>
      <c r="O11" s="32">
        <f>IS!O48</f>
        <v>126599.21423059508</v>
      </c>
      <c r="P11" s="32">
        <f>IS!P48</f>
        <v>135003.51492429015</v>
      </c>
      <c r="Q11" s="32">
        <f>IS!Q48</f>
        <v>141112.25867805368</v>
      </c>
      <c r="R11" s="32">
        <f>IS!R48</f>
        <v>146768.39319297206</v>
      </c>
      <c r="S11" s="32">
        <f>IS!S48</f>
        <v>153022.52553846376</v>
      </c>
      <c r="T11" s="32">
        <f>IS!T48</f>
        <v>159946.60199377182</v>
      </c>
      <c r="U11" s="32">
        <f>IS!U48</f>
        <v>167078.4173748332</v>
      </c>
      <c r="V11" s="32">
        <f>IS!V48</f>
        <v>174130.10996284313</v>
      </c>
      <c r="W11" s="32">
        <f>IS!W48</f>
        <v>180468.04219428822</v>
      </c>
      <c r="X11" s="32">
        <f>IS!X48</f>
        <v>183838.20047434993</v>
      </c>
      <c r="Y11" s="32">
        <f>IS!Y48</f>
        <v>189045.39054010971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27601.19172104682</v>
      </c>
      <c r="F12" s="32">
        <f>IS!F40</f>
        <v>37944.321060841423</v>
      </c>
      <c r="G12" s="32">
        <f>IS!G40</f>
        <v>37944.321060841423</v>
      </c>
      <c r="H12" s="32">
        <f>IS!H40</f>
        <v>37944.321060841423</v>
      </c>
      <c r="I12" s="32">
        <f>IS!I40</f>
        <v>37944.321060841423</v>
      </c>
      <c r="J12" s="32">
        <f>IS!J40</f>
        <v>37944.321060841423</v>
      </c>
      <c r="K12" s="32">
        <f>IS!K40</f>
        <v>37944.321060841423</v>
      </c>
      <c r="L12" s="32">
        <f>IS!L40</f>
        <v>37944.321060841423</v>
      </c>
      <c r="M12" s="32">
        <f>IS!M40</f>
        <v>37944.321060841423</v>
      </c>
      <c r="N12" s="32">
        <f>IS!N40</f>
        <v>37944.321060841423</v>
      </c>
      <c r="O12" s="32">
        <f>IS!O40</f>
        <v>37944.321060841423</v>
      </c>
      <c r="P12" s="32">
        <f>IS!P40</f>
        <v>37944.321060841423</v>
      </c>
      <c r="Q12" s="32">
        <f>IS!Q40</f>
        <v>37944.321060841423</v>
      </c>
      <c r="R12" s="32">
        <f>IS!R40</f>
        <v>37944.321060841423</v>
      </c>
      <c r="S12" s="32">
        <f>IS!S40</f>
        <v>37944.321060841423</v>
      </c>
      <c r="T12" s="32">
        <f>IS!T40</f>
        <v>37944.321060841423</v>
      </c>
      <c r="U12" s="32">
        <f>IS!U40</f>
        <v>37944.321060841423</v>
      </c>
      <c r="V12" s="32">
        <f>IS!V40</f>
        <v>37944.321060841423</v>
      </c>
      <c r="W12" s="32">
        <f>IS!W40</f>
        <v>37944.321060841423</v>
      </c>
      <c r="X12" s="32">
        <f>IS!X40</f>
        <v>37944.321060841423</v>
      </c>
      <c r="Y12" s="32">
        <f>IS!Y40</f>
        <v>36969.321060841423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-62590.535101402362</v>
      </c>
      <c r="F13" s="501">
        <f>-Depreciation!I32-Depreciation!I67</f>
        <v>-118044.51669266447</v>
      </c>
      <c r="G13" s="501">
        <f>-Depreciation!J32-Depreciation!J67</f>
        <v>-106337.56502339806</v>
      </c>
      <c r="H13" s="501">
        <f>-Depreciation!K32-Depreciation!K67</f>
        <v>-95862.924056159623</v>
      </c>
      <c r="I13" s="501">
        <f>-Depreciation!L32-Depreciation!L67</f>
        <v>-86374.131650543684</v>
      </c>
      <c r="J13" s="501">
        <f>-Depreciation!M32-Depreciation!M67</f>
        <v>-77747.956736347347</v>
      </c>
      <c r="K13" s="501">
        <f>-Depreciation!N32-Depreciation!N67</f>
        <v>-73681.331419654787</v>
      </c>
      <c r="L13" s="501">
        <f>-Depreciation!O32-Depreciation!O67</f>
        <v>-73804.562489857592</v>
      </c>
      <c r="M13" s="501">
        <f>-Depreciation!P32-Depreciation!P67</f>
        <v>-73681.331419654787</v>
      </c>
      <c r="N13" s="501">
        <f>-Depreciation!Q32-Depreciation!Q67</f>
        <v>-73804.562489857592</v>
      </c>
      <c r="O13" s="501">
        <f>-Depreciation!R32-Depreciation!R67</f>
        <v>-73681.331419654787</v>
      </c>
      <c r="P13" s="501">
        <f>-Depreciation!S32-Depreciation!S67</f>
        <v>-73804.562489857592</v>
      </c>
      <c r="Q13" s="501">
        <f>-Depreciation!T32-Depreciation!T67</f>
        <v>-73681.331419654787</v>
      </c>
      <c r="R13" s="501">
        <f>-Depreciation!U32-Depreciation!U67</f>
        <v>-73804.562489857592</v>
      </c>
      <c r="S13" s="501">
        <f>-Depreciation!V32-Depreciation!V67</f>
        <v>-73681.331419654787</v>
      </c>
      <c r="T13" s="501">
        <f>-Depreciation!W32-Depreciation!W67</f>
        <v>-22764.577330827393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-26404.140262967034</v>
      </c>
      <c r="F14" s="39">
        <f t="shared" si="0"/>
        <v>-66173.880798127881</v>
      </c>
      <c r="G14" s="39">
        <f t="shared" si="0"/>
        <v>-52923.989578035224</v>
      </c>
      <c r="H14" s="39">
        <f t="shared" si="0"/>
        <v>-1075.5541432942991</v>
      </c>
      <c r="I14" s="39">
        <f t="shared" si="0"/>
        <v>41752.239294060812</v>
      </c>
      <c r="J14" s="39">
        <f t="shared" si="0"/>
        <v>56316.228373575839</v>
      </c>
      <c r="K14" s="39">
        <f t="shared" si="0"/>
        <v>64269.638702236683</v>
      </c>
      <c r="L14" s="39">
        <f t="shared" si="0"/>
        <v>71664.589914153112</v>
      </c>
      <c r="M14" s="39">
        <f t="shared" si="0"/>
        <v>77300.665480078475</v>
      </c>
      <c r="N14" s="39">
        <f t="shared" si="0"/>
        <v>86153.629631432195</v>
      </c>
      <c r="O14" s="39">
        <f t="shared" si="0"/>
        <v>90862.203871781719</v>
      </c>
      <c r="P14" s="39">
        <f t="shared" si="0"/>
        <v>99143.27349527397</v>
      </c>
      <c r="Q14" s="39">
        <f t="shared" si="0"/>
        <v>105375.24831924033</v>
      </c>
      <c r="R14" s="39">
        <f t="shared" si="0"/>
        <v>110908.1517639559</v>
      </c>
      <c r="S14" s="39">
        <f t="shared" si="0"/>
        <v>117285.51517965038</v>
      </c>
      <c r="T14" s="39">
        <f t="shared" si="0"/>
        <v>175126.34572378584</v>
      </c>
      <c r="U14" s="39">
        <f t="shared" si="0"/>
        <v>204047.73843567463</v>
      </c>
      <c r="V14" s="39">
        <f t="shared" si="0"/>
        <v>211099.43102368456</v>
      </c>
      <c r="W14" s="39">
        <f t="shared" si="0"/>
        <v>217437.36325512966</v>
      </c>
      <c r="X14" s="39">
        <f t="shared" si="0"/>
        <v>220807.52153519134</v>
      </c>
      <c r="Y14" s="39">
        <f t="shared" si="0"/>
        <v>226014.71160095115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-26404.140262967034</v>
      </c>
      <c r="F16" s="32">
        <f t="shared" si="1"/>
        <v>-66173.880798127881</v>
      </c>
      <c r="G16" s="32">
        <f t="shared" si="1"/>
        <v>-52923.989578035224</v>
      </c>
      <c r="H16" s="32">
        <f t="shared" si="1"/>
        <v>-1075.5541432942991</v>
      </c>
      <c r="I16" s="32">
        <f t="shared" si="1"/>
        <v>41752.239294060812</v>
      </c>
      <c r="J16" s="32">
        <f t="shared" si="1"/>
        <v>56316.228373575839</v>
      </c>
      <c r="K16" s="32">
        <f t="shared" si="1"/>
        <v>64269.638702236683</v>
      </c>
      <c r="L16" s="32">
        <f t="shared" si="1"/>
        <v>71664.589914153112</v>
      </c>
      <c r="M16" s="32">
        <f t="shared" si="1"/>
        <v>77300.665480078475</v>
      </c>
      <c r="N16" s="32">
        <f t="shared" si="1"/>
        <v>86153.629631432195</v>
      </c>
      <c r="O16" s="32">
        <f t="shared" si="1"/>
        <v>90862.203871781719</v>
      </c>
      <c r="P16" s="32">
        <f t="shared" si="1"/>
        <v>99143.27349527397</v>
      </c>
      <c r="Q16" s="32">
        <f t="shared" si="1"/>
        <v>105375.24831924033</v>
      </c>
      <c r="R16" s="32">
        <f t="shared" si="1"/>
        <v>110908.1517639559</v>
      </c>
      <c r="S16" s="32">
        <f t="shared" si="1"/>
        <v>117285.51517965038</v>
      </c>
      <c r="T16" s="32">
        <f t="shared" si="1"/>
        <v>175126.34572378584</v>
      </c>
      <c r="U16" s="32">
        <f t="shared" si="1"/>
        <v>204047.73843567463</v>
      </c>
      <c r="V16" s="32">
        <f t="shared" si="1"/>
        <v>211099.43102368456</v>
      </c>
      <c r="W16" s="32">
        <f t="shared" si="1"/>
        <v>217437.36325512966</v>
      </c>
      <c r="X16" s="32">
        <f t="shared" si="1"/>
        <v>220807.52153519134</v>
      </c>
      <c r="Y16" s="32">
        <f>Y14</f>
        <v>226014.71160095115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-1610.5089578251072</v>
      </c>
      <c r="F18" s="32">
        <f t="shared" si="2"/>
        <v>-4036.2468437917669</v>
      </c>
      <c r="G18" s="32">
        <f t="shared" si="2"/>
        <v>-3228.0755385477769</v>
      </c>
      <c r="H18" s="32">
        <f t="shared" si="2"/>
        <v>-65.60295336829617</v>
      </c>
      <c r="I18" s="32">
        <f t="shared" si="2"/>
        <v>2546.6595284926857</v>
      </c>
      <c r="J18" s="32">
        <f t="shared" si="2"/>
        <v>3434.9836564751172</v>
      </c>
      <c r="K18" s="32">
        <f t="shared" si="2"/>
        <v>3920.0984321124915</v>
      </c>
      <c r="L18" s="32">
        <f t="shared" si="2"/>
        <v>4371.1502387935379</v>
      </c>
      <c r="M18" s="32">
        <f t="shared" si="2"/>
        <v>4714.9201966676383</v>
      </c>
      <c r="N18" s="32">
        <f t="shared" si="2"/>
        <v>5254.9028632896934</v>
      </c>
      <c r="O18" s="32">
        <f t="shared" si="2"/>
        <v>5542.1002844950044</v>
      </c>
      <c r="P18" s="32">
        <f t="shared" si="2"/>
        <v>6047.2004951507179</v>
      </c>
      <c r="Q18" s="32">
        <f t="shared" si="2"/>
        <v>6427.3170669830233</v>
      </c>
      <c r="R18" s="32">
        <f t="shared" si="2"/>
        <v>6764.7940865621686</v>
      </c>
      <c r="S18" s="32">
        <f t="shared" si="2"/>
        <v>7153.7785717978923</v>
      </c>
      <c r="T18" s="32">
        <f t="shared" si="2"/>
        <v>10681.754669168715</v>
      </c>
      <c r="U18" s="32">
        <f t="shared" si="2"/>
        <v>12445.802336367429</v>
      </c>
      <c r="V18" s="32">
        <f t="shared" si="2"/>
        <v>12875.917233793094</v>
      </c>
      <c r="W18" s="32">
        <f t="shared" si="2"/>
        <v>13262.496631235053</v>
      </c>
      <c r="X18" s="32">
        <f t="shared" si="2"/>
        <v>13468.057957802475</v>
      </c>
      <c r="Y18" s="32">
        <f t="shared" si="2"/>
        <v>13785.668232648884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1610.5089578251072</v>
      </c>
      <c r="G20" s="32">
        <f t="shared" ca="1" si="3"/>
        <v>5646.7558016168741</v>
      </c>
      <c r="H20" s="32">
        <f t="shared" ca="1" si="3"/>
        <v>8874.8313401646519</v>
      </c>
      <c r="I20" s="32">
        <f t="shared" ca="1" si="3"/>
        <v>8940.4342935329478</v>
      </c>
      <c r="J20" s="32">
        <f t="shared" ca="1" si="3"/>
        <v>6393.7747650402616</v>
      </c>
      <c r="K20" s="32">
        <f t="shared" ca="1" si="3"/>
        <v>2958.7911085651444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1610.5089578251072</v>
      </c>
      <c r="F21" s="531">
        <f t="shared" si="4"/>
        <v>4036.2468437917669</v>
      </c>
      <c r="G21" s="531">
        <f t="shared" si="4"/>
        <v>3228.0755385477769</v>
      </c>
      <c r="H21" s="531">
        <f t="shared" si="4"/>
        <v>65.60295336829617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si="5"/>
        <v>0</v>
      </c>
      <c r="I23" s="505">
        <f t="shared" ca="1" si="5"/>
        <v>-2546.6595284926857</v>
      </c>
      <c r="J23" s="505">
        <f t="shared" ca="1" si="5"/>
        <v>-3434.9836564751172</v>
      </c>
      <c r="K23" s="505">
        <f t="shared" ca="1" si="5"/>
        <v>-2958.7911085651444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1610.5089578251072</v>
      </c>
      <c r="F24" s="505">
        <f t="shared" ca="1" si="6"/>
        <v>5646.7558016168741</v>
      </c>
      <c r="G24" s="505">
        <f t="shared" ca="1" si="6"/>
        <v>8874.8313401646519</v>
      </c>
      <c r="H24" s="505">
        <f t="shared" ca="1" si="6"/>
        <v>8940.4342935329478</v>
      </c>
      <c r="I24" s="505">
        <f t="shared" ca="1" si="6"/>
        <v>6393.7747650402616</v>
      </c>
      <c r="J24" s="505">
        <f t="shared" ca="1" si="6"/>
        <v>2958.7911085651444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961.3073235473471</v>
      </c>
      <c r="L26" s="39">
        <f t="shared" ca="1" si="7"/>
        <v>4371.1502387935379</v>
      </c>
      <c r="M26" s="39">
        <f t="shared" ca="1" si="7"/>
        <v>4714.9201966676383</v>
      </c>
      <c r="N26" s="39">
        <f t="shared" ca="1" si="7"/>
        <v>5254.9028632896934</v>
      </c>
      <c r="O26" s="39">
        <f t="shared" ca="1" si="7"/>
        <v>5542.1002844950044</v>
      </c>
      <c r="P26" s="39">
        <f t="shared" ca="1" si="7"/>
        <v>6047.2004951507179</v>
      </c>
      <c r="Q26" s="39">
        <f t="shared" ca="1" si="7"/>
        <v>6427.3170669830233</v>
      </c>
      <c r="R26" s="39">
        <f t="shared" ca="1" si="7"/>
        <v>6764.7940865621686</v>
      </c>
      <c r="S26" s="39">
        <f t="shared" ca="1" si="7"/>
        <v>7153.7785717978923</v>
      </c>
      <c r="T26" s="39">
        <f t="shared" ca="1" si="7"/>
        <v>10681.754669168715</v>
      </c>
      <c r="U26" s="39">
        <f t="shared" ca="1" si="7"/>
        <v>12445.802336367429</v>
      </c>
      <c r="V26" s="39">
        <f t="shared" si="7"/>
        <v>12875.917233793094</v>
      </c>
      <c r="W26" s="39">
        <f t="shared" si="7"/>
        <v>13262.496631235053</v>
      </c>
      <c r="X26" s="39">
        <f t="shared" si="7"/>
        <v>13468.057957802475</v>
      </c>
      <c r="Y26" s="39">
        <f ca="1">IF(Y18&lt;0,0,Y18+Y23)</f>
        <v>13785.668232648884</v>
      </c>
      <c r="Z26" s="315"/>
      <c r="AA26" s="315"/>
    </row>
    <row r="27" spans="1:27" ht="15.75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961.3073235473471</v>
      </c>
      <c r="L28" s="533">
        <f t="shared" ca="1" si="8"/>
        <v>4371.1502387935379</v>
      </c>
      <c r="M28" s="533">
        <f t="shared" ca="1" si="8"/>
        <v>4714.9201966676383</v>
      </c>
      <c r="N28" s="534">
        <f t="shared" ca="1" si="8"/>
        <v>5254.9028632896934</v>
      </c>
      <c r="O28" s="532">
        <f t="shared" ca="1" si="8"/>
        <v>5542.1002844950044</v>
      </c>
      <c r="P28" s="533">
        <f t="shared" ca="1" si="8"/>
        <v>6047.2004951507179</v>
      </c>
      <c r="Q28" s="533">
        <f t="shared" ca="1" si="8"/>
        <v>6427.3170669830233</v>
      </c>
      <c r="R28" s="533">
        <f t="shared" ca="1" si="8"/>
        <v>6764.7940865621686</v>
      </c>
      <c r="S28" s="533">
        <f t="shared" ca="1" si="8"/>
        <v>7153.7785717978923</v>
      </c>
      <c r="T28" s="533">
        <f t="shared" ca="1" si="8"/>
        <v>10681.754669168715</v>
      </c>
      <c r="U28" s="533">
        <f t="shared" ca="1" si="8"/>
        <v>12445.802336367429</v>
      </c>
      <c r="V28" s="533">
        <f t="shared" si="8"/>
        <v>12875.917233793094</v>
      </c>
      <c r="W28" s="533">
        <f t="shared" si="8"/>
        <v>13262.496631235053</v>
      </c>
      <c r="X28" s="533">
        <f t="shared" si="8"/>
        <v>13468.057957802475</v>
      </c>
      <c r="Y28" s="533">
        <f t="shared" ca="1" si="8"/>
        <v>13785.668232648884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8585.2031173885043</v>
      </c>
      <c r="F32" s="32">
        <f t="shared" si="9"/>
        <v>13926.314833695171</v>
      </c>
      <c r="G32" s="32">
        <f t="shared" si="9"/>
        <v>15469.25438452141</v>
      </c>
      <c r="H32" s="32">
        <f t="shared" si="9"/>
        <v>56843.048852023901</v>
      </c>
      <c r="I32" s="32">
        <f t="shared" si="9"/>
        <v>90182.049883763073</v>
      </c>
      <c r="J32" s="32">
        <f t="shared" si="9"/>
        <v>96119.864049081749</v>
      </c>
      <c r="K32" s="32">
        <f t="shared" si="9"/>
        <v>100006.64906105003</v>
      </c>
      <c r="L32" s="32">
        <f t="shared" si="9"/>
        <v>107524.83134316927</v>
      </c>
      <c r="M32" s="32">
        <f t="shared" si="9"/>
        <v>113037.67583889182</v>
      </c>
      <c r="N32" s="32">
        <f t="shared" si="9"/>
        <v>122013.87106044835</v>
      </c>
      <c r="O32" s="32">
        <f t="shared" si="9"/>
        <v>126599.21423059508</v>
      </c>
      <c r="P32" s="32">
        <f t="shared" si="9"/>
        <v>135003.51492429015</v>
      </c>
      <c r="Q32" s="32">
        <f t="shared" si="9"/>
        <v>141112.25867805368</v>
      </c>
      <c r="R32" s="32">
        <f t="shared" si="9"/>
        <v>146768.39319297206</v>
      </c>
      <c r="S32" s="32">
        <f t="shared" si="9"/>
        <v>153022.52553846376</v>
      </c>
      <c r="T32" s="32">
        <f t="shared" si="9"/>
        <v>159946.60199377182</v>
      </c>
      <c r="U32" s="32">
        <f t="shared" si="9"/>
        <v>167078.4173748332</v>
      </c>
      <c r="V32" s="32">
        <f t="shared" si="9"/>
        <v>174130.10996284313</v>
      </c>
      <c r="W32" s="32">
        <f t="shared" si="9"/>
        <v>180468.04219428822</v>
      </c>
      <c r="X32" s="32">
        <f t="shared" si="9"/>
        <v>183838.20047434993</v>
      </c>
      <c r="Y32" s="32">
        <f>Y11</f>
        <v>189045.39054010971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27601.19172104682</v>
      </c>
      <c r="F33" s="32">
        <f t="shared" si="10"/>
        <v>37944.321060841423</v>
      </c>
      <c r="G33" s="32">
        <f t="shared" si="10"/>
        <v>37944.321060841423</v>
      </c>
      <c r="H33" s="32">
        <f t="shared" si="10"/>
        <v>37944.321060841423</v>
      </c>
      <c r="I33" s="32">
        <f t="shared" si="10"/>
        <v>37944.321060841423</v>
      </c>
      <c r="J33" s="32">
        <f t="shared" si="10"/>
        <v>37944.321060841423</v>
      </c>
      <c r="K33" s="32">
        <f t="shared" si="10"/>
        <v>37944.321060841423</v>
      </c>
      <c r="L33" s="32">
        <f t="shared" si="10"/>
        <v>37944.321060841423</v>
      </c>
      <c r="M33" s="32">
        <f t="shared" si="10"/>
        <v>37944.321060841423</v>
      </c>
      <c r="N33" s="32">
        <f t="shared" si="10"/>
        <v>37944.321060841423</v>
      </c>
      <c r="O33" s="32">
        <f t="shared" si="10"/>
        <v>37944.321060841423</v>
      </c>
      <c r="P33" s="32">
        <f t="shared" si="10"/>
        <v>37944.321060841423</v>
      </c>
      <c r="Q33" s="32">
        <f t="shared" si="10"/>
        <v>37944.321060841423</v>
      </c>
      <c r="R33" s="32">
        <f t="shared" si="10"/>
        <v>37944.321060841423</v>
      </c>
      <c r="S33" s="32">
        <f t="shared" si="10"/>
        <v>37944.321060841423</v>
      </c>
      <c r="T33" s="32">
        <f t="shared" si="10"/>
        <v>37944.321060841423</v>
      </c>
      <c r="U33" s="32">
        <f t="shared" si="10"/>
        <v>37944.321060841423</v>
      </c>
      <c r="V33" s="32">
        <f t="shared" si="10"/>
        <v>37944.321060841423</v>
      </c>
      <c r="W33" s="32">
        <f t="shared" si="10"/>
        <v>37944.321060841423</v>
      </c>
      <c r="X33" s="32">
        <f t="shared" si="10"/>
        <v>37944.321060841423</v>
      </c>
      <c r="Y33" s="32">
        <f>Y12</f>
        <v>36969.321060841423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-62590.535101402362</v>
      </c>
      <c r="F34" s="32">
        <f>-Depreciation!I20-Depreciation!I56</f>
        <v>-118044.51669266447</v>
      </c>
      <c r="G34" s="32">
        <f>-Depreciation!J20-Depreciation!J56</f>
        <v>-106337.56502339806</v>
      </c>
      <c r="H34" s="32">
        <f>-Depreciation!K20-Depreciation!K56</f>
        <v>-95862.924056159623</v>
      </c>
      <c r="I34" s="32">
        <f>-Depreciation!L20-Depreciation!L56</f>
        <v>-86374.131650543684</v>
      </c>
      <c r="J34" s="32">
        <f>-Depreciation!M20-Depreciation!M56</f>
        <v>-77747.956736347347</v>
      </c>
      <c r="K34" s="32">
        <f>-Depreciation!N20-Depreciation!N56</f>
        <v>-73681.331419654787</v>
      </c>
      <c r="L34" s="32">
        <f>-Depreciation!O20-Depreciation!O56</f>
        <v>-73804.562489857592</v>
      </c>
      <c r="M34" s="32">
        <f>-Depreciation!P20-Depreciation!P56</f>
        <v>-73681.331419654787</v>
      </c>
      <c r="N34" s="32">
        <f>-Depreciation!Q20-Depreciation!Q56</f>
        <v>-73804.562489857592</v>
      </c>
      <c r="O34" s="32">
        <f>-Depreciation!R20-Depreciation!R56</f>
        <v>-73681.331419654787</v>
      </c>
      <c r="P34" s="32">
        <f>-Depreciation!S20-Depreciation!S56</f>
        <v>-73804.562489857592</v>
      </c>
      <c r="Q34" s="32">
        <f>-Depreciation!T20-Depreciation!T56</f>
        <v>-73681.331419654787</v>
      </c>
      <c r="R34" s="32">
        <f>-Depreciation!U20-Depreciation!U56</f>
        <v>-73804.562489857592</v>
      </c>
      <c r="S34" s="32">
        <f>-Depreciation!V20-Depreciation!V56</f>
        <v>-73681.331419654787</v>
      </c>
      <c r="T34" s="32">
        <f>-Depreciation!W20-Depreciation!W56</f>
        <v>-22764.577330827393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-961.3073235473471</v>
      </c>
      <c r="L35" s="507">
        <f t="shared" ca="1" si="11"/>
        <v>-4371.1502387935379</v>
      </c>
      <c r="M35" s="507">
        <f t="shared" ca="1" si="11"/>
        <v>-4714.9201966676383</v>
      </c>
      <c r="N35" s="507">
        <f t="shared" ca="1" si="11"/>
        <v>-5254.9028632896934</v>
      </c>
      <c r="O35" s="507">
        <f t="shared" ca="1" si="11"/>
        <v>-5542.1002844950044</v>
      </c>
      <c r="P35" s="507">
        <f t="shared" ca="1" si="11"/>
        <v>-6047.2004951507179</v>
      </c>
      <c r="Q35" s="507">
        <f t="shared" ca="1" si="11"/>
        <v>-6427.3170669830233</v>
      </c>
      <c r="R35" s="507">
        <f t="shared" ca="1" si="11"/>
        <v>-6764.7940865621686</v>
      </c>
      <c r="S35" s="507">
        <f t="shared" ca="1" si="11"/>
        <v>-7153.7785717978923</v>
      </c>
      <c r="T35" s="507">
        <f t="shared" ca="1" si="11"/>
        <v>-10681.754669168715</v>
      </c>
      <c r="U35" s="507">
        <f t="shared" ca="1" si="11"/>
        <v>-12445.802336367429</v>
      </c>
      <c r="V35" s="507">
        <f t="shared" si="11"/>
        <v>-12875.917233793094</v>
      </c>
      <c r="W35" s="507">
        <f t="shared" si="11"/>
        <v>-13262.496631235053</v>
      </c>
      <c r="X35" s="507">
        <f t="shared" si="11"/>
        <v>-13468.057957802475</v>
      </c>
      <c r="Y35" s="507">
        <f ca="1">-Y28</f>
        <v>-13785.668232648884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-26404.140262967034</v>
      </c>
      <c r="F36" s="75">
        <f t="shared" si="12"/>
        <v>-66173.880798127881</v>
      </c>
      <c r="G36" s="75">
        <f t="shared" si="12"/>
        <v>-52923.989578035224</v>
      </c>
      <c r="H36" s="75">
        <f t="shared" si="12"/>
        <v>-1075.5541432942991</v>
      </c>
      <c r="I36" s="75">
        <f t="shared" ca="1" si="12"/>
        <v>41752.239294060812</v>
      </c>
      <c r="J36" s="75">
        <f t="shared" ca="1" si="12"/>
        <v>56316.228373575839</v>
      </c>
      <c r="K36" s="75">
        <f t="shared" ca="1" si="12"/>
        <v>63308.331378689334</v>
      </c>
      <c r="L36" s="75">
        <f t="shared" ca="1" si="12"/>
        <v>67293.439675359579</v>
      </c>
      <c r="M36" s="75">
        <f t="shared" ca="1" si="12"/>
        <v>72585.745283410841</v>
      </c>
      <c r="N36" s="75">
        <f t="shared" ca="1" si="12"/>
        <v>80898.7267681425</v>
      </c>
      <c r="O36" s="75">
        <f t="shared" ca="1" si="12"/>
        <v>85320.103587286721</v>
      </c>
      <c r="P36" s="75">
        <f t="shared" ca="1" si="12"/>
        <v>93096.073000123259</v>
      </c>
      <c r="Q36" s="75">
        <f t="shared" ca="1" si="12"/>
        <v>98947.931252257302</v>
      </c>
      <c r="R36" s="75">
        <f t="shared" ca="1" si="12"/>
        <v>104143.35767739374</v>
      </c>
      <c r="S36" s="75">
        <f t="shared" ca="1" si="12"/>
        <v>110131.73660785248</v>
      </c>
      <c r="T36" s="75">
        <f t="shared" ca="1" si="12"/>
        <v>164444.59105461714</v>
      </c>
      <c r="U36" s="75">
        <f t="shared" ca="1" si="12"/>
        <v>191601.9360993072</v>
      </c>
      <c r="V36" s="75">
        <f t="shared" si="12"/>
        <v>198223.51378989147</v>
      </c>
      <c r="W36" s="75">
        <f t="shared" si="12"/>
        <v>204174.8666238946</v>
      </c>
      <c r="X36" s="75">
        <f t="shared" si="12"/>
        <v>207339.46357738887</v>
      </c>
      <c r="Y36" s="75">
        <f t="shared" ca="1" si="12"/>
        <v>212229.04336830226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-9241.4490920384615</v>
      </c>
      <c r="F39" s="536">
        <f t="shared" si="13"/>
        <v>-23160.858279344757</v>
      </c>
      <c r="G39" s="536">
        <f t="shared" si="13"/>
        <v>-18523.396352312328</v>
      </c>
      <c r="H39" s="536">
        <f t="shared" si="13"/>
        <v>-376.44395015300466</v>
      </c>
      <c r="I39" s="536">
        <f t="shared" ca="1" si="13"/>
        <v>14613.283752921283</v>
      </c>
      <c r="J39" s="536">
        <f t="shared" ca="1" si="13"/>
        <v>19710.679930751543</v>
      </c>
      <c r="K39" s="536">
        <f t="shared" ca="1" si="13"/>
        <v>22157.915982541264</v>
      </c>
      <c r="L39" s="536">
        <f t="shared" ca="1" si="13"/>
        <v>23552.70388637585</v>
      </c>
      <c r="M39" s="536">
        <f t="shared" ca="1" si="13"/>
        <v>25405.010849193794</v>
      </c>
      <c r="N39" s="537">
        <f t="shared" ca="1" si="13"/>
        <v>28314.554368849873</v>
      </c>
      <c r="O39" s="539">
        <f t="shared" ca="1" si="13"/>
        <v>29862.036255550349</v>
      </c>
      <c r="P39" s="536">
        <f t="shared" ca="1" si="13"/>
        <v>32583.62555004314</v>
      </c>
      <c r="Q39" s="536">
        <f t="shared" ca="1" si="13"/>
        <v>34631.775938290055</v>
      </c>
      <c r="R39" s="536">
        <f t="shared" ca="1" si="13"/>
        <v>36450.175187087807</v>
      </c>
      <c r="S39" s="536">
        <f t="shared" ca="1" si="13"/>
        <v>38546.107812748363</v>
      </c>
      <c r="T39" s="536">
        <f t="shared" ca="1" si="13"/>
        <v>57555.606869115996</v>
      </c>
      <c r="U39" s="536">
        <f t="shared" ca="1" si="13"/>
        <v>67060.677634757521</v>
      </c>
      <c r="V39" s="536">
        <f t="shared" si="13"/>
        <v>69378.229826462004</v>
      </c>
      <c r="W39" s="536">
        <f t="shared" si="13"/>
        <v>71461.203318363099</v>
      </c>
      <c r="X39" s="536">
        <f t="shared" si="13"/>
        <v>72568.812252086107</v>
      </c>
      <c r="Y39" s="536">
        <f t="shared" ca="1" si="13"/>
        <v>74280.16517890578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9241.4490920384615</v>
      </c>
      <c r="F41" s="531">
        <f ca="1">IF(F39&lt;0,-F39+E41-E42,E41-E42)</f>
        <v>32402.30737138322</v>
      </c>
      <c r="G41" s="531">
        <f ca="1">IF(G39&lt;0,-G39+F41-F42,F41-F42)</f>
        <v>50925.703723695551</v>
      </c>
      <c r="H41" s="531">
        <f t="shared" ref="H41:Y41" ca="1" si="14">IF(H39&lt;0,-H39+G41-G42,G41-G42)</f>
        <v>51302.147673848558</v>
      </c>
      <c r="I41" s="531">
        <f t="shared" ca="1" si="14"/>
        <v>51302.147673848558</v>
      </c>
      <c r="J41" s="531">
        <f t="shared" ca="1" si="14"/>
        <v>36688.863920927273</v>
      </c>
      <c r="K41" s="531">
        <f t="shared" ca="1" si="14"/>
        <v>16978.18399017573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si="15"/>
        <v>0</v>
      </c>
      <c r="I42" s="234">
        <f t="shared" ca="1" si="15"/>
        <v>14613.283752921283</v>
      </c>
      <c r="J42" s="234">
        <f t="shared" ca="1" si="15"/>
        <v>19710.679930751543</v>
      </c>
      <c r="K42" s="234">
        <f t="shared" ca="1" si="15"/>
        <v>16978.18399017573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5179.7319923655341</v>
      </c>
      <c r="L44" s="509">
        <f t="shared" ca="1" si="16"/>
        <v>23552.70388637585</v>
      </c>
      <c r="M44" s="509">
        <f t="shared" ca="1" si="16"/>
        <v>25405.010849193794</v>
      </c>
      <c r="N44" s="509">
        <f t="shared" ca="1" si="16"/>
        <v>28314.554368849873</v>
      </c>
      <c r="O44" s="509">
        <f t="shared" ca="1" si="16"/>
        <v>29862.036255550349</v>
      </c>
      <c r="P44" s="509">
        <f t="shared" ca="1" si="16"/>
        <v>32583.62555004314</v>
      </c>
      <c r="Q44" s="509">
        <f t="shared" ca="1" si="16"/>
        <v>34631.775938290055</v>
      </c>
      <c r="R44" s="509">
        <f t="shared" ca="1" si="16"/>
        <v>36450.175187087807</v>
      </c>
      <c r="S44" s="509">
        <f t="shared" ca="1" si="16"/>
        <v>38546.107812748363</v>
      </c>
      <c r="T44" s="509">
        <f t="shared" ca="1" si="16"/>
        <v>57555.606869115996</v>
      </c>
      <c r="U44" s="509">
        <f t="shared" ca="1" si="16"/>
        <v>67060.677634757521</v>
      </c>
      <c r="V44" s="509">
        <f t="shared" ca="1" si="16"/>
        <v>69378.229826462004</v>
      </c>
      <c r="W44" s="509">
        <f t="shared" ca="1" si="16"/>
        <v>71461.203318363099</v>
      </c>
      <c r="X44" s="509">
        <f t="shared" ca="1" si="16"/>
        <v>72568.812252086107</v>
      </c>
      <c r="Y44" s="509">
        <f ca="1">IF(Y39&lt;0,0,(Y39-Y42))</f>
        <v>74280.16517890578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1999-12-07T16:02:25Z</cp:lastPrinted>
  <dcterms:created xsi:type="dcterms:W3CDTF">1999-04-02T01:38:38Z</dcterms:created>
  <dcterms:modified xsi:type="dcterms:W3CDTF">2014-09-03T11:19:44Z</dcterms:modified>
</cp:coreProperties>
</file>