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5475" windowWidth="6885" windowHeight="5385" tabRatio="357" firstSheet="1" activeTab="1"/>
  </bookViews>
  <sheets>
    <sheet name="Orion" sheetId="1" state="hidden" r:id="rId1"/>
    <sheet name="FPL-Projects" sheetId="2" r:id="rId2"/>
    <sheet name="Charts" sheetId="4" r:id="rId3"/>
    <sheet name="Sheet1" sheetId="7" state="hidden" r:id="rId4"/>
    <sheet name="Sheet2" sheetId="8" state="hidden" r:id="rId5"/>
    <sheet name="Sheet3" sheetId="6" state="hidden" r:id="rId6"/>
    <sheet name="Contracts" sheetId="3" state="hidden" r:id="rId7"/>
  </sheets>
  <definedNames>
    <definedName name="_xlnm.Print_Area" localSheetId="2">Charts!$A$1:$J$45</definedName>
    <definedName name="_xlnm.Print_Area" localSheetId="1">'FPL-Projects'!$A$1:$T$137</definedName>
    <definedName name="_xlnm.Print_Titles" localSheetId="1">'FPL-Projects'!$A:$B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C53" i="4" l="1"/>
  <c r="C55" i="4"/>
  <c r="F55" i="4"/>
  <c r="C63" i="4"/>
  <c r="F63" i="4"/>
  <c r="F67" i="4"/>
  <c r="F68" i="4"/>
  <c r="F69" i="4"/>
  <c r="C8" i="2"/>
  <c r="F8" i="2"/>
  <c r="G8" i="2"/>
  <c r="I8" i="2"/>
  <c r="F15" i="2"/>
  <c r="F51" i="4" s="1"/>
  <c r="E16" i="2"/>
  <c r="F17" i="2"/>
  <c r="F52" i="4" s="1"/>
  <c r="F18" i="2"/>
  <c r="F19" i="2"/>
  <c r="F20" i="2"/>
  <c r="F21" i="2"/>
  <c r="F22" i="2"/>
  <c r="F23" i="2"/>
  <c r="F24" i="2"/>
  <c r="F25" i="2"/>
  <c r="F53" i="4" s="1"/>
  <c r="F26" i="2"/>
  <c r="E27" i="2"/>
  <c r="E28" i="2"/>
  <c r="E29" i="2"/>
  <c r="F30" i="2"/>
  <c r="F31" i="2"/>
  <c r="F32" i="2"/>
  <c r="F33" i="2"/>
  <c r="F34" i="2"/>
  <c r="C57" i="4" s="1"/>
  <c r="F35" i="2"/>
  <c r="F36" i="2"/>
  <c r="C52" i="4" s="1"/>
  <c r="F37" i="2"/>
  <c r="F38" i="2"/>
  <c r="F56" i="4" s="1"/>
  <c r="F39" i="2"/>
  <c r="F40" i="2"/>
  <c r="F57" i="4" s="1"/>
  <c r="F41" i="2"/>
  <c r="F42" i="2"/>
  <c r="F43" i="2"/>
  <c r="C56" i="4" s="1"/>
  <c r="F44" i="2"/>
  <c r="E45" i="2"/>
  <c r="E46" i="2"/>
  <c r="F47" i="2"/>
  <c r="F48" i="2"/>
  <c r="C51" i="4" s="1"/>
  <c r="C58" i="4" s="1"/>
  <c r="F49" i="2"/>
  <c r="F50" i="2"/>
  <c r="C54" i="4" s="1"/>
  <c r="F51" i="2"/>
  <c r="D54" i="2"/>
  <c r="F60" i="2"/>
  <c r="D63" i="2"/>
  <c r="F63" i="2"/>
  <c r="H8" i="2" s="1"/>
  <c r="F69" i="2"/>
  <c r="F76" i="2" s="1"/>
  <c r="L8" i="2" s="1"/>
  <c r="F70" i="2"/>
  <c r="F71" i="2"/>
  <c r="F72" i="2"/>
  <c r="F73" i="2"/>
  <c r="D76" i="2"/>
  <c r="K8" i="2" s="1"/>
  <c r="F82" i="2"/>
  <c r="P82" i="2"/>
  <c r="R82" i="2"/>
  <c r="S82" i="2"/>
  <c r="T82" i="2"/>
  <c r="F83" i="2"/>
  <c r="D84" i="2"/>
  <c r="D101" i="2" s="1"/>
  <c r="D8" i="2" s="1"/>
  <c r="F84" i="2"/>
  <c r="F64" i="4" s="1"/>
  <c r="P84" i="2"/>
  <c r="R84" i="2"/>
  <c r="S84" i="2"/>
  <c r="T84" i="2"/>
  <c r="F85" i="2"/>
  <c r="D86" i="2"/>
  <c r="F86" i="2"/>
  <c r="P86" i="2"/>
  <c r="R86" i="2"/>
  <c r="S86" i="2"/>
  <c r="T86" i="2"/>
  <c r="D87" i="2"/>
  <c r="F87" i="2"/>
  <c r="P87" i="2"/>
  <c r="R87" i="2"/>
  <c r="S87" i="2"/>
  <c r="T87" i="2"/>
  <c r="F88" i="2"/>
  <c r="P88" i="2"/>
  <c r="R88" i="2"/>
  <c r="S88" i="2"/>
  <c r="T88" i="2"/>
  <c r="F89" i="2"/>
  <c r="D90" i="2"/>
  <c r="F91" i="2"/>
  <c r="P91" i="2"/>
  <c r="R91" i="2"/>
  <c r="S91" i="2"/>
  <c r="T91" i="2"/>
  <c r="D92" i="2"/>
  <c r="F92" i="2"/>
  <c r="P92" i="2"/>
  <c r="R92" i="2"/>
  <c r="S92" i="2"/>
  <c r="T92" i="2"/>
  <c r="F93" i="2"/>
  <c r="D94" i="2"/>
  <c r="F94" i="2" s="1"/>
  <c r="F65" i="4" s="1"/>
  <c r="P94" i="2"/>
  <c r="R94" i="2"/>
  <c r="S94" i="2"/>
  <c r="T94" i="2"/>
  <c r="F95" i="2"/>
  <c r="D96" i="2"/>
  <c r="D110" i="2"/>
  <c r="F110" i="2"/>
  <c r="D122" i="2"/>
  <c r="F122" i="2"/>
  <c r="D137" i="2"/>
  <c r="F137" i="2"/>
  <c r="C24" i="7"/>
  <c r="C25" i="7"/>
  <c r="C26" i="7"/>
  <c r="C27" i="7"/>
  <c r="L29" i="7"/>
  <c r="C30" i="8"/>
  <c r="H30" i="8"/>
  <c r="B41" i="8"/>
  <c r="G41" i="8"/>
  <c r="C70" i="8"/>
  <c r="H70" i="8"/>
  <c r="F58" i="4" l="1"/>
  <c r="C64" i="4"/>
  <c r="C65" i="4" s="1"/>
  <c r="F101" i="2"/>
  <c r="C41" i="8" s="1"/>
  <c r="G56" i="2"/>
  <c r="F54" i="2"/>
  <c r="F66" i="4"/>
  <c r="F70" i="4" s="1"/>
  <c r="H38" i="8" l="1"/>
  <c r="H27" i="8" s="1"/>
  <c r="H41" i="8"/>
  <c r="C39" i="8"/>
  <c r="C28" i="8" s="1"/>
  <c r="C37" i="8"/>
  <c r="C26" i="8" s="1"/>
  <c r="H37" i="8"/>
  <c r="H26" i="8" s="1"/>
  <c r="C38" i="8"/>
  <c r="C27" i="8" s="1"/>
  <c r="H39" i="8"/>
  <c r="H28" i="8" s="1"/>
  <c r="H36" i="8"/>
  <c r="H25" i="8" s="1"/>
  <c r="H40" i="8"/>
  <c r="H29" i="8" s="1"/>
  <c r="C36" i="8"/>
  <c r="C25" i="8" s="1"/>
  <c r="C40" i="8"/>
  <c r="C29" i="8" s="1"/>
  <c r="B8" i="2"/>
  <c r="E8" i="2"/>
</calcChain>
</file>

<file path=xl/sharedStrings.xml><?xml version="1.0" encoding="utf-8"?>
<sst xmlns="http://schemas.openxmlformats.org/spreadsheetml/2006/main" count="888" uniqueCount="316">
  <si>
    <t>Activity/Strategy:</t>
  </si>
  <si>
    <t>Comments:</t>
  </si>
  <si>
    <t>Summary:</t>
  </si>
  <si>
    <t>North America</t>
  </si>
  <si>
    <t>North America (Net Equity)</t>
  </si>
  <si>
    <t>International (Net Equity)</t>
  </si>
  <si>
    <t>Net Equity (Op &amp; Construction)</t>
  </si>
  <si>
    <t xml:space="preserve">        Operation</t>
  </si>
  <si>
    <t xml:space="preserve">      Construction</t>
  </si>
  <si>
    <t>Pending Acquisition</t>
  </si>
  <si>
    <t>Operation</t>
  </si>
  <si>
    <t>Construction</t>
  </si>
  <si>
    <t>Pending Acq</t>
  </si>
  <si>
    <t>Development</t>
  </si>
  <si>
    <t>(MW)</t>
  </si>
  <si>
    <t>Plants</t>
  </si>
  <si>
    <t>MW</t>
  </si>
  <si>
    <t>Net Equity</t>
  </si>
  <si>
    <t>Company Type :</t>
  </si>
  <si>
    <t>Stock Exchange:</t>
  </si>
  <si>
    <t>Ticker Symbol:</t>
  </si>
  <si>
    <t>Holding Company:</t>
  </si>
  <si>
    <t>Subsidiary/ Affiliate:</t>
  </si>
  <si>
    <t>Web Page:</t>
  </si>
  <si>
    <t>Location</t>
  </si>
  <si>
    <t>Fuel</t>
  </si>
  <si>
    <t>Grid</t>
  </si>
  <si>
    <t>Ownership</t>
  </si>
  <si>
    <t>Coal</t>
  </si>
  <si>
    <t>Baseload</t>
  </si>
  <si>
    <t>Hydro</t>
  </si>
  <si>
    <t>Oil</t>
  </si>
  <si>
    <t>Power Marketing:</t>
  </si>
  <si>
    <t>Net (MW)</t>
  </si>
  <si>
    <t>Other Equipment</t>
  </si>
  <si>
    <t>Commercial Operation</t>
  </si>
  <si>
    <t>Heat Rate (Btu/kWh)</t>
  </si>
  <si>
    <t>VOM ($/MWh)</t>
  </si>
  <si>
    <t>FOM ($/kW-year)</t>
  </si>
  <si>
    <t>Power Contracts</t>
  </si>
  <si>
    <t xml:space="preserve">      - 2 of the QFs are small hydroelectric projects, and 1 is a small landfill-gas fired facility</t>
  </si>
  <si>
    <t>Note</t>
  </si>
  <si>
    <t>The purchase from Duquesne include the following:</t>
  </si>
  <si>
    <t>Support Functions</t>
  </si>
  <si>
    <t xml:space="preserve">Retail Supply Business (POLR) </t>
  </si>
  <si>
    <t>(2) 100MW PSA for firm electrical capacity &amp; energy delivered at specific rates due to expire in 2005</t>
  </si>
  <si>
    <t>(3) 3 PPAs for energy, at pre-determined rates, from approximately 10MW of QFs</t>
  </si>
  <si>
    <t>(5) Duquesne's fossil generation unit support functions and generation-related corporate support</t>
  </si>
  <si>
    <t>(1) Right to supply electricity to Duquesne's retail customers (580,000) during stranded cost period (may be 5 - 8 years)</t>
  </si>
  <si>
    <t xml:space="preserve">     - Orion will supply Duquesne's power needs through 2001 at 4.65 cents/kWh, after which Duquesne will be free to buy electricity from whomever it wishes</t>
  </si>
  <si>
    <t>Fuel ($/MWh)</t>
  </si>
  <si>
    <t xml:space="preserve">     - PaPUC approved a Shopping Credit for most residential customers of 4.55 cents/kWh in the year 2000 with steady escalation thereafter, and 4.98 cents/kWh for small commercial and small industrial customers in year 2000 with steady escalation thereafter</t>
  </si>
  <si>
    <t>(4) Interchange Agreement for the exchange of capacity and energy between Duquesne and Zinc Corp. of America on an as available basis for up to 430MW/week annually, with revocation upon a 3- year termination notice</t>
  </si>
  <si>
    <t>Contractual Agreement</t>
  </si>
  <si>
    <t>(6) Orion is required to enter into contractual agreement with Duquesne or FirstEnergy to provide for production of reactive power from its respective Control Area</t>
  </si>
  <si>
    <t>Technology</t>
  </si>
  <si>
    <t>Peaking</t>
  </si>
  <si>
    <t>Nominal (MW)</t>
  </si>
  <si>
    <t>Gas</t>
  </si>
  <si>
    <t>Load Profile</t>
  </si>
  <si>
    <t>Combustion</t>
  </si>
  <si>
    <t>Gas/Oil</t>
  </si>
  <si>
    <t>PSEG RESOURCES, INC.</t>
  </si>
  <si>
    <t>Biomass</t>
  </si>
  <si>
    <t>Solar</t>
  </si>
  <si>
    <t>NJ</t>
  </si>
  <si>
    <t>Edison</t>
  </si>
  <si>
    <t>Salem</t>
  </si>
  <si>
    <t>PA</t>
  </si>
  <si>
    <t>Hudson,</t>
  </si>
  <si>
    <t>Jersey</t>
  </si>
  <si>
    <t>City,</t>
  </si>
  <si>
    <t>NJ........................................</t>
  </si>
  <si>
    <t>Coal/Gas</t>
  </si>
  <si>
    <t>Mercer,</t>
  </si>
  <si>
    <t>Hamilton,</t>
  </si>
  <si>
    <t>NJ...........................................</t>
  </si>
  <si>
    <t>Sewaren,</t>
  </si>
  <si>
    <t>Woodbridge</t>
  </si>
  <si>
    <t>Twp.,</t>
  </si>
  <si>
    <t>NJ...................................</t>
  </si>
  <si>
    <t>Linden,</t>
  </si>
  <si>
    <t>NJ.............................................</t>
  </si>
  <si>
    <t>Keystone,</t>
  </si>
  <si>
    <t>Shelocta,</t>
  </si>
  <si>
    <t>PA--22.84%(A)..............................</t>
  </si>
  <si>
    <t>Conemaugh,</t>
  </si>
  <si>
    <t>New</t>
  </si>
  <si>
    <t>Florence,</t>
  </si>
  <si>
    <t>PA--22.50%(A).........................</t>
  </si>
  <si>
    <t>Kearny,</t>
  </si>
  <si>
    <t>-------------</t>
  </si>
  <si>
    <t>Total</t>
  </si>
  <si>
    <t>Steam..............................................</t>
  </si>
  <si>
    <t>Nuclear:</t>
  </si>
  <si>
    <t>(Capacity</t>
  </si>
  <si>
    <t>calculated</t>
  </si>
  <si>
    <t>in</t>
  </si>
  <si>
    <t>accordance</t>
  </si>
  <si>
    <t>with</t>
  </si>
  <si>
    <t>industry</t>
  </si>
  <si>
    <t>maximum</t>
  </si>
  <si>
    <t>dependable</t>
  </si>
  <si>
    <t>capability</t>
  </si>
  <si>
    <t>standards)</t>
  </si>
  <si>
    <t>Hope</t>
  </si>
  <si>
    <t>Creek,</t>
  </si>
  <si>
    <t>Lower</t>
  </si>
  <si>
    <t>Alloways</t>
  </si>
  <si>
    <t>95%(A)....................</t>
  </si>
  <si>
    <t>Nuclear</t>
  </si>
  <si>
    <t>1,</t>
  </si>
  <si>
    <t>42.59%(A)....................</t>
  </si>
  <si>
    <t>2,</t>
  </si>
  <si>
    <t>Peach</t>
  </si>
  <si>
    <t>Bottom</t>
  </si>
  <si>
    <t>Bottom,</t>
  </si>
  <si>
    <t>42.49%(A).....................</t>
  </si>
  <si>
    <t>3,</t>
  </si>
  <si>
    <t>Nuclear............................................</t>
  </si>
  <si>
    <t>Combined</t>
  </si>
  <si>
    <t>Cycle:</t>
  </si>
  <si>
    <t>Bergen,</t>
  </si>
  <si>
    <t>Ridgefield,</t>
  </si>
  <si>
    <t>NJ.........................................</t>
  </si>
  <si>
    <t>Burlington,</t>
  </si>
  <si>
    <t>NJ.....................................</t>
  </si>
  <si>
    <t>Cycle.....................................</t>
  </si>
  <si>
    <t>Turbine:</t>
  </si>
  <si>
    <t>Essex,</t>
  </si>
  <si>
    <t>Newark,</t>
  </si>
  <si>
    <t>NJ..............................................</t>
  </si>
  <si>
    <t>Edison,</t>
  </si>
  <si>
    <t>Township,</t>
  </si>
  <si>
    <t>NJ....................................</t>
  </si>
  <si>
    <t>NJ...............................</t>
  </si>
  <si>
    <t>Bayonne,</t>
  </si>
  <si>
    <t>National</t>
  </si>
  <si>
    <t>Park,</t>
  </si>
  <si>
    <t>Salem,</t>
  </si>
  <si>
    <t>42.59%(A)......................</t>
  </si>
  <si>
    <t>Turbine.................................</t>
  </si>
  <si>
    <t>Internal</t>
  </si>
  <si>
    <t>Combustion:</t>
  </si>
  <si>
    <t xml:space="preserve">Gas </t>
  </si>
  <si>
    <t>CT</t>
  </si>
  <si>
    <t>Pumped Storage</t>
  </si>
  <si>
    <t>Steam</t>
  </si>
  <si>
    <t>ST</t>
  </si>
  <si>
    <t>CCGT</t>
  </si>
  <si>
    <t>Internal Combustion</t>
  </si>
  <si>
    <t>Others</t>
  </si>
  <si>
    <t>ERCOT</t>
  </si>
  <si>
    <t>Load Following</t>
  </si>
  <si>
    <t>Petroleum Coke</t>
  </si>
  <si>
    <t>PSEG Power - Operation</t>
  </si>
  <si>
    <t>PSEG Power - Construction</t>
  </si>
  <si>
    <t>PSEG Power - Current Purchase</t>
  </si>
  <si>
    <t>$/MW</t>
  </si>
  <si>
    <t>$/kW</t>
  </si>
  <si>
    <t>Purchase Price</t>
  </si>
  <si>
    <t>Cogen</t>
  </si>
  <si>
    <t>PSEG Power - Development</t>
  </si>
  <si>
    <t>Purchase</t>
  </si>
  <si>
    <t>PJM</t>
  </si>
  <si>
    <t>HISR</t>
  </si>
  <si>
    <t>CA/MX</t>
  </si>
  <si>
    <t>NEPOOL</t>
  </si>
  <si>
    <t>NYPP</t>
  </si>
  <si>
    <t>Fuel Mix (By Net/Gross MW)</t>
  </si>
  <si>
    <t>Technology Mix (By Net/Gross MW)</t>
  </si>
  <si>
    <t>Region Mix (By Net MW)</t>
  </si>
  <si>
    <t>Load Profile only for PSEG Power (By Net MW)</t>
  </si>
  <si>
    <t>* Source: PSEG's 1999 10K. Figures reflect only Load Profile for PSEG Power's assets</t>
  </si>
  <si>
    <t>PSEG Power</t>
  </si>
  <si>
    <t xml:space="preserve">Source: Figures for PSEG Power from PSEG 1999 10K, </t>
  </si>
  <si>
    <t>figures for PSEG Global from estimates</t>
  </si>
  <si>
    <t>* Source: Powerdat</t>
  </si>
  <si>
    <t>Summary of FPL Projects:</t>
  </si>
  <si>
    <t>FPL Energy - Operation</t>
  </si>
  <si>
    <t>FPL Energy - Construction</t>
  </si>
  <si>
    <t>FPL Energy- Development</t>
  </si>
  <si>
    <t>Bellingham</t>
  </si>
  <si>
    <t>Sayreville</t>
  </si>
  <si>
    <t>Cherokee County Cogen</t>
  </si>
  <si>
    <t>Doswell</t>
  </si>
  <si>
    <t>Kern Front</t>
  </si>
  <si>
    <t>High Sierra</t>
  </si>
  <si>
    <t>Double C</t>
  </si>
  <si>
    <t>Bellingham, MA</t>
  </si>
  <si>
    <t>Sayreville, NJ</t>
  </si>
  <si>
    <t>Gaffney, SC</t>
  </si>
  <si>
    <t>Comb.Cyc.</t>
  </si>
  <si>
    <t>CoGen</t>
  </si>
  <si>
    <t>Harris</t>
  </si>
  <si>
    <t>ME</t>
  </si>
  <si>
    <t>Solar Electric Generating Station</t>
  </si>
  <si>
    <t>Birch</t>
  </si>
  <si>
    <t>Port of Stockton</t>
  </si>
  <si>
    <t>Cape</t>
  </si>
  <si>
    <t>Fossil</t>
  </si>
  <si>
    <t>W.F. Wyman 1-3</t>
  </si>
  <si>
    <t>Mason</t>
  </si>
  <si>
    <t>Ebensburg</t>
  </si>
  <si>
    <t>Waste Coal</t>
  </si>
  <si>
    <t>Montgomery</t>
  </si>
  <si>
    <t>Waste</t>
  </si>
  <si>
    <t>Multirade</t>
  </si>
  <si>
    <t>East Mesa</t>
  </si>
  <si>
    <t>Geo Thermal</t>
  </si>
  <si>
    <t>Calistoga/Silverado Geothermal Proj</t>
  </si>
  <si>
    <t>Coso 1&amp;2</t>
  </si>
  <si>
    <t>Brady Hotsprings</t>
  </si>
  <si>
    <t>Geo thermal</t>
  </si>
  <si>
    <t>AVEC</t>
  </si>
  <si>
    <t>Wind Power Partners</t>
  </si>
  <si>
    <t>Wind</t>
  </si>
  <si>
    <t>Green Ridge Power</t>
  </si>
  <si>
    <t>Mojave</t>
  </si>
  <si>
    <t>Sky River</t>
  </si>
  <si>
    <t>Southwest Mesa</t>
  </si>
  <si>
    <t>Victory Garden Phase 4</t>
  </si>
  <si>
    <t>Indian Stream, ME</t>
  </si>
  <si>
    <t>Frackville, PA</t>
  </si>
  <si>
    <t>Stockton, CA</t>
  </si>
  <si>
    <t>South Portland, ME</t>
  </si>
  <si>
    <t>Yarmouth, ME</t>
  </si>
  <si>
    <t>Wiscatt, ME</t>
  </si>
  <si>
    <t>Ebensburg, PA</t>
  </si>
  <si>
    <t>Montgomery, PA</t>
  </si>
  <si>
    <t>Holtville, CA</t>
  </si>
  <si>
    <t>Calistoga, CA</t>
  </si>
  <si>
    <t>China Lake, CA</t>
  </si>
  <si>
    <t>Reno, NV</t>
  </si>
  <si>
    <t>Fort Fairfield, ME</t>
  </si>
  <si>
    <t>Altamont Pass, CA</t>
  </si>
  <si>
    <t>Tehachapi, CA</t>
  </si>
  <si>
    <t>McCamey, TX</t>
  </si>
  <si>
    <t>Lamar Power Project</t>
  </si>
  <si>
    <t>Paris, TX</t>
  </si>
  <si>
    <t>Belligham Project</t>
  </si>
  <si>
    <t>Cocoa, FL</t>
  </si>
  <si>
    <t>Miami, FL</t>
  </si>
  <si>
    <t>Fort Myers, FL</t>
  </si>
  <si>
    <t>Parrish, FL</t>
  </si>
  <si>
    <t>Indiantown, FL</t>
  </si>
  <si>
    <t>Port Everglades, FL</t>
  </si>
  <si>
    <t>Riviera Beach, FL</t>
  </si>
  <si>
    <t>Jacksonville, FL</t>
  </si>
  <si>
    <t>Hutchinson Island, FL</t>
  </si>
  <si>
    <t>Lake Monroe, FL</t>
  </si>
  <si>
    <t>Monroe County, GA</t>
  </si>
  <si>
    <t>Florida City, FL</t>
  </si>
  <si>
    <t>Cape Canaveral</t>
  </si>
  <si>
    <t>Cutler</t>
  </si>
  <si>
    <t xml:space="preserve">Fort Myers </t>
  </si>
  <si>
    <t xml:space="preserve">Manatee </t>
  </si>
  <si>
    <t>Martin</t>
  </si>
  <si>
    <t xml:space="preserve">Port Everglades </t>
  </si>
  <si>
    <t xml:space="preserve">Riviera </t>
  </si>
  <si>
    <t xml:space="preserve">St. Johns River Power Park </t>
  </si>
  <si>
    <t xml:space="preserve">St. Lucie </t>
  </si>
  <si>
    <t xml:space="preserve">Sanford </t>
  </si>
  <si>
    <t>Scherer</t>
  </si>
  <si>
    <t>Turkey Point</t>
  </si>
  <si>
    <t>Dania, FL</t>
  </si>
  <si>
    <t>Palatka, FL</t>
  </si>
  <si>
    <t>Oil/Gas</t>
  </si>
  <si>
    <t>Coal/Petroleum</t>
  </si>
  <si>
    <t>Lauderdale</t>
  </si>
  <si>
    <t xml:space="preserve">Putnam </t>
  </si>
  <si>
    <t>Clear Lake, IA</t>
  </si>
  <si>
    <t>CC</t>
  </si>
  <si>
    <t>GTCC</t>
  </si>
  <si>
    <t>Bakersfield, CA</t>
  </si>
  <si>
    <t>CAMX</t>
  </si>
  <si>
    <t>GT</t>
  </si>
  <si>
    <t>MAPP</t>
  </si>
  <si>
    <t>Helix, OR</t>
  </si>
  <si>
    <t>NWPA</t>
  </si>
  <si>
    <t>ST Solar</t>
  </si>
  <si>
    <t>Interstate Power (Cerro Gordo)</t>
  </si>
  <si>
    <t>Maine Hydro Units*</t>
  </si>
  <si>
    <t>*Source: FPL Energy Home Page</t>
  </si>
  <si>
    <t>Vansycle Wind Energy Project*</t>
  </si>
  <si>
    <t>Tehachapi Pass, CA</t>
  </si>
  <si>
    <t>Pacific Crest/Ridgetop*</t>
  </si>
  <si>
    <t>Cameron Ridge*</t>
  </si>
  <si>
    <t>Altamont Power*</t>
  </si>
  <si>
    <t>More Wind*</t>
  </si>
  <si>
    <t>Harper Lake, CA*</t>
  </si>
  <si>
    <t>Hurt, VA*</t>
  </si>
  <si>
    <t>Everett, WA</t>
  </si>
  <si>
    <t>Philadelphia, PA</t>
  </si>
  <si>
    <t>Richmond, VA</t>
  </si>
  <si>
    <t>West Bend, WI</t>
  </si>
  <si>
    <t>Everett Delta*</t>
  </si>
  <si>
    <t>Marcus Hook*</t>
  </si>
  <si>
    <t>Doswell Expansion*</t>
  </si>
  <si>
    <t>Wisconsin Wind*</t>
  </si>
  <si>
    <t>Sunoco (Marcus Hook)*</t>
  </si>
  <si>
    <t>Other (Nuclear)</t>
  </si>
  <si>
    <t>Altamont, CA</t>
  </si>
  <si>
    <t>SERC</t>
  </si>
  <si>
    <t>FRCC</t>
  </si>
  <si>
    <t>MAIN</t>
  </si>
  <si>
    <t>WT</t>
  </si>
  <si>
    <t>FPL Asset Characteristics (only for Facilities that are in Operations or in Construction)</t>
  </si>
  <si>
    <t>Grid Profile (By Net MW)</t>
  </si>
  <si>
    <t>Fuel Mix (By Net MW)</t>
  </si>
  <si>
    <t>FPL Energy</t>
  </si>
  <si>
    <t>FPL (Regulated)</t>
  </si>
  <si>
    <t>* Source: Power Dat</t>
  </si>
  <si>
    <t xml:space="preserve">Waste  </t>
  </si>
  <si>
    <t>Net Equity (Op, Construction)</t>
  </si>
  <si>
    <t>(Net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</si>
</sst>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0" fillId="0" borderId="0" xfId="0" applyNumberFormat="1"/>
    <xf numFmtId="0" fontId="4" fillId="0" borderId="0" xfId="0" applyFont="1" applyBorder="1"/>
    <xf numFmtId="164" fontId="5" fillId="0" borderId="0" xfId="1" applyNumberFormat="1" applyFont="1" applyBorder="1"/>
    <xf numFmtId="0" fontId="6" fillId="0" borderId="0" xfId="0" applyFont="1" applyBorder="1"/>
    <xf numFmtId="0" fontId="0" fillId="0" borderId="0" xfId="0" quotePrefix="1" applyBorder="1"/>
    <xf numFmtId="164" fontId="0" fillId="0" borderId="0" xfId="1" applyNumberFormat="1" applyFont="1"/>
    <xf numFmtId="3" fontId="0" fillId="0" borderId="0" xfId="0" applyNumberFormat="1"/>
    <xf numFmtId="0" fontId="0" fillId="0" borderId="0" xfId="0" applyFill="1" applyBorder="1"/>
    <xf numFmtId="0" fontId="7" fillId="0" borderId="0" xfId="0" applyFont="1" applyFill="1" applyBorder="1"/>
    <xf numFmtId="164" fontId="1" fillId="0" borderId="16" xfId="1" applyNumberFormat="1" applyBorder="1"/>
    <xf numFmtId="0" fontId="0" fillId="0" borderId="0" xfId="0" applyFill="1" applyBorder="1" applyAlignment="1">
      <alignment horizontal="center"/>
    </xf>
    <xf numFmtId="0" fontId="0" fillId="0" borderId="17" xfId="0" applyFill="1" applyBorder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0" borderId="23" xfId="0" applyFill="1" applyBorder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0" fillId="0" borderId="28" xfId="0" applyFill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0" fillId="0" borderId="5" xfId="0" applyFill="1" applyBorder="1"/>
    <xf numFmtId="9" fontId="5" fillId="0" borderId="5" xfId="0" applyNumberFormat="1" applyFont="1" applyFill="1" applyBorder="1" applyAlignment="1">
      <alignment horizontal="center"/>
    </xf>
    <xf numFmtId="0" fontId="0" fillId="0" borderId="7" xfId="0" applyFill="1" applyBorder="1"/>
    <xf numFmtId="0" fontId="0" fillId="0" borderId="27" xfId="0" applyFill="1" applyBorder="1"/>
    <xf numFmtId="164" fontId="0" fillId="0" borderId="0" xfId="1" applyNumberFormat="1" applyFont="1" applyFill="1" applyBorder="1"/>
    <xf numFmtId="0" fontId="5" fillId="0" borderId="28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27" xfId="0" applyFont="1" applyFill="1" applyBorder="1"/>
    <xf numFmtId="0" fontId="5" fillId="0" borderId="26" xfId="0" applyFont="1" applyFill="1" applyBorder="1"/>
    <xf numFmtId="0" fontId="5" fillId="0" borderId="0" xfId="0" applyFont="1" applyFill="1" applyBorder="1"/>
    <xf numFmtId="164" fontId="5" fillId="0" borderId="0" xfId="1" applyNumberFormat="1" applyFont="1" applyFill="1" applyBorder="1"/>
    <xf numFmtId="164" fontId="5" fillId="0" borderId="5" xfId="1" applyNumberFormat="1" applyFont="1" applyFill="1" applyBorder="1"/>
    <xf numFmtId="9" fontId="5" fillId="0" borderId="5" xfId="2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5" fillId="0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0" fontId="5" fillId="0" borderId="29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0" fontId="5" fillId="0" borderId="32" xfId="0" applyFont="1" applyFill="1" applyBorder="1"/>
    <xf numFmtId="164" fontId="5" fillId="0" borderId="32" xfId="1" applyNumberFormat="1" applyFont="1" applyFill="1" applyBorder="1"/>
    <xf numFmtId="9" fontId="5" fillId="0" borderId="32" xfId="2" applyNumberFormat="1" applyFont="1" applyFill="1" applyBorder="1" applyAlignment="1">
      <alignment horizontal="center"/>
    </xf>
    <xf numFmtId="0" fontId="5" fillId="0" borderId="19" xfId="0" applyFont="1" applyFill="1" applyBorder="1"/>
    <xf numFmtId="0" fontId="5" fillId="0" borderId="21" xfId="0" applyFont="1" applyFill="1" applyBorder="1"/>
    <xf numFmtId="0" fontId="5" fillId="0" borderId="33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164" fontId="5" fillId="0" borderId="18" xfId="1" applyNumberFormat="1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20" xfId="0" applyFont="1" applyFill="1" applyBorder="1"/>
    <xf numFmtId="164" fontId="5" fillId="0" borderId="27" xfId="1" applyNumberFormat="1" applyFont="1" applyFill="1" applyBorder="1"/>
    <xf numFmtId="43" fontId="5" fillId="0" borderId="27" xfId="1" applyNumberFormat="1" applyFont="1" applyFill="1" applyBorder="1"/>
    <xf numFmtId="164" fontId="5" fillId="0" borderId="30" xfId="1" applyNumberFormat="1" applyFont="1" applyFill="1" applyBorder="1"/>
    <xf numFmtId="164" fontId="5" fillId="0" borderId="21" xfId="1" applyNumberFormat="1" applyFont="1" applyFill="1" applyBorder="1"/>
    <xf numFmtId="0" fontId="5" fillId="0" borderId="32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164" fontId="0" fillId="0" borderId="5" xfId="1" applyNumberFormat="1" applyFont="1" applyFill="1" applyBorder="1"/>
    <xf numFmtId="164" fontId="0" fillId="0" borderId="32" xfId="1" applyNumberFormat="1" applyFont="1" applyFill="1" applyBorder="1"/>
    <xf numFmtId="43" fontId="5" fillId="0" borderId="27" xfId="1" applyFont="1" applyFill="1" applyBorder="1"/>
    <xf numFmtId="43" fontId="0" fillId="0" borderId="27" xfId="1" applyFont="1" applyFill="1" applyBorder="1"/>
    <xf numFmtId="164" fontId="0" fillId="0" borderId="27" xfId="1" applyNumberFormat="1" applyFont="1" applyFill="1" applyBorder="1"/>
    <xf numFmtId="43" fontId="5" fillId="0" borderId="28" xfId="1" applyFont="1" applyFill="1" applyBorder="1"/>
    <xf numFmtId="43" fontId="5" fillId="0" borderId="7" xfId="1" applyFont="1" applyFill="1" applyBorder="1"/>
    <xf numFmtId="43" fontId="0" fillId="0" borderId="28" xfId="1" applyFont="1" applyFill="1" applyBorder="1"/>
    <xf numFmtId="43" fontId="0" fillId="0" borderId="7" xfId="1" applyFont="1" applyFill="1" applyBorder="1"/>
    <xf numFmtId="0" fontId="4" fillId="0" borderId="3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0" borderId="22" xfId="0" applyFont="1" applyFill="1" applyBorder="1"/>
    <xf numFmtId="0" fontId="5" fillId="0" borderId="36" xfId="0" applyFont="1" applyFill="1" applyBorder="1"/>
    <xf numFmtId="164" fontId="0" fillId="0" borderId="6" xfId="1" applyNumberFormat="1" applyFont="1" applyFill="1" applyBorder="1"/>
    <xf numFmtId="164" fontId="0" fillId="0" borderId="37" xfId="1" applyNumberFormat="1" applyFont="1" applyFill="1" applyBorder="1"/>
    <xf numFmtId="164" fontId="5" fillId="0" borderId="34" xfId="1" applyNumberFormat="1" applyFont="1" applyFill="1" applyBorder="1"/>
    <xf numFmtId="164" fontId="0" fillId="0" borderId="0" xfId="0" applyNumberFormat="1" applyFill="1" applyBorder="1"/>
    <xf numFmtId="164" fontId="6" fillId="0" borderId="5" xfId="1" applyNumberFormat="1" applyFont="1" applyFill="1" applyBorder="1"/>
    <xf numFmtId="164" fontId="0" fillId="0" borderId="6" xfId="1" applyNumberFormat="1" applyFont="1" applyFill="1" applyBorder="1" applyAlignment="1">
      <alignment horizontal="right"/>
    </xf>
    <xf numFmtId="0" fontId="0" fillId="0" borderId="3" xfId="0" applyFill="1" applyBorder="1"/>
    <xf numFmtId="0" fontId="0" fillId="0" borderId="10" xfId="0" applyFill="1" applyBorder="1"/>
    <xf numFmtId="164" fontId="1" fillId="0" borderId="11" xfId="1" applyNumberFormat="1" applyBorder="1"/>
    <xf numFmtId="164" fontId="1" fillId="0" borderId="11" xfId="1" applyNumberFormat="1" applyBorder="1" applyAlignment="1">
      <alignment horizontal="right"/>
    </xf>
    <xf numFmtId="0" fontId="4" fillId="0" borderId="38" xfId="0" applyFont="1" applyFill="1" applyBorder="1" applyAlignment="1">
      <alignment horizontal="center"/>
    </xf>
    <xf numFmtId="0" fontId="5" fillId="0" borderId="23" xfId="0" applyFont="1" applyFill="1" applyBorder="1"/>
    <xf numFmtId="0" fontId="5" fillId="0" borderId="25" xfId="0" applyFont="1" applyFill="1" applyBorder="1"/>
    <xf numFmtId="0" fontId="5" fillId="0" borderId="24" xfId="0" applyFont="1" applyFill="1" applyBorder="1"/>
    <xf numFmtId="164" fontId="5" fillId="0" borderId="24" xfId="1" applyNumberFormat="1" applyFont="1" applyFill="1" applyBorder="1"/>
    <xf numFmtId="9" fontId="5" fillId="0" borderId="24" xfId="2" applyNumberFormat="1" applyFont="1" applyFill="1" applyBorder="1" applyAlignment="1">
      <alignment horizontal="center"/>
    </xf>
    <xf numFmtId="164" fontId="0" fillId="0" borderId="24" xfId="1" applyNumberFormat="1" applyFont="1" applyFill="1" applyBorder="1"/>
    <xf numFmtId="164" fontId="0" fillId="0" borderId="35" xfId="1" applyNumberFormat="1" applyFont="1" applyFill="1" applyBorder="1"/>
    <xf numFmtId="0" fontId="5" fillId="0" borderId="38" xfId="0" applyFont="1" applyFill="1" applyBorder="1"/>
    <xf numFmtId="0" fontId="8" fillId="0" borderId="0" xfId="0" applyFont="1"/>
    <xf numFmtId="164" fontId="1" fillId="0" borderId="27" xfId="1" applyNumberFormat="1" applyBorder="1"/>
    <xf numFmtId="164" fontId="1" fillId="0" borderId="39" xfId="1" applyNumberFormat="1" applyBorder="1"/>
    <xf numFmtId="164" fontId="1" fillId="0" borderId="40" xfId="1" applyNumberFormat="1" applyBorder="1"/>
    <xf numFmtId="164" fontId="1" fillId="0" borderId="41" xfId="1" applyNumberFormat="1" applyBorder="1"/>
    <xf numFmtId="164" fontId="1" fillId="0" borderId="30" xfId="1" applyNumberFormat="1" applyBorder="1"/>
    <xf numFmtId="164" fontId="1" fillId="0" borderId="0" xfId="1" applyNumberFormat="1" applyBorder="1"/>
    <xf numFmtId="0" fontId="4" fillId="0" borderId="0" xfId="0" applyFont="1"/>
    <xf numFmtId="9" fontId="0" fillId="0" borderId="0" xfId="0" applyNumberFormat="1"/>
    <xf numFmtId="9" fontId="6" fillId="0" borderId="0" xfId="0" applyNumberFormat="1" applyFont="1"/>
    <xf numFmtId="9" fontId="3" fillId="0" borderId="0" xfId="0" applyNumberFormat="1" applyFont="1"/>
    <xf numFmtId="164" fontId="3" fillId="0" borderId="0" xfId="1" applyNumberFormat="1" applyFont="1"/>
    <xf numFmtId="164" fontId="6" fillId="0" borderId="0" xfId="1" applyNumberFormat="1" applyFont="1"/>
    <xf numFmtId="0" fontId="9" fillId="0" borderId="0" xfId="0" applyFont="1"/>
    <xf numFmtId="0" fontId="10" fillId="0" borderId="0" xfId="0" applyFont="1"/>
    <xf numFmtId="9" fontId="0" fillId="0" borderId="6" xfId="2" applyFont="1" applyFill="1" applyBorder="1"/>
    <xf numFmtId="9" fontId="0" fillId="0" borderId="6" xfId="2" applyFont="1" applyFill="1" applyBorder="1" applyAlignment="1">
      <alignment horizontal="right"/>
    </xf>
    <xf numFmtId="0" fontId="5" fillId="0" borderId="6" xfId="0" applyFont="1" applyFill="1" applyBorder="1"/>
    <xf numFmtId="164" fontId="5" fillId="0" borderId="26" xfId="1" applyNumberFormat="1" applyFont="1" applyFill="1" applyBorder="1"/>
    <xf numFmtId="0" fontId="5" fillId="0" borderId="16" xfId="0" applyFont="1" applyFill="1" applyBorder="1"/>
    <xf numFmtId="164" fontId="8" fillId="0" borderId="0" xfId="0" applyNumberFormat="1" applyFont="1"/>
    <xf numFmtId="164" fontId="0" fillId="0" borderId="5" xfId="1" applyNumberFormat="1" applyFont="1" applyFill="1" applyBorder="1" applyAlignment="1">
      <alignment horizontal="right"/>
    </xf>
    <xf numFmtId="0" fontId="5" fillId="0" borderId="16" xfId="0" applyFont="1" applyFill="1" applyBorder="1" applyAlignment="1">
      <alignment horizontal="left"/>
    </xf>
    <xf numFmtId="1" fontId="5" fillId="0" borderId="5" xfId="0" applyNumberFormat="1" applyFont="1" applyFill="1" applyBorder="1"/>
    <xf numFmtId="0" fontId="0" fillId="0" borderId="39" xfId="0" applyBorder="1"/>
    <xf numFmtId="0" fontId="0" fillId="0" borderId="40" xfId="0" applyBorder="1"/>
    <xf numFmtId="0" fontId="0" fillId="0" borderId="16" xfId="0" applyBorder="1"/>
    <xf numFmtId="0" fontId="0" fillId="0" borderId="27" xfId="0" applyBorder="1"/>
    <xf numFmtId="1" fontId="0" fillId="0" borderId="27" xfId="0" applyNumberFormat="1" applyBorder="1"/>
    <xf numFmtId="1" fontId="5" fillId="0" borderId="42" xfId="0" applyNumberFormat="1" applyFont="1" applyBorder="1"/>
    <xf numFmtId="0" fontId="0" fillId="0" borderId="41" xfId="0" applyBorder="1"/>
    <xf numFmtId="1" fontId="0" fillId="0" borderId="30" xfId="0" applyNumberFormat="1" applyBorder="1"/>
    <xf numFmtId="0" fontId="0" fillId="0" borderId="30" xfId="0" applyBorder="1"/>
    <xf numFmtId="0" fontId="0" fillId="0" borderId="42" xfId="0" applyBorder="1"/>
    <xf numFmtId="1" fontId="0" fillId="0" borderId="0" xfId="0" applyNumberFormat="1" applyBorder="1"/>
    <xf numFmtId="1" fontId="0" fillId="0" borderId="42" xfId="0" applyNumberFormat="1" applyBorder="1"/>
    <xf numFmtId="0" fontId="4" fillId="0" borderId="23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164" fontId="3" fillId="0" borderId="44" xfId="1" applyNumberFormat="1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39" xfId="1" applyNumberFormat="1" applyFont="1" applyBorder="1" applyAlignment="1">
      <alignment horizontal="center"/>
    </xf>
    <xf numFmtId="164" fontId="3" fillId="0" borderId="40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Grid Profile (By Net MW)</a:t>
            </a:r>
          </a:p>
        </c:rich>
      </c:tx>
      <c:layout>
        <c:manualLayout>
          <c:xMode val="edge"/>
          <c:yMode val="edge"/>
          <c:x val="0.3095723014256618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0662020905923343"/>
          <c:w val="0.23625254582484725"/>
          <c:h val="0.4041811846689895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Charts!$B$51:$B$57</c:f>
              <c:strCache>
                <c:ptCount val="7"/>
                <c:pt idx="0">
                  <c:v>PJM</c:v>
                </c:pt>
                <c:pt idx="1">
                  <c:v>NEPOOL</c:v>
                </c:pt>
                <c:pt idx="2">
                  <c:v>CAMX</c:v>
                </c:pt>
                <c:pt idx="3">
                  <c:v>SERC</c:v>
                </c:pt>
                <c:pt idx="4">
                  <c:v>MAPP</c:v>
                </c:pt>
                <c:pt idx="5">
                  <c:v>NWPA</c:v>
                </c:pt>
                <c:pt idx="6">
                  <c:v>ERCOT</c:v>
                </c:pt>
              </c:strCache>
            </c:strRef>
          </c:cat>
          <c:val>
            <c:numRef>
              <c:f>Charts!$C$51:$C$57</c:f>
              <c:numCache>
                <c:formatCode>0</c:formatCode>
                <c:ptCount val="7"/>
                <c:pt idx="0">
                  <c:v>224.93</c:v>
                </c:pt>
                <c:pt idx="1">
                  <c:v>1306.8400000000001</c:v>
                </c:pt>
                <c:pt idx="2">
                  <c:v>579.85600000000011</c:v>
                </c:pt>
                <c:pt idx="3">
                  <c:v>747</c:v>
                </c:pt>
                <c:pt idx="4">
                  <c:v>42</c:v>
                </c:pt>
                <c:pt idx="5">
                  <c:v>25</c:v>
                </c:pt>
                <c:pt idx="6">
                  <c:v>1065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Grid Profile (By Net MW)</a:t>
            </a:r>
          </a:p>
        </c:rich>
      </c:tx>
      <c:layout>
        <c:manualLayout>
          <c:xMode val="edge"/>
          <c:yMode val="edge"/>
          <c:x val="0.30957230142566189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6585365853658536"/>
          <c:w val="0.22810590631364563"/>
          <c:h val="0.390243902439024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57841140529531565"/>
                  <c:y val="0.19860627177700349"/>
                </c:manualLayout>
              </c:layout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SERC
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0529531568228105"/>
                  <c:y val="0.82229965156794427"/>
                </c:manualLayout>
              </c:layout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FRCC
96%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Charts!$B$63:$B$64</c:f>
              <c:strCache>
                <c:ptCount val="2"/>
                <c:pt idx="0">
                  <c:v>SERC</c:v>
                </c:pt>
                <c:pt idx="1">
                  <c:v>FRCC</c:v>
                </c:pt>
              </c:strCache>
            </c:strRef>
          </c:cat>
          <c:val>
            <c:numRef>
              <c:f>Charts!$C$63:$C$64</c:f>
              <c:numCache>
                <c:formatCode>General</c:formatCode>
                <c:ptCount val="2"/>
                <c:pt idx="0">
                  <c:v>658</c:v>
                </c:pt>
                <c:pt idx="1">
                  <c:v>15786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Fuel Mix (By Net MW)</a:t>
            </a:r>
          </a:p>
        </c:rich>
      </c:tx>
      <c:layout>
        <c:manualLayout>
          <c:xMode val="edge"/>
          <c:yMode val="edge"/>
          <c:x val="0.33401221995926678"/>
          <c:y val="2.43902439024390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325865580448067"/>
          <c:y val="0.46689895470383275"/>
          <c:w val="0.1955193482688391"/>
          <c:h val="0.3344947735191637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61507128309572301"/>
                  <c:y val="0.306620209059233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57637474541751532"/>
                  <c:y val="0.818815331010453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7922606924643583"/>
                  <c:y val="0.501742160278745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3217922606924643"/>
                  <c:y val="0.3728222996515679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2790224032586557"/>
                  <c:y val="0.310104529616724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0733197556008149"/>
                  <c:y val="0.2299651567944250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916496945010181"/>
                  <c:y val="0.22648083623693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4582484725050917"/>
                  <c:y val="0.1916376306620209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Charts!$E$51:$E$57</c:f>
              <c:strCache>
                <c:ptCount val="7"/>
                <c:pt idx="0">
                  <c:v>Wind</c:v>
                </c:pt>
                <c:pt idx="1">
                  <c:v>Gas</c:v>
                </c:pt>
                <c:pt idx="2">
                  <c:v>Geo Thermal</c:v>
                </c:pt>
                <c:pt idx="3">
                  <c:v>Waste  </c:v>
                </c:pt>
                <c:pt idx="4">
                  <c:v>Solar</c:v>
                </c:pt>
                <c:pt idx="5">
                  <c:v>Hydro</c:v>
                </c:pt>
                <c:pt idx="6">
                  <c:v>Fossil</c:v>
                </c:pt>
              </c:strCache>
            </c:strRef>
          </c:cat>
          <c:val>
            <c:numRef>
              <c:f>Charts!$F$51:$F$57</c:f>
              <c:numCache>
                <c:formatCode>0</c:formatCode>
                <c:ptCount val="7"/>
                <c:pt idx="0">
                  <c:v>466.9</c:v>
                </c:pt>
                <c:pt idx="1">
                  <c:v>2809.7960000000003</c:v>
                </c:pt>
                <c:pt idx="2">
                  <c:v>140</c:v>
                </c:pt>
                <c:pt idx="3">
                  <c:v>20</c:v>
                </c:pt>
                <c:pt idx="4">
                  <c:v>80</c:v>
                </c:pt>
                <c:pt idx="5">
                  <c:v>373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Fuel Mix (By Net MW)</a:t>
            </a:r>
          </a:p>
        </c:rich>
      </c:tx>
      <c:layout>
        <c:manualLayout>
          <c:xMode val="edge"/>
          <c:yMode val="edge"/>
          <c:x val="0.3319755600814663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751527494908353"/>
          <c:y val="0.47386759581881532"/>
          <c:w val="0.1955193482688391"/>
          <c:h val="0.3344947735191637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50509164969450104"/>
                  <c:y val="0.310104529616724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075356415478615"/>
                  <c:y val="0.533101045296167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20570264765784113"/>
                  <c:y val="0.41811846689895471"/>
                </c:manualLayout>
              </c:layout>
              <c:tx>
                <c:rich>
                  <a:bodyPr/>
                  <a:lstStyle/>
                  <a:p>
                    <a:pPr algn="ctr" rtl="1"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Coal/Petroleum
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910386965376782"/>
                  <c:y val="0.324041811846689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Charts!$E$63:$E$69</c:f>
              <c:strCache>
                <c:ptCount val="7"/>
                <c:pt idx="0">
                  <c:v>Gas</c:v>
                </c:pt>
                <c:pt idx="1">
                  <c:v>Oil</c:v>
                </c:pt>
                <c:pt idx="2">
                  <c:v>Gas/Oil</c:v>
                </c:pt>
                <c:pt idx="3">
                  <c:v>Oil/Gas</c:v>
                </c:pt>
                <c:pt idx="4">
                  <c:v>Coal</c:v>
                </c:pt>
                <c:pt idx="5">
                  <c:v>Coal/Petroleum</c:v>
                </c:pt>
                <c:pt idx="6">
                  <c:v>Nuclear</c:v>
                </c:pt>
              </c:strCache>
            </c:strRef>
          </c:cat>
          <c:val>
            <c:numRef>
              <c:f>Charts!$F$63:$F$69</c:f>
              <c:numCache>
                <c:formatCode>General</c:formatCode>
                <c:ptCount val="7"/>
                <c:pt idx="0">
                  <c:v>215</c:v>
                </c:pt>
                <c:pt idx="1">
                  <c:v>2804</c:v>
                </c:pt>
                <c:pt idx="2">
                  <c:v>2198</c:v>
                </c:pt>
                <c:pt idx="3">
                  <c:v>7376</c:v>
                </c:pt>
                <c:pt idx="4">
                  <c:v>658</c:v>
                </c:pt>
                <c:pt idx="5">
                  <c:v>254</c:v>
                </c:pt>
                <c:pt idx="6">
                  <c:v>2939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727272727272726"/>
          <c:y val="0.39197649009117624"/>
          <c:w val="0.24545454545454545"/>
          <c:h val="0.333334338030291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Sheet1!$G$24:$G$26</c:f>
              <c:strCache>
                <c:ptCount val="3"/>
                <c:pt idx="0">
                  <c:v>Baseload</c:v>
                </c:pt>
                <c:pt idx="1">
                  <c:v>Load Following</c:v>
                </c:pt>
                <c:pt idx="2">
                  <c:v>Peaking</c:v>
                </c:pt>
              </c:strCache>
            </c:strRef>
          </c:cat>
          <c:val>
            <c:numRef>
              <c:f>Sheet1!$H$24:$H$26</c:f>
              <c:numCache>
                <c:formatCode>_(* #,##0_);_(* \(#,##0\);_(* "-"??_);_(@_)</c:formatCode>
                <c:ptCount val="3"/>
                <c:pt idx="0">
                  <c:v>35</c:v>
                </c:pt>
                <c:pt idx="1">
                  <c:v>36</c:v>
                </c:pt>
                <c:pt idx="2">
                  <c:v>29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158796943197597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013680763004805"/>
          <c:y val="0.34153897466793071"/>
          <c:w val="0.31972859917224516"/>
          <c:h val="0.4338468056592633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Mode val="edge"/>
                  <c:yMode val="edge"/>
                  <c:x val="0.2857149184092404"/>
                  <c:y val="0.7507703587295052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6780082509749039"/>
                  <c:y val="0.270769637574575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240438634758175"/>
                  <c:y val="0.1384617464869989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2834584118534134"/>
                  <c:y val="0.1138463248893102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7369741553601439"/>
                  <c:y val="0.2369234328777537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Sheet1!$B$24:$B$28</c:f>
              <c:strCache>
                <c:ptCount val="5"/>
                <c:pt idx="0">
                  <c:v>PJM</c:v>
                </c:pt>
                <c:pt idx="1">
                  <c:v>ERCOT</c:v>
                </c:pt>
                <c:pt idx="2">
                  <c:v>NYPP</c:v>
                </c:pt>
                <c:pt idx="3">
                  <c:v>CA/MX</c:v>
                </c:pt>
                <c:pt idx="4">
                  <c:v>Others</c:v>
                </c:pt>
              </c:strCache>
            </c:strRef>
          </c:cat>
          <c:val>
            <c:numRef>
              <c:f>Sheet1!$C$24:$C$28</c:f>
              <c:numCache>
                <c:formatCode>_(* #,##0_);_(* \(#,##0\);_(* "-"??_);_(@_)</c:formatCode>
                <c:ptCount val="5"/>
                <c:pt idx="0">
                  <c:v>1516.0282672970895</c:v>
                </c:pt>
                <c:pt idx="1">
                  <c:v>1000</c:v>
                </c:pt>
                <c:pt idx="2">
                  <c:v>400</c:v>
                </c:pt>
                <c:pt idx="3">
                  <c:v>75.415000000000006</c:v>
                </c:pt>
                <c:pt idx="4">
                  <c:v>94.6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Technology Mix (By Net/Gross MW)</a:t>
            </a:r>
          </a:p>
        </c:rich>
      </c:tx>
      <c:layout>
        <c:manualLayout>
          <c:xMode val="edge"/>
          <c:yMode val="edge"/>
          <c:x val="0.23590814196242171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830897703549061"/>
          <c:y val="0.40000060096244133"/>
          <c:w val="0.22338204592901878"/>
          <c:h val="0.3292312638690863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5"/>
              <c:layout>
                <c:manualLayout>
                  <c:xMode val="edge"/>
                  <c:yMode val="edge"/>
                  <c:x val="0.51983298538622125"/>
                  <c:y val="0.1323078910875767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Sheet2!$G$25:$G$30</c:f>
              <c:strCache>
                <c:ptCount val="6"/>
                <c:pt idx="0">
                  <c:v>ST</c:v>
                </c:pt>
                <c:pt idx="1">
                  <c:v>Nuclear</c:v>
                </c:pt>
                <c:pt idx="2">
                  <c:v>CT</c:v>
                </c:pt>
                <c:pt idx="3">
                  <c:v>CCGT</c:v>
                </c:pt>
                <c:pt idx="4">
                  <c:v>Internal Combustion</c:v>
                </c:pt>
                <c:pt idx="5">
                  <c:v>Others</c:v>
                </c:pt>
              </c:strCache>
            </c:strRef>
          </c:cat>
          <c:val>
            <c:numRef>
              <c:f>Sheet2!$H$25:$H$30</c:f>
              <c:numCache>
                <c:formatCode>_(* #,##0_);_(* \(#,##0\);_(* "-"??_);_(@_)</c:formatCode>
                <c:ptCount val="6"/>
                <c:pt idx="0">
                  <c:v>5765.24</c:v>
                </c:pt>
                <c:pt idx="1">
                  <c:v>5148.0082672970884</c:v>
                </c:pt>
                <c:pt idx="2">
                  <c:v>5025.4400000000005</c:v>
                </c:pt>
                <c:pt idx="3">
                  <c:v>3180.66</c:v>
                </c:pt>
                <c:pt idx="4">
                  <c:v>328.88</c:v>
                </c:pt>
                <c:pt idx="5">
                  <c:v>81.815000000000012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Mix (By Net/Gross MW)</a:t>
            </a:r>
          </a:p>
        </c:rich>
      </c:tx>
      <c:layout>
        <c:manualLayout>
          <c:xMode val="edge"/>
          <c:yMode val="edge"/>
          <c:x val="0.27313769751693001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148984198645597"/>
          <c:y val="0.40123577725868437"/>
          <c:w val="0.23927765237020315"/>
          <c:h val="0.3271614799186195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4"/>
              <c:layout>
                <c:manualLayout>
                  <c:xMode val="edge"/>
                  <c:yMode val="edge"/>
                  <c:x val="0.30699774266365687"/>
                  <c:y val="0.1574078818476377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952595936794583"/>
                  <c:y val="0.1666671690151458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853273137697522"/>
                  <c:y val="0.2716057569135709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Sheet2!$B$25:$B$30</c:f>
              <c:strCache>
                <c:ptCount val="6"/>
                <c:pt idx="0">
                  <c:v>Gas</c:v>
                </c:pt>
                <c:pt idx="1">
                  <c:v>Nuclear</c:v>
                </c:pt>
                <c:pt idx="2">
                  <c:v>Coal</c:v>
                </c:pt>
                <c:pt idx="3">
                  <c:v>Oil</c:v>
                </c:pt>
                <c:pt idx="4">
                  <c:v>Pumped Storage</c:v>
                </c:pt>
                <c:pt idx="5">
                  <c:v>Others</c:v>
                </c:pt>
              </c:strCache>
            </c:strRef>
          </c:cat>
          <c:val>
            <c:numRef>
              <c:f>Sheet2!$C$25:$C$30</c:f>
              <c:numCache>
                <c:formatCode>_(* #,##0_);_(* \(#,##0\);_(* "-"??_);_(@_)</c:formatCode>
                <c:ptCount val="6"/>
                <c:pt idx="0">
                  <c:v>7389.02</c:v>
                </c:pt>
                <c:pt idx="1">
                  <c:v>5148.0082672970884</c:v>
                </c:pt>
                <c:pt idx="2">
                  <c:v>3288.8</c:v>
                </c:pt>
                <c:pt idx="3">
                  <c:v>2883.68</c:v>
                </c:pt>
                <c:pt idx="4">
                  <c:v>328.88</c:v>
                </c:pt>
                <c:pt idx="5">
                  <c:v>491.65500000000003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200025</xdr:colOff>
      <xdr:row>19</xdr:row>
      <xdr:rowOff>47625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885825</xdr:colOff>
      <xdr:row>2</xdr:row>
      <xdr:rowOff>95250</xdr:rowOff>
    </xdr:from>
    <xdr:to>
      <xdr:col>9</xdr:col>
      <xdr:colOff>123825</xdr:colOff>
      <xdr:row>19</xdr:row>
      <xdr:rowOff>76200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4</xdr:col>
      <xdr:colOff>200025</xdr:colOff>
      <xdr:row>40</xdr:row>
      <xdr:rowOff>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876300</xdr:colOff>
      <xdr:row>23</xdr:row>
      <xdr:rowOff>9525</xdr:rowOff>
    </xdr:from>
    <xdr:to>
      <xdr:col>9</xdr:col>
      <xdr:colOff>114300</xdr:colOff>
      <xdr:row>39</xdr:row>
      <xdr:rowOff>152400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0</xdr:colOff>
      <xdr:row>18</xdr:row>
      <xdr:rowOff>152400</xdr:rowOff>
    </xdr:to>
    <xdr:graphicFrame macro="">
      <xdr:nvGraphicFramePr>
        <xdr:cNvPr id="22530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9525</xdr:colOff>
      <xdr:row>19</xdr:row>
      <xdr:rowOff>0</xdr:rowOff>
    </xdr:to>
    <xdr:graphicFrame macro="">
      <xdr:nvGraphicFramePr>
        <xdr:cNvPr id="22531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9525</xdr:colOff>
      <xdr:row>20</xdr:row>
      <xdr:rowOff>19050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28575</xdr:colOff>
      <xdr:row>20</xdr:row>
      <xdr:rowOff>9525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19" sqref="A19"/>
    </sheetView>
  </sheetViews>
  <sheetFormatPr defaultRowHeight="12.75" x14ac:dyDescent="0.2"/>
  <cols>
    <col min="1" max="1" width="4.5703125" customWidth="1"/>
    <col min="2" max="2" width="33.140625" customWidth="1"/>
    <col min="3" max="3" width="30.5703125" customWidth="1"/>
    <col min="4" max="4" width="12.7109375" customWidth="1"/>
    <col min="5" max="5" width="14.85546875" customWidth="1"/>
    <col min="6" max="6" width="22.85546875" bestFit="1" customWidth="1"/>
    <col min="7" max="8" width="12.7109375" customWidth="1"/>
    <col min="9" max="9" width="27.140625" bestFit="1" customWidth="1"/>
    <col min="10" max="18" width="12.7109375" customWidth="1"/>
    <col min="19" max="19" width="6.5703125" customWidth="1"/>
    <col min="20" max="20" width="5.85546875" customWidth="1"/>
    <col min="21" max="24" width="20.5703125" customWidth="1"/>
    <col min="25" max="25" width="18.140625" customWidth="1"/>
    <col min="26" max="26" width="12.85546875" customWidth="1"/>
  </cols>
  <sheetData>
    <row r="1" spans="2:2" ht="23.25" x14ac:dyDescent="0.35">
      <c r="B1" s="1" t="s">
        <v>62</v>
      </c>
    </row>
    <row r="2" spans="2:2" x14ac:dyDescent="0.2">
      <c r="B2" s="2"/>
    </row>
    <row r="3" spans="2:2" x14ac:dyDescent="0.2">
      <c r="B3" s="2"/>
    </row>
    <row r="4" spans="2:2" x14ac:dyDescent="0.2">
      <c r="B4" s="2"/>
    </row>
    <row r="5" spans="2:2" x14ac:dyDescent="0.2">
      <c r="B5" s="3" t="s">
        <v>0</v>
      </c>
    </row>
    <row r="6" spans="2:2" x14ac:dyDescent="0.2">
      <c r="B6" s="2"/>
    </row>
    <row r="7" spans="2:2" x14ac:dyDescent="0.2">
      <c r="B7" s="2"/>
    </row>
    <row r="8" spans="2:2" x14ac:dyDescent="0.2">
      <c r="B8" s="3"/>
    </row>
    <row r="9" spans="2:2" x14ac:dyDescent="0.2">
      <c r="B9" s="3" t="s">
        <v>1</v>
      </c>
    </row>
    <row r="10" spans="2:2" x14ac:dyDescent="0.2">
      <c r="B10" s="3"/>
    </row>
    <row r="11" spans="2:2" x14ac:dyDescent="0.2">
      <c r="B11" s="3"/>
    </row>
    <row r="12" spans="2:2" x14ac:dyDescent="0.2">
      <c r="B12" s="3"/>
    </row>
    <row r="13" spans="2:2" x14ac:dyDescent="0.2">
      <c r="B13" s="3"/>
    </row>
    <row r="14" spans="2:2" x14ac:dyDescent="0.2">
      <c r="B14" s="3"/>
    </row>
    <row r="15" spans="2:2" x14ac:dyDescent="0.2">
      <c r="B15" s="3"/>
    </row>
    <row r="16" spans="2:2" x14ac:dyDescent="0.2">
      <c r="B16" s="3"/>
    </row>
    <row r="17" spans="2:18" x14ac:dyDescent="0.2">
      <c r="B17" s="3"/>
    </row>
    <row r="18" spans="2:18" x14ac:dyDescent="0.2">
      <c r="B18" s="3"/>
    </row>
    <row r="19" spans="2:18" x14ac:dyDescent="0.2">
      <c r="B19" s="3" t="s">
        <v>2</v>
      </c>
      <c r="C19" s="4" t="s">
        <v>3</v>
      </c>
      <c r="D19" s="5"/>
      <c r="E19" s="6"/>
      <c r="F19" s="7"/>
      <c r="G19" s="5"/>
      <c r="H19" s="6"/>
      <c r="I19" s="7"/>
      <c r="J19" s="5"/>
      <c r="K19" s="6"/>
      <c r="L19" s="7"/>
      <c r="M19" s="8"/>
      <c r="N19" s="6" t="s">
        <v>4</v>
      </c>
      <c r="O19" s="7"/>
      <c r="P19" s="8"/>
      <c r="Q19" s="6" t="s">
        <v>5</v>
      </c>
      <c r="R19" s="7"/>
    </row>
    <row r="20" spans="2:18" x14ac:dyDescent="0.2">
      <c r="B20" s="9"/>
      <c r="C20" s="10" t="s">
        <v>6</v>
      </c>
      <c r="D20" s="170" t="s">
        <v>7</v>
      </c>
      <c r="E20" s="171"/>
      <c r="F20" s="172"/>
      <c r="G20" s="170" t="s">
        <v>8</v>
      </c>
      <c r="H20" s="171"/>
      <c r="I20" s="172"/>
      <c r="J20" s="170" t="s">
        <v>9</v>
      </c>
      <c r="K20" s="171"/>
      <c r="L20" s="172"/>
      <c r="M20" s="11" t="s">
        <v>10</v>
      </c>
      <c r="N20" s="12" t="s">
        <v>11</v>
      </c>
      <c r="O20" s="13" t="s">
        <v>12</v>
      </c>
      <c r="P20" s="11" t="s">
        <v>10</v>
      </c>
      <c r="Q20" s="12" t="s">
        <v>11</v>
      </c>
      <c r="R20" s="13" t="s">
        <v>13</v>
      </c>
    </row>
    <row r="21" spans="2:18" x14ac:dyDescent="0.2">
      <c r="C21" s="14" t="s">
        <v>14</v>
      </c>
      <c r="D21" s="15" t="s">
        <v>15</v>
      </c>
      <c r="E21" s="16" t="s">
        <v>16</v>
      </c>
      <c r="F21" s="17" t="s">
        <v>17</v>
      </c>
      <c r="G21" s="11" t="s">
        <v>15</v>
      </c>
      <c r="H21" s="12" t="s">
        <v>16</v>
      </c>
      <c r="I21" s="13" t="s">
        <v>17</v>
      </c>
      <c r="J21" s="11" t="s">
        <v>15</v>
      </c>
      <c r="K21" s="12" t="s">
        <v>16</v>
      </c>
      <c r="L21" s="13" t="s">
        <v>17</v>
      </c>
      <c r="M21" s="15" t="s">
        <v>16</v>
      </c>
      <c r="N21" s="16" t="s">
        <v>16</v>
      </c>
      <c r="O21" s="17" t="s">
        <v>16</v>
      </c>
      <c r="P21" s="15" t="s">
        <v>16</v>
      </c>
      <c r="Q21" s="16" t="s">
        <v>16</v>
      </c>
      <c r="R21" s="17" t="s">
        <v>16</v>
      </c>
    </row>
    <row r="22" spans="2:18" x14ac:dyDescent="0.2">
      <c r="C22" s="18"/>
      <c r="D22" s="19"/>
      <c r="E22" s="20"/>
      <c r="F22" s="21"/>
      <c r="G22" s="19"/>
      <c r="H22" s="20"/>
      <c r="I22" s="21"/>
      <c r="J22" s="19"/>
      <c r="K22" s="20"/>
      <c r="L22" s="21"/>
      <c r="M22" s="22"/>
      <c r="N22" s="23"/>
      <c r="O22" s="21"/>
      <c r="P22" s="22"/>
      <c r="Q22" s="23"/>
      <c r="R22" s="21"/>
    </row>
    <row r="24" spans="2:18" x14ac:dyDescent="0.2">
      <c r="B24" s="3" t="s">
        <v>18</v>
      </c>
      <c r="D24" s="24"/>
      <c r="F24" s="24"/>
    </row>
    <row r="25" spans="2:18" x14ac:dyDescent="0.2">
      <c r="D25" s="24"/>
      <c r="E25" s="24"/>
    </row>
    <row r="26" spans="2:18" x14ac:dyDescent="0.2">
      <c r="B26" s="3" t="s">
        <v>19</v>
      </c>
    </row>
    <row r="28" spans="2:18" x14ac:dyDescent="0.2">
      <c r="B28" s="3" t="s">
        <v>20</v>
      </c>
    </row>
    <row r="30" spans="2:18" x14ac:dyDescent="0.2">
      <c r="B30" s="3" t="s">
        <v>21</v>
      </c>
    </row>
    <row r="32" spans="2:18" x14ac:dyDescent="0.2">
      <c r="B32" s="3" t="s">
        <v>32</v>
      </c>
    </row>
    <row r="34" spans="2:2" x14ac:dyDescent="0.2">
      <c r="B34" s="3" t="s">
        <v>22</v>
      </c>
    </row>
    <row r="36" spans="2:2" x14ac:dyDescent="0.2">
      <c r="B36" s="3" t="s">
        <v>23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abSelected="1" zoomScaleNormal="100" workbookViewId="0">
      <selection activeCell="B11" sqref="B11"/>
    </sheetView>
  </sheetViews>
  <sheetFormatPr defaultColWidth="29.28515625" defaultRowHeight="12.75" x14ac:dyDescent="0.2"/>
  <cols>
    <col min="1" max="1" width="3" style="31" bestFit="1" customWidth="1"/>
    <col min="2" max="2" width="56.5703125" style="31" bestFit="1" customWidth="1"/>
    <col min="3" max="3" width="24.42578125" style="31" bestFit="1" customWidth="1"/>
    <col min="4" max="4" width="13.7109375" style="31" bestFit="1" customWidth="1"/>
    <col min="5" max="5" width="13.7109375" style="34" customWidth="1"/>
    <col min="6" max="6" width="13.7109375" style="31" customWidth="1"/>
    <col min="7" max="7" width="16.28515625" style="31" customWidth="1"/>
    <col min="8" max="8" width="13.7109375" style="31" customWidth="1"/>
    <col min="9" max="9" width="19.5703125" style="31" bestFit="1" customWidth="1"/>
    <col min="10" max="10" width="1.7109375" style="31" customWidth="1"/>
    <col min="11" max="11" width="14.28515625" style="31" bestFit="1" customWidth="1"/>
    <col min="12" max="12" width="20.85546875" style="31" bestFit="1" customWidth="1"/>
    <col min="13" max="13" width="30.5703125" style="31" hidden="1" customWidth="1"/>
    <col min="14" max="14" width="19.140625" style="31" hidden="1" customWidth="1"/>
    <col min="15" max="15" width="21.5703125" style="31" hidden="1" customWidth="1"/>
    <col min="16" max="16" width="19.140625" style="31" bestFit="1" customWidth="1"/>
    <col min="17" max="17" width="1.7109375" style="31" customWidth="1"/>
    <col min="18" max="18" width="14.28515625" style="31" customWidth="1"/>
    <col min="19" max="19" width="16.85546875" style="31" customWidth="1"/>
    <col min="20" max="20" width="12.85546875" style="31" bestFit="1" customWidth="1"/>
    <col min="21" max="21" width="29.28515625" style="31" customWidth="1"/>
    <col min="22" max="22" width="30.7109375" style="31" bestFit="1" customWidth="1"/>
    <col min="23" max="25" width="14.7109375" style="31" customWidth="1"/>
    <col min="26" max="26" width="17.42578125" style="31" bestFit="1" customWidth="1"/>
    <col min="27" max="27" width="14.7109375" style="31" customWidth="1"/>
    <col min="28" max="16384" width="29.28515625" style="31"/>
  </cols>
  <sheetData>
    <row r="1" spans="1:24" ht="26.25" x14ac:dyDescent="0.4">
      <c r="B1" s="32" t="s">
        <v>178</v>
      </c>
    </row>
    <row r="2" spans="1:24" ht="15" customHeight="1" x14ac:dyDescent="0.4">
      <c r="B2" s="32"/>
    </row>
    <row r="3" spans="1:24" ht="15" customHeight="1" x14ac:dyDescent="0.4">
      <c r="B3" s="32"/>
    </row>
    <row r="4" spans="1:24" ht="12.75" customHeight="1" x14ac:dyDescent="0.2">
      <c r="B4" s="75" t="s">
        <v>2</v>
      </c>
    </row>
    <row r="5" spans="1:24" customFormat="1" x14ac:dyDescent="0.2">
      <c r="B5" s="4" t="s">
        <v>3</v>
      </c>
      <c r="C5" s="5"/>
      <c r="D5" s="6"/>
      <c r="E5" s="7"/>
      <c r="F5" s="5"/>
      <c r="G5" s="6"/>
      <c r="H5" s="7"/>
      <c r="I5" s="5"/>
      <c r="J5" s="118"/>
      <c r="K5" s="6"/>
      <c r="L5" s="7"/>
      <c r="P5" s="5"/>
      <c r="Q5" s="118"/>
      <c r="R5" s="6"/>
      <c r="S5" s="7"/>
    </row>
    <row r="6" spans="1:24" customFormat="1" x14ac:dyDescent="0.2">
      <c r="B6" s="10" t="s">
        <v>314</v>
      </c>
      <c r="C6" s="170" t="s">
        <v>7</v>
      </c>
      <c r="D6" s="171"/>
      <c r="E6" s="172"/>
      <c r="F6" s="170" t="s">
        <v>8</v>
      </c>
      <c r="G6" s="171"/>
      <c r="H6" s="172"/>
      <c r="I6" s="170" t="s">
        <v>13</v>
      </c>
      <c r="J6" s="171"/>
      <c r="K6" s="171"/>
      <c r="L6" s="172"/>
      <c r="P6" s="170" t="s">
        <v>163</v>
      </c>
      <c r="Q6" s="171"/>
      <c r="R6" s="171"/>
      <c r="S6" s="172"/>
    </row>
    <row r="7" spans="1:24" customFormat="1" x14ac:dyDescent="0.2">
      <c r="B7" s="14" t="s">
        <v>315</v>
      </c>
      <c r="C7" s="15" t="s">
        <v>15</v>
      </c>
      <c r="D7" s="16" t="s">
        <v>16</v>
      </c>
      <c r="E7" s="17" t="s">
        <v>17</v>
      </c>
      <c r="F7" s="11" t="s">
        <v>15</v>
      </c>
      <c r="G7" s="12" t="s">
        <v>16</v>
      </c>
      <c r="H7" s="13" t="s">
        <v>17</v>
      </c>
      <c r="I7" s="15" t="s">
        <v>15</v>
      </c>
      <c r="J7" s="119"/>
      <c r="K7" s="16" t="s">
        <v>16</v>
      </c>
      <c r="L7" s="17" t="s">
        <v>17</v>
      </c>
      <c r="P7" s="15" t="s">
        <v>15</v>
      </c>
      <c r="Q7" s="119"/>
      <c r="R7" s="16" t="s">
        <v>16</v>
      </c>
      <c r="S7" s="17" t="s">
        <v>17</v>
      </c>
    </row>
    <row r="8" spans="1:24" customFormat="1" x14ac:dyDescent="0.2">
      <c r="B8" s="18">
        <f>F54+F63+F101</f>
        <v>20434.626</v>
      </c>
      <c r="C8" s="19">
        <f>A51+A96</f>
        <v>52</v>
      </c>
      <c r="D8" s="20">
        <f>D54+D101</f>
        <v>22488.348297213623</v>
      </c>
      <c r="E8" s="21">
        <f>F54+F101</f>
        <v>19444.626</v>
      </c>
      <c r="F8" s="19">
        <f>A60</f>
        <v>1</v>
      </c>
      <c r="G8" s="20">
        <f>D63+D110</f>
        <v>1000</v>
      </c>
      <c r="H8" s="21">
        <f>F63+F110</f>
        <v>990</v>
      </c>
      <c r="I8" s="22">
        <f>A73</f>
        <v>6</v>
      </c>
      <c r="J8" s="119"/>
      <c r="K8" s="23">
        <f>D76+D122</f>
        <v>1699</v>
      </c>
      <c r="L8" s="121">
        <f>F76</f>
        <v>1699</v>
      </c>
      <c r="P8" s="22"/>
      <c r="Q8" s="119"/>
      <c r="R8" s="23"/>
      <c r="S8" s="120"/>
    </row>
    <row r="9" spans="1:24" ht="12.75" customHeight="1" x14ac:dyDescent="0.2">
      <c r="B9" s="151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24" ht="12.75" customHeight="1" x14ac:dyDescent="0.2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24" ht="12.75" customHeight="1" x14ac:dyDescent="0.2"/>
    <row r="12" spans="1:24" ht="13.5" thickBot="1" x14ac:dyDescent="0.25">
      <c r="B12" s="75" t="s">
        <v>179</v>
      </c>
    </row>
    <row r="13" spans="1:24" ht="13.5" thickBot="1" x14ac:dyDescent="0.25">
      <c r="A13" s="35"/>
      <c r="B13" s="36" t="s">
        <v>15</v>
      </c>
      <c r="C13" s="36" t="s">
        <v>24</v>
      </c>
      <c r="D13" s="36" t="s">
        <v>57</v>
      </c>
      <c r="E13" s="36" t="s">
        <v>27</v>
      </c>
      <c r="F13" s="36" t="s">
        <v>33</v>
      </c>
      <c r="G13" s="106" t="s">
        <v>160</v>
      </c>
      <c r="H13" s="106" t="s">
        <v>158</v>
      </c>
      <c r="I13" s="40" t="s">
        <v>26</v>
      </c>
      <c r="J13" s="41"/>
      <c r="K13" s="42" t="s">
        <v>25</v>
      </c>
      <c r="L13" s="36" t="s">
        <v>55</v>
      </c>
      <c r="M13" s="37" t="s">
        <v>34</v>
      </c>
      <c r="N13" s="38" t="s">
        <v>59</v>
      </c>
      <c r="O13" s="36" t="s">
        <v>35</v>
      </c>
      <c r="P13" s="39" t="s">
        <v>36</v>
      </c>
      <c r="Q13" s="41"/>
      <c r="R13" s="42" t="s">
        <v>37</v>
      </c>
      <c r="S13" s="38" t="s">
        <v>38</v>
      </c>
      <c r="T13" s="39" t="s">
        <v>50</v>
      </c>
    </row>
    <row r="14" spans="1:24" ht="7.5" customHeight="1" x14ac:dyDescent="0.2">
      <c r="A14" s="51"/>
      <c r="B14" s="47"/>
      <c r="C14" s="47"/>
      <c r="D14" s="47"/>
      <c r="E14" s="47"/>
      <c r="F14" s="47"/>
      <c r="G14" s="107"/>
      <c r="H14" s="107"/>
      <c r="I14" s="48"/>
      <c r="J14" s="41"/>
      <c r="K14" s="50"/>
      <c r="L14" s="47"/>
      <c r="M14" s="41"/>
      <c r="N14" s="46"/>
      <c r="O14" s="47"/>
      <c r="P14" s="49"/>
      <c r="Q14" s="41"/>
      <c r="R14" s="50"/>
      <c r="S14" s="46"/>
      <c r="T14" s="49"/>
    </row>
    <row r="15" spans="1:24" s="65" customFormat="1" x14ac:dyDescent="0.2">
      <c r="A15" s="59">
        <v>1</v>
      </c>
      <c r="B15" s="52" t="s">
        <v>215</v>
      </c>
      <c r="C15" s="53" t="s">
        <v>235</v>
      </c>
      <c r="D15" s="112">
        <v>172</v>
      </c>
      <c r="E15" s="146">
        <v>0.31</v>
      </c>
      <c r="F15" s="97">
        <f t="shared" ref="F15:F51" si="0">D15*E15</f>
        <v>53.32</v>
      </c>
      <c r="G15" s="52"/>
      <c r="H15" s="52"/>
      <c r="I15" s="64" t="s">
        <v>275</v>
      </c>
      <c r="J15" s="31"/>
      <c r="K15" s="109" t="s">
        <v>216</v>
      </c>
      <c r="L15" s="53" t="s">
        <v>306</v>
      </c>
      <c r="M15" s="31"/>
      <c r="N15" s="56"/>
      <c r="O15" s="54"/>
      <c r="P15" s="57"/>
      <c r="Q15" s="31"/>
      <c r="R15" s="51"/>
      <c r="S15" s="56"/>
      <c r="T15" s="57"/>
      <c r="W15" s="71"/>
    </row>
    <row r="16" spans="1:24" s="65" customFormat="1" x14ac:dyDescent="0.2">
      <c r="A16" s="59">
        <v>2</v>
      </c>
      <c r="B16" s="52" t="s">
        <v>288</v>
      </c>
      <c r="C16" s="52" t="s">
        <v>235</v>
      </c>
      <c r="D16" s="112">
        <v>18</v>
      </c>
      <c r="E16" s="147">
        <f>F16/D16</f>
        <v>0.5</v>
      </c>
      <c r="F16" s="97">
        <v>9</v>
      </c>
      <c r="G16" s="152"/>
      <c r="H16" s="97"/>
      <c r="I16" s="64" t="s">
        <v>275</v>
      </c>
      <c r="K16" s="59" t="s">
        <v>216</v>
      </c>
      <c r="L16" s="52" t="s">
        <v>306</v>
      </c>
      <c r="N16" s="62"/>
      <c r="O16" s="70"/>
      <c r="P16" s="91"/>
      <c r="R16" s="59"/>
      <c r="S16" s="62"/>
      <c r="T16" s="63"/>
      <c r="U16" s="31"/>
      <c r="V16" s="31"/>
      <c r="W16" s="31"/>
      <c r="X16" s="58"/>
    </row>
    <row r="17" spans="1:24" s="65" customFormat="1" x14ac:dyDescent="0.2">
      <c r="A17" s="59">
        <v>3</v>
      </c>
      <c r="B17" s="52" t="s">
        <v>186</v>
      </c>
      <c r="C17" s="53" t="s">
        <v>274</v>
      </c>
      <c r="D17" s="112">
        <v>49.5</v>
      </c>
      <c r="E17" s="146">
        <v>0.188</v>
      </c>
      <c r="F17" s="154">
        <f>D17*E17</f>
        <v>9.3059999999999992</v>
      </c>
      <c r="G17" s="52"/>
      <c r="H17" s="52"/>
      <c r="I17" s="64" t="s">
        <v>275</v>
      </c>
      <c r="J17" s="31"/>
      <c r="K17" s="109" t="s">
        <v>58</v>
      </c>
      <c r="L17" s="53" t="s">
        <v>276</v>
      </c>
      <c r="M17" s="31"/>
      <c r="N17" s="56"/>
      <c r="O17" s="54"/>
      <c r="P17" s="57"/>
      <c r="Q17" s="31"/>
      <c r="R17" s="51"/>
      <c r="S17" s="56"/>
      <c r="T17" s="57"/>
      <c r="W17" s="71"/>
    </row>
    <row r="18" spans="1:24" s="65" customFormat="1" x14ac:dyDescent="0.2">
      <c r="A18" s="59">
        <v>4</v>
      </c>
      <c r="B18" s="52" t="s">
        <v>187</v>
      </c>
      <c r="C18" s="53" t="s">
        <v>274</v>
      </c>
      <c r="D18" s="112">
        <v>49.5</v>
      </c>
      <c r="E18" s="146">
        <v>0.45</v>
      </c>
      <c r="F18" s="154">
        <f>D18*E18</f>
        <v>22.275000000000002</v>
      </c>
      <c r="G18" s="52"/>
      <c r="H18" s="52"/>
      <c r="I18" s="64" t="s">
        <v>275</v>
      </c>
      <c r="J18" s="31"/>
      <c r="K18" s="109" t="s">
        <v>58</v>
      </c>
      <c r="L18" s="53" t="s">
        <v>276</v>
      </c>
      <c r="M18" s="31"/>
      <c r="N18" s="56"/>
      <c r="O18" s="54"/>
      <c r="P18" s="57"/>
      <c r="Q18" s="31"/>
      <c r="R18" s="51"/>
      <c r="S18" s="56"/>
      <c r="T18" s="57"/>
      <c r="W18" s="71"/>
    </row>
    <row r="19" spans="1:24" s="65" customFormat="1" x14ac:dyDescent="0.2">
      <c r="A19" s="59">
        <v>5</v>
      </c>
      <c r="B19" s="52" t="s">
        <v>188</v>
      </c>
      <c r="C19" s="53" t="s">
        <v>274</v>
      </c>
      <c r="D19" s="112">
        <v>49.5</v>
      </c>
      <c r="E19" s="146">
        <v>0.25</v>
      </c>
      <c r="F19" s="154">
        <f>D19*E19</f>
        <v>12.375</v>
      </c>
      <c r="G19" s="52"/>
      <c r="H19" s="52"/>
      <c r="I19" s="64" t="s">
        <v>275</v>
      </c>
      <c r="J19" s="31"/>
      <c r="K19" s="109" t="s">
        <v>58</v>
      </c>
      <c r="L19" s="53" t="s">
        <v>276</v>
      </c>
      <c r="M19" s="31"/>
      <c r="N19" s="56"/>
      <c r="O19" s="54"/>
      <c r="P19" s="57"/>
      <c r="Q19" s="31"/>
      <c r="R19" s="51"/>
      <c r="S19" s="56"/>
      <c r="T19" s="57"/>
      <c r="W19" s="71"/>
    </row>
    <row r="20" spans="1:24" s="65" customFormat="1" x14ac:dyDescent="0.2">
      <c r="A20" s="59">
        <v>6</v>
      </c>
      <c r="B20" s="52" t="s">
        <v>210</v>
      </c>
      <c r="C20" s="53" t="s">
        <v>231</v>
      </c>
      <c r="D20" s="112">
        <v>80</v>
      </c>
      <c r="E20" s="146">
        <v>0.5</v>
      </c>
      <c r="F20" s="97">
        <f t="shared" si="0"/>
        <v>40</v>
      </c>
      <c r="G20" s="52"/>
      <c r="H20" s="52"/>
      <c r="I20" s="64" t="s">
        <v>275</v>
      </c>
      <c r="J20" s="31"/>
      <c r="K20" s="109" t="s">
        <v>209</v>
      </c>
      <c r="L20" s="53"/>
      <c r="M20" s="31"/>
      <c r="N20" s="56"/>
      <c r="O20" s="54"/>
      <c r="P20" s="57"/>
      <c r="Q20" s="31"/>
      <c r="R20" s="51"/>
      <c r="S20" s="56"/>
      <c r="T20" s="57"/>
      <c r="W20" s="71"/>
    </row>
    <row r="21" spans="1:24" s="65" customFormat="1" x14ac:dyDescent="0.2">
      <c r="A21" s="59">
        <v>7</v>
      </c>
      <c r="B21" s="52" t="s">
        <v>211</v>
      </c>
      <c r="C21" s="53" t="s">
        <v>232</v>
      </c>
      <c r="D21" s="112">
        <v>80</v>
      </c>
      <c r="E21" s="146">
        <v>0.05</v>
      </c>
      <c r="F21" s="97">
        <f>D21*E21</f>
        <v>4</v>
      </c>
      <c r="G21" s="52"/>
      <c r="H21" s="52"/>
      <c r="I21" s="64" t="s">
        <v>275</v>
      </c>
      <c r="J21" s="31"/>
      <c r="K21" s="109" t="s">
        <v>209</v>
      </c>
      <c r="L21" s="53"/>
      <c r="M21" s="31"/>
      <c r="N21" s="56"/>
      <c r="O21" s="54"/>
      <c r="P21" s="57"/>
      <c r="Q21" s="31"/>
      <c r="R21" s="51"/>
      <c r="S21" s="56"/>
      <c r="T21" s="57"/>
      <c r="W21" s="71"/>
    </row>
    <row r="22" spans="1:24" s="65" customFormat="1" x14ac:dyDescent="0.2">
      <c r="A22" s="59">
        <v>8</v>
      </c>
      <c r="B22" s="52" t="s">
        <v>196</v>
      </c>
      <c r="C22" s="53" t="s">
        <v>290</v>
      </c>
      <c r="D22" s="112">
        <v>160</v>
      </c>
      <c r="E22" s="146">
        <v>0.5</v>
      </c>
      <c r="F22" s="97">
        <f>D22*E22</f>
        <v>80</v>
      </c>
      <c r="G22" s="52"/>
      <c r="H22" s="52"/>
      <c r="I22" s="64" t="s">
        <v>275</v>
      </c>
      <c r="J22" s="31"/>
      <c r="K22" s="109" t="s">
        <v>64</v>
      </c>
      <c r="L22" s="53" t="s">
        <v>280</v>
      </c>
      <c r="M22" s="31"/>
      <c r="N22" s="56"/>
      <c r="O22" s="54"/>
      <c r="P22" s="57"/>
      <c r="Q22" s="31"/>
      <c r="R22" s="51"/>
      <c r="S22" s="56"/>
      <c r="T22" s="57"/>
      <c r="W22" s="71"/>
    </row>
    <row r="23" spans="1:24" s="65" customFormat="1" x14ac:dyDescent="0.2">
      <c r="A23" s="59">
        <v>9</v>
      </c>
      <c r="B23" s="52" t="s">
        <v>208</v>
      </c>
      <c r="C23" s="53" t="s">
        <v>230</v>
      </c>
      <c r="D23" s="112">
        <v>98</v>
      </c>
      <c r="E23" s="146">
        <v>0.5</v>
      </c>
      <c r="F23" s="97">
        <f>D23*E23</f>
        <v>49</v>
      </c>
      <c r="H23" s="52"/>
      <c r="I23" s="64" t="s">
        <v>275</v>
      </c>
      <c r="J23" s="31"/>
      <c r="K23" s="109" t="s">
        <v>209</v>
      </c>
      <c r="L23" s="53" t="s">
        <v>148</v>
      </c>
      <c r="M23" s="31"/>
      <c r="N23" s="56"/>
      <c r="O23" s="54"/>
      <c r="P23" s="57"/>
      <c r="Q23" s="31"/>
      <c r="R23" s="51"/>
      <c r="S23" s="56"/>
      <c r="T23" s="57"/>
      <c r="W23" s="71"/>
    </row>
    <row r="24" spans="1:24" s="65" customFormat="1" x14ac:dyDescent="0.2">
      <c r="A24" s="59">
        <v>10</v>
      </c>
      <c r="B24" s="52" t="s">
        <v>217</v>
      </c>
      <c r="C24" s="53" t="s">
        <v>302</v>
      </c>
      <c r="D24" s="112">
        <v>165</v>
      </c>
      <c r="E24" s="146">
        <v>0.5</v>
      </c>
      <c r="F24" s="97">
        <f t="shared" si="0"/>
        <v>82.5</v>
      </c>
      <c r="H24" s="52"/>
      <c r="I24" s="64" t="s">
        <v>275</v>
      </c>
      <c r="J24" s="31"/>
      <c r="K24" s="109" t="s">
        <v>216</v>
      </c>
      <c r="L24" s="53" t="s">
        <v>306</v>
      </c>
      <c r="M24" s="31"/>
      <c r="N24" s="56"/>
      <c r="O24" s="54"/>
      <c r="P24" s="57"/>
      <c r="Q24" s="31"/>
      <c r="R24" s="51"/>
      <c r="S24" s="56"/>
      <c r="T24" s="57"/>
      <c r="W24" s="71"/>
    </row>
    <row r="25" spans="1:24" s="65" customFormat="1" x14ac:dyDescent="0.2">
      <c r="A25" s="59">
        <v>11</v>
      </c>
      <c r="B25" s="52" t="s">
        <v>212</v>
      </c>
      <c r="C25" s="53" t="s">
        <v>233</v>
      </c>
      <c r="D25" s="112">
        <v>32</v>
      </c>
      <c r="E25" s="146">
        <v>0.5</v>
      </c>
      <c r="F25" s="97">
        <f t="shared" si="0"/>
        <v>16</v>
      </c>
      <c r="H25" s="52"/>
      <c r="I25" s="64" t="s">
        <v>275</v>
      </c>
      <c r="J25" s="31"/>
      <c r="K25" s="109" t="s">
        <v>213</v>
      </c>
      <c r="L25" s="53"/>
      <c r="M25" s="31"/>
      <c r="N25" s="56"/>
      <c r="O25" s="54"/>
      <c r="P25" s="57"/>
      <c r="Q25" s="31"/>
      <c r="R25" s="51"/>
      <c r="S25" s="56"/>
      <c r="T25" s="57"/>
      <c r="W25" s="71"/>
    </row>
    <row r="26" spans="1:24" s="65" customFormat="1" x14ac:dyDescent="0.2">
      <c r="A26" s="59">
        <v>12</v>
      </c>
      <c r="B26" s="52" t="s">
        <v>198</v>
      </c>
      <c r="C26" s="53" t="s">
        <v>224</v>
      </c>
      <c r="D26" s="112">
        <v>44</v>
      </c>
      <c r="E26" s="146">
        <v>0.5</v>
      </c>
      <c r="F26" s="97">
        <f t="shared" si="0"/>
        <v>22</v>
      </c>
      <c r="H26" s="52"/>
      <c r="I26" s="64" t="s">
        <v>275</v>
      </c>
      <c r="J26" s="31"/>
      <c r="K26" s="109" t="s">
        <v>28</v>
      </c>
      <c r="L26" s="53" t="s">
        <v>193</v>
      </c>
      <c r="M26" s="31"/>
      <c r="N26" s="56"/>
      <c r="O26" s="54"/>
      <c r="P26" s="57"/>
      <c r="Q26" s="31"/>
      <c r="R26" s="51"/>
      <c r="S26" s="56"/>
      <c r="T26" s="57"/>
      <c r="W26" s="71"/>
    </row>
    <row r="27" spans="1:24" s="65" customFormat="1" x14ac:dyDescent="0.2">
      <c r="A27" s="59">
        <v>13</v>
      </c>
      <c r="B27" s="52" t="s">
        <v>286</v>
      </c>
      <c r="C27" s="52" t="s">
        <v>285</v>
      </c>
      <c r="D27" s="112">
        <v>47</v>
      </c>
      <c r="E27" s="147">
        <f>F27/D27</f>
        <v>0.48936170212765956</v>
      </c>
      <c r="F27" s="97">
        <v>23</v>
      </c>
      <c r="G27" s="74"/>
      <c r="H27" s="97"/>
      <c r="I27" s="64" t="s">
        <v>275</v>
      </c>
      <c r="K27" s="59" t="s">
        <v>216</v>
      </c>
      <c r="L27" s="52" t="s">
        <v>306</v>
      </c>
      <c r="N27" s="62"/>
      <c r="O27" s="70"/>
      <c r="P27" s="91"/>
      <c r="R27" s="59"/>
      <c r="S27" s="62"/>
      <c r="T27" s="63"/>
      <c r="U27" s="31"/>
      <c r="V27" s="31"/>
      <c r="W27" s="31"/>
      <c r="X27" s="58"/>
    </row>
    <row r="28" spans="1:24" s="65" customFormat="1" x14ac:dyDescent="0.2">
      <c r="A28" s="59">
        <v>14</v>
      </c>
      <c r="B28" s="52" t="s">
        <v>287</v>
      </c>
      <c r="C28" s="52" t="s">
        <v>285</v>
      </c>
      <c r="D28" s="112">
        <v>56</v>
      </c>
      <c r="E28" s="147">
        <f>F28/D28</f>
        <v>0.5</v>
      </c>
      <c r="F28" s="97">
        <v>28</v>
      </c>
      <c r="G28" s="74"/>
      <c r="H28" s="97"/>
      <c r="I28" s="64" t="s">
        <v>275</v>
      </c>
      <c r="K28" s="59" t="s">
        <v>216</v>
      </c>
      <c r="L28" s="52" t="s">
        <v>306</v>
      </c>
      <c r="N28" s="62"/>
      <c r="O28" s="70"/>
      <c r="P28" s="91"/>
      <c r="R28" s="59"/>
      <c r="S28" s="62"/>
      <c r="T28" s="63"/>
      <c r="U28" s="31"/>
      <c r="V28" s="31"/>
      <c r="W28" s="31"/>
      <c r="X28" s="58"/>
    </row>
    <row r="29" spans="1:24" s="65" customFormat="1" x14ac:dyDescent="0.2">
      <c r="A29" s="59">
        <v>15</v>
      </c>
      <c r="B29" s="52" t="s">
        <v>289</v>
      </c>
      <c r="C29" s="52" t="s">
        <v>285</v>
      </c>
      <c r="D29" s="112">
        <v>29</v>
      </c>
      <c r="E29" s="147">
        <f>F29/D29</f>
        <v>0.51724137931034486</v>
      </c>
      <c r="F29" s="97">
        <v>15</v>
      </c>
      <c r="G29" s="74"/>
      <c r="H29" s="97"/>
      <c r="I29" s="64" t="s">
        <v>275</v>
      </c>
      <c r="K29" s="59" t="s">
        <v>216</v>
      </c>
      <c r="L29" s="52" t="s">
        <v>306</v>
      </c>
      <c r="N29" s="62"/>
      <c r="O29" s="70"/>
      <c r="P29" s="91"/>
      <c r="R29" s="59"/>
      <c r="S29" s="62"/>
      <c r="T29" s="63"/>
      <c r="U29" s="31"/>
      <c r="V29" s="31"/>
      <c r="W29" s="31"/>
      <c r="X29" s="58"/>
    </row>
    <row r="30" spans="1:24" s="65" customFormat="1" x14ac:dyDescent="0.2">
      <c r="A30" s="59">
        <v>16</v>
      </c>
      <c r="B30" s="52" t="s">
        <v>218</v>
      </c>
      <c r="C30" s="53" t="s">
        <v>236</v>
      </c>
      <c r="D30" s="112">
        <v>85</v>
      </c>
      <c r="E30" s="146">
        <v>0.5</v>
      </c>
      <c r="F30" s="97">
        <f t="shared" si="0"/>
        <v>42.5</v>
      </c>
      <c r="H30" s="52"/>
      <c r="I30" s="64" t="s">
        <v>275</v>
      </c>
      <c r="J30" s="31"/>
      <c r="K30" s="109" t="s">
        <v>216</v>
      </c>
      <c r="L30" s="52" t="s">
        <v>306</v>
      </c>
      <c r="M30" s="31"/>
      <c r="N30" s="56"/>
      <c r="O30" s="54"/>
      <c r="P30" s="57"/>
      <c r="Q30" s="31"/>
      <c r="R30" s="51"/>
      <c r="S30" s="56"/>
      <c r="T30" s="57"/>
      <c r="W30" s="71"/>
    </row>
    <row r="31" spans="1:24" s="65" customFormat="1" x14ac:dyDescent="0.2">
      <c r="A31" s="59">
        <v>17</v>
      </c>
      <c r="B31" s="52" t="s">
        <v>219</v>
      </c>
      <c r="C31" s="53" t="s">
        <v>236</v>
      </c>
      <c r="D31" s="112">
        <v>77</v>
      </c>
      <c r="E31" s="146">
        <v>0.5</v>
      </c>
      <c r="F31" s="97">
        <f t="shared" si="0"/>
        <v>38.5</v>
      </c>
      <c r="H31" s="52"/>
      <c r="I31" s="64" t="s">
        <v>275</v>
      </c>
      <c r="J31" s="31"/>
      <c r="K31" s="109" t="s">
        <v>216</v>
      </c>
      <c r="L31" s="52" t="s">
        <v>306</v>
      </c>
      <c r="M31" s="31"/>
      <c r="N31" s="56"/>
      <c r="O31" s="54"/>
      <c r="P31" s="57"/>
      <c r="Q31" s="31"/>
      <c r="R31" s="51"/>
      <c r="S31" s="56"/>
      <c r="T31" s="57"/>
      <c r="W31" s="71"/>
    </row>
    <row r="32" spans="1:24" s="65" customFormat="1" x14ac:dyDescent="0.2">
      <c r="A32" s="59">
        <v>18</v>
      </c>
      <c r="B32" s="52" t="s">
        <v>218</v>
      </c>
      <c r="C32" s="52" t="s">
        <v>236</v>
      </c>
      <c r="D32" s="112">
        <v>46</v>
      </c>
      <c r="E32" s="146">
        <v>0.48</v>
      </c>
      <c r="F32" s="97">
        <f t="shared" si="0"/>
        <v>22.08</v>
      </c>
      <c r="H32" s="52"/>
      <c r="I32" s="64" t="s">
        <v>275</v>
      </c>
      <c r="K32" s="59" t="s">
        <v>216</v>
      </c>
      <c r="L32" s="52" t="s">
        <v>306</v>
      </c>
      <c r="N32" s="62"/>
      <c r="O32" s="70"/>
      <c r="P32" s="92"/>
      <c r="R32" s="59"/>
      <c r="S32" s="62"/>
      <c r="T32" s="63"/>
      <c r="W32" s="71"/>
    </row>
    <row r="33" spans="1:23" s="65" customFormat="1" x14ac:dyDescent="0.2">
      <c r="A33" s="59">
        <v>19</v>
      </c>
      <c r="B33" s="52" t="s">
        <v>221</v>
      </c>
      <c r="C33" s="53" t="s">
        <v>236</v>
      </c>
      <c r="D33" s="112">
        <v>22</v>
      </c>
      <c r="E33" s="146">
        <v>0.5</v>
      </c>
      <c r="F33" s="97">
        <f t="shared" si="0"/>
        <v>11</v>
      </c>
      <c r="H33" s="52"/>
      <c r="I33" s="64" t="s">
        <v>275</v>
      </c>
      <c r="K33" s="109" t="s">
        <v>216</v>
      </c>
      <c r="L33" s="52" t="s">
        <v>306</v>
      </c>
      <c r="N33" s="62"/>
      <c r="O33" s="52"/>
      <c r="P33" s="63"/>
      <c r="R33" s="59"/>
      <c r="S33" s="62"/>
      <c r="T33" s="63"/>
      <c r="W33" s="71"/>
    </row>
    <row r="34" spans="1:23" s="65" customFormat="1" x14ac:dyDescent="0.2">
      <c r="A34" s="59">
        <v>20</v>
      </c>
      <c r="B34" s="52" t="s">
        <v>220</v>
      </c>
      <c r="C34" s="53" t="s">
        <v>237</v>
      </c>
      <c r="D34" s="112">
        <v>75</v>
      </c>
      <c r="E34" s="146">
        <v>1</v>
      </c>
      <c r="F34" s="97">
        <f t="shared" si="0"/>
        <v>75</v>
      </c>
      <c r="H34" s="52"/>
      <c r="I34" s="64" t="s">
        <v>152</v>
      </c>
      <c r="J34" s="31"/>
      <c r="K34" s="109" t="s">
        <v>216</v>
      </c>
      <c r="L34" s="53" t="s">
        <v>306</v>
      </c>
      <c r="M34" s="31"/>
      <c r="N34" s="56"/>
      <c r="O34" s="54"/>
      <c r="P34" s="57"/>
      <c r="Q34" s="31"/>
      <c r="R34" s="51"/>
      <c r="S34" s="56"/>
      <c r="T34" s="57"/>
      <c r="W34" s="71"/>
    </row>
    <row r="35" spans="1:23" s="65" customFormat="1" x14ac:dyDescent="0.2">
      <c r="A35" s="59">
        <v>21</v>
      </c>
      <c r="B35" s="52" t="s">
        <v>281</v>
      </c>
      <c r="C35" s="53" t="s">
        <v>271</v>
      </c>
      <c r="D35" s="112">
        <v>42</v>
      </c>
      <c r="E35" s="146">
        <v>1</v>
      </c>
      <c r="F35" s="97">
        <f t="shared" si="0"/>
        <v>42</v>
      </c>
      <c r="H35" s="52"/>
      <c r="I35" s="64" t="s">
        <v>277</v>
      </c>
      <c r="K35" s="109" t="s">
        <v>216</v>
      </c>
      <c r="L35" s="53" t="s">
        <v>306</v>
      </c>
      <c r="N35" s="62"/>
      <c r="O35" s="69"/>
      <c r="P35" s="91"/>
      <c r="R35" s="59"/>
      <c r="S35" s="62"/>
      <c r="T35" s="63"/>
      <c r="W35" s="71"/>
    </row>
    <row r="36" spans="1:23" s="65" customFormat="1" x14ac:dyDescent="0.2">
      <c r="A36" s="59">
        <v>22</v>
      </c>
      <c r="B36" s="52" t="s">
        <v>182</v>
      </c>
      <c r="C36" s="52" t="s">
        <v>189</v>
      </c>
      <c r="D36" s="112">
        <v>300</v>
      </c>
      <c r="E36" s="146">
        <v>0.5</v>
      </c>
      <c r="F36" s="52">
        <f>D36*E36</f>
        <v>150</v>
      </c>
      <c r="H36" s="52"/>
      <c r="I36" s="64" t="s">
        <v>167</v>
      </c>
      <c r="K36" s="59" t="s">
        <v>58</v>
      </c>
      <c r="L36" s="53" t="s">
        <v>272</v>
      </c>
      <c r="N36" s="62"/>
      <c r="O36" s="70"/>
      <c r="P36" s="91"/>
      <c r="R36" s="59"/>
      <c r="S36" s="103"/>
      <c r="T36" s="99"/>
    </row>
    <row r="37" spans="1:23" s="65" customFormat="1" x14ac:dyDescent="0.2">
      <c r="A37" s="59">
        <v>23</v>
      </c>
      <c r="B37" s="52" t="s">
        <v>214</v>
      </c>
      <c r="C37" s="53" t="s">
        <v>234</v>
      </c>
      <c r="D37" s="112">
        <v>31</v>
      </c>
      <c r="E37" s="146">
        <v>1</v>
      </c>
      <c r="F37" s="97">
        <f t="shared" si="0"/>
        <v>31</v>
      </c>
      <c r="H37" s="52"/>
      <c r="I37" s="64" t="s">
        <v>167</v>
      </c>
      <c r="J37" s="31"/>
      <c r="K37" s="109" t="s">
        <v>213</v>
      </c>
      <c r="L37" s="53"/>
      <c r="M37" s="31"/>
      <c r="N37" s="56"/>
      <c r="O37" s="54"/>
      <c r="P37" s="57"/>
      <c r="Q37" s="31"/>
      <c r="R37" s="51"/>
      <c r="S37" s="56"/>
      <c r="T37" s="57"/>
      <c r="W37" s="71"/>
    </row>
    <row r="38" spans="1:23" s="65" customFormat="1" x14ac:dyDescent="0.2">
      <c r="A38" s="59">
        <v>24</v>
      </c>
      <c r="B38" s="52" t="s">
        <v>194</v>
      </c>
      <c r="C38" s="53" t="s">
        <v>222</v>
      </c>
      <c r="D38" s="112">
        <v>88</v>
      </c>
      <c r="E38" s="146">
        <v>1</v>
      </c>
      <c r="F38" s="97">
        <f>D38*E38</f>
        <v>88</v>
      </c>
      <c r="H38" s="52"/>
      <c r="I38" s="64" t="s">
        <v>167</v>
      </c>
      <c r="J38" s="31"/>
      <c r="K38" s="109" t="s">
        <v>30</v>
      </c>
      <c r="L38" s="53"/>
      <c r="M38" s="31"/>
      <c r="N38" s="56"/>
      <c r="O38" s="54"/>
      <c r="P38" s="57"/>
      <c r="Q38" s="31"/>
      <c r="R38" s="51"/>
      <c r="S38" s="56"/>
      <c r="T38" s="57"/>
      <c r="W38" s="71"/>
    </row>
    <row r="39" spans="1:23" s="65" customFormat="1" x14ac:dyDescent="0.2">
      <c r="A39" s="59">
        <v>25</v>
      </c>
      <c r="B39" s="52" t="s">
        <v>282</v>
      </c>
      <c r="C39" s="53" t="s">
        <v>195</v>
      </c>
      <c r="D39" s="112">
        <v>285</v>
      </c>
      <c r="E39" s="146">
        <v>1</v>
      </c>
      <c r="F39" s="97">
        <f t="shared" si="0"/>
        <v>285</v>
      </c>
      <c r="H39" s="52"/>
      <c r="I39" s="64" t="s">
        <v>167</v>
      </c>
      <c r="J39" s="31"/>
      <c r="K39" s="109" t="s">
        <v>30</v>
      </c>
      <c r="L39" s="53"/>
      <c r="M39" s="31"/>
      <c r="N39" s="56"/>
      <c r="O39" s="54"/>
      <c r="P39" s="57"/>
      <c r="Q39" s="31"/>
      <c r="R39" s="51"/>
      <c r="S39" s="56"/>
      <c r="T39" s="57"/>
      <c r="W39" s="71"/>
    </row>
    <row r="40" spans="1:23" s="65" customFormat="1" x14ac:dyDescent="0.2">
      <c r="A40" s="59">
        <v>26</v>
      </c>
      <c r="B40" s="52" t="s">
        <v>199</v>
      </c>
      <c r="C40" s="53" t="s">
        <v>225</v>
      </c>
      <c r="D40" s="112">
        <v>42</v>
      </c>
      <c r="E40" s="146">
        <v>1</v>
      </c>
      <c r="F40" s="97">
        <f t="shared" si="0"/>
        <v>42</v>
      </c>
      <c r="H40" s="52"/>
      <c r="I40" s="64" t="s">
        <v>167</v>
      </c>
      <c r="J40" s="31"/>
      <c r="K40" s="109" t="s">
        <v>200</v>
      </c>
      <c r="L40" s="53"/>
      <c r="M40" s="31"/>
      <c r="N40" s="56"/>
      <c r="O40" s="54"/>
      <c r="P40" s="57"/>
      <c r="Q40" s="31"/>
      <c r="R40" s="51"/>
      <c r="S40" s="56"/>
      <c r="T40" s="57"/>
      <c r="W40" s="71"/>
    </row>
    <row r="41" spans="1:23" s="65" customFormat="1" x14ac:dyDescent="0.2">
      <c r="A41" s="59">
        <v>27</v>
      </c>
      <c r="B41" s="52" t="s">
        <v>202</v>
      </c>
      <c r="C41" s="53" t="s">
        <v>227</v>
      </c>
      <c r="D41" s="112">
        <v>101</v>
      </c>
      <c r="E41" s="146">
        <v>1</v>
      </c>
      <c r="F41" s="97">
        <f t="shared" si="0"/>
        <v>101</v>
      </c>
      <c r="H41" s="52"/>
      <c r="I41" s="64" t="s">
        <v>167</v>
      </c>
      <c r="J41" s="31"/>
      <c r="K41" s="109" t="s">
        <v>58</v>
      </c>
      <c r="L41" s="53"/>
      <c r="M41" s="31"/>
      <c r="N41" s="56"/>
      <c r="O41" s="54"/>
      <c r="P41" s="57"/>
      <c r="Q41" s="31"/>
      <c r="R41" s="51"/>
      <c r="S41" s="56"/>
      <c r="T41" s="57"/>
      <c r="W41" s="71"/>
    </row>
    <row r="42" spans="1:23" s="65" customFormat="1" x14ac:dyDescent="0.2">
      <c r="A42" s="59">
        <v>28</v>
      </c>
      <c r="B42" s="52" t="s">
        <v>201</v>
      </c>
      <c r="C42" s="53" t="s">
        <v>226</v>
      </c>
      <c r="D42" s="112">
        <v>847</v>
      </c>
      <c r="E42" s="146">
        <v>0.72</v>
      </c>
      <c r="F42" s="97">
        <f>D42*E42</f>
        <v>609.84</v>
      </c>
      <c r="G42" s="148"/>
      <c r="H42" s="148"/>
      <c r="I42" s="64" t="s">
        <v>167</v>
      </c>
      <c r="J42" s="31"/>
      <c r="K42" s="153" t="s">
        <v>58</v>
      </c>
      <c r="L42" s="53"/>
      <c r="M42" s="31"/>
      <c r="N42" s="56"/>
      <c r="O42" s="54"/>
      <c r="P42" s="57"/>
      <c r="Q42" s="31"/>
      <c r="R42" s="51"/>
      <c r="S42" s="56"/>
      <c r="T42" s="57"/>
      <c r="W42" s="71"/>
    </row>
    <row r="43" spans="1:23" s="65" customFormat="1" x14ac:dyDescent="0.2">
      <c r="A43" s="59">
        <v>29</v>
      </c>
      <c r="B43" s="52" t="s">
        <v>284</v>
      </c>
      <c r="C43" s="53" t="s">
        <v>278</v>
      </c>
      <c r="D43" s="112">
        <v>25</v>
      </c>
      <c r="E43" s="146">
        <v>1</v>
      </c>
      <c r="F43" s="97">
        <f t="shared" si="0"/>
        <v>25</v>
      </c>
      <c r="G43" s="148"/>
      <c r="H43" s="148"/>
      <c r="I43" s="64" t="s">
        <v>279</v>
      </c>
      <c r="K43" s="153" t="s">
        <v>216</v>
      </c>
      <c r="L43" s="53" t="s">
        <v>306</v>
      </c>
      <c r="N43" s="62"/>
      <c r="O43" s="52"/>
      <c r="P43" s="63"/>
      <c r="R43" s="59"/>
      <c r="S43" s="62"/>
      <c r="T43" s="63"/>
      <c r="W43" s="71"/>
    </row>
    <row r="44" spans="1:23" s="65" customFormat="1" x14ac:dyDescent="0.2">
      <c r="A44" s="59">
        <v>30</v>
      </c>
      <c r="B44" s="52" t="s">
        <v>203</v>
      </c>
      <c r="C44" s="53" t="s">
        <v>228</v>
      </c>
      <c r="D44" s="112">
        <v>47</v>
      </c>
      <c r="E44" s="146">
        <v>0.19</v>
      </c>
      <c r="F44" s="97">
        <f t="shared" si="0"/>
        <v>8.93</v>
      </c>
      <c r="G44" s="148"/>
      <c r="H44" s="148"/>
      <c r="I44" s="64" t="s">
        <v>164</v>
      </c>
      <c r="J44" s="31"/>
      <c r="K44" s="153" t="s">
        <v>204</v>
      </c>
      <c r="L44" s="53" t="s">
        <v>193</v>
      </c>
      <c r="M44" s="31"/>
      <c r="N44" s="56"/>
      <c r="O44" s="54"/>
      <c r="P44" s="57"/>
      <c r="Q44" s="31"/>
      <c r="R44" s="51"/>
      <c r="S44" s="56"/>
      <c r="T44" s="57"/>
      <c r="W44" s="71"/>
    </row>
    <row r="45" spans="1:23" s="65" customFormat="1" x14ac:dyDescent="0.2">
      <c r="A45" s="59">
        <v>31</v>
      </c>
      <c r="B45" s="52" t="s">
        <v>197</v>
      </c>
      <c r="C45" s="53" t="s">
        <v>223</v>
      </c>
      <c r="D45" s="112">
        <v>82</v>
      </c>
      <c r="E45" s="146">
        <f>F45/D45</f>
        <v>6.097560975609756E-2</v>
      </c>
      <c r="F45" s="97">
        <v>5</v>
      </c>
      <c r="G45" s="148"/>
      <c r="H45" s="148"/>
      <c r="I45" s="64" t="s">
        <v>164</v>
      </c>
      <c r="J45" s="31"/>
      <c r="K45" s="153" t="s">
        <v>28</v>
      </c>
      <c r="L45" s="53"/>
      <c r="M45" s="31"/>
      <c r="N45" s="56"/>
      <c r="O45" s="54"/>
      <c r="P45" s="57"/>
      <c r="Q45" s="31"/>
      <c r="R45" s="51"/>
      <c r="S45" s="56"/>
      <c r="T45" s="57"/>
      <c r="W45" s="71"/>
    </row>
    <row r="46" spans="1:23" s="65" customFormat="1" x14ac:dyDescent="0.2">
      <c r="A46" s="59">
        <v>32</v>
      </c>
      <c r="B46" s="52" t="s">
        <v>205</v>
      </c>
      <c r="C46" s="53" t="s">
        <v>229</v>
      </c>
      <c r="D46" s="112">
        <v>27</v>
      </c>
      <c r="E46" s="146">
        <f>F46/D46</f>
        <v>0.40740740740740738</v>
      </c>
      <c r="F46" s="97">
        <v>11</v>
      </c>
      <c r="H46" s="52"/>
      <c r="I46" s="64" t="s">
        <v>164</v>
      </c>
      <c r="J46" s="31"/>
      <c r="K46" s="109" t="s">
        <v>206</v>
      </c>
      <c r="L46" s="53"/>
      <c r="M46" s="31"/>
      <c r="N46" s="56"/>
      <c r="O46" s="54"/>
      <c r="P46" s="57"/>
      <c r="Q46" s="31"/>
      <c r="R46" s="51"/>
      <c r="S46" s="56"/>
      <c r="T46" s="57"/>
      <c r="W46" s="71"/>
    </row>
    <row r="47" spans="1:23" s="65" customFormat="1" x14ac:dyDescent="0.2">
      <c r="A47" s="59">
        <v>33</v>
      </c>
      <c r="B47" s="52" t="s">
        <v>300</v>
      </c>
      <c r="C47" s="52" t="s">
        <v>293</v>
      </c>
      <c r="D47" s="112">
        <v>50</v>
      </c>
      <c r="E47" s="146">
        <v>1</v>
      </c>
      <c r="F47" s="52">
        <f t="shared" si="0"/>
        <v>50</v>
      </c>
      <c r="H47" s="52"/>
      <c r="I47" s="64" t="s">
        <v>164</v>
      </c>
      <c r="K47" s="109" t="s">
        <v>58</v>
      </c>
      <c r="L47" s="53" t="s">
        <v>193</v>
      </c>
      <c r="N47" s="62"/>
      <c r="O47" s="70"/>
      <c r="P47" s="91"/>
      <c r="R47" s="59"/>
      <c r="S47" s="62"/>
      <c r="T47" s="63"/>
      <c r="W47" s="71"/>
    </row>
    <row r="48" spans="1:23" s="65" customFormat="1" x14ac:dyDescent="0.2">
      <c r="A48" s="59">
        <v>34</v>
      </c>
      <c r="B48" s="52" t="s">
        <v>183</v>
      </c>
      <c r="C48" s="52" t="s">
        <v>190</v>
      </c>
      <c r="D48" s="112">
        <v>300</v>
      </c>
      <c r="E48" s="146">
        <v>0.5</v>
      </c>
      <c r="F48" s="52">
        <f t="shared" si="0"/>
        <v>150</v>
      </c>
      <c r="H48" s="52"/>
      <c r="I48" s="64" t="s">
        <v>164</v>
      </c>
      <c r="K48" s="59" t="s">
        <v>58</v>
      </c>
      <c r="L48" s="53" t="s">
        <v>272</v>
      </c>
      <c r="N48" s="62"/>
      <c r="O48" s="70"/>
      <c r="P48" s="91"/>
      <c r="R48" s="59"/>
      <c r="S48" s="103"/>
      <c r="T48" s="99"/>
      <c r="W48" s="71"/>
    </row>
    <row r="49" spans="1:24" s="65" customFormat="1" x14ac:dyDescent="0.2">
      <c r="A49" s="59">
        <v>35</v>
      </c>
      <c r="B49" s="52" t="s">
        <v>184</v>
      </c>
      <c r="C49" s="52" t="s">
        <v>191</v>
      </c>
      <c r="D49" s="112">
        <v>100</v>
      </c>
      <c r="E49" s="146">
        <v>0.5</v>
      </c>
      <c r="F49" s="52">
        <f t="shared" si="0"/>
        <v>50</v>
      </c>
      <c r="H49" s="52"/>
      <c r="I49" s="64" t="s">
        <v>303</v>
      </c>
      <c r="K49" s="59" t="s">
        <v>58</v>
      </c>
      <c r="L49" s="53" t="s">
        <v>193</v>
      </c>
      <c r="N49" s="62"/>
      <c r="O49" s="70"/>
      <c r="P49" s="92"/>
      <c r="R49" s="59"/>
      <c r="S49" s="62"/>
      <c r="T49" s="63"/>
      <c r="W49" s="71"/>
    </row>
    <row r="50" spans="1:24" s="65" customFormat="1" x14ac:dyDescent="0.2">
      <c r="A50" s="59">
        <v>36</v>
      </c>
      <c r="B50" s="52" t="s">
        <v>207</v>
      </c>
      <c r="C50" s="53" t="s">
        <v>291</v>
      </c>
      <c r="D50" s="112">
        <v>80</v>
      </c>
      <c r="E50" s="146">
        <v>0.4</v>
      </c>
      <c r="F50" s="97">
        <f t="shared" si="0"/>
        <v>32</v>
      </c>
      <c r="H50" s="52"/>
      <c r="I50" s="64" t="s">
        <v>303</v>
      </c>
      <c r="J50" s="31"/>
      <c r="K50" s="109" t="s">
        <v>63</v>
      </c>
      <c r="L50" s="53"/>
      <c r="M50" s="31"/>
      <c r="N50" s="56"/>
      <c r="O50" s="54"/>
      <c r="P50" s="57"/>
      <c r="Q50" s="31"/>
      <c r="R50" s="51"/>
      <c r="S50" s="56"/>
      <c r="T50" s="57"/>
      <c r="W50" s="71"/>
    </row>
    <row r="51" spans="1:24" s="65" customFormat="1" x14ac:dyDescent="0.2">
      <c r="A51" s="59">
        <v>37</v>
      </c>
      <c r="B51" s="52" t="s">
        <v>185</v>
      </c>
      <c r="C51" s="53" t="s">
        <v>294</v>
      </c>
      <c r="D51" s="112">
        <v>665</v>
      </c>
      <c r="E51" s="146">
        <v>1</v>
      </c>
      <c r="F51" s="52">
        <f t="shared" si="0"/>
        <v>665</v>
      </c>
      <c r="H51" s="52"/>
      <c r="I51" s="64" t="s">
        <v>303</v>
      </c>
      <c r="J51" s="31"/>
      <c r="K51" s="109" t="s">
        <v>58</v>
      </c>
      <c r="L51" s="53"/>
      <c r="M51" s="31"/>
      <c r="N51" s="56"/>
      <c r="O51" s="54"/>
      <c r="P51" s="57"/>
      <c r="Q51" s="31"/>
      <c r="R51" s="51"/>
      <c r="S51" s="56"/>
      <c r="T51" s="57"/>
      <c r="W51" s="71"/>
    </row>
    <row r="52" spans="1:24" s="65" customFormat="1" x14ac:dyDescent="0.2">
      <c r="A52" s="59"/>
      <c r="B52" s="52"/>
      <c r="C52" s="52"/>
      <c r="D52" s="67"/>
      <c r="E52" s="68"/>
      <c r="F52" s="97"/>
      <c r="G52" s="112"/>
      <c r="H52" s="112"/>
      <c r="I52" s="64"/>
      <c r="K52" s="59"/>
      <c r="L52" s="52"/>
      <c r="N52" s="62"/>
      <c r="O52" s="70"/>
      <c r="P52" s="91"/>
      <c r="R52" s="59"/>
      <c r="S52" s="62"/>
      <c r="T52" s="63"/>
      <c r="W52" s="71"/>
    </row>
    <row r="53" spans="1:24" s="65" customFormat="1" ht="7.5" customHeight="1" thickBot="1" x14ac:dyDescent="0.25">
      <c r="A53" s="79"/>
      <c r="B53" s="80"/>
      <c r="C53" s="80"/>
      <c r="D53" s="81"/>
      <c r="E53" s="82"/>
      <c r="F53" s="98"/>
      <c r="G53" s="113"/>
      <c r="H53" s="113"/>
      <c r="I53" s="111"/>
      <c r="K53" s="79"/>
      <c r="L53" s="80"/>
      <c r="M53" s="77"/>
      <c r="N53" s="85"/>
      <c r="O53" s="95"/>
      <c r="P53" s="93"/>
      <c r="R53" s="79"/>
      <c r="S53" s="85"/>
      <c r="T53" s="78"/>
      <c r="W53" s="71"/>
    </row>
    <row r="54" spans="1:24" s="65" customFormat="1" ht="13.5" thickBot="1" x14ac:dyDescent="0.25">
      <c r="A54" s="86"/>
      <c r="B54" s="87"/>
      <c r="C54" s="87"/>
      <c r="D54" s="88">
        <f>SUM(D15:D53)</f>
        <v>4546.5</v>
      </c>
      <c r="E54" s="89"/>
      <c r="F54" s="88">
        <f>SUM(F15:F53)</f>
        <v>3000.6260000000002</v>
      </c>
      <c r="G54" s="114"/>
      <c r="H54" s="114"/>
      <c r="I54" s="110"/>
      <c r="K54" s="86"/>
      <c r="L54" s="87"/>
      <c r="M54" s="83"/>
      <c r="N54" s="90"/>
      <c r="O54" s="96"/>
      <c r="P54" s="94"/>
      <c r="R54" s="86"/>
      <c r="S54" s="90"/>
      <c r="T54" s="84"/>
      <c r="X54" s="66"/>
    </row>
    <row r="55" spans="1:24" s="65" customFormat="1" x14ac:dyDescent="0.2">
      <c r="D55" s="66"/>
      <c r="E55" s="61"/>
      <c r="F55" s="66"/>
      <c r="G55" s="66"/>
      <c r="H55" s="66"/>
      <c r="O55" s="71"/>
      <c r="P55" s="66"/>
      <c r="X55" s="66"/>
    </row>
    <row r="56" spans="1:24" s="65" customFormat="1" x14ac:dyDescent="0.2">
      <c r="D56" s="66"/>
      <c r="E56" s="61"/>
      <c r="F56" s="66"/>
      <c r="G56" s="66">
        <f>SUM(F43:F49)</f>
        <v>299.93</v>
      </c>
      <c r="H56" s="66"/>
      <c r="O56" s="71"/>
      <c r="P56" s="66"/>
      <c r="X56" s="66"/>
    </row>
    <row r="57" spans="1:24" s="65" customFormat="1" ht="13.5" thickBot="1" x14ac:dyDescent="0.25">
      <c r="A57" s="31"/>
      <c r="B57" s="75" t="s">
        <v>180</v>
      </c>
      <c r="C57" s="31"/>
      <c r="D57" s="31"/>
      <c r="E57" s="3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s="65" customFormat="1" ht="13.5" thickBot="1" x14ac:dyDescent="0.25">
      <c r="A58" s="35"/>
      <c r="B58" s="36" t="s">
        <v>15</v>
      </c>
      <c r="C58" s="36" t="s">
        <v>24</v>
      </c>
      <c r="D58" s="36" t="s">
        <v>57</v>
      </c>
      <c r="E58" s="36" t="s">
        <v>27</v>
      </c>
      <c r="F58" s="36" t="s">
        <v>33</v>
      </c>
      <c r="G58" s="106" t="s">
        <v>160</v>
      </c>
      <c r="H58" s="106" t="s">
        <v>158</v>
      </c>
      <c r="I58" s="40" t="s">
        <v>26</v>
      </c>
      <c r="J58" s="41"/>
      <c r="K58" s="42" t="s">
        <v>25</v>
      </c>
      <c r="L58" s="36" t="s">
        <v>55</v>
      </c>
      <c r="M58" s="37" t="s">
        <v>34</v>
      </c>
      <c r="N58" s="38" t="s">
        <v>59</v>
      </c>
      <c r="O58" s="36" t="s">
        <v>35</v>
      </c>
      <c r="P58" s="39" t="s">
        <v>36</v>
      </c>
      <c r="Q58" s="41"/>
      <c r="R58" s="42" t="s">
        <v>37</v>
      </c>
      <c r="S58" s="38" t="s">
        <v>38</v>
      </c>
      <c r="T58" s="39" t="s">
        <v>50</v>
      </c>
      <c r="U58" s="31"/>
      <c r="V58" s="31"/>
      <c r="W58" s="31"/>
      <c r="X58" s="31"/>
    </row>
    <row r="59" spans="1:24" s="65" customFormat="1" x14ac:dyDescent="0.2">
      <c r="A59" s="51"/>
      <c r="B59" s="47"/>
      <c r="C59" s="47"/>
      <c r="D59" s="47"/>
      <c r="E59" s="47"/>
      <c r="F59" s="47"/>
      <c r="G59" s="107"/>
      <c r="H59" s="107"/>
      <c r="I59" s="48"/>
      <c r="J59" s="41"/>
      <c r="K59" s="167"/>
      <c r="L59" s="44"/>
      <c r="M59" s="168"/>
      <c r="N59" s="45"/>
      <c r="O59" s="44"/>
      <c r="P59" s="169"/>
      <c r="Q59" s="41"/>
      <c r="R59" s="50"/>
      <c r="S59" s="46"/>
      <c r="T59" s="49"/>
      <c r="U59" s="31"/>
      <c r="V59" s="31"/>
      <c r="W59" s="31"/>
      <c r="X59" s="31"/>
    </row>
    <row r="60" spans="1:24" s="65" customFormat="1" x14ac:dyDescent="0.2">
      <c r="A60" s="59">
        <v>1</v>
      </c>
      <c r="B60" s="52" t="s">
        <v>238</v>
      </c>
      <c r="C60" s="52" t="s">
        <v>239</v>
      </c>
      <c r="D60" s="112">
        <v>1000</v>
      </c>
      <c r="E60" s="147">
        <v>0.99</v>
      </c>
      <c r="F60" s="97">
        <f>D60*E60</f>
        <v>990</v>
      </c>
      <c r="H60" s="52"/>
      <c r="I60" s="64" t="s">
        <v>152</v>
      </c>
      <c r="K60" s="59" t="s">
        <v>58</v>
      </c>
      <c r="L60" s="148" t="s">
        <v>272</v>
      </c>
      <c r="M60" s="65" t="s">
        <v>192</v>
      </c>
      <c r="N60" s="62"/>
      <c r="O60" s="70"/>
      <c r="P60" s="149"/>
      <c r="R60" s="59"/>
      <c r="S60" s="62"/>
      <c r="T60" s="63"/>
      <c r="U60" s="31"/>
      <c r="V60" s="31"/>
      <c r="W60" s="31"/>
      <c r="X60" s="58"/>
    </row>
    <row r="61" spans="1:24" s="65" customFormat="1" x14ac:dyDescent="0.2">
      <c r="A61" s="59"/>
      <c r="B61" s="52"/>
      <c r="C61" s="52"/>
      <c r="D61" s="67"/>
      <c r="E61" s="72"/>
      <c r="F61" s="97"/>
      <c r="G61" s="117"/>
      <c r="H61" s="112"/>
      <c r="I61" s="64"/>
      <c r="K61" s="59"/>
      <c r="L61" s="52"/>
      <c r="N61" s="62"/>
      <c r="O61" s="70"/>
      <c r="P61" s="91"/>
      <c r="R61" s="59"/>
      <c r="S61" s="62"/>
      <c r="T61" s="63"/>
      <c r="X61" s="66"/>
    </row>
    <row r="62" spans="1:24" s="65" customFormat="1" ht="7.5" customHeight="1" thickBot="1" x14ac:dyDescent="0.25">
      <c r="A62" s="79"/>
      <c r="B62" s="80"/>
      <c r="C62" s="80"/>
      <c r="D62" s="81"/>
      <c r="E62" s="82"/>
      <c r="F62" s="98"/>
      <c r="G62" s="113"/>
      <c r="H62" s="113"/>
      <c r="I62" s="111"/>
      <c r="K62" s="79"/>
      <c r="L62" s="80"/>
      <c r="M62" s="77"/>
      <c r="N62" s="85"/>
      <c r="O62" s="95"/>
      <c r="P62" s="93"/>
      <c r="R62" s="79"/>
      <c r="S62" s="85"/>
      <c r="T62" s="78"/>
      <c r="W62" s="71"/>
    </row>
    <row r="63" spans="1:24" s="65" customFormat="1" ht="13.5" thickBot="1" x14ac:dyDescent="0.25">
      <c r="A63" s="86"/>
      <c r="B63" s="87"/>
      <c r="C63" s="87"/>
      <c r="D63" s="88">
        <f>SUM(D60:D62)</f>
        <v>1000</v>
      </c>
      <c r="E63" s="89"/>
      <c r="F63" s="88">
        <f>SUM(F60:F62)</f>
        <v>990</v>
      </c>
      <c r="G63" s="114"/>
      <c r="H63" s="114"/>
      <c r="I63" s="110"/>
      <c r="K63" s="86"/>
      <c r="L63" s="87"/>
      <c r="M63" s="83"/>
      <c r="N63" s="90"/>
      <c r="O63" s="96"/>
      <c r="P63" s="94"/>
      <c r="R63" s="86"/>
      <c r="S63" s="90"/>
      <c r="T63" s="84"/>
      <c r="X63" s="66"/>
    </row>
    <row r="64" spans="1:24" s="65" customFormat="1" x14ac:dyDescent="0.2">
      <c r="D64" s="66"/>
      <c r="E64" s="61"/>
      <c r="F64" s="66"/>
      <c r="G64" s="66"/>
      <c r="H64" s="66"/>
      <c r="O64" s="71"/>
      <c r="P64" s="66"/>
      <c r="X64" s="66"/>
    </row>
    <row r="65" spans="1:24" s="65" customFormat="1" x14ac:dyDescent="0.2">
      <c r="D65" s="66"/>
      <c r="E65" s="61"/>
      <c r="F65" s="66"/>
      <c r="G65" s="66"/>
      <c r="H65" s="66"/>
      <c r="O65" s="71"/>
      <c r="P65" s="66"/>
      <c r="X65" s="66"/>
    </row>
    <row r="66" spans="1:24" s="65" customFormat="1" ht="13.5" thickBot="1" x14ac:dyDescent="0.25">
      <c r="A66" s="31"/>
      <c r="B66" s="75" t="s">
        <v>181</v>
      </c>
      <c r="C66" s="31"/>
      <c r="D66" s="31"/>
      <c r="E66" s="3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 s="65" customFormat="1" ht="13.5" thickBot="1" x14ac:dyDescent="0.25">
      <c r="A67" s="35"/>
      <c r="B67" s="36" t="s">
        <v>15</v>
      </c>
      <c r="C67" s="36" t="s">
        <v>24</v>
      </c>
      <c r="D67" s="36" t="s">
        <v>57</v>
      </c>
      <c r="E67" s="36" t="s">
        <v>27</v>
      </c>
      <c r="F67" s="36" t="s">
        <v>33</v>
      </c>
      <c r="G67" s="106" t="s">
        <v>160</v>
      </c>
      <c r="H67" s="106" t="s">
        <v>158</v>
      </c>
      <c r="I67" s="40" t="s">
        <v>26</v>
      </c>
      <c r="J67" s="41"/>
      <c r="K67" s="42" t="s">
        <v>25</v>
      </c>
      <c r="L67" s="36" t="s">
        <v>55</v>
      </c>
      <c r="M67" s="37" t="s">
        <v>34</v>
      </c>
      <c r="N67" s="38" t="s">
        <v>59</v>
      </c>
      <c r="O67" s="36" t="s">
        <v>35</v>
      </c>
      <c r="P67" s="39" t="s">
        <v>36</v>
      </c>
      <c r="Q67" s="41"/>
      <c r="R67" s="42" t="s">
        <v>37</v>
      </c>
      <c r="S67" s="38" t="s">
        <v>38</v>
      </c>
      <c r="T67" s="39" t="s">
        <v>50</v>
      </c>
      <c r="U67" s="31"/>
      <c r="V67" s="31"/>
      <c r="W67" s="31"/>
      <c r="X67" s="31"/>
    </row>
    <row r="68" spans="1:24" s="65" customFormat="1" x14ac:dyDescent="0.2">
      <c r="A68" s="51"/>
      <c r="B68" s="47"/>
      <c r="C68" s="47"/>
      <c r="D68" s="47"/>
      <c r="E68" s="47"/>
      <c r="F68" s="47"/>
      <c r="G68" s="107"/>
      <c r="H68" s="107"/>
      <c r="I68" s="48"/>
      <c r="J68" s="41"/>
      <c r="K68" s="50"/>
      <c r="L68" s="47"/>
      <c r="M68" s="41"/>
      <c r="N68" s="46"/>
      <c r="O68" s="47"/>
      <c r="P68" s="49"/>
      <c r="Q68" s="41"/>
      <c r="R68" s="50"/>
      <c r="S68" s="46"/>
      <c r="T68" s="49"/>
      <c r="U68" s="31"/>
      <c r="V68" s="31"/>
      <c r="W68" s="31"/>
      <c r="X68" s="31"/>
    </row>
    <row r="69" spans="1:24" s="65" customFormat="1" x14ac:dyDescent="0.2">
      <c r="A69" s="59">
        <v>1</v>
      </c>
      <c r="B69" s="52" t="s">
        <v>299</v>
      </c>
      <c r="C69" s="52" t="s">
        <v>295</v>
      </c>
      <c r="D69" s="112">
        <v>30</v>
      </c>
      <c r="E69" s="147">
        <v>1</v>
      </c>
      <c r="F69" s="97">
        <f>D69*E69</f>
        <v>30</v>
      </c>
      <c r="G69" s="117"/>
      <c r="H69" s="112"/>
      <c r="I69" s="64" t="s">
        <v>305</v>
      </c>
      <c r="K69" s="150" t="s">
        <v>216</v>
      </c>
      <c r="L69" s="52"/>
      <c r="N69" s="62"/>
      <c r="O69" s="70"/>
      <c r="P69" s="91"/>
      <c r="R69" s="59"/>
      <c r="S69" s="62"/>
      <c r="T69" s="63"/>
      <c r="U69" s="31"/>
      <c r="V69" s="31"/>
      <c r="W69" s="31"/>
      <c r="X69" s="58"/>
    </row>
    <row r="70" spans="1:24" s="65" customFormat="1" x14ac:dyDescent="0.2">
      <c r="A70" s="59">
        <v>2</v>
      </c>
      <c r="B70" s="52" t="s">
        <v>240</v>
      </c>
      <c r="C70" s="52" t="s">
        <v>189</v>
      </c>
      <c r="D70" s="112">
        <v>500</v>
      </c>
      <c r="E70" s="147">
        <v>1</v>
      </c>
      <c r="F70" s="97">
        <f>D70*E70</f>
        <v>500</v>
      </c>
      <c r="G70" s="117"/>
      <c r="H70" s="112"/>
      <c r="I70" s="64" t="s">
        <v>167</v>
      </c>
      <c r="K70" s="150" t="s">
        <v>58</v>
      </c>
      <c r="L70" s="52"/>
      <c r="N70" s="62"/>
      <c r="O70" s="70"/>
      <c r="P70" s="91"/>
      <c r="R70" s="59"/>
      <c r="S70" s="62"/>
      <c r="T70" s="63"/>
      <c r="U70" s="31"/>
      <c r="V70" s="31"/>
      <c r="W70" s="31"/>
      <c r="X70" s="58"/>
    </row>
    <row r="71" spans="1:24" s="65" customFormat="1" x14ac:dyDescent="0.2">
      <c r="A71" s="59">
        <v>4</v>
      </c>
      <c r="B71" s="52" t="s">
        <v>297</v>
      </c>
      <c r="C71" s="52" t="s">
        <v>293</v>
      </c>
      <c r="D71" s="112">
        <v>750</v>
      </c>
      <c r="E71" s="147">
        <v>1</v>
      </c>
      <c r="F71" s="97">
        <f>D71*E71</f>
        <v>750</v>
      </c>
      <c r="G71" s="117"/>
      <c r="H71" s="112"/>
      <c r="I71" s="64" t="s">
        <v>164</v>
      </c>
      <c r="K71" s="150" t="s">
        <v>58</v>
      </c>
      <c r="L71" s="52"/>
      <c r="N71" s="62"/>
      <c r="O71" s="70"/>
      <c r="P71" s="91"/>
      <c r="R71" s="59"/>
      <c r="S71" s="62"/>
      <c r="T71" s="63"/>
      <c r="U71" s="31"/>
      <c r="V71" s="31"/>
      <c r="W71" s="31"/>
      <c r="X71" s="58"/>
    </row>
    <row r="72" spans="1:24" s="65" customFormat="1" x14ac:dyDescent="0.2">
      <c r="A72" s="59">
        <v>5</v>
      </c>
      <c r="B72" s="52" t="s">
        <v>298</v>
      </c>
      <c r="C72" s="52" t="s">
        <v>294</v>
      </c>
      <c r="D72" s="112">
        <v>171</v>
      </c>
      <c r="E72" s="147">
        <v>1</v>
      </c>
      <c r="F72" s="97">
        <f>D72*E72</f>
        <v>171</v>
      </c>
      <c r="G72" s="117"/>
      <c r="H72" s="112"/>
      <c r="I72" s="64" t="s">
        <v>303</v>
      </c>
      <c r="K72" s="150" t="s">
        <v>58</v>
      </c>
      <c r="L72" s="52"/>
      <c r="N72" s="62"/>
      <c r="O72" s="70"/>
      <c r="P72" s="91"/>
      <c r="R72" s="59"/>
      <c r="S72" s="62"/>
      <c r="T72" s="63"/>
      <c r="U72" s="31"/>
      <c r="V72" s="31"/>
      <c r="W72" s="31"/>
      <c r="X72" s="58"/>
    </row>
    <row r="73" spans="1:24" s="65" customFormat="1" x14ac:dyDescent="0.2">
      <c r="A73" s="59">
        <v>6</v>
      </c>
      <c r="B73" s="52" t="s">
        <v>296</v>
      </c>
      <c r="C73" s="52" t="s">
        <v>292</v>
      </c>
      <c r="D73" s="112">
        <v>248</v>
      </c>
      <c r="E73" s="147">
        <v>1</v>
      </c>
      <c r="F73" s="97">
        <f>D73*E73</f>
        <v>248</v>
      </c>
      <c r="G73" s="117"/>
      <c r="H73" s="112"/>
      <c r="I73" s="64"/>
      <c r="K73" s="150" t="s">
        <v>58</v>
      </c>
      <c r="L73" s="52"/>
      <c r="N73" s="62"/>
      <c r="O73" s="70"/>
      <c r="P73" s="91"/>
      <c r="R73" s="59"/>
      <c r="S73" s="62"/>
      <c r="T73" s="63"/>
      <c r="U73" s="31"/>
      <c r="V73" s="31"/>
      <c r="W73" s="31"/>
      <c r="X73" s="58"/>
    </row>
    <row r="74" spans="1:24" s="65" customFormat="1" x14ac:dyDescent="0.2">
      <c r="A74" s="51"/>
      <c r="B74" s="52"/>
      <c r="C74" s="52"/>
      <c r="D74" s="67"/>
      <c r="E74" s="68"/>
      <c r="F74" s="97"/>
      <c r="G74" s="117"/>
      <c r="H74" s="112"/>
      <c r="I74" s="64"/>
      <c r="K74" s="59"/>
      <c r="L74" s="52"/>
      <c r="N74" s="62"/>
      <c r="O74" s="70"/>
      <c r="P74" s="91"/>
      <c r="R74" s="59"/>
      <c r="S74" s="62"/>
      <c r="T74" s="63"/>
      <c r="U74" s="31"/>
      <c r="V74" s="31"/>
      <c r="W74" s="31"/>
      <c r="X74" s="58"/>
    </row>
    <row r="75" spans="1:24" s="65" customFormat="1" ht="7.5" customHeight="1" thickBot="1" x14ac:dyDescent="0.25">
      <c r="A75" s="79"/>
      <c r="B75" s="80"/>
      <c r="C75" s="80"/>
      <c r="D75" s="81"/>
      <c r="E75" s="82"/>
      <c r="F75" s="98"/>
      <c r="G75" s="113"/>
      <c r="H75" s="113"/>
      <c r="I75" s="111"/>
      <c r="K75" s="79"/>
      <c r="L75" s="80"/>
      <c r="M75" s="77"/>
      <c r="N75" s="85"/>
      <c r="O75" s="95"/>
      <c r="P75" s="93"/>
      <c r="R75" s="79"/>
      <c r="S75" s="85"/>
      <c r="T75" s="78"/>
      <c r="W75" s="71"/>
    </row>
    <row r="76" spans="1:24" s="65" customFormat="1" ht="13.5" thickBot="1" x14ac:dyDescent="0.25">
      <c r="A76" s="86"/>
      <c r="B76" s="87"/>
      <c r="C76" s="87"/>
      <c r="D76" s="88">
        <f>SUM(D69:D74)</f>
        <v>1699</v>
      </c>
      <c r="E76" s="89"/>
      <c r="F76" s="88">
        <f>SUM(F69:F74)</f>
        <v>1699</v>
      </c>
      <c r="G76" s="114"/>
      <c r="H76" s="114"/>
      <c r="I76" s="110"/>
      <c r="K76" s="86"/>
      <c r="L76" s="87"/>
      <c r="M76" s="83"/>
      <c r="N76" s="90"/>
      <c r="O76" s="96"/>
      <c r="P76" s="94"/>
      <c r="R76" s="86"/>
      <c r="S76" s="90"/>
      <c r="T76" s="84"/>
      <c r="X76" s="66"/>
    </row>
    <row r="77" spans="1:24" s="65" customFormat="1" x14ac:dyDescent="0.2">
      <c r="D77" s="66"/>
      <c r="E77" s="61"/>
      <c r="F77" s="66"/>
      <c r="G77" s="66"/>
      <c r="H77" s="66"/>
      <c r="O77" s="71"/>
      <c r="P77" s="66"/>
      <c r="X77" s="66"/>
    </row>
    <row r="78" spans="1:24" s="65" customFormat="1" x14ac:dyDescent="0.2">
      <c r="D78" s="66"/>
      <c r="E78" s="61"/>
      <c r="F78" s="66"/>
      <c r="G78" s="66"/>
      <c r="H78" s="66"/>
      <c r="O78" s="71"/>
      <c r="P78" s="66"/>
      <c r="X78" s="66"/>
    </row>
    <row r="79" spans="1:24" s="65" customFormat="1" ht="13.5" thickBot="1" x14ac:dyDescent="0.25">
      <c r="B79" s="75" t="s">
        <v>155</v>
      </c>
      <c r="E79" s="61"/>
      <c r="F79" s="66"/>
      <c r="G79" s="66"/>
      <c r="H79" s="66"/>
      <c r="O79" s="71"/>
      <c r="P79" s="66"/>
      <c r="X79" s="66"/>
    </row>
    <row r="80" spans="1:24" ht="13.5" thickBot="1" x14ac:dyDescent="0.25">
      <c r="A80" s="35"/>
      <c r="B80" s="38" t="s">
        <v>15</v>
      </c>
      <c r="C80" s="36" t="s">
        <v>24</v>
      </c>
      <c r="D80" s="36" t="s">
        <v>57</v>
      </c>
      <c r="E80" s="36" t="s">
        <v>27</v>
      </c>
      <c r="F80" s="36" t="s">
        <v>33</v>
      </c>
      <c r="G80" s="106" t="s">
        <v>160</v>
      </c>
      <c r="H80" s="106" t="s">
        <v>158</v>
      </c>
      <c r="I80" s="40" t="s">
        <v>26</v>
      </c>
      <c r="J80" s="41"/>
      <c r="K80" s="42" t="s">
        <v>25</v>
      </c>
      <c r="L80" s="36" t="s">
        <v>55</v>
      </c>
      <c r="M80" s="37" t="s">
        <v>34</v>
      </c>
      <c r="N80" s="38" t="s">
        <v>59</v>
      </c>
      <c r="O80" s="36" t="s">
        <v>35</v>
      </c>
      <c r="P80" s="39" t="s">
        <v>36</v>
      </c>
      <c r="Q80" s="41"/>
      <c r="R80" s="42" t="s">
        <v>37</v>
      </c>
      <c r="S80" s="38" t="s">
        <v>38</v>
      </c>
      <c r="T80" s="39" t="s">
        <v>50</v>
      </c>
    </row>
    <row r="81" spans="1:20" s="65" customFormat="1" ht="7.5" customHeight="1" x14ac:dyDescent="0.2">
      <c r="A81" s="43"/>
      <c r="B81" s="45"/>
      <c r="C81" s="44"/>
      <c r="D81" s="44"/>
      <c r="E81" s="44"/>
      <c r="F81" s="44"/>
      <c r="G81" s="108"/>
      <c r="H81" s="108"/>
      <c r="I81" s="122"/>
      <c r="J81" s="41"/>
      <c r="K81" s="50"/>
      <c r="L81" s="47"/>
      <c r="M81" s="41"/>
      <c r="N81" s="46"/>
      <c r="O81" s="47"/>
      <c r="P81" s="49"/>
      <c r="Q81" s="41"/>
      <c r="R81" s="50"/>
      <c r="S81" s="46"/>
      <c r="T81" s="49"/>
    </row>
    <row r="82" spans="1:20" s="65" customFormat="1" x14ac:dyDescent="0.2">
      <c r="A82" s="59">
        <v>1</v>
      </c>
      <c r="B82" s="62" t="s">
        <v>253</v>
      </c>
      <c r="C82" s="52" t="s">
        <v>241</v>
      </c>
      <c r="D82" s="67">
        <v>804</v>
      </c>
      <c r="E82" s="68">
        <v>1</v>
      </c>
      <c r="F82" s="97">
        <f>D82*E82</f>
        <v>804</v>
      </c>
      <c r="G82" s="112"/>
      <c r="H82" s="112"/>
      <c r="I82" s="64" t="s">
        <v>304</v>
      </c>
      <c r="K82" s="59" t="s">
        <v>267</v>
      </c>
      <c r="L82" s="53" t="s">
        <v>148</v>
      </c>
      <c r="N82" s="62"/>
      <c r="O82" s="70"/>
      <c r="P82" s="91">
        <f>AVERAGE(10065,9624,9812)</f>
        <v>9833.6666666666661</v>
      </c>
      <c r="R82" s="102">
        <f>AVERAGE(0.61,0.39,0.64)</f>
        <v>0.54666666666666675</v>
      </c>
      <c r="S82" s="103">
        <f>AVERAGE(9.99,7.772,11.05)</f>
        <v>9.604000000000001</v>
      </c>
      <c r="T82" s="99">
        <f>AVERAGE(24.65,20.68,24.64)</f>
        <v>23.323333333333334</v>
      </c>
    </row>
    <row r="83" spans="1:20" s="65" customFormat="1" x14ac:dyDescent="0.2">
      <c r="A83" s="59">
        <v>2</v>
      </c>
      <c r="B83" s="62" t="s">
        <v>254</v>
      </c>
      <c r="C83" s="52" t="s">
        <v>242</v>
      </c>
      <c r="D83" s="67">
        <v>215</v>
      </c>
      <c r="E83" s="68">
        <v>1</v>
      </c>
      <c r="F83" s="97">
        <f t="shared" ref="F83:F88" si="1">D83*E83</f>
        <v>215</v>
      </c>
      <c r="G83" s="112"/>
      <c r="H83" s="112"/>
      <c r="I83" s="64" t="s">
        <v>304</v>
      </c>
      <c r="K83" s="59" t="s">
        <v>58</v>
      </c>
      <c r="L83" s="53" t="s">
        <v>148</v>
      </c>
      <c r="N83" s="62"/>
      <c r="O83" s="70"/>
      <c r="P83" s="91">
        <v>12336</v>
      </c>
      <c r="R83" s="102">
        <v>3.69</v>
      </c>
      <c r="S83" s="103">
        <v>19.54</v>
      </c>
      <c r="T83" s="99">
        <v>29.86</v>
      </c>
    </row>
    <row r="84" spans="1:20" s="65" customFormat="1" x14ac:dyDescent="0.2">
      <c r="A84" s="59">
        <v>3</v>
      </c>
      <c r="B84" s="62" t="s">
        <v>255</v>
      </c>
      <c r="C84" s="52" t="s">
        <v>243</v>
      </c>
      <c r="D84" s="67">
        <f>543+636</f>
        <v>1179</v>
      </c>
      <c r="E84" s="68">
        <v>1</v>
      </c>
      <c r="F84" s="97">
        <f t="shared" si="1"/>
        <v>1179</v>
      </c>
      <c r="G84" s="112"/>
      <c r="H84" s="112"/>
      <c r="I84" s="64" t="s">
        <v>304</v>
      </c>
      <c r="K84" s="59" t="s">
        <v>31</v>
      </c>
      <c r="L84" s="53" t="s">
        <v>273</v>
      </c>
      <c r="N84" s="62"/>
      <c r="O84" s="70"/>
      <c r="P84" s="91">
        <f>AVERAGE(14868,14840,9683)</f>
        <v>13130.333333333334</v>
      </c>
      <c r="R84" s="102">
        <f>AVERAGE(8.23,2.51,0.79)</f>
        <v>3.8433333333333337</v>
      </c>
      <c r="S84" s="103">
        <f>AVERAGE(1.51,0.97,14.53)</f>
        <v>5.669999999999999</v>
      </c>
      <c r="T84" s="99">
        <f>AVERAGE(65.8,59.85,22.94)</f>
        <v>49.53</v>
      </c>
    </row>
    <row r="85" spans="1:20" s="65" customFormat="1" x14ac:dyDescent="0.2">
      <c r="A85" s="59">
        <v>4</v>
      </c>
      <c r="B85" s="62" t="s">
        <v>256</v>
      </c>
      <c r="C85" s="52" t="s">
        <v>244</v>
      </c>
      <c r="D85" s="67">
        <v>1625</v>
      </c>
      <c r="E85" s="68">
        <v>1</v>
      </c>
      <c r="F85" s="97">
        <f t="shared" si="1"/>
        <v>1625</v>
      </c>
      <c r="G85" s="112"/>
      <c r="H85" s="112"/>
      <c r="I85" s="64" t="s">
        <v>304</v>
      </c>
      <c r="K85" s="109" t="s">
        <v>31</v>
      </c>
      <c r="L85" s="53" t="s">
        <v>148</v>
      </c>
      <c r="N85" s="62"/>
      <c r="O85" s="70"/>
      <c r="P85" s="91">
        <v>10228</v>
      </c>
      <c r="R85" s="102">
        <v>0.66</v>
      </c>
      <c r="S85" s="103">
        <v>7.13</v>
      </c>
      <c r="T85" s="99">
        <v>25.58</v>
      </c>
    </row>
    <row r="86" spans="1:20" s="65" customFormat="1" x14ac:dyDescent="0.2">
      <c r="A86" s="59">
        <v>5</v>
      </c>
      <c r="B86" s="62" t="s">
        <v>257</v>
      </c>
      <c r="C86" s="52" t="s">
        <v>245</v>
      </c>
      <c r="D86" s="67">
        <f>1631+950</f>
        <v>2581</v>
      </c>
      <c r="E86" s="68">
        <v>1</v>
      </c>
      <c r="F86" s="97">
        <f t="shared" si="1"/>
        <v>2581</v>
      </c>
      <c r="G86" s="112"/>
      <c r="H86" s="112"/>
      <c r="I86" s="64" t="s">
        <v>304</v>
      </c>
      <c r="K86" s="109" t="s">
        <v>267</v>
      </c>
      <c r="L86" s="53" t="s">
        <v>272</v>
      </c>
      <c r="N86" s="62"/>
      <c r="O86" s="70"/>
      <c r="P86" s="91">
        <f>AVERAGE(7204,10500,10354)</f>
        <v>9352.6666666666661</v>
      </c>
      <c r="R86" s="102">
        <f>AVERAGE(0.19,0.74,0.7)</f>
        <v>0.54333333333333333</v>
      </c>
      <c r="S86" s="103">
        <f>AVERAGE(5.5,7.2,6.25)</f>
        <v>6.3166666666666664</v>
      </c>
      <c r="T86" s="99">
        <f>AVERAGE(19.62,28.27,25.02)</f>
        <v>24.303333333333331</v>
      </c>
    </row>
    <row r="87" spans="1:20" s="65" customFormat="1" x14ac:dyDescent="0.2">
      <c r="A87" s="59">
        <v>6</v>
      </c>
      <c r="B87" s="62" t="s">
        <v>258</v>
      </c>
      <c r="C87" s="52" t="s">
        <v>246</v>
      </c>
      <c r="D87" s="67">
        <f>1242+420</f>
        <v>1662</v>
      </c>
      <c r="E87" s="68">
        <v>1</v>
      </c>
      <c r="F87" s="97">
        <f t="shared" si="1"/>
        <v>1662</v>
      </c>
      <c r="G87" s="112"/>
      <c r="H87" s="112"/>
      <c r="I87" s="64" t="s">
        <v>304</v>
      </c>
      <c r="K87" s="109" t="s">
        <v>267</v>
      </c>
      <c r="L87" s="53" t="s">
        <v>273</v>
      </c>
      <c r="N87" s="62"/>
      <c r="O87" s="70"/>
      <c r="P87" s="91">
        <f>AVERAGE(17422,16929,10074,9910,10167)</f>
        <v>12900.4</v>
      </c>
      <c r="R87" s="102">
        <f>AVERAGE(11.33,19.81,0.67,0.66,0.84)</f>
        <v>6.6620000000000008</v>
      </c>
      <c r="S87" s="103">
        <f>AVERAGE(8.73,4.2,12.34,10.83,13.73)</f>
        <v>9.9659999999999993</v>
      </c>
      <c r="T87" s="99">
        <f>AVERAGE(46.07,58.18,25.02,22.04,25.12)</f>
        <v>35.286000000000001</v>
      </c>
    </row>
    <row r="88" spans="1:20" s="65" customFormat="1" x14ac:dyDescent="0.2">
      <c r="A88" s="59">
        <v>7</v>
      </c>
      <c r="B88" s="62" t="s">
        <v>259</v>
      </c>
      <c r="C88" s="52" t="s">
        <v>247</v>
      </c>
      <c r="D88" s="67">
        <v>573</v>
      </c>
      <c r="E88" s="68">
        <v>1</v>
      </c>
      <c r="F88" s="97">
        <f t="shared" si="1"/>
        <v>573</v>
      </c>
      <c r="G88" s="112"/>
      <c r="H88" s="112"/>
      <c r="I88" s="64" t="s">
        <v>304</v>
      </c>
      <c r="K88" s="109" t="s">
        <v>267</v>
      </c>
      <c r="L88" s="53" t="s">
        <v>148</v>
      </c>
      <c r="N88" s="62"/>
      <c r="O88" s="70"/>
      <c r="P88" s="91">
        <f>AVERAGE(10512,9908,10292)</f>
        <v>10237.333333333334</v>
      </c>
      <c r="R88" s="102">
        <f>AVERAGE(1,0.82,0.71)</f>
        <v>0.84333333333333327</v>
      </c>
      <c r="S88" s="103">
        <f>AVERAGE(13.43,16.56,12.26)</f>
        <v>14.083333333333334</v>
      </c>
      <c r="T88" s="99">
        <f>AVERAGE(25.75,19.68,24.9)</f>
        <v>23.443333333333332</v>
      </c>
    </row>
    <row r="89" spans="1:20" s="65" customFormat="1" x14ac:dyDescent="0.2">
      <c r="A89" s="59">
        <v>8</v>
      </c>
      <c r="B89" s="62" t="s">
        <v>260</v>
      </c>
      <c r="C89" s="52" t="s">
        <v>248</v>
      </c>
      <c r="D89" s="67">
        <v>1270</v>
      </c>
      <c r="E89" s="68">
        <v>0.2</v>
      </c>
      <c r="F89" s="97">
        <f>D89*E89</f>
        <v>254</v>
      </c>
      <c r="G89" s="112"/>
      <c r="H89" s="112"/>
      <c r="I89" s="64" t="s">
        <v>304</v>
      </c>
      <c r="K89" s="109" t="s">
        <v>268</v>
      </c>
      <c r="L89" s="53"/>
      <c r="N89" s="62"/>
      <c r="O89" s="70"/>
      <c r="P89" s="91">
        <v>9523</v>
      </c>
      <c r="R89" s="102">
        <v>0.9</v>
      </c>
      <c r="S89" s="103">
        <v>26.27</v>
      </c>
      <c r="T89" s="99">
        <v>16.809999999999999</v>
      </c>
    </row>
    <row r="90" spans="1:20" s="65" customFormat="1" x14ac:dyDescent="0.2">
      <c r="A90" s="59">
        <v>9</v>
      </c>
      <c r="B90" s="62" t="s">
        <v>261</v>
      </c>
      <c r="C90" s="52" t="s">
        <v>249</v>
      </c>
      <c r="D90" s="67">
        <f>F90/E90</f>
        <v>1827.0588235294117</v>
      </c>
      <c r="E90" s="68">
        <v>0.85</v>
      </c>
      <c r="F90" s="97">
        <v>1553</v>
      </c>
      <c r="G90" s="112"/>
      <c r="H90" s="112"/>
      <c r="I90" s="64" t="s">
        <v>304</v>
      </c>
      <c r="K90" s="59" t="s">
        <v>110</v>
      </c>
      <c r="L90" s="53"/>
      <c r="N90" s="62"/>
      <c r="O90" s="70"/>
      <c r="P90" s="91">
        <v>10905</v>
      </c>
      <c r="R90" s="102">
        <v>2.3199999999999998</v>
      </c>
      <c r="S90" s="103">
        <v>65.459999999999994</v>
      </c>
      <c r="T90" s="99">
        <v>6.5</v>
      </c>
    </row>
    <row r="91" spans="1:20" s="65" customFormat="1" x14ac:dyDescent="0.2">
      <c r="A91" s="59">
        <v>10</v>
      </c>
      <c r="B91" s="62" t="s">
        <v>262</v>
      </c>
      <c r="C91" s="52" t="s">
        <v>250</v>
      </c>
      <c r="D91" s="67">
        <v>934</v>
      </c>
      <c r="E91" s="68">
        <v>1</v>
      </c>
      <c r="F91" s="97">
        <f>D91*E91</f>
        <v>934</v>
      </c>
      <c r="G91" s="112"/>
      <c r="H91" s="112"/>
      <c r="I91" s="64" t="s">
        <v>304</v>
      </c>
      <c r="K91" s="59" t="s">
        <v>267</v>
      </c>
      <c r="L91" s="53" t="s">
        <v>148</v>
      </c>
      <c r="N91" s="62"/>
      <c r="O91" s="70"/>
      <c r="P91" s="91">
        <f>AVERAGE(10245,10736,10534)</f>
        <v>10505</v>
      </c>
      <c r="R91" s="102">
        <f>AVERAGE(0.56,1.2,1.12)</f>
        <v>0.96</v>
      </c>
      <c r="S91" s="103">
        <f>AVERAGE(0.56,1.2,1.12)</f>
        <v>0.96</v>
      </c>
      <c r="T91" s="99">
        <f>AVERAGE(23.33,23.55,26.92)</f>
        <v>24.599999999999998</v>
      </c>
    </row>
    <row r="92" spans="1:20" s="65" customFormat="1" x14ac:dyDescent="0.2">
      <c r="A92" s="59">
        <v>11</v>
      </c>
      <c r="B92" s="62" t="s">
        <v>264</v>
      </c>
      <c r="C92" s="52" t="s">
        <v>252</v>
      </c>
      <c r="D92" s="67">
        <f>810+12</f>
        <v>822</v>
      </c>
      <c r="E92" s="68">
        <v>1</v>
      </c>
      <c r="F92" s="97">
        <f>D92*E92</f>
        <v>822</v>
      </c>
      <c r="G92" s="112"/>
      <c r="H92" s="112"/>
      <c r="I92" s="64" t="s">
        <v>304</v>
      </c>
      <c r="K92" s="59" t="s">
        <v>267</v>
      </c>
      <c r="L92" s="53" t="s">
        <v>273</v>
      </c>
      <c r="N92" s="62"/>
      <c r="O92" s="70"/>
      <c r="P92" s="91">
        <f>AVERAGE(11135,10056,9910,10053,10008)</f>
        <v>10232.4</v>
      </c>
      <c r="R92" s="102">
        <f>AVERAGE(3.68,0.44,0.44,0.72,0.77)</f>
        <v>1.2100000000000002</v>
      </c>
      <c r="S92" s="103">
        <f>AVERAGE(90.09,6.98,7.21,12.57,12.68)</f>
        <v>25.905999999999999</v>
      </c>
      <c r="T92" s="99">
        <f>AVERAGE(7.08,29.74,26.36,26.23,23.17)</f>
        <v>22.515999999999998</v>
      </c>
    </row>
    <row r="93" spans="1:20" s="65" customFormat="1" x14ac:dyDescent="0.2">
      <c r="A93" s="59">
        <v>12</v>
      </c>
      <c r="B93" s="62" t="s">
        <v>301</v>
      </c>
      <c r="C93" s="52"/>
      <c r="D93" s="67">
        <v>1386</v>
      </c>
      <c r="E93" s="68">
        <v>1</v>
      </c>
      <c r="F93" s="97">
        <f>D93*E93</f>
        <v>1386</v>
      </c>
      <c r="G93" s="112"/>
      <c r="H93" s="112"/>
      <c r="I93" s="64" t="s">
        <v>304</v>
      </c>
      <c r="J93" s="31"/>
      <c r="K93" s="109" t="s">
        <v>110</v>
      </c>
      <c r="L93" s="53"/>
      <c r="M93" s="31"/>
      <c r="N93" s="56"/>
      <c r="O93" s="54"/>
      <c r="P93" s="101"/>
      <c r="Q93" s="31"/>
      <c r="R93" s="104"/>
      <c r="S93" s="105"/>
      <c r="T93" s="100"/>
    </row>
    <row r="94" spans="1:20" s="65" customFormat="1" x14ac:dyDescent="0.2">
      <c r="A94" s="59">
        <v>13</v>
      </c>
      <c r="B94" s="62" t="s">
        <v>269</v>
      </c>
      <c r="C94" s="53" t="s">
        <v>265</v>
      </c>
      <c r="D94" s="67">
        <f>860+840</f>
        <v>1700</v>
      </c>
      <c r="E94" s="68">
        <v>1</v>
      </c>
      <c r="F94" s="97">
        <f>D94*E94</f>
        <v>1700</v>
      </c>
      <c r="G94" s="112"/>
      <c r="H94" s="112"/>
      <c r="I94" s="64" t="s">
        <v>304</v>
      </c>
      <c r="K94" s="59" t="s">
        <v>61</v>
      </c>
      <c r="L94" s="53" t="s">
        <v>273</v>
      </c>
      <c r="N94" s="62"/>
      <c r="O94" s="70"/>
      <c r="P94" s="91">
        <f>AVERAGE(7636,16929,16942,11283,11551)</f>
        <v>12868.2</v>
      </c>
      <c r="R94" s="102">
        <f>AVERAGE(0.21,3.52,7.71,3.13,3.38)</f>
        <v>3.59</v>
      </c>
      <c r="S94" s="103">
        <f>AVERAGE(5.59,3.06,2.27,19.87,19.26)</f>
        <v>10.01</v>
      </c>
      <c r="T94" s="99">
        <f>AVERAGE(20.27,43.95,50.46,26.62,26.35)</f>
        <v>33.53</v>
      </c>
    </row>
    <row r="95" spans="1:20" s="65" customFormat="1" x14ac:dyDescent="0.2">
      <c r="A95" s="59">
        <v>14</v>
      </c>
      <c r="B95" s="62" t="s">
        <v>270</v>
      </c>
      <c r="C95" s="53" t="s">
        <v>266</v>
      </c>
      <c r="D95" s="67">
        <v>498</v>
      </c>
      <c r="E95" s="68">
        <v>1</v>
      </c>
      <c r="F95" s="97">
        <f>D95*E95</f>
        <v>498</v>
      </c>
      <c r="G95" s="112"/>
      <c r="H95" s="112"/>
      <c r="I95" s="64" t="s">
        <v>304</v>
      </c>
      <c r="K95" s="59" t="s">
        <v>61</v>
      </c>
      <c r="L95" s="53" t="s">
        <v>272</v>
      </c>
      <c r="N95" s="62"/>
      <c r="O95" s="70"/>
      <c r="P95" s="91">
        <v>9439</v>
      </c>
      <c r="R95" s="102">
        <v>0.72</v>
      </c>
      <c r="S95" s="103">
        <v>13.77</v>
      </c>
      <c r="T95" s="99">
        <v>23.4</v>
      </c>
    </row>
    <row r="96" spans="1:20" s="65" customFormat="1" x14ac:dyDescent="0.2">
      <c r="A96" s="59">
        <v>15</v>
      </c>
      <c r="B96" s="62" t="s">
        <v>263</v>
      </c>
      <c r="C96" s="52" t="s">
        <v>251</v>
      </c>
      <c r="D96" s="67">
        <f>F96/E96</f>
        <v>865.78947368421052</v>
      </c>
      <c r="E96" s="68">
        <v>0.76</v>
      </c>
      <c r="F96" s="97">
        <v>658</v>
      </c>
      <c r="G96" s="112"/>
      <c r="H96" s="112"/>
      <c r="I96" s="64" t="s">
        <v>303</v>
      </c>
      <c r="K96" s="59" t="s">
        <v>28</v>
      </c>
      <c r="L96" s="53"/>
      <c r="N96" s="62"/>
      <c r="O96" s="70"/>
      <c r="P96" s="91">
        <v>10017</v>
      </c>
      <c r="R96" s="102">
        <v>0.68</v>
      </c>
      <c r="S96" s="103">
        <v>16</v>
      </c>
      <c r="T96" s="99">
        <v>17.989999999999998</v>
      </c>
    </row>
    <row r="97" spans="1:25" s="65" customFormat="1" x14ac:dyDescent="0.2">
      <c r="A97" s="59"/>
      <c r="B97" s="62"/>
      <c r="C97" s="52"/>
      <c r="E97" s="68"/>
      <c r="F97" s="97"/>
      <c r="G97" s="112"/>
      <c r="H97" s="112"/>
      <c r="I97" s="64"/>
      <c r="K97" s="59"/>
      <c r="L97" s="53"/>
      <c r="N97" s="62"/>
      <c r="O97" s="70"/>
      <c r="P97" s="91"/>
      <c r="R97" s="102"/>
      <c r="S97" s="103"/>
      <c r="T97" s="99"/>
    </row>
    <row r="98" spans="1:25" s="65" customFormat="1" x14ac:dyDescent="0.2">
      <c r="A98" s="59"/>
      <c r="B98" s="62"/>
      <c r="C98" s="52"/>
      <c r="E98" s="68"/>
      <c r="F98" s="97"/>
      <c r="G98" s="112"/>
      <c r="H98" s="112"/>
      <c r="I98" s="64"/>
      <c r="K98" s="109"/>
      <c r="L98" s="53"/>
      <c r="N98" s="62"/>
      <c r="O98" s="70"/>
      <c r="P98" s="91"/>
      <c r="R98" s="102"/>
      <c r="S98" s="103"/>
      <c r="T98" s="99"/>
    </row>
    <row r="99" spans="1:25" s="65" customFormat="1" x14ac:dyDescent="0.2">
      <c r="A99" s="59"/>
      <c r="B99" s="62"/>
      <c r="C99" s="52"/>
      <c r="D99" s="67"/>
      <c r="E99" s="68"/>
      <c r="F99" s="97"/>
      <c r="G99" s="112"/>
      <c r="H99" s="112"/>
      <c r="I99" s="64"/>
      <c r="K99" s="109"/>
      <c r="L99" s="53"/>
      <c r="N99" s="62"/>
      <c r="O99" s="70"/>
      <c r="P99" s="91"/>
      <c r="R99" s="102"/>
      <c r="S99" s="103"/>
      <c r="T99" s="99"/>
    </row>
    <row r="100" spans="1:25" s="65" customFormat="1" ht="6.75" customHeight="1" thickBot="1" x14ac:dyDescent="0.25">
      <c r="A100" s="79"/>
      <c r="B100" s="85"/>
      <c r="C100" s="80"/>
      <c r="D100" s="81"/>
      <c r="E100" s="82"/>
      <c r="F100" s="98"/>
      <c r="G100" s="113"/>
      <c r="H100" s="113"/>
      <c r="I100" s="111"/>
      <c r="K100" s="59"/>
      <c r="L100" s="52"/>
      <c r="N100" s="62"/>
      <c r="O100" s="70"/>
      <c r="P100" s="91"/>
      <c r="R100" s="59"/>
      <c r="S100" s="62"/>
      <c r="T100" s="63"/>
    </row>
    <row r="101" spans="1:25" s="65" customFormat="1" ht="13.5" thickBot="1" x14ac:dyDescent="0.25">
      <c r="A101" s="86"/>
      <c r="B101" s="90"/>
      <c r="C101" s="87"/>
      <c r="D101" s="88">
        <f>SUM(D82:D99)</f>
        <v>17941.848297213623</v>
      </c>
      <c r="E101" s="89"/>
      <c r="F101" s="88">
        <f>SUM(F82:F99)</f>
        <v>16444</v>
      </c>
      <c r="G101" s="114"/>
      <c r="H101" s="114"/>
      <c r="I101" s="110"/>
      <c r="K101" s="86"/>
      <c r="L101" s="87"/>
      <c r="M101" s="83"/>
      <c r="N101" s="90"/>
      <c r="O101" s="96"/>
      <c r="P101" s="94"/>
      <c r="R101" s="86"/>
      <c r="S101" s="90"/>
      <c r="T101" s="84"/>
    </row>
    <row r="102" spans="1:25" s="65" customFormat="1" ht="12" customHeight="1" x14ac:dyDescent="0.2">
      <c r="D102" s="66"/>
      <c r="E102" s="76"/>
      <c r="F102" s="66"/>
      <c r="G102" s="66"/>
      <c r="H102" s="66"/>
      <c r="O102" s="71"/>
      <c r="P102" s="66"/>
    </row>
    <row r="103" spans="1:25" s="65" customFormat="1" hidden="1" x14ac:dyDescent="0.2">
      <c r="B103" s="75" t="s">
        <v>156</v>
      </c>
      <c r="E103" s="61"/>
      <c r="F103" s="66"/>
      <c r="G103" s="66"/>
      <c r="H103" s="66"/>
      <c r="O103" s="71"/>
      <c r="P103" s="66"/>
      <c r="X103" s="66"/>
    </row>
    <row r="104" spans="1:25" s="65" customFormat="1" ht="13.5" hidden="1" thickBot="1" x14ac:dyDescent="0.25">
      <c r="A104" s="35"/>
      <c r="B104" s="38" t="s">
        <v>15</v>
      </c>
      <c r="C104" s="36" t="s">
        <v>24</v>
      </c>
      <c r="D104" s="36" t="s">
        <v>57</v>
      </c>
      <c r="E104" s="36" t="s">
        <v>27</v>
      </c>
      <c r="F104" s="36" t="s">
        <v>33</v>
      </c>
      <c r="G104" s="106" t="s">
        <v>160</v>
      </c>
      <c r="H104" s="106" t="s">
        <v>159</v>
      </c>
      <c r="I104" s="40" t="s">
        <v>26</v>
      </c>
      <c r="J104" s="41"/>
      <c r="K104" s="42" t="s">
        <v>25</v>
      </c>
      <c r="L104" s="36" t="s">
        <v>55</v>
      </c>
      <c r="M104" s="37" t="s">
        <v>34</v>
      </c>
      <c r="N104" s="38" t="s">
        <v>59</v>
      </c>
      <c r="O104" s="36" t="s">
        <v>35</v>
      </c>
      <c r="P104" s="39" t="s">
        <v>36</v>
      </c>
      <c r="Q104" s="41"/>
      <c r="R104" s="42" t="s">
        <v>37</v>
      </c>
      <c r="S104" s="38" t="s">
        <v>38</v>
      </c>
      <c r="T104" s="39" t="s">
        <v>50</v>
      </c>
      <c r="U104" s="31"/>
      <c r="V104" s="31"/>
      <c r="W104" s="31"/>
      <c r="X104" s="31"/>
      <c r="Y104" s="31"/>
    </row>
    <row r="105" spans="1:25" s="65" customFormat="1" ht="13.5" hidden="1" customHeight="1" x14ac:dyDescent="0.2">
      <c r="A105" s="123"/>
      <c r="B105" s="124"/>
      <c r="C105" s="125"/>
      <c r="D105" s="126"/>
      <c r="E105" s="127"/>
      <c r="F105" s="128"/>
      <c r="G105" s="129"/>
      <c r="H105" s="129"/>
      <c r="I105" s="130"/>
      <c r="K105" s="59"/>
      <c r="L105" s="52"/>
      <c r="N105" s="62"/>
      <c r="O105" s="70"/>
      <c r="P105" s="91"/>
      <c r="R105" s="59"/>
      <c r="S105" s="62"/>
      <c r="T105" s="63"/>
    </row>
    <row r="106" spans="1:25" s="65" customFormat="1" hidden="1" x14ac:dyDescent="0.2">
      <c r="A106" s="59"/>
      <c r="B106" s="62"/>
      <c r="C106" s="52"/>
      <c r="D106" s="67"/>
      <c r="E106" s="68"/>
      <c r="F106" s="97"/>
      <c r="G106" s="112"/>
      <c r="H106" s="112"/>
      <c r="I106" s="64"/>
      <c r="K106" s="59"/>
      <c r="L106" s="53"/>
      <c r="N106" s="62"/>
      <c r="O106" s="70"/>
      <c r="P106" s="91"/>
      <c r="R106" s="102"/>
      <c r="S106" s="103"/>
      <c r="T106" s="99"/>
    </row>
    <row r="107" spans="1:25" s="65" customFormat="1" hidden="1" x14ac:dyDescent="0.2">
      <c r="A107" s="59"/>
      <c r="B107" s="62"/>
      <c r="C107" s="53"/>
      <c r="D107" s="67"/>
      <c r="E107" s="55"/>
      <c r="F107" s="97"/>
      <c r="G107" s="112"/>
      <c r="H107" s="112"/>
      <c r="I107" s="64"/>
      <c r="J107" s="31"/>
      <c r="K107" s="109"/>
      <c r="L107" s="53"/>
      <c r="M107" s="31"/>
      <c r="N107" s="56"/>
      <c r="O107" s="54"/>
      <c r="P107" s="101"/>
      <c r="Q107" s="31"/>
      <c r="R107" s="104"/>
      <c r="S107" s="105"/>
      <c r="T107" s="100"/>
    </row>
    <row r="108" spans="1:25" s="65" customFormat="1" hidden="1" x14ac:dyDescent="0.2">
      <c r="A108" s="59"/>
      <c r="B108" s="62"/>
      <c r="C108" s="52"/>
      <c r="D108" s="67"/>
      <c r="E108" s="68"/>
      <c r="F108" s="97"/>
      <c r="G108" s="112"/>
      <c r="H108" s="112"/>
      <c r="I108" s="64"/>
      <c r="K108" s="59"/>
      <c r="L108" s="53"/>
      <c r="N108" s="62"/>
      <c r="O108" s="70"/>
      <c r="P108" s="91"/>
      <c r="R108" s="102"/>
      <c r="S108" s="103"/>
      <c r="T108" s="99"/>
    </row>
    <row r="109" spans="1:25" ht="7.5" hidden="1" customHeight="1" thickBot="1" x14ac:dyDescent="0.25">
      <c r="A109" s="79"/>
      <c r="B109" s="85"/>
      <c r="C109" s="80"/>
      <c r="D109" s="81"/>
      <c r="E109" s="82"/>
      <c r="F109" s="98"/>
      <c r="G109" s="113"/>
      <c r="H109" s="113"/>
      <c r="I109" s="111"/>
      <c r="J109" s="65"/>
      <c r="K109" s="59"/>
      <c r="L109" s="52"/>
      <c r="M109" s="65"/>
      <c r="N109" s="62"/>
      <c r="O109" s="70"/>
      <c r="P109" s="91"/>
      <c r="Q109" s="65"/>
      <c r="R109" s="59"/>
      <c r="S109" s="62"/>
      <c r="T109" s="63"/>
      <c r="U109" s="65"/>
      <c r="V109" s="65"/>
      <c r="W109" s="65"/>
      <c r="X109" s="65"/>
      <c r="Y109" s="65"/>
    </row>
    <row r="110" spans="1:25" ht="13.5" hidden="1" thickBot="1" x14ac:dyDescent="0.25">
      <c r="A110" s="86"/>
      <c r="B110" s="90"/>
      <c r="C110" s="87"/>
      <c r="D110" s="88">
        <f>SUM(D106:D108)</f>
        <v>0</v>
      </c>
      <c r="E110" s="89"/>
      <c r="F110" s="88">
        <f>SUM(F106:F108)</f>
        <v>0</v>
      </c>
      <c r="G110" s="114"/>
      <c r="H110" s="114"/>
      <c r="I110" s="110"/>
      <c r="J110" s="65"/>
      <c r="K110" s="86"/>
      <c r="L110" s="87"/>
      <c r="M110" s="83"/>
      <c r="N110" s="90"/>
      <c r="O110" s="96"/>
      <c r="P110" s="94"/>
      <c r="Q110" s="65"/>
      <c r="R110" s="86"/>
      <c r="S110" s="90"/>
      <c r="T110" s="84"/>
      <c r="U110" s="65"/>
      <c r="V110" s="65"/>
      <c r="W110" s="65"/>
      <c r="X110" s="65"/>
      <c r="Y110" s="65"/>
    </row>
    <row r="111" spans="1:25" hidden="1" x14ac:dyDescent="0.2">
      <c r="O111" s="73"/>
      <c r="Q111" s="74"/>
    </row>
    <row r="112" spans="1:25" hidden="1" x14ac:dyDescent="0.2">
      <c r="O112" s="73"/>
      <c r="Q112" s="74"/>
    </row>
    <row r="113" spans="1:25" s="65" customFormat="1" ht="1.5" hidden="1" customHeight="1" x14ac:dyDescent="0.2">
      <c r="B113" s="75" t="s">
        <v>162</v>
      </c>
      <c r="E113" s="61"/>
      <c r="F113" s="66"/>
      <c r="G113" s="66"/>
      <c r="H113" s="66"/>
      <c r="O113" s="71"/>
      <c r="P113" s="66"/>
      <c r="X113" s="66"/>
    </row>
    <row r="114" spans="1:25" s="65" customFormat="1" ht="13.5" hidden="1" thickBot="1" x14ac:dyDescent="0.25">
      <c r="A114" s="35"/>
      <c r="B114" s="38" t="s">
        <v>15</v>
      </c>
      <c r="C114" s="36" t="s">
        <v>24</v>
      </c>
      <c r="D114" s="36" t="s">
        <v>57</v>
      </c>
      <c r="E114" s="36" t="s">
        <v>27</v>
      </c>
      <c r="F114" s="36" t="s">
        <v>33</v>
      </c>
      <c r="G114" s="106" t="s">
        <v>160</v>
      </c>
      <c r="H114" s="106" t="s">
        <v>159</v>
      </c>
      <c r="I114" s="40" t="s">
        <v>26</v>
      </c>
      <c r="J114" s="41"/>
      <c r="K114" s="42" t="s">
        <v>25</v>
      </c>
      <c r="L114" s="36" t="s">
        <v>55</v>
      </c>
      <c r="M114" s="37" t="s">
        <v>34</v>
      </c>
      <c r="N114" s="38" t="s">
        <v>59</v>
      </c>
      <c r="O114" s="36" t="s">
        <v>35</v>
      </c>
      <c r="P114" s="39" t="s">
        <v>36</v>
      </c>
      <c r="Q114" s="41"/>
      <c r="R114" s="42" t="s">
        <v>37</v>
      </c>
      <c r="S114" s="38" t="s">
        <v>38</v>
      </c>
      <c r="T114" s="39" t="s">
        <v>50</v>
      </c>
      <c r="U114" s="31"/>
      <c r="V114" s="31"/>
      <c r="W114" s="31"/>
      <c r="X114" s="31"/>
      <c r="Y114" s="31"/>
    </row>
    <row r="115" spans="1:25" s="65" customFormat="1" ht="7.5" hidden="1" customHeight="1" x14ac:dyDescent="0.2">
      <c r="A115" s="123"/>
      <c r="B115" s="124"/>
      <c r="C115" s="125"/>
      <c r="D115" s="126"/>
      <c r="E115" s="127"/>
      <c r="F115" s="128"/>
      <c r="G115" s="129"/>
      <c r="H115" s="129"/>
      <c r="I115" s="130"/>
      <c r="K115" s="59"/>
      <c r="L115" s="52"/>
      <c r="N115" s="62"/>
      <c r="O115" s="70"/>
      <c r="P115" s="91"/>
      <c r="R115" s="59"/>
      <c r="S115" s="62"/>
      <c r="T115" s="63"/>
    </row>
    <row r="116" spans="1:25" s="65" customFormat="1" hidden="1" x14ac:dyDescent="0.2">
      <c r="A116" s="59"/>
      <c r="B116" s="62"/>
      <c r="C116" s="52"/>
      <c r="D116" s="67"/>
      <c r="E116" s="68"/>
      <c r="F116" s="97"/>
      <c r="G116" s="112"/>
      <c r="H116" s="112"/>
      <c r="I116" s="64"/>
      <c r="K116" s="59"/>
      <c r="L116" s="53"/>
      <c r="N116" s="62"/>
      <c r="O116" s="70"/>
      <c r="P116" s="91"/>
      <c r="R116" s="102"/>
      <c r="S116" s="103"/>
      <c r="T116" s="99"/>
    </row>
    <row r="117" spans="1:25" s="65" customFormat="1" hidden="1" x14ac:dyDescent="0.2">
      <c r="A117" s="59"/>
      <c r="B117" s="62"/>
      <c r="C117" s="52"/>
      <c r="D117" s="67"/>
      <c r="E117" s="68"/>
      <c r="F117" s="97"/>
      <c r="G117" s="112"/>
      <c r="H117" s="112"/>
      <c r="I117" s="64"/>
      <c r="J117" s="31"/>
      <c r="K117" s="109"/>
      <c r="L117" s="53"/>
      <c r="M117" s="31"/>
      <c r="N117" s="56"/>
      <c r="O117" s="54"/>
      <c r="P117" s="101"/>
      <c r="Q117" s="31"/>
      <c r="R117" s="104"/>
      <c r="S117" s="105"/>
      <c r="T117" s="100"/>
    </row>
    <row r="118" spans="1:25" s="65" customFormat="1" hidden="1" x14ac:dyDescent="0.2">
      <c r="A118" s="59"/>
      <c r="B118" s="62"/>
      <c r="C118" s="52"/>
      <c r="D118" s="67"/>
      <c r="E118" s="68"/>
      <c r="F118" s="97"/>
      <c r="G118" s="112"/>
      <c r="H118" s="112"/>
      <c r="I118" s="64"/>
      <c r="K118" s="109"/>
      <c r="L118" s="53"/>
      <c r="N118" s="62"/>
      <c r="O118" s="70"/>
      <c r="P118" s="91"/>
      <c r="R118" s="102"/>
      <c r="S118" s="103"/>
      <c r="T118" s="99"/>
    </row>
    <row r="119" spans="1:25" s="65" customFormat="1" hidden="1" x14ac:dyDescent="0.2">
      <c r="A119" s="59"/>
      <c r="B119" s="62"/>
      <c r="C119" s="53"/>
      <c r="D119" s="67"/>
      <c r="E119" s="68"/>
      <c r="F119" s="97"/>
      <c r="G119" s="112"/>
      <c r="H119" s="112"/>
      <c r="I119" s="64"/>
      <c r="J119" s="31"/>
      <c r="K119" s="109"/>
      <c r="L119" s="53"/>
      <c r="M119" s="31"/>
      <c r="N119" s="56"/>
      <c r="O119" s="54"/>
      <c r="P119" s="101"/>
      <c r="Q119" s="31"/>
      <c r="R119" s="104"/>
      <c r="S119" s="105"/>
      <c r="T119" s="100"/>
    </row>
    <row r="120" spans="1:25" s="65" customFormat="1" hidden="1" x14ac:dyDescent="0.2">
      <c r="A120" s="59"/>
      <c r="B120" s="62"/>
      <c r="C120" s="53"/>
      <c r="D120" s="67"/>
      <c r="E120" s="68"/>
      <c r="F120" s="97"/>
      <c r="G120" s="112"/>
      <c r="H120" s="112"/>
      <c r="I120" s="64"/>
      <c r="J120" s="31"/>
      <c r="K120" s="109"/>
      <c r="L120" s="53"/>
      <c r="M120" s="31"/>
      <c r="N120" s="56"/>
      <c r="O120" s="54"/>
      <c r="P120" s="101"/>
      <c r="Q120" s="31"/>
      <c r="R120" s="104"/>
      <c r="S120" s="105"/>
      <c r="T120" s="100"/>
    </row>
    <row r="121" spans="1:25" ht="7.5" hidden="1" customHeight="1" thickBot="1" x14ac:dyDescent="0.25">
      <c r="A121" s="79"/>
      <c r="B121" s="85"/>
      <c r="C121" s="80"/>
      <c r="D121" s="81"/>
      <c r="E121" s="82"/>
      <c r="F121" s="98"/>
      <c r="G121" s="113"/>
      <c r="H121" s="113"/>
      <c r="I121" s="111"/>
      <c r="J121" s="65"/>
      <c r="K121" s="59"/>
      <c r="L121" s="52"/>
      <c r="M121" s="65"/>
      <c r="N121" s="62"/>
      <c r="O121" s="70"/>
      <c r="P121" s="91"/>
      <c r="Q121" s="65"/>
      <c r="R121" s="59"/>
      <c r="S121" s="62"/>
      <c r="T121" s="63"/>
      <c r="U121" s="65"/>
      <c r="V121" s="65"/>
      <c r="W121" s="65"/>
      <c r="X121" s="65"/>
      <c r="Y121" s="65"/>
    </row>
    <row r="122" spans="1:25" ht="13.5" hidden="1" thickBot="1" x14ac:dyDescent="0.25">
      <c r="A122" s="86"/>
      <c r="B122" s="90"/>
      <c r="C122" s="87"/>
      <c r="D122" s="88">
        <f>SUM(D116:D120)</f>
        <v>0</v>
      </c>
      <c r="E122" s="89"/>
      <c r="F122" s="88">
        <f>SUM(F116:F120)</f>
        <v>0</v>
      </c>
      <c r="G122" s="114"/>
      <c r="H122" s="114"/>
      <c r="I122" s="110"/>
      <c r="J122" s="65"/>
      <c r="K122" s="86"/>
      <c r="L122" s="87"/>
      <c r="M122" s="83"/>
      <c r="N122" s="90"/>
      <c r="O122" s="96"/>
      <c r="P122" s="94"/>
      <c r="Q122" s="65"/>
      <c r="R122" s="86"/>
      <c r="S122" s="90"/>
      <c r="T122" s="84"/>
      <c r="U122" s="65"/>
      <c r="V122" s="65"/>
      <c r="W122" s="65"/>
      <c r="X122" s="65"/>
      <c r="Y122" s="65"/>
    </row>
    <row r="123" spans="1:25" hidden="1" x14ac:dyDescent="0.2">
      <c r="O123" s="73"/>
      <c r="Q123" s="74"/>
    </row>
    <row r="124" spans="1:25" hidden="1" x14ac:dyDescent="0.2">
      <c r="O124" s="73"/>
      <c r="Q124" s="74"/>
    </row>
    <row r="125" spans="1:25" hidden="1" x14ac:dyDescent="0.2">
      <c r="A125" s="65"/>
      <c r="B125" s="75" t="s">
        <v>157</v>
      </c>
      <c r="C125" s="65"/>
      <c r="D125" s="65"/>
      <c r="E125" s="61"/>
      <c r="F125" s="66"/>
      <c r="G125" s="66"/>
      <c r="H125" s="66"/>
      <c r="I125" s="65"/>
      <c r="J125" s="65"/>
      <c r="K125" s="65"/>
      <c r="L125" s="65"/>
      <c r="M125" s="65"/>
      <c r="N125" s="65"/>
      <c r="O125" s="71"/>
      <c r="P125" s="66"/>
      <c r="Q125" s="65"/>
      <c r="R125" s="65"/>
      <c r="S125" s="65"/>
      <c r="T125" s="65"/>
    </row>
    <row r="126" spans="1:25" ht="13.5" hidden="1" thickBot="1" x14ac:dyDescent="0.25">
      <c r="A126" s="35"/>
      <c r="B126" s="38" t="s">
        <v>15</v>
      </c>
      <c r="C126" s="36" t="s">
        <v>24</v>
      </c>
      <c r="D126" s="36" t="s">
        <v>57</v>
      </c>
      <c r="E126" s="36" t="s">
        <v>27</v>
      </c>
      <c r="F126" s="36" t="s">
        <v>33</v>
      </c>
      <c r="G126" s="106" t="s">
        <v>160</v>
      </c>
      <c r="H126" s="106" t="s">
        <v>158</v>
      </c>
      <c r="I126" s="40" t="s">
        <v>26</v>
      </c>
      <c r="J126" s="41"/>
      <c r="K126" s="42" t="s">
        <v>25</v>
      </c>
      <c r="L126" s="36" t="s">
        <v>55</v>
      </c>
      <c r="M126" s="37" t="s">
        <v>34</v>
      </c>
      <c r="N126" s="38" t="s">
        <v>59</v>
      </c>
      <c r="O126" s="36" t="s">
        <v>35</v>
      </c>
      <c r="P126" s="39" t="s">
        <v>36</v>
      </c>
      <c r="Q126" s="41"/>
      <c r="R126" s="42" t="s">
        <v>37</v>
      </c>
      <c r="S126" s="38" t="s">
        <v>38</v>
      </c>
      <c r="T126" s="39" t="s">
        <v>50</v>
      </c>
    </row>
    <row r="127" spans="1:25" hidden="1" x14ac:dyDescent="0.2">
      <c r="A127" s="123"/>
      <c r="B127" s="124"/>
      <c r="C127" s="125"/>
      <c r="D127" s="126"/>
      <c r="E127" s="127"/>
      <c r="F127" s="128"/>
      <c r="G127" s="129"/>
      <c r="H127" s="129"/>
      <c r="I127" s="130"/>
      <c r="J127" s="65"/>
      <c r="K127" s="59"/>
      <c r="L127" s="52"/>
      <c r="M127" s="65"/>
      <c r="N127" s="62"/>
      <c r="O127" s="70"/>
      <c r="P127" s="91"/>
      <c r="Q127" s="65"/>
      <c r="R127" s="59"/>
      <c r="S127" s="62"/>
      <c r="T127" s="63"/>
    </row>
    <row r="128" spans="1:25" hidden="1" x14ac:dyDescent="0.2">
      <c r="A128" s="59"/>
      <c r="B128" s="62"/>
      <c r="C128" s="52"/>
      <c r="D128" s="67"/>
      <c r="E128" s="68"/>
      <c r="F128" s="97"/>
      <c r="G128" s="112"/>
      <c r="H128" s="112"/>
      <c r="I128" s="64"/>
      <c r="J128" s="65"/>
      <c r="K128" s="109"/>
      <c r="L128" s="53"/>
      <c r="M128" s="65"/>
      <c r="N128" s="62"/>
      <c r="O128" s="70"/>
      <c r="P128" s="91"/>
      <c r="Q128" s="65"/>
      <c r="R128" s="102"/>
      <c r="S128" s="103"/>
      <c r="T128" s="99"/>
    </row>
    <row r="129" spans="1:20" hidden="1" x14ac:dyDescent="0.2">
      <c r="A129" s="59"/>
      <c r="B129" s="62"/>
      <c r="C129" s="52"/>
      <c r="D129" s="67"/>
      <c r="E129" s="68"/>
      <c r="F129" s="97"/>
      <c r="G129" s="112"/>
      <c r="H129" s="112"/>
      <c r="I129" s="64"/>
      <c r="J129" s="65"/>
      <c r="K129" s="109"/>
      <c r="L129" s="53"/>
      <c r="M129" s="65"/>
      <c r="N129" s="62"/>
      <c r="O129" s="70"/>
      <c r="P129" s="91"/>
      <c r="Q129" s="65"/>
      <c r="R129" s="102"/>
      <c r="S129" s="103"/>
      <c r="T129" s="99"/>
    </row>
    <row r="130" spans="1:20" hidden="1" x14ac:dyDescent="0.2">
      <c r="A130" s="59"/>
      <c r="B130" s="62"/>
      <c r="C130" s="52"/>
      <c r="D130" s="67"/>
      <c r="E130" s="68"/>
      <c r="F130" s="97"/>
      <c r="G130" s="112"/>
      <c r="H130" s="112"/>
      <c r="I130" s="64"/>
      <c r="J130" s="65"/>
      <c r="K130" s="109"/>
      <c r="L130" s="53"/>
      <c r="M130" s="65"/>
      <c r="N130" s="62"/>
      <c r="O130" s="70"/>
      <c r="P130" s="91"/>
      <c r="Q130" s="65"/>
      <c r="R130" s="102"/>
      <c r="S130" s="103"/>
      <c r="T130" s="99"/>
    </row>
    <row r="131" spans="1:20" hidden="1" x14ac:dyDescent="0.2">
      <c r="A131" s="59"/>
      <c r="B131" s="62"/>
      <c r="C131" s="52"/>
      <c r="D131" s="67"/>
      <c r="E131" s="68"/>
      <c r="F131" s="97"/>
      <c r="G131" s="112"/>
      <c r="H131" s="112"/>
      <c r="I131" s="64"/>
      <c r="J131" s="65"/>
      <c r="K131" s="109"/>
      <c r="L131" s="53"/>
      <c r="M131" s="65"/>
      <c r="N131" s="62"/>
      <c r="O131" s="70"/>
      <c r="P131" s="91"/>
      <c r="Q131" s="65"/>
      <c r="R131" s="102"/>
      <c r="S131" s="103"/>
      <c r="T131" s="99"/>
    </row>
    <row r="132" spans="1:20" hidden="1" x14ac:dyDescent="0.2">
      <c r="A132" s="59"/>
      <c r="B132" s="62"/>
      <c r="C132" s="52"/>
      <c r="D132" s="116"/>
      <c r="E132" s="68"/>
      <c r="F132" s="116"/>
      <c r="G132" s="112"/>
      <c r="H132" s="112"/>
      <c r="I132" s="64"/>
      <c r="J132" s="65"/>
      <c r="K132" s="109"/>
      <c r="L132" s="53"/>
      <c r="M132" s="65"/>
      <c r="N132" s="62"/>
      <c r="O132" s="70"/>
      <c r="P132" s="91"/>
      <c r="Q132" s="65"/>
      <c r="R132" s="102"/>
      <c r="S132" s="103"/>
      <c r="T132" s="99"/>
    </row>
    <row r="133" spans="1:20" hidden="1" x14ac:dyDescent="0.2">
      <c r="A133" s="59"/>
      <c r="B133" s="62"/>
      <c r="C133" s="52"/>
      <c r="D133" s="67"/>
      <c r="E133" s="68"/>
      <c r="F133" s="67"/>
      <c r="G133" s="112"/>
      <c r="H133" s="112"/>
      <c r="I133" s="64"/>
      <c r="J133" s="65"/>
      <c r="K133" s="109"/>
      <c r="L133" s="53"/>
      <c r="M133" s="65"/>
      <c r="N133" s="62"/>
      <c r="O133" s="70"/>
      <c r="P133" s="91"/>
      <c r="Q133" s="65"/>
      <c r="R133" s="102"/>
      <c r="S133" s="103"/>
      <c r="T133" s="99"/>
    </row>
    <row r="134" spans="1:20" ht="6" hidden="1" customHeight="1" x14ac:dyDescent="0.2">
      <c r="A134" s="59"/>
      <c r="B134" s="62"/>
      <c r="C134" s="52"/>
      <c r="D134" s="67"/>
      <c r="E134" s="68"/>
      <c r="F134" s="97"/>
      <c r="G134" s="112"/>
      <c r="H134" s="112"/>
      <c r="I134" s="64"/>
      <c r="J134" s="65"/>
      <c r="K134" s="109"/>
      <c r="L134" s="53"/>
      <c r="M134" s="65"/>
      <c r="N134" s="62"/>
      <c r="O134" s="70"/>
      <c r="P134" s="91"/>
      <c r="Q134" s="65"/>
      <c r="R134" s="102"/>
      <c r="S134" s="103"/>
      <c r="T134" s="99"/>
    </row>
    <row r="135" spans="1:20" hidden="1" x14ac:dyDescent="0.2">
      <c r="A135" s="59"/>
      <c r="B135" s="62"/>
      <c r="C135" s="52"/>
      <c r="D135" s="67"/>
      <c r="E135" s="68"/>
      <c r="F135" s="97"/>
      <c r="G135" s="112"/>
      <c r="H135" s="112"/>
      <c r="I135" s="64"/>
      <c r="J135" s="65"/>
      <c r="K135" s="59"/>
      <c r="L135" s="53"/>
      <c r="M135" s="65"/>
      <c r="N135" s="62"/>
      <c r="O135" s="70"/>
      <c r="P135" s="91"/>
      <c r="Q135" s="65"/>
      <c r="R135" s="102"/>
      <c r="S135" s="103"/>
      <c r="T135" s="99"/>
    </row>
    <row r="136" spans="1:20" ht="13.5" hidden="1" thickBot="1" x14ac:dyDescent="0.25">
      <c r="A136" s="79"/>
      <c r="B136" s="85"/>
      <c r="C136" s="80"/>
      <c r="D136" s="81"/>
      <c r="E136" s="82"/>
      <c r="F136" s="98"/>
      <c r="G136" s="113"/>
      <c r="H136" s="113"/>
      <c r="I136" s="111"/>
      <c r="J136" s="65"/>
      <c r="K136" s="59"/>
      <c r="L136" s="52"/>
      <c r="M136" s="65"/>
      <c r="N136" s="62"/>
      <c r="O136" s="70"/>
      <c r="P136" s="91"/>
      <c r="Q136" s="65"/>
      <c r="R136" s="59"/>
      <c r="S136" s="62"/>
      <c r="T136" s="63"/>
    </row>
    <row r="137" spans="1:20" ht="13.5" hidden="1" thickBot="1" x14ac:dyDescent="0.25">
      <c r="A137" s="86"/>
      <c r="B137" s="90"/>
      <c r="C137" s="87"/>
      <c r="D137" s="88">
        <f>SUM(D135,D133)</f>
        <v>0</v>
      </c>
      <c r="E137" s="89"/>
      <c r="F137" s="88">
        <f>SUM(F135,F133)</f>
        <v>0</v>
      </c>
      <c r="G137" s="114"/>
      <c r="H137" s="114"/>
      <c r="I137" s="110"/>
      <c r="J137" s="65"/>
      <c r="K137" s="86"/>
      <c r="L137" s="87"/>
      <c r="M137" s="83"/>
      <c r="N137" s="90"/>
      <c r="O137" s="96"/>
      <c r="P137" s="94"/>
      <c r="Q137" s="65"/>
      <c r="R137" s="86"/>
      <c r="S137" s="90"/>
      <c r="T137" s="84"/>
    </row>
    <row r="138" spans="1:20" x14ac:dyDescent="0.2">
      <c r="O138" s="73"/>
    </row>
    <row r="139" spans="1:20" x14ac:dyDescent="0.2">
      <c r="B139" s="31" t="s">
        <v>283</v>
      </c>
      <c r="F139" s="115"/>
      <c r="O139" s="73"/>
    </row>
    <row r="140" spans="1:20" x14ac:dyDescent="0.2">
      <c r="O140" s="73"/>
    </row>
    <row r="141" spans="1:20" x14ac:dyDescent="0.2">
      <c r="O141" s="73"/>
    </row>
    <row r="142" spans="1:20" x14ac:dyDescent="0.2">
      <c r="O142" s="73"/>
    </row>
    <row r="143" spans="1:20" x14ac:dyDescent="0.2">
      <c r="O143" s="73"/>
    </row>
    <row r="144" spans="1:20" x14ac:dyDescent="0.2">
      <c r="O144" s="73"/>
    </row>
    <row r="145" spans="15:15" x14ac:dyDescent="0.2">
      <c r="O145" s="73"/>
    </row>
    <row r="146" spans="15:15" x14ac:dyDescent="0.2">
      <c r="O146" s="73"/>
    </row>
    <row r="147" spans="15:15" x14ac:dyDescent="0.2">
      <c r="O147" s="73"/>
    </row>
    <row r="148" spans="15:15" x14ac:dyDescent="0.2">
      <c r="O148" s="73"/>
    </row>
    <row r="149" spans="15:15" x14ac:dyDescent="0.2">
      <c r="O149" s="73"/>
    </row>
  </sheetData>
  <dataConsolidate/>
  <mergeCells count="4">
    <mergeCell ref="I6:L6"/>
    <mergeCell ref="P6:S6"/>
    <mergeCell ref="C6:E6"/>
    <mergeCell ref="F6:H6"/>
  </mergeCells>
  <pageMargins left="0.75" right="0.75" top="1" bottom="1" header="0.5" footer="0.5"/>
  <pageSetup paperSize="5" scale="43" fitToWidth="2" orientation="landscape" verticalDpi="300" r:id="rId1"/>
  <headerFooter alignWithMargins="0"/>
  <rowBreaks count="1" manualBreakCount="1">
    <brk id="78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5" zoomScaleNormal="100" workbookViewId="0">
      <selection activeCell="D45" sqref="D45"/>
    </sheetView>
  </sheetViews>
  <sheetFormatPr defaultRowHeight="12.75" x14ac:dyDescent="0.2"/>
  <cols>
    <col min="1" max="1" width="15.7109375" customWidth="1"/>
    <col min="2" max="2" width="19" customWidth="1"/>
    <col min="3" max="3" width="17" customWidth="1"/>
    <col min="4" max="4" width="15.7109375" customWidth="1"/>
    <col min="5" max="5" width="14" customWidth="1"/>
    <col min="6" max="6" width="15.7109375" customWidth="1"/>
    <col min="7" max="7" width="18.140625" customWidth="1"/>
    <col min="8" max="8" width="18" customWidth="1"/>
    <col min="9" max="16" width="15.7109375" customWidth="1"/>
  </cols>
  <sheetData>
    <row r="1" spans="1:1" ht="18" x14ac:dyDescent="0.25">
      <c r="A1" s="145" t="s">
        <v>307</v>
      </c>
    </row>
    <row r="22" spans="1:6" x14ac:dyDescent="0.2">
      <c r="A22" s="131" t="s">
        <v>177</v>
      </c>
      <c r="F22" s="131" t="s">
        <v>312</v>
      </c>
    </row>
    <row r="23" spans="1:6" x14ac:dyDescent="0.2">
      <c r="F23" s="131"/>
    </row>
    <row r="44" spans="1:6" x14ac:dyDescent="0.2">
      <c r="A44" s="144"/>
      <c r="F44" s="144"/>
    </row>
    <row r="45" spans="1:6" x14ac:dyDescent="0.2">
      <c r="A45" s="144"/>
      <c r="F45" s="144"/>
    </row>
    <row r="48" spans="1:6" ht="13.5" thickBot="1" x14ac:dyDescent="0.25"/>
    <row r="49" spans="2:6" x14ac:dyDescent="0.2">
      <c r="B49" s="155" t="s">
        <v>310</v>
      </c>
      <c r="C49" s="156"/>
      <c r="E49" s="155" t="s">
        <v>310</v>
      </c>
      <c r="F49" s="156"/>
    </row>
    <row r="50" spans="2:6" ht="13.5" thickBot="1" x14ac:dyDescent="0.25">
      <c r="B50" s="161" t="s">
        <v>308</v>
      </c>
      <c r="C50" s="163"/>
      <c r="E50" s="161" t="s">
        <v>309</v>
      </c>
      <c r="F50" s="163"/>
    </row>
    <row r="51" spans="2:6" x14ac:dyDescent="0.2">
      <c r="B51" s="157" t="s">
        <v>164</v>
      </c>
      <c r="C51" s="159">
        <f>SUMIF('FPL-Projects'!$I$15:$I$51,B51,'FPL-Projects'!$F$15:$F$51)</f>
        <v>224.93</v>
      </c>
      <c r="E51" s="157" t="s">
        <v>216</v>
      </c>
      <c r="F51" s="159">
        <f>SUMIF('FPL-Projects'!$K$15:$K$60,E51,'FPL-Projects'!$F$15:$F$60)</f>
        <v>466.9</v>
      </c>
    </row>
    <row r="52" spans="2:6" x14ac:dyDescent="0.2">
      <c r="B52" s="157" t="s">
        <v>167</v>
      </c>
      <c r="C52" s="159">
        <f>SUMIF('FPL-Projects'!$I$15:$I$51,B52,'FPL-Projects'!$F$15:$F$51)</f>
        <v>1306.8400000000001</v>
      </c>
      <c r="E52" s="157" t="s">
        <v>58</v>
      </c>
      <c r="F52" s="159">
        <f>SUMIF('FPL-Projects'!$K$15:$K$60,E52,'FPL-Projects'!$F$15:$F$60)</f>
        <v>2809.7960000000003</v>
      </c>
    </row>
    <row r="53" spans="2:6" x14ac:dyDescent="0.2">
      <c r="B53" s="157" t="s">
        <v>275</v>
      </c>
      <c r="C53" s="159">
        <f>SUMIF('FPL-Projects'!$I$15:$I$51,B53,'FPL-Projects'!$F$15:$F$51)</f>
        <v>579.85600000000011</v>
      </c>
      <c r="E53" s="157" t="s">
        <v>209</v>
      </c>
      <c r="F53" s="159">
        <f>SUMIF('FPL-Projects'!$K$15:$K$60,E53,'FPL-Projects'!$F$15:$F$60)</f>
        <v>140</v>
      </c>
    </row>
    <row r="54" spans="2:6" x14ac:dyDescent="0.2">
      <c r="B54" s="157" t="s">
        <v>303</v>
      </c>
      <c r="C54" s="159">
        <f>SUMIF('FPL-Projects'!$I$15:$I$51,B54,'FPL-Projects'!$F$15:$F$51)</f>
        <v>747</v>
      </c>
      <c r="E54" s="157" t="s">
        <v>313</v>
      </c>
      <c r="F54" s="159">
        <v>20</v>
      </c>
    </row>
    <row r="55" spans="2:6" x14ac:dyDescent="0.2">
      <c r="B55" s="157" t="s">
        <v>277</v>
      </c>
      <c r="C55" s="159">
        <f>SUMIF('FPL-Projects'!$I$15:$I$51,B55,'FPL-Projects'!$F$15:$F$51)</f>
        <v>42</v>
      </c>
      <c r="E55" s="157" t="s">
        <v>64</v>
      </c>
      <c r="F55" s="159">
        <f>SUMIF('FPL-Projects'!$K$15:$K$60,E55,'FPL-Projects'!$F$15:$F$60)</f>
        <v>80</v>
      </c>
    </row>
    <row r="56" spans="2:6" x14ac:dyDescent="0.2">
      <c r="B56" s="157" t="s">
        <v>279</v>
      </c>
      <c r="C56" s="159">
        <f>SUMIF('FPL-Projects'!$I$15:$I$51,B56,'FPL-Projects'!$F$15:$F$51)</f>
        <v>25</v>
      </c>
      <c r="E56" s="157" t="s">
        <v>30</v>
      </c>
      <c r="F56" s="159">
        <f>SUMIF('FPL-Projects'!$K$15:$K$60,E56,'FPL-Projects'!$F$15:$F$60)</f>
        <v>373</v>
      </c>
    </row>
    <row r="57" spans="2:6" x14ac:dyDescent="0.2">
      <c r="B57" s="157" t="s">
        <v>152</v>
      </c>
      <c r="C57" s="160">
        <f>SUMIF('FPL-Projects'!I15:I60,B57,'FPL-Projects'!F15:F60)</f>
        <v>1065</v>
      </c>
      <c r="E57" s="157" t="s">
        <v>200</v>
      </c>
      <c r="F57" s="166">
        <f>SUMIF('FPL-Projects'!$K$15:$K$60,E57,'FPL-Projects'!$F$15:$F$60)</f>
        <v>42</v>
      </c>
    </row>
    <row r="58" spans="2:6" ht="13.5" thickBot="1" x14ac:dyDescent="0.25">
      <c r="B58" s="161" t="s">
        <v>92</v>
      </c>
      <c r="C58" s="162">
        <f>SUM(C51:C57)</f>
        <v>3990.6260000000002</v>
      </c>
      <c r="E58" s="161" t="s">
        <v>92</v>
      </c>
      <c r="F58" s="162">
        <f>SUM(F51:F57)</f>
        <v>3931.6960000000004</v>
      </c>
    </row>
    <row r="59" spans="2:6" x14ac:dyDescent="0.2">
      <c r="B59" s="9"/>
      <c r="C59" s="165"/>
      <c r="E59" s="9"/>
      <c r="F59" s="165"/>
    </row>
    <row r="60" spans="2:6" ht="13.5" thickBot="1" x14ac:dyDescent="0.25"/>
    <row r="61" spans="2:6" x14ac:dyDescent="0.2">
      <c r="B61" s="155" t="s">
        <v>311</v>
      </c>
      <c r="C61" s="156"/>
      <c r="E61" s="155" t="s">
        <v>311</v>
      </c>
      <c r="F61" s="156"/>
    </row>
    <row r="62" spans="2:6" ht="13.5" thickBot="1" x14ac:dyDescent="0.25">
      <c r="B62" s="161" t="s">
        <v>308</v>
      </c>
      <c r="C62" s="163"/>
      <c r="E62" s="161" t="s">
        <v>309</v>
      </c>
      <c r="F62" s="163"/>
    </row>
    <row r="63" spans="2:6" x14ac:dyDescent="0.2">
      <c r="B63" s="157" t="s">
        <v>303</v>
      </c>
      <c r="C63" s="158">
        <f>SUMIF('FPL-Projects'!$I$82:$I$96,B63,'FPL-Projects'!$F$82:$F$96)</f>
        <v>658</v>
      </c>
      <c r="E63" s="155" t="s">
        <v>58</v>
      </c>
      <c r="F63" s="156">
        <f>SUMIF('FPL-Projects'!$K$82:$K$96,E63,'FPL-Projects'!$F$82:$F$96)</f>
        <v>215</v>
      </c>
    </row>
    <row r="64" spans="2:6" x14ac:dyDescent="0.2">
      <c r="B64" s="157" t="s">
        <v>304</v>
      </c>
      <c r="C64" s="164">
        <f>SUMIF('FPL-Projects'!$I$82:$I$96,B64,'FPL-Projects'!$F$82:$F$96)</f>
        <v>15786</v>
      </c>
      <c r="E64" s="157" t="s">
        <v>31</v>
      </c>
      <c r="F64" s="158">
        <f>SUMIF('FPL-Projects'!$K$82:$K$96,E64,'FPL-Projects'!$F$82:$F$96)</f>
        <v>2804</v>
      </c>
    </row>
    <row r="65" spans="2:6" ht="13.5" thickBot="1" x14ac:dyDescent="0.25">
      <c r="B65" s="161" t="s">
        <v>92</v>
      </c>
      <c r="C65" s="163">
        <f>SUM(C63:C64)</f>
        <v>16444</v>
      </c>
      <c r="E65" s="157" t="s">
        <v>61</v>
      </c>
      <c r="F65" s="158">
        <f>SUMIF('FPL-Projects'!$K$82:$K$96,E65,'FPL-Projects'!$F$82:$F$96)</f>
        <v>2198</v>
      </c>
    </row>
    <row r="66" spans="2:6" x14ac:dyDescent="0.2">
      <c r="E66" s="157" t="s">
        <v>267</v>
      </c>
      <c r="F66" s="158">
        <f>SUMIF('FPL-Projects'!$K$82:$K$96,E66,'FPL-Projects'!$F$82:$F$96)</f>
        <v>7376</v>
      </c>
    </row>
    <row r="67" spans="2:6" x14ac:dyDescent="0.2">
      <c r="E67" s="157" t="s">
        <v>28</v>
      </c>
      <c r="F67" s="158">
        <f>SUMIF('FPL-Projects'!$K$82:$K$96,E67,'FPL-Projects'!$F$82:$F$96)</f>
        <v>658</v>
      </c>
    </row>
    <row r="68" spans="2:6" x14ac:dyDescent="0.2">
      <c r="E68" s="157" t="s">
        <v>268</v>
      </c>
      <c r="F68" s="158">
        <f>SUMIF('FPL-Projects'!$K$82:$K$96,E68,'FPL-Projects'!$F$82:$F$96)</f>
        <v>254</v>
      </c>
    </row>
    <row r="69" spans="2:6" x14ac:dyDescent="0.2">
      <c r="E69" s="157" t="s">
        <v>110</v>
      </c>
      <c r="F69" s="164">
        <f>SUMIF('FPL-Projects'!$K$82:$K$96,E69,'FPL-Projects'!$F$82:$F$96)</f>
        <v>2939</v>
      </c>
    </row>
    <row r="70" spans="2:6" ht="13.5" thickBot="1" x14ac:dyDescent="0.25">
      <c r="E70" s="161" t="s">
        <v>92</v>
      </c>
      <c r="F70" s="163">
        <f>SUM(F63:F69)</f>
        <v>16444</v>
      </c>
    </row>
  </sheetData>
  <pageMargins left="0.75" right="0.75" top="1" bottom="1" header="0.5" footer="0.5"/>
  <pageSetup paperSize="5" scale="78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11" width="15.7109375" customWidth="1"/>
    <col min="13" max="13" width="8.7109375" bestFit="1" customWidth="1"/>
    <col min="14" max="14" width="14.28515625" bestFit="1" customWidth="1"/>
    <col min="15" max="15" width="20.85546875" bestFit="1" customWidth="1"/>
  </cols>
  <sheetData>
    <row r="1" spans="1:21" ht="13.5" thickBot="1" x14ac:dyDescent="0.25">
      <c r="A1" s="9"/>
      <c r="B1" s="9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3.5" thickBot="1" x14ac:dyDescent="0.25">
      <c r="A2" s="9"/>
      <c r="B2" s="9"/>
      <c r="L2" s="36" t="s">
        <v>33</v>
      </c>
      <c r="M2" s="40" t="s">
        <v>26</v>
      </c>
      <c r="N2" s="42" t="s">
        <v>25</v>
      </c>
      <c r="O2" s="36" t="s">
        <v>55</v>
      </c>
      <c r="P2" s="31"/>
      <c r="Q2" s="31"/>
      <c r="R2" s="31"/>
      <c r="S2" s="31"/>
      <c r="T2" s="31"/>
      <c r="U2" s="31"/>
    </row>
    <row r="3" spans="1:21" x14ac:dyDescent="0.2">
      <c r="A3" s="9"/>
      <c r="B3" s="9"/>
      <c r="L3" s="47"/>
      <c r="M3" s="48"/>
      <c r="N3" s="50"/>
      <c r="O3" s="47"/>
      <c r="P3" s="31"/>
      <c r="Q3" s="31"/>
      <c r="R3" s="31"/>
      <c r="S3" s="31"/>
      <c r="T3" s="31"/>
      <c r="U3" s="31"/>
    </row>
    <row r="4" spans="1:21" x14ac:dyDescent="0.2">
      <c r="A4" s="9"/>
      <c r="B4" s="9"/>
      <c r="L4" s="97">
        <v>112.5</v>
      </c>
      <c r="M4" s="64" t="s">
        <v>164</v>
      </c>
      <c r="N4" s="59" t="s">
        <v>58</v>
      </c>
      <c r="O4" s="52" t="s">
        <v>161</v>
      </c>
      <c r="P4" s="65"/>
      <c r="Q4" s="65"/>
      <c r="R4" s="65"/>
      <c r="S4" s="65"/>
      <c r="T4" s="65"/>
      <c r="U4" s="65"/>
    </row>
    <row r="5" spans="1:21" x14ac:dyDescent="0.2">
      <c r="A5" s="9"/>
      <c r="B5" s="9"/>
      <c r="I5" s="9"/>
      <c r="J5" s="9"/>
      <c r="L5" s="97">
        <v>88.2</v>
      </c>
      <c r="M5" s="64" t="s">
        <v>165</v>
      </c>
      <c r="N5" s="59" t="s">
        <v>31</v>
      </c>
      <c r="O5" s="52" t="s">
        <v>149</v>
      </c>
      <c r="P5" s="65"/>
      <c r="Q5" s="65"/>
      <c r="R5" s="71"/>
      <c r="S5" s="65"/>
      <c r="T5" s="65"/>
      <c r="U5" s="65"/>
    </row>
    <row r="6" spans="1:21" x14ac:dyDescent="0.2">
      <c r="A6" s="9"/>
      <c r="B6" s="9"/>
      <c r="L6" s="97">
        <v>2.67</v>
      </c>
      <c r="M6" s="64" t="s">
        <v>166</v>
      </c>
      <c r="N6" s="59" t="s">
        <v>64</v>
      </c>
      <c r="O6" s="52" t="s">
        <v>64</v>
      </c>
      <c r="P6" s="65"/>
      <c r="Q6" s="65"/>
      <c r="R6" s="71"/>
      <c r="S6" s="65"/>
      <c r="T6" s="65"/>
      <c r="U6" s="65"/>
    </row>
    <row r="7" spans="1:21" x14ac:dyDescent="0.2">
      <c r="A7" s="9"/>
      <c r="B7" s="9"/>
      <c r="L7" s="97">
        <v>13.5</v>
      </c>
      <c r="M7" s="64" t="s">
        <v>166</v>
      </c>
      <c r="N7" s="109" t="s">
        <v>154</v>
      </c>
      <c r="O7" s="52"/>
      <c r="P7" s="65"/>
      <c r="Q7" s="65"/>
      <c r="R7" s="71"/>
      <c r="S7" s="65"/>
      <c r="T7" s="65"/>
      <c r="U7" s="65"/>
    </row>
    <row r="8" spans="1:21" x14ac:dyDescent="0.2">
      <c r="A8" s="9"/>
      <c r="B8" s="9"/>
      <c r="L8" s="97">
        <v>10.4</v>
      </c>
      <c r="M8" s="64" t="s">
        <v>166</v>
      </c>
      <c r="N8" s="109" t="s">
        <v>154</v>
      </c>
      <c r="O8" s="47"/>
      <c r="P8" s="65"/>
      <c r="Q8" s="65"/>
      <c r="R8" s="71"/>
      <c r="S8" s="65"/>
      <c r="T8" s="65"/>
      <c r="U8" s="65"/>
    </row>
    <row r="9" spans="1:21" x14ac:dyDescent="0.2">
      <c r="A9" s="9"/>
      <c r="B9" s="9"/>
      <c r="I9" s="9"/>
      <c r="J9" s="9"/>
      <c r="L9" s="97">
        <v>10.4</v>
      </c>
      <c r="M9" s="64" t="s">
        <v>166</v>
      </c>
      <c r="N9" s="109" t="s">
        <v>154</v>
      </c>
      <c r="O9" s="47"/>
      <c r="P9" s="65"/>
      <c r="Q9" s="65"/>
      <c r="R9" s="71"/>
      <c r="S9" s="65"/>
      <c r="T9" s="65"/>
      <c r="U9" s="65"/>
    </row>
    <row r="10" spans="1:21" x14ac:dyDescent="0.2">
      <c r="A10" s="9"/>
      <c r="B10" s="9"/>
      <c r="L10" s="97">
        <v>10.4</v>
      </c>
      <c r="M10" s="64" t="s">
        <v>166</v>
      </c>
      <c r="N10" s="109" t="s">
        <v>154</v>
      </c>
      <c r="O10" s="47"/>
      <c r="P10" s="65"/>
      <c r="Q10" s="65"/>
      <c r="R10" s="71"/>
      <c r="S10" s="65"/>
      <c r="T10" s="65"/>
      <c r="U10" s="65"/>
    </row>
    <row r="11" spans="1:21" x14ac:dyDescent="0.2">
      <c r="A11" s="9"/>
      <c r="B11" s="9"/>
      <c r="C11" s="9"/>
      <c r="D11" s="9"/>
      <c r="L11" s="97">
        <v>10.4</v>
      </c>
      <c r="M11" s="64" t="s">
        <v>166</v>
      </c>
      <c r="N11" s="109" t="s">
        <v>154</v>
      </c>
      <c r="O11" s="47"/>
      <c r="P11" s="65"/>
      <c r="Q11" s="65"/>
      <c r="R11" s="71"/>
      <c r="S11" s="65"/>
      <c r="T11" s="65"/>
      <c r="U11" s="65"/>
    </row>
    <row r="12" spans="1:21" x14ac:dyDescent="0.2">
      <c r="L12" s="97">
        <v>10.4</v>
      </c>
      <c r="M12" s="64" t="s">
        <v>166</v>
      </c>
      <c r="N12" s="109" t="s">
        <v>154</v>
      </c>
      <c r="O12" s="47"/>
      <c r="P12" s="65"/>
      <c r="Q12" s="65"/>
      <c r="R12" s="71"/>
      <c r="S12" s="65"/>
      <c r="T12" s="65"/>
      <c r="U12" s="65"/>
    </row>
    <row r="13" spans="1:21" x14ac:dyDescent="0.2">
      <c r="L13" s="97">
        <v>7.2450000000000001</v>
      </c>
      <c r="M13" s="64" t="s">
        <v>166</v>
      </c>
      <c r="N13" s="59" t="s">
        <v>63</v>
      </c>
      <c r="O13" s="52"/>
      <c r="P13" s="65"/>
      <c r="Q13" s="65"/>
      <c r="R13" s="71"/>
      <c r="S13" s="65"/>
      <c r="T13" s="65"/>
      <c r="U13" s="65"/>
    </row>
    <row r="14" spans="1:21" x14ac:dyDescent="0.2">
      <c r="L14" s="97">
        <v>6.4</v>
      </c>
      <c r="M14" s="64" t="s">
        <v>167</v>
      </c>
      <c r="N14" s="109" t="s">
        <v>63</v>
      </c>
      <c r="O14" s="60"/>
      <c r="P14" s="65"/>
      <c r="Q14" s="65"/>
      <c r="R14" s="71"/>
      <c r="S14" s="65"/>
      <c r="T14" s="65"/>
      <c r="U14" s="65"/>
    </row>
    <row r="15" spans="1:21" x14ac:dyDescent="0.2">
      <c r="L15" s="97">
        <v>7.5</v>
      </c>
      <c r="M15" s="64" t="s">
        <v>164</v>
      </c>
      <c r="N15" s="109" t="s">
        <v>30</v>
      </c>
      <c r="O15" s="52"/>
      <c r="P15" s="65"/>
      <c r="Q15" s="65"/>
      <c r="R15" s="71"/>
      <c r="S15" s="65"/>
      <c r="T15" s="65"/>
      <c r="U15" s="65"/>
    </row>
    <row r="16" spans="1:21" x14ac:dyDescent="0.2">
      <c r="L16" s="97">
        <v>2.34</v>
      </c>
      <c r="M16" s="64" t="s">
        <v>164</v>
      </c>
      <c r="N16" s="59" t="s">
        <v>30</v>
      </c>
      <c r="O16" s="52"/>
      <c r="P16" s="65"/>
      <c r="Q16" s="65"/>
      <c r="R16" s="71"/>
      <c r="S16" s="65"/>
      <c r="T16" s="65"/>
      <c r="U16" s="65"/>
    </row>
    <row r="17" spans="1:21" x14ac:dyDescent="0.2">
      <c r="L17" s="97">
        <v>500</v>
      </c>
      <c r="M17" s="64" t="s">
        <v>152</v>
      </c>
      <c r="N17" s="59" t="s">
        <v>58</v>
      </c>
      <c r="O17" s="52" t="s">
        <v>149</v>
      </c>
      <c r="P17" s="31"/>
      <c r="Q17" s="65"/>
      <c r="R17" s="71"/>
      <c r="S17" s="65"/>
      <c r="T17" s="65"/>
      <c r="U17" s="65"/>
    </row>
    <row r="18" spans="1:21" x14ac:dyDescent="0.2">
      <c r="L18" s="97">
        <v>500</v>
      </c>
      <c r="M18" s="64" t="s">
        <v>152</v>
      </c>
      <c r="N18" s="59" t="s">
        <v>58</v>
      </c>
      <c r="O18" s="52" t="s">
        <v>149</v>
      </c>
      <c r="P18" s="65"/>
      <c r="Q18" s="65"/>
      <c r="R18" s="65"/>
      <c r="S18" s="66"/>
      <c r="T18" s="65"/>
      <c r="U18" s="65"/>
    </row>
    <row r="19" spans="1:21" x14ac:dyDescent="0.2">
      <c r="L19" s="97">
        <v>500</v>
      </c>
      <c r="M19" s="64" t="s">
        <v>164</v>
      </c>
      <c r="N19" s="59" t="s">
        <v>144</v>
      </c>
      <c r="O19" s="53" t="s">
        <v>149</v>
      </c>
      <c r="P19" s="65"/>
      <c r="Q19" s="65"/>
      <c r="R19" s="65"/>
      <c r="S19" s="66"/>
      <c r="T19" s="65"/>
      <c r="U19" s="65"/>
    </row>
    <row r="20" spans="1:21" x14ac:dyDescent="0.2">
      <c r="F20" s="131" t="s">
        <v>173</v>
      </c>
      <c r="L20" s="97">
        <v>186</v>
      </c>
      <c r="M20" s="64" t="s">
        <v>164</v>
      </c>
      <c r="N20" s="109" t="s">
        <v>58</v>
      </c>
      <c r="O20" s="53" t="s">
        <v>145</v>
      </c>
      <c r="P20" s="65"/>
      <c r="Q20" s="65"/>
      <c r="R20" s="65"/>
      <c r="S20" s="66"/>
      <c r="T20" s="65"/>
      <c r="U20" s="65"/>
    </row>
    <row r="21" spans="1:21" x14ac:dyDescent="0.2">
      <c r="L21" s="97">
        <v>164</v>
      </c>
      <c r="M21" s="64" t="s">
        <v>164</v>
      </c>
      <c r="N21" s="59" t="s">
        <v>58</v>
      </c>
      <c r="O21" s="53" t="s">
        <v>145</v>
      </c>
      <c r="P21" s="65"/>
      <c r="Q21" s="65"/>
      <c r="R21" s="65"/>
      <c r="S21" s="66"/>
      <c r="T21" s="65"/>
      <c r="U21" s="65"/>
    </row>
    <row r="22" spans="1:21" ht="13.5" thickBot="1" x14ac:dyDescent="0.25">
      <c r="L22" s="97">
        <v>163.89340220709087</v>
      </c>
      <c r="M22" s="64" t="s">
        <v>164</v>
      </c>
      <c r="N22" s="109" t="s">
        <v>110</v>
      </c>
      <c r="O22" s="53" t="s">
        <v>110</v>
      </c>
      <c r="P22" s="65"/>
      <c r="Q22" s="65"/>
      <c r="R22" s="65"/>
      <c r="S22" s="66"/>
      <c r="T22" s="65"/>
      <c r="U22" s="65"/>
    </row>
    <row r="23" spans="1:21" ht="13.5" thickBot="1" x14ac:dyDescent="0.25">
      <c r="B23" s="173" t="s">
        <v>171</v>
      </c>
      <c r="C23" s="174"/>
      <c r="G23" s="175" t="s">
        <v>172</v>
      </c>
      <c r="H23" s="176"/>
      <c r="L23" s="97">
        <v>163.89340220709087</v>
      </c>
      <c r="M23" s="64" t="s">
        <v>164</v>
      </c>
      <c r="N23" s="109" t="s">
        <v>110</v>
      </c>
      <c r="O23" s="53" t="s">
        <v>110</v>
      </c>
      <c r="P23" s="65"/>
      <c r="Q23" s="31"/>
      <c r="R23" s="31"/>
      <c r="S23" s="31"/>
      <c r="T23" s="65"/>
      <c r="U23" s="65"/>
    </row>
    <row r="24" spans="1:21" x14ac:dyDescent="0.2">
      <c r="A24" s="9"/>
      <c r="B24" s="133" t="s">
        <v>164</v>
      </c>
      <c r="C24" s="134">
        <f>SUMIF($M$4:$M$27,B24,$L$4:$L$27)</f>
        <v>1516.0282672970895</v>
      </c>
      <c r="G24" s="133" t="s">
        <v>29</v>
      </c>
      <c r="H24" s="134">
        <v>35</v>
      </c>
      <c r="L24" s="97">
        <v>82.187573546716877</v>
      </c>
      <c r="M24" s="64" t="s">
        <v>164</v>
      </c>
      <c r="N24" s="109" t="s">
        <v>110</v>
      </c>
      <c r="O24" s="53" t="s">
        <v>110</v>
      </c>
      <c r="P24" s="31"/>
      <c r="Q24" s="31"/>
      <c r="R24" s="31"/>
      <c r="S24" s="31"/>
      <c r="T24" s="65"/>
      <c r="U24" s="65"/>
    </row>
    <row r="25" spans="1:21" x14ac:dyDescent="0.2">
      <c r="A25" s="9"/>
      <c r="B25" s="33" t="s">
        <v>152</v>
      </c>
      <c r="C25" s="132">
        <f>SUMIF($M$4:$M$27,B25,$L$4:$L$27)</f>
        <v>1000</v>
      </c>
      <c r="G25" s="33" t="s">
        <v>153</v>
      </c>
      <c r="H25" s="132">
        <v>36</v>
      </c>
      <c r="L25" s="97">
        <v>82.187573546716877</v>
      </c>
      <c r="M25" s="64" t="s">
        <v>164</v>
      </c>
      <c r="N25" s="109" t="s">
        <v>110</v>
      </c>
      <c r="O25" s="53" t="s">
        <v>110</v>
      </c>
      <c r="P25" s="65"/>
      <c r="Q25" s="31"/>
      <c r="R25" s="31"/>
      <c r="S25" s="31"/>
      <c r="T25" s="65"/>
      <c r="U25" s="65"/>
    </row>
    <row r="26" spans="1:21" ht="13.5" thickBot="1" x14ac:dyDescent="0.25">
      <c r="A26" s="9"/>
      <c r="B26" s="33" t="s">
        <v>168</v>
      </c>
      <c r="C26" s="132">
        <f>SUMIF($M$4:$M$27,B26,$L$4:$L$27)</f>
        <v>400</v>
      </c>
      <c r="G26" s="135" t="s">
        <v>56</v>
      </c>
      <c r="H26" s="136">
        <v>29</v>
      </c>
      <c r="L26" s="67">
        <v>51.526315789473692</v>
      </c>
      <c r="M26" s="64" t="s">
        <v>164</v>
      </c>
      <c r="N26" s="109" t="s">
        <v>110</v>
      </c>
      <c r="O26" s="53" t="s">
        <v>110</v>
      </c>
      <c r="P26" s="65"/>
      <c r="Q26" s="31"/>
      <c r="R26" s="31"/>
      <c r="S26" s="58"/>
      <c r="T26" s="65"/>
      <c r="U26" s="65"/>
    </row>
    <row r="27" spans="1:21" x14ac:dyDescent="0.2">
      <c r="A27" s="9"/>
      <c r="B27" s="33" t="s">
        <v>166</v>
      </c>
      <c r="C27" s="132">
        <f>SUMIF($M$4:$M$27,B27,$L$4:$L$27)</f>
        <v>75.415000000000006</v>
      </c>
      <c r="L27" s="97">
        <v>400</v>
      </c>
      <c r="M27" s="64" t="s">
        <v>168</v>
      </c>
      <c r="N27" s="59" t="s">
        <v>147</v>
      </c>
      <c r="O27" s="53" t="s">
        <v>145</v>
      </c>
      <c r="P27" s="65"/>
      <c r="Q27" s="65"/>
      <c r="R27" s="65"/>
      <c r="S27" s="66"/>
      <c r="T27" s="65"/>
      <c r="U27" s="65"/>
    </row>
    <row r="28" spans="1:21" ht="13.5" thickBot="1" x14ac:dyDescent="0.25">
      <c r="B28" s="135" t="s">
        <v>151</v>
      </c>
      <c r="C28" s="136">
        <v>94.6</v>
      </c>
      <c r="L28" s="98"/>
      <c r="M28" s="111"/>
      <c r="N28" s="59"/>
      <c r="O28" s="52"/>
      <c r="P28" s="65"/>
      <c r="Q28" s="65"/>
      <c r="R28" s="71"/>
      <c r="S28" s="65"/>
      <c r="T28" s="65"/>
      <c r="U28" s="65"/>
    </row>
    <row r="29" spans="1:21" ht="13.5" thickBot="1" x14ac:dyDescent="0.25">
      <c r="L29" s="88">
        <f>SUM(L4:L27)</f>
        <v>3086.0432672970892</v>
      </c>
      <c r="M29" s="110"/>
      <c r="N29" s="86"/>
      <c r="O29" s="87"/>
      <c r="P29" s="65"/>
      <c r="Q29" s="65"/>
      <c r="R29" s="65"/>
      <c r="S29" s="66"/>
      <c r="T29" s="65"/>
      <c r="U29" s="65"/>
    </row>
    <row r="30" spans="1:21" x14ac:dyDescent="0.2">
      <c r="L30" s="31"/>
      <c r="M30" s="31"/>
      <c r="N30" s="31"/>
      <c r="O30" s="31"/>
      <c r="P30" s="65"/>
      <c r="Q30" s="65"/>
      <c r="R30" s="65"/>
      <c r="S30" s="66"/>
      <c r="T30" s="65"/>
      <c r="U30" s="65"/>
    </row>
    <row r="31" spans="1:21" x14ac:dyDescent="0.2">
      <c r="P31" s="65"/>
      <c r="Q31" s="31"/>
      <c r="R31" s="65"/>
      <c r="S31" s="66"/>
      <c r="T31" s="65"/>
      <c r="U31" s="65"/>
    </row>
    <row r="32" spans="1:21" x14ac:dyDescent="0.2">
      <c r="P32" s="65"/>
      <c r="Q32" s="65"/>
      <c r="R32" s="31"/>
      <c r="S32" s="31"/>
      <c r="T32" s="65"/>
      <c r="U32" s="65"/>
    </row>
    <row r="33" spans="12:21" x14ac:dyDescent="0.2">
      <c r="P33" s="65"/>
      <c r="Q33" s="65"/>
      <c r="R33" s="31"/>
      <c r="S33" s="31"/>
      <c r="T33" s="65"/>
      <c r="U33" s="65"/>
    </row>
    <row r="34" spans="12:21" x14ac:dyDescent="0.2">
      <c r="L34" s="24"/>
      <c r="P34" s="65"/>
      <c r="Q34" s="65"/>
      <c r="R34" s="31"/>
      <c r="S34" s="31"/>
      <c r="T34" s="65"/>
      <c r="U34" s="65"/>
    </row>
    <row r="35" spans="12:21" x14ac:dyDescent="0.2">
      <c r="L35" s="115"/>
      <c r="M35" s="31"/>
      <c r="N35" s="31"/>
      <c r="O35" s="31"/>
      <c r="P35" s="65"/>
      <c r="Q35" s="65"/>
      <c r="R35" s="31"/>
      <c r="S35" s="31"/>
      <c r="T35" s="65"/>
      <c r="U35" s="65"/>
    </row>
    <row r="36" spans="12:21" x14ac:dyDescent="0.2">
      <c r="L36" s="31"/>
      <c r="M36" s="31"/>
      <c r="N36" s="31"/>
      <c r="O36" s="31"/>
      <c r="P36" s="65"/>
      <c r="Q36" s="65"/>
      <c r="R36" s="31"/>
      <c r="S36" s="31"/>
      <c r="T36" s="65"/>
      <c r="U36" s="65"/>
    </row>
    <row r="37" spans="12:21" x14ac:dyDescent="0.2">
      <c r="L37" s="31"/>
      <c r="M37" s="31"/>
      <c r="N37" s="31"/>
      <c r="O37" s="31"/>
      <c r="P37" s="65"/>
      <c r="Q37" s="65"/>
      <c r="R37" s="31"/>
      <c r="S37" s="58"/>
      <c r="T37" s="65"/>
      <c r="U37" s="65"/>
    </row>
    <row r="38" spans="12:21" x14ac:dyDescent="0.2">
      <c r="L38" s="31"/>
      <c r="M38" s="31"/>
      <c r="N38" s="31"/>
      <c r="O38" s="31"/>
      <c r="P38" s="65"/>
      <c r="Q38" s="65"/>
      <c r="R38" s="31"/>
      <c r="S38" s="58"/>
      <c r="T38" s="65"/>
      <c r="U38" s="65"/>
    </row>
    <row r="39" spans="12:21" x14ac:dyDescent="0.2">
      <c r="P39" s="65"/>
      <c r="Q39" s="65"/>
      <c r="R39" s="31"/>
      <c r="S39" s="58"/>
      <c r="T39" s="65"/>
      <c r="U39" s="65"/>
    </row>
    <row r="40" spans="12:21" x14ac:dyDescent="0.2">
      <c r="P40" s="65"/>
      <c r="Q40" s="65"/>
      <c r="R40" s="71"/>
      <c r="S40" s="65"/>
      <c r="T40" s="65"/>
      <c r="U40" s="65"/>
    </row>
    <row r="41" spans="12:21" x14ac:dyDescent="0.2">
      <c r="P41" s="65"/>
      <c r="Q41" s="65"/>
      <c r="R41" s="65"/>
      <c r="S41" s="66"/>
      <c r="T41" s="65"/>
      <c r="U41" s="65"/>
    </row>
    <row r="42" spans="12:21" x14ac:dyDescent="0.2">
      <c r="P42" s="65"/>
      <c r="Q42" s="65"/>
      <c r="R42" s="65"/>
      <c r="S42" s="66"/>
      <c r="T42" s="65"/>
      <c r="U42" s="65"/>
    </row>
    <row r="43" spans="12:21" x14ac:dyDescent="0.2">
      <c r="P43" s="65"/>
      <c r="Q43" s="65"/>
      <c r="R43" s="65"/>
      <c r="S43" s="66"/>
      <c r="T43" s="65"/>
      <c r="U43" s="65"/>
    </row>
    <row r="44" spans="12:21" x14ac:dyDescent="0.2">
      <c r="P44" s="65"/>
      <c r="Q44" s="65"/>
      <c r="R44" s="65"/>
      <c r="S44" s="66"/>
      <c r="T44" s="65"/>
      <c r="U44" s="65"/>
    </row>
    <row r="45" spans="12:21" x14ac:dyDescent="0.2">
      <c r="P45" s="65"/>
      <c r="Q45" s="65"/>
      <c r="R45" s="31"/>
      <c r="S45" s="31"/>
      <c r="T45" s="31"/>
      <c r="U45" s="31"/>
    </row>
    <row r="46" spans="12:21" x14ac:dyDescent="0.2">
      <c r="P46" s="65"/>
      <c r="Q46" s="65"/>
      <c r="R46" s="65"/>
      <c r="S46" s="65"/>
      <c r="T46" s="65"/>
      <c r="U46" s="65"/>
    </row>
    <row r="47" spans="12:21" x14ac:dyDescent="0.2">
      <c r="P47" s="65"/>
      <c r="Q47" s="65"/>
      <c r="R47" s="65"/>
      <c r="S47" s="65"/>
      <c r="T47" s="65"/>
      <c r="U47" s="65"/>
    </row>
    <row r="48" spans="12:21" x14ac:dyDescent="0.2">
      <c r="P48" s="65"/>
      <c r="Q48" s="65"/>
      <c r="R48" s="65"/>
      <c r="S48" s="65"/>
      <c r="T48" s="65"/>
      <c r="U48" s="65"/>
    </row>
    <row r="49" spans="12:21" x14ac:dyDescent="0.2">
      <c r="P49" s="65"/>
      <c r="Q49" s="65"/>
      <c r="R49" s="65"/>
      <c r="S49" s="65"/>
      <c r="T49" s="65"/>
      <c r="U49" s="65"/>
    </row>
    <row r="50" spans="12:21" x14ac:dyDescent="0.2">
      <c r="P50" s="65"/>
      <c r="Q50" s="65"/>
      <c r="R50" s="65"/>
      <c r="S50" s="65"/>
      <c r="T50" s="65"/>
      <c r="U50" s="65"/>
    </row>
    <row r="51" spans="12:21" x14ac:dyDescent="0.2">
      <c r="P51" s="65"/>
      <c r="Q51" s="65"/>
      <c r="R51" s="65"/>
      <c r="S51" s="65"/>
      <c r="T51" s="65"/>
      <c r="U51" s="65"/>
    </row>
    <row r="52" spans="12:21" x14ac:dyDescent="0.2">
      <c r="L52" s="31"/>
      <c r="M52" s="31"/>
      <c r="N52" s="31"/>
      <c r="O52" s="31"/>
      <c r="P52" s="65"/>
      <c r="Q52" s="65"/>
      <c r="R52" s="65"/>
      <c r="S52" s="65"/>
      <c r="T52" s="65"/>
      <c r="U52" s="65"/>
    </row>
    <row r="53" spans="12:21" x14ac:dyDescent="0.2">
      <c r="L53" s="31"/>
      <c r="M53" s="31"/>
      <c r="N53" s="31"/>
      <c r="O53" s="31"/>
      <c r="P53" s="31"/>
      <c r="Q53" s="65"/>
      <c r="R53" s="65"/>
      <c r="S53" s="65"/>
      <c r="T53" s="65"/>
      <c r="U53" s="65"/>
    </row>
    <row r="54" spans="12:21" x14ac:dyDescent="0.2">
      <c r="L54" s="31"/>
      <c r="M54" s="31"/>
      <c r="N54" s="31"/>
      <c r="O54" s="31"/>
      <c r="P54" s="65"/>
      <c r="Q54" s="65"/>
      <c r="R54" s="65"/>
      <c r="S54" s="65"/>
      <c r="T54" s="65"/>
      <c r="U54" s="65"/>
    </row>
    <row r="55" spans="12:21" x14ac:dyDescent="0.2">
      <c r="L55" s="31"/>
      <c r="M55" s="31"/>
      <c r="N55" s="31"/>
      <c r="O55" s="31"/>
      <c r="P55" s="65"/>
      <c r="Q55" s="65"/>
      <c r="R55" s="65"/>
      <c r="S55" s="65"/>
      <c r="T55" s="65"/>
      <c r="U55" s="65"/>
    </row>
    <row r="56" spans="12:21" x14ac:dyDescent="0.2">
      <c r="P56" s="65"/>
      <c r="Q56" s="65"/>
      <c r="R56" s="65"/>
      <c r="S56" s="65"/>
      <c r="T56" s="65"/>
      <c r="U56" s="65"/>
    </row>
    <row r="57" spans="12:21" x14ac:dyDescent="0.2">
      <c r="P57" s="65"/>
      <c r="Q57" s="65"/>
      <c r="R57" s="65"/>
      <c r="S57" s="65"/>
      <c r="T57" s="65"/>
      <c r="U57" s="65"/>
    </row>
    <row r="58" spans="12:21" x14ac:dyDescent="0.2">
      <c r="P58" s="65"/>
      <c r="Q58" s="65"/>
      <c r="R58" s="65"/>
      <c r="S58" s="65"/>
      <c r="T58" s="65"/>
      <c r="U58" s="65"/>
    </row>
    <row r="59" spans="12:21" x14ac:dyDescent="0.2">
      <c r="P59" s="65"/>
      <c r="Q59" s="65"/>
      <c r="R59" s="65"/>
      <c r="S59" s="65"/>
      <c r="T59" s="65"/>
      <c r="U59" s="65"/>
    </row>
    <row r="60" spans="12:21" x14ac:dyDescent="0.2">
      <c r="P60" s="31"/>
      <c r="Q60" s="31"/>
      <c r="R60" s="65"/>
      <c r="S60" s="65"/>
      <c r="T60" s="65"/>
      <c r="U60" s="65"/>
    </row>
    <row r="61" spans="12:21" x14ac:dyDescent="0.2">
      <c r="P61" s="31"/>
      <c r="Q61" s="65"/>
      <c r="R61" s="65"/>
      <c r="S61" s="65"/>
      <c r="T61" s="65"/>
      <c r="U61" s="65"/>
    </row>
    <row r="62" spans="12:21" x14ac:dyDescent="0.2">
      <c r="P62" s="65"/>
      <c r="Q62" s="65"/>
      <c r="R62" s="65"/>
      <c r="S62" s="65"/>
      <c r="T62" s="65"/>
      <c r="U62" s="65"/>
    </row>
    <row r="63" spans="12:21" x14ac:dyDescent="0.2">
      <c r="Q63" s="65"/>
      <c r="R63" s="65"/>
      <c r="S63" s="65"/>
      <c r="T63" s="65"/>
      <c r="U63" s="65"/>
    </row>
    <row r="64" spans="12:21" x14ac:dyDescent="0.2">
      <c r="Q64" s="65"/>
      <c r="R64" s="65"/>
      <c r="S64" s="65"/>
      <c r="T64" s="65"/>
      <c r="U64" s="65"/>
    </row>
    <row r="65" spans="16:21" x14ac:dyDescent="0.2">
      <c r="Q65" s="65"/>
      <c r="R65" s="65"/>
      <c r="S65" s="65"/>
      <c r="T65" s="65"/>
      <c r="U65" s="65"/>
    </row>
    <row r="66" spans="16:21" x14ac:dyDescent="0.2">
      <c r="Q66" s="65"/>
      <c r="R66" s="65"/>
      <c r="S66" s="65"/>
      <c r="T66" s="65"/>
      <c r="U66" s="65"/>
    </row>
    <row r="67" spans="16:21" x14ac:dyDescent="0.2">
      <c r="Q67" s="31"/>
      <c r="R67" s="65"/>
      <c r="S67" s="65"/>
      <c r="T67" s="65"/>
      <c r="U67" s="65"/>
    </row>
    <row r="68" spans="16:21" x14ac:dyDescent="0.2">
      <c r="Q68" s="31"/>
      <c r="R68" s="65"/>
      <c r="S68" s="65"/>
      <c r="T68" s="65"/>
      <c r="U68" s="65"/>
    </row>
    <row r="69" spans="16:21" x14ac:dyDescent="0.2">
      <c r="Q69" s="65"/>
      <c r="R69" s="65"/>
      <c r="S69" s="65"/>
      <c r="T69" s="65"/>
      <c r="U69" s="65"/>
    </row>
    <row r="70" spans="16:21" x14ac:dyDescent="0.2">
      <c r="Q70" s="31"/>
      <c r="R70" s="65"/>
      <c r="S70" s="65"/>
      <c r="T70" s="65"/>
      <c r="U70" s="65"/>
    </row>
    <row r="71" spans="16:21" x14ac:dyDescent="0.2">
      <c r="Q71" s="65"/>
      <c r="R71" s="65"/>
      <c r="S71" s="65"/>
      <c r="T71" s="65"/>
      <c r="U71" s="65"/>
    </row>
    <row r="72" spans="16:21" x14ac:dyDescent="0.2">
      <c r="P72" s="31"/>
      <c r="Q72" s="65"/>
      <c r="R72" s="65"/>
      <c r="S72" s="65"/>
      <c r="T72" s="65"/>
      <c r="U72" s="65"/>
    </row>
    <row r="73" spans="16:21" x14ac:dyDescent="0.2">
      <c r="P73" s="31"/>
      <c r="Q73" s="65"/>
      <c r="R73" s="65"/>
      <c r="S73" s="66"/>
      <c r="T73" s="65"/>
      <c r="U73" s="65"/>
    </row>
    <row r="74" spans="16:21" x14ac:dyDescent="0.2">
      <c r="P74" s="31"/>
      <c r="Q74" s="65"/>
      <c r="R74" s="31"/>
      <c r="S74" s="31"/>
      <c r="T74" s="31"/>
      <c r="U74" s="65"/>
    </row>
    <row r="75" spans="16:21" x14ac:dyDescent="0.2">
      <c r="P75" s="31"/>
      <c r="Q75" s="65"/>
      <c r="R75" s="65"/>
      <c r="S75" s="65"/>
      <c r="T75" s="65"/>
      <c r="U75" s="65"/>
    </row>
    <row r="76" spans="16:21" x14ac:dyDescent="0.2">
      <c r="P76" s="31"/>
      <c r="Q76" s="65"/>
      <c r="R76" s="65"/>
      <c r="S76" s="65"/>
      <c r="T76" s="65"/>
      <c r="U76" s="65"/>
    </row>
    <row r="77" spans="16:21" x14ac:dyDescent="0.2">
      <c r="P77" s="31"/>
      <c r="Q77" s="65"/>
      <c r="R77" s="65"/>
      <c r="S77" s="65"/>
      <c r="T77" s="65"/>
      <c r="U77" s="65"/>
    </row>
    <row r="78" spans="16:21" x14ac:dyDescent="0.2">
      <c r="P78" s="31"/>
      <c r="Q78" s="65"/>
      <c r="R78" s="65"/>
      <c r="S78" s="65"/>
      <c r="T78" s="65"/>
      <c r="U78" s="65"/>
    </row>
    <row r="79" spans="16:21" x14ac:dyDescent="0.2">
      <c r="Q79" s="31"/>
      <c r="R79" s="65"/>
      <c r="S79" s="65"/>
      <c r="T79" s="65"/>
      <c r="U79" s="31"/>
    </row>
    <row r="80" spans="16:21" x14ac:dyDescent="0.2">
      <c r="Q80" s="31"/>
      <c r="R80" s="65"/>
      <c r="S80" s="65"/>
      <c r="T80" s="65"/>
      <c r="U80" s="31"/>
    </row>
    <row r="81" spans="16:21" x14ac:dyDescent="0.2">
      <c r="Q81" s="31"/>
      <c r="R81" s="31"/>
      <c r="S81" s="31"/>
      <c r="T81" s="31"/>
      <c r="U81" s="31"/>
    </row>
    <row r="82" spans="16:21" x14ac:dyDescent="0.2">
      <c r="Q82" s="31"/>
      <c r="R82" s="31"/>
      <c r="S82" s="31"/>
      <c r="T82" s="31"/>
      <c r="U82" s="31"/>
    </row>
    <row r="83" spans="16:21" x14ac:dyDescent="0.2">
      <c r="Q83" s="31"/>
      <c r="R83" s="65"/>
      <c r="S83" s="66"/>
      <c r="T83" s="65"/>
      <c r="U83" s="65"/>
    </row>
    <row r="84" spans="16:21" x14ac:dyDescent="0.2">
      <c r="Q84" s="31"/>
      <c r="R84" s="31"/>
      <c r="S84" s="31"/>
      <c r="T84" s="31"/>
      <c r="U84" s="65"/>
    </row>
    <row r="85" spans="16:21" x14ac:dyDescent="0.2">
      <c r="Q85" s="31"/>
      <c r="R85" s="65"/>
      <c r="S85" s="65"/>
      <c r="T85" s="65"/>
      <c r="U85" s="65"/>
    </row>
    <row r="86" spans="16:21" x14ac:dyDescent="0.2">
      <c r="P86" s="31"/>
      <c r="Q86" s="31"/>
      <c r="R86" s="65"/>
      <c r="S86" s="65"/>
      <c r="T86" s="65"/>
      <c r="U86" s="65"/>
    </row>
    <row r="87" spans="16:21" x14ac:dyDescent="0.2">
      <c r="P87" s="31"/>
      <c r="Q87" s="31"/>
      <c r="R87" s="65"/>
      <c r="S87" s="65"/>
      <c r="T87" s="65"/>
      <c r="U87" s="65"/>
    </row>
    <row r="88" spans="16:21" x14ac:dyDescent="0.2">
      <c r="P88" s="31"/>
      <c r="Q88" s="31"/>
      <c r="R88" s="65"/>
      <c r="S88" s="65"/>
      <c r="T88" s="65"/>
      <c r="U88" s="65"/>
    </row>
    <row r="89" spans="16:21" x14ac:dyDescent="0.2">
      <c r="P89" s="31"/>
      <c r="Q89" s="31"/>
      <c r="R89" s="65"/>
      <c r="S89" s="65"/>
      <c r="T89" s="65"/>
      <c r="U89" s="65"/>
    </row>
    <row r="90" spans="16:21" x14ac:dyDescent="0.2">
      <c r="P90" s="31"/>
      <c r="Q90" s="31"/>
      <c r="R90" s="65"/>
      <c r="S90" s="65"/>
      <c r="T90" s="65"/>
      <c r="U90" s="65"/>
    </row>
    <row r="91" spans="16:21" x14ac:dyDescent="0.2">
      <c r="R91" s="65"/>
      <c r="S91" s="65"/>
      <c r="T91" s="65"/>
      <c r="U91" s="31"/>
    </row>
    <row r="92" spans="16:21" x14ac:dyDescent="0.2">
      <c r="R92" s="65"/>
      <c r="S92" s="65"/>
      <c r="T92" s="65"/>
      <c r="U92" s="31"/>
    </row>
    <row r="93" spans="16:21" x14ac:dyDescent="0.2">
      <c r="R93" s="31"/>
      <c r="S93" s="31"/>
      <c r="T93" s="31"/>
      <c r="U93" s="31"/>
    </row>
    <row r="94" spans="16:21" x14ac:dyDescent="0.2">
      <c r="R94" s="31"/>
      <c r="S94" s="31"/>
      <c r="T94" s="31"/>
      <c r="U94" s="31"/>
    </row>
    <row r="95" spans="16:21" x14ac:dyDescent="0.2">
      <c r="R95" s="31"/>
      <c r="S95" s="31"/>
      <c r="T95" s="31"/>
      <c r="U95" s="31"/>
    </row>
    <row r="96" spans="16:21" x14ac:dyDescent="0.2">
      <c r="R96" s="31"/>
      <c r="S96" s="31"/>
      <c r="T96" s="31"/>
      <c r="U96" s="31"/>
    </row>
    <row r="97" spans="16:21" x14ac:dyDescent="0.2">
      <c r="R97" s="31"/>
      <c r="S97" s="31"/>
      <c r="T97" s="31"/>
      <c r="U97" s="31"/>
    </row>
    <row r="98" spans="16:21" x14ac:dyDescent="0.2">
      <c r="R98" s="31"/>
      <c r="S98" s="31"/>
      <c r="T98" s="31"/>
      <c r="U98" s="31"/>
    </row>
    <row r="99" spans="16:21" x14ac:dyDescent="0.2">
      <c r="R99" s="31"/>
      <c r="S99" s="31"/>
      <c r="T99" s="31"/>
      <c r="U99" s="31"/>
    </row>
    <row r="100" spans="16:21" x14ac:dyDescent="0.2">
      <c r="R100" s="31"/>
      <c r="S100" s="31"/>
      <c r="T100" s="31"/>
      <c r="U100" s="31"/>
    </row>
    <row r="101" spans="16:21" x14ac:dyDescent="0.2">
      <c r="R101" s="31"/>
      <c r="S101" s="31"/>
      <c r="T101" s="31"/>
      <c r="U101" s="31"/>
    </row>
    <row r="102" spans="16:21" x14ac:dyDescent="0.2">
      <c r="R102" s="31"/>
      <c r="S102" s="31"/>
      <c r="T102" s="31"/>
      <c r="U102" s="31"/>
    </row>
    <row r="103" spans="16:21" x14ac:dyDescent="0.2">
      <c r="R103" s="31"/>
      <c r="S103" s="31"/>
      <c r="T103" s="31"/>
      <c r="U103" s="31"/>
    </row>
    <row r="104" spans="16:21" x14ac:dyDescent="0.2">
      <c r="R104" s="31"/>
      <c r="S104" s="31"/>
      <c r="T104" s="31"/>
      <c r="U104" s="31"/>
    </row>
    <row r="105" spans="16:21" x14ac:dyDescent="0.2">
      <c r="P105" s="31"/>
      <c r="Q105" s="31"/>
      <c r="R105" s="31"/>
      <c r="S105" s="31"/>
      <c r="T105" s="31"/>
      <c r="U105" s="31"/>
    </row>
    <row r="106" spans="16:21" x14ac:dyDescent="0.2">
      <c r="P106" s="31"/>
      <c r="Q106" s="31"/>
      <c r="R106" s="31"/>
      <c r="S106" s="31"/>
      <c r="T106" s="31"/>
      <c r="U106" s="31"/>
    </row>
    <row r="107" spans="16:21" x14ac:dyDescent="0.2">
      <c r="P107" s="31"/>
      <c r="Q107" s="31"/>
      <c r="R107" s="31"/>
      <c r="S107" s="31"/>
      <c r="T107" s="31"/>
      <c r="U107" s="31"/>
    </row>
    <row r="108" spans="16:21" x14ac:dyDescent="0.2">
      <c r="P108" s="31"/>
      <c r="Q108" s="31"/>
      <c r="R108" s="31"/>
      <c r="S108" s="31"/>
      <c r="T108" s="31"/>
      <c r="U108" s="31"/>
    </row>
    <row r="109" spans="16:21" x14ac:dyDescent="0.2">
      <c r="P109" s="31"/>
      <c r="Q109" s="31"/>
      <c r="R109" s="31"/>
      <c r="S109" s="31"/>
      <c r="T109" s="31"/>
      <c r="U109" s="31"/>
    </row>
    <row r="110" spans="16:21" x14ac:dyDescent="0.2">
      <c r="P110" s="31"/>
      <c r="Q110" s="31"/>
      <c r="R110" s="31"/>
      <c r="S110" s="31"/>
      <c r="T110" s="31"/>
      <c r="U110" s="31"/>
    </row>
    <row r="111" spans="16:21" x14ac:dyDescent="0.2">
      <c r="P111" s="31"/>
      <c r="Q111" s="31"/>
      <c r="R111" s="31"/>
      <c r="S111" s="31"/>
      <c r="T111" s="31"/>
      <c r="U111" s="31"/>
    </row>
    <row r="112" spans="16:21" x14ac:dyDescent="0.2">
      <c r="P112" s="31"/>
      <c r="Q112" s="31"/>
      <c r="R112" s="31"/>
      <c r="S112" s="31"/>
      <c r="T112" s="31"/>
      <c r="U112" s="31"/>
    </row>
    <row r="113" spans="12:21" x14ac:dyDescent="0.2">
      <c r="P113" s="31"/>
      <c r="Q113" s="31"/>
      <c r="R113" s="31"/>
      <c r="S113" s="31"/>
      <c r="T113" s="31"/>
      <c r="U113" s="31"/>
    </row>
    <row r="114" spans="12:21" x14ac:dyDescent="0.2">
      <c r="P114" s="31"/>
      <c r="Q114" s="31"/>
      <c r="R114" s="31"/>
      <c r="S114" s="31"/>
      <c r="T114" s="31"/>
      <c r="U114" s="31"/>
    </row>
    <row r="115" spans="12:21" x14ac:dyDescent="0.2">
      <c r="P115" s="31"/>
      <c r="Q115" s="31"/>
      <c r="R115" s="31"/>
      <c r="S115" s="31"/>
      <c r="T115" s="31"/>
      <c r="U115" s="31"/>
    </row>
    <row r="116" spans="12:21" x14ac:dyDescent="0.2">
      <c r="P116" s="31"/>
      <c r="Q116" s="31"/>
      <c r="R116" s="31"/>
      <c r="S116" s="31"/>
      <c r="T116" s="31"/>
      <c r="U116" s="31"/>
    </row>
    <row r="117" spans="12:21" x14ac:dyDescent="0.2"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12:21" x14ac:dyDescent="0.2"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2:21" x14ac:dyDescent="0.2"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</sheetData>
  <mergeCells count="2">
    <mergeCell ref="B23:C23"/>
    <mergeCell ref="G23:H23"/>
  </mergeCells>
  <pageMargins left="0.75" right="0.75" top="1" bottom="1" header="0.5" footer="0.5"/>
  <pageSetup paperSize="5" scale="115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7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6" width="17.42578125" bestFit="1" customWidth="1"/>
    <col min="7" max="7" width="18.5703125" bestFit="1" customWidth="1"/>
    <col min="8" max="8" width="16.5703125" customWidth="1"/>
    <col min="9" max="14" width="15.7109375" customWidth="1"/>
  </cols>
  <sheetData>
    <row r="21" spans="1:8" x14ac:dyDescent="0.2">
      <c r="A21" s="144" t="s">
        <v>175</v>
      </c>
      <c r="F21" s="144" t="s">
        <v>175</v>
      </c>
    </row>
    <row r="22" spans="1:8" x14ac:dyDescent="0.2">
      <c r="A22" s="144" t="s">
        <v>176</v>
      </c>
      <c r="F22" s="144" t="s">
        <v>176</v>
      </c>
    </row>
    <row r="23" spans="1:8" ht="13.5" thickBot="1" x14ac:dyDescent="0.25"/>
    <row r="24" spans="1:8" ht="13.5" thickBot="1" x14ac:dyDescent="0.25">
      <c r="B24" s="177" t="s">
        <v>169</v>
      </c>
      <c r="C24" s="178"/>
      <c r="G24" s="177" t="s">
        <v>170</v>
      </c>
      <c r="H24" s="178"/>
    </row>
    <row r="25" spans="1:8" x14ac:dyDescent="0.2">
      <c r="B25" s="133" t="s">
        <v>58</v>
      </c>
      <c r="C25" s="134">
        <f t="shared" ref="C25:C30" si="0">SUMIF($A$36:$A$70,B25,$C$36:$C$70)</f>
        <v>7389.02</v>
      </c>
      <c r="D25" s="24"/>
      <c r="G25" s="133" t="s">
        <v>148</v>
      </c>
      <c r="H25" s="134">
        <f t="shared" ref="H25:H30" si="1">SUMIF($F$36:$F$70,G25,$H$36:$H$70)</f>
        <v>5765.24</v>
      </c>
    </row>
    <row r="26" spans="1:8" x14ac:dyDescent="0.2">
      <c r="B26" s="33" t="s">
        <v>110</v>
      </c>
      <c r="C26" s="132">
        <f t="shared" si="0"/>
        <v>5148.0082672970884</v>
      </c>
      <c r="D26" s="24"/>
      <c r="G26" s="33" t="s">
        <v>110</v>
      </c>
      <c r="H26" s="132">
        <f t="shared" si="1"/>
        <v>5148.0082672970884</v>
      </c>
    </row>
    <row r="27" spans="1:8" x14ac:dyDescent="0.2">
      <c r="B27" s="33" t="s">
        <v>28</v>
      </c>
      <c r="C27" s="132">
        <f t="shared" si="0"/>
        <v>3288.8</v>
      </c>
      <c r="G27" s="33" t="s">
        <v>145</v>
      </c>
      <c r="H27" s="132">
        <f t="shared" si="1"/>
        <v>5025.4400000000005</v>
      </c>
    </row>
    <row r="28" spans="1:8" x14ac:dyDescent="0.2">
      <c r="B28" s="33" t="s">
        <v>31</v>
      </c>
      <c r="C28" s="132">
        <f t="shared" si="0"/>
        <v>2883.68</v>
      </c>
      <c r="G28" s="33" t="s">
        <v>149</v>
      </c>
      <c r="H28" s="132">
        <f t="shared" si="1"/>
        <v>3180.66</v>
      </c>
    </row>
    <row r="29" spans="1:8" x14ac:dyDescent="0.2">
      <c r="B29" s="33" t="s">
        <v>146</v>
      </c>
      <c r="C29" s="132">
        <f t="shared" si="0"/>
        <v>328.88</v>
      </c>
      <c r="G29" s="33" t="s">
        <v>150</v>
      </c>
      <c r="H29" s="132">
        <f t="shared" si="1"/>
        <v>328.88</v>
      </c>
    </row>
    <row r="30" spans="1:8" ht="13.5" thickBot="1" x14ac:dyDescent="0.25">
      <c r="B30" s="135" t="s">
        <v>151</v>
      </c>
      <c r="C30" s="136">
        <f t="shared" si="0"/>
        <v>491.65500000000003</v>
      </c>
      <c r="G30" s="135" t="s">
        <v>151</v>
      </c>
      <c r="H30" s="136">
        <f t="shared" si="1"/>
        <v>81.815000000000012</v>
      </c>
    </row>
    <row r="31" spans="1:8" x14ac:dyDescent="0.2">
      <c r="B31" s="137"/>
      <c r="C31" s="137"/>
      <c r="G31" s="137"/>
      <c r="H31" s="137"/>
    </row>
    <row r="35" spans="1:9" x14ac:dyDescent="0.2">
      <c r="A35" s="138" t="s">
        <v>174</v>
      </c>
      <c r="C35" s="138"/>
      <c r="D35" s="138"/>
      <c r="F35" s="138" t="s">
        <v>174</v>
      </c>
      <c r="H35" s="138"/>
      <c r="I35" s="138"/>
    </row>
    <row r="36" spans="1:9" x14ac:dyDescent="0.2">
      <c r="A36" t="s">
        <v>58</v>
      </c>
      <c r="B36" s="139">
        <v>0.33</v>
      </c>
      <c r="C36" s="29">
        <f>B36*$C$41</f>
        <v>5426.52</v>
      </c>
      <c r="F36" t="s">
        <v>148</v>
      </c>
      <c r="G36" s="139">
        <v>0.35</v>
      </c>
      <c r="H36" s="29">
        <f>G36*$C$41</f>
        <v>5755.4</v>
      </c>
    </row>
    <row r="37" spans="1:9" x14ac:dyDescent="0.2">
      <c r="A37" t="s">
        <v>110</v>
      </c>
      <c r="B37" s="139">
        <v>0.28000000000000003</v>
      </c>
      <c r="C37" s="29">
        <f>B37*$C$41</f>
        <v>4604.3200000000006</v>
      </c>
      <c r="F37" t="s">
        <v>110</v>
      </c>
      <c r="G37" s="139">
        <v>0.28000000000000003</v>
      </c>
      <c r="H37" s="29">
        <f>G37*$C$41</f>
        <v>4604.3200000000006</v>
      </c>
    </row>
    <row r="38" spans="1:9" x14ac:dyDescent="0.2">
      <c r="A38" t="s">
        <v>28</v>
      </c>
      <c r="B38" s="139">
        <v>0.2</v>
      </c>
      <c r="C38" s="29">
        <f>B38*$C$41</f>
        <v>3288.8</v>
      </c>
      <c r="F38" t="s">
        <v>145</v>
      </c>
      <c r="G38" s="139">
        <v>0.26</v>
      </c>
      <c r="H38" s="29">
        <f>G38*$C$41</f>
        <v>4275.4400000000005</v>
      </c>
    </row>
    <row r="39" spans="1:9" x14ac:dyDescent="0.2">
      <c r="A39" t="s">
        <v>31</v>
      </c>
      <c r="B39" s="139">
        <v>0.17</v>
      </c>
      <c r="C39" s="29">
        <f>B39*$C$41</f>
        <v>2795.48</v>
      </c>
      <c r="F39" t="s">
        <v>149</v>
      </c>
      <c r="G39" s="139">
        <v>0.09</v>
      </c>
      <c r="H39" s="29">
        <f>G39*$C$41</f>
        <v>1479.96</v>
      </c>
    </row>
    <row r="40" spans="1:9" x14ac:dyDescent="0.2">
      <c r="A40" t="s">
        <v>146</v>
      </c>
      <c r="B40" s="140">
        <v>0.02</v>
      </c>
      <c r="C40" s="143">
        <f>B40*$C$41</f>
        <v>328.88</v>
      </c>
      <c r="F40" t="s">
        <v>150</v>
      </c>
      <c r="G40" s="140">
        <v>0.02</v>
      </c>
      <c r="H40" s="143">
        <f>G40*$C$41</f>
        <v>328.88</v>
      </c>
    </row>
    <row r="41" spans="1:9" x14ac:dyDescent="0.2">
      <c r="A41" s="3" t="s">
        <v>92</v>
      </c>
      <c r="B41" s="141">
        <f>SUM(B36:B40)</f>
        <v>1</v>
      </c>
      <c r="C41" s="142">
        <f>'FPL-Projects'!F101</f>
        <v>16444</v>
      </c>
      <c r="D41" s="24"/>
      <c r="F41" s="3" t="s">
        <v>92</v>
      </c>
      <c r="G41" s="141">
        <f>SUM(G36:G40)</f>
        <v>1</v>
      </c>
      <c r="H41" s="142">
        <f>C41</f>
        <v>16444</v>
      </c>
      <c r="I41" s="24"/>
    </row>
    <row r="42" spans="1:9" ht="13.5" thickBot="1" x14ac:dyDescent="0.25"/>
    <row r="43" spans="1:9" ht="13.5" thickBot="1" x14ac:dyDescent="0.25">
      <c r="A43" s="42" t="s">
        <v>25</v>
      </c>
      <c r="C43" s="36" t="s">
        <v>33</v>
      </c>
      <c r="F43" s="42" t="s">
        <v>55</v>
      </c>
      <c r="H43" s="36" t="s">
        <v>33</v>
      </c>
      <c r="I43" s="36" t="s">
        <v>55</v>
      </c>
    </row>
    <row r="44" spans="1:9" x14ac:dyDescent="0.2">
      <c r="A44" s="50"/>
      <c r="C44" s="48"/>
      <c r="F44" s="50"/>
      <c r="H44" s="48"/>
      <c r="I44" s="47"/>
    </row>
    <row r="45" spans="1:9" x14ac:dyDescent="0.2">
      <c r="A45" s="59" t="s">
        <v>58</v>
      </c>
      <c r="B45" s="59" t="s">
        <v>58</v>
      </c>
      <c r="C45" s="97">
        <v>112.5</v>
      </c>
      <c r="F45" s="52" t="s">
        <v>149</v>
      </c>
      <c r="G45" s="59"/>
      <c r="H45" s="97">
        <v>112.5</v>
      </c>
      <c r="I45" s="52" t="s">
        <v>161</v>
      </c>
    </row>
    <row r="46" spans="1:9" x14ac:dyDescent="0.2">
      <c r="A46" s="59" t="s">
        <v>31</v>
      </c>
      <c r="B46" s="59" t="s">
        <v>31</v>
      </c>
      <c r="C46" s="97">
        <v>88.2</v>
      </c>
      <c r="F46" s="52" t="s">
        <v>149</v>
      </c>
      <c r="G46" s="59"/>
      <c r="H46" s="97">
        <v>88.2</v>
      </c>
      <c r="I46" s="52" t="s">
        <v>149</v>
      </c>
    </row>
    <row r="47" spans="1:9" x14ac:dyDescent="0.2">
      <c r="A47" s="59" t="s">
        <v>151</v>
      </c>
      <c r="B47" s="59" t="s">
        <v>64</v>
      </c>
      <c r="C47" s="97">
        <v>2.67</v>
      </c>
      <c r="F47" s="52" t="s">
        <v>151</v>
      </c>
      <c r="G47" s="59"/>
      <c r="H47" s="97">
        <v>2.67</v>
      </c>
      <c r="I47" s="52" t="s">
        <v>64</v>
      </c>
    </row>
    <row r="48" spans="1:9" x14ac:dyDescent="0.2">
      <c r="A48" s="109" t="s">
        <v>151</v>
      </c>
      <c r="B48" s="109" t="s">
        <v>154</v>
      </c>
      <c r="C48" s="97">
        <v>13.5</v>
      </c>
      <c r="F48" s="52" t="s">
        <v>151</v>
      </c>
      <c r="G48" s="109"/>
      <c r="H48" s="97">
        <v>13.5</v>
      </c>
      <c r="I48" s="52"/>
    </row>
    <row r="49" spans="1:9" x14ac:dyDescent="0.2">
      <c r="A49" s="109" t="s">
        <v>151</v>
      </c>
      <c r="B49" s="109" t="s">
        <v>154</v>
      </c>
      <c r="C49" s="97">
        <v>10.4</v>
      </c>
      <c r="F49" s="52" t="s">
        <v>151</v>
      </c>
      <c r="G49" s="109"/>
      <c r="H49" s="97">
        <v>10.4</v>
      </c>
      <c r="I49" s="47"/>
    </row>
    <row r="50" spans="1:9" x14ac:dyDescent="0.2">
      <c r="A50" s="109" t="s">
        <v>151</v>
      </c>
      <c r="B50" s="109" t="s">
        <v>154</v>
      </c>
      <c r="C50" s="97">
        <v>10.4</v>
      </c>
      <c r="F50" s="52" t="s">
        <v>151</v>
      </c>
      <c r="G50" s="109"/>
      <c r="H50" s="97">
        <v>10.4</v>
      </c>
      <c r="I50" s="47"/>
    </row>
    <row r="51" spans="1:9" x14ac:dyDescent="0.2">
      <c r="A51" s="109" t="s">
        <v>151</v>
      </c>
      <c r="B51" s="109" t="s">
        <v>154</v>
      </c>
      <c r="C51" s="97">
        <v>10.4</v>
      </c>
      <c r="F51" s="52" t="s">
        <v>151</v>
      </c>
      <c r="G51" s="109"/>
      <c r="H51" s="97">
        <v>10.4</v>
      </c>
      <c r="I51" s="47"/>
    </row>
    <row r="52" spans="1:9" x14ac:dyDescent="0.2">
      <c r="A52" s="109" t="s">
        <v>151</v>
      </c>
      <c r="B52" s="109" t="s">
        <v>154</v>
      </c>
      <c r="C52" s="97">
        <v>10.4</v>
      </c>
      <c r="F52" s="52" t="s">
        <v>151</v>
      </c>
      <c r="G52" s="109"/>
      <c r="H52" s="97">
        <v>10.4</v>
      </c>
      <c r="I52" s="47"/>
    </row>
    <row r="53" spans="1:9" x14ac:dyDescent="0.2">
      <c r="A53" s="109" t="s">
        <v>151</v>
      </c>
      <c r="B53" s="109" t="s">
        <v>154</v>
      </c>
      <c r="C53" s="97">
        <v>10.4</v>
      </c>
      <c r="F53" s="52" t="s">
        <v>151</v>
      </c>
      <c r="G53" s="109"/>
      <c r="H53" s="97">
        <v>10.4</v>
      </c>
      <c r="I53" s="47"/>
    </row>
    <row r="54" spans="1:9" x14ac:dyDescent="0.2">
      <c r="A54" s="59" t="s">
        <v>151</v>
      </c>
      <c r="B54" s="59" t="s">
        <v>63</v>
      </c>
      <c r="C54" s="97">
        <v>7.2450000000000001</v>
      </c>
      <c r="F54" s="52" t="s">
        <v>151</v>
      </c>
      <c r="G54" s="59"/>
      <c r="H54" s="97">
        <v>7.2450000000000001</v>
      </c>
      <c r="I54" s="52"/>
    </row>
    <row r="55" spans="1:9" x14ac:dyDescent="0.2">
      <c r="A55" s="109" t="s">
        <v>151</v>
      </c>
      <c r="B55" s="109" t="s">
        <v>63</v>
      </c>
      <c r="C55" s="97">
        <v>6.4</v>
      </c>
      <c r="F55" s="52" t="s">
        <v>151</v>
      </c>
      <c r="G55" s="109"/>
      <c r="H55" s="97">
        <v>6.4</v>
      </c>
      <c r="I55" s="60"/>
    </row>
    <row r="56" spans="1:9" x14ac:dyDescent="0.2">
      <c r="A56" s="109" t="s">
        <v>151</v>
      </c>
      <c r="B56" s="109" t="s">
        <v>30</v>
      </c>
      <c r="C56" s="97">
        <v>7.5</v>
      </c>
      <c r="F56" s="52" t="s">
        <v>148</v>
      </c>
      <c r="G56" s="109"/>
      <c r="H56" s="97">
        <v>7.5</v>
      </c>
      <c r="I56" s="52" t="s">
        <v>148</v>
      </c>
    </row>
    <row r="57" spans="1:9" x14ac:dyDescent="0.2">
      <c r="A57" s="59" t="s">
        <v>151</v>
      </c>
      <c r="B57" s="59" t="s">
        <v>30</v>
      </c>
      <c r="C57" s="97">
        <v>2.34</v>
      </c>
      <c r="F57" s="52" t="s">
        <v>148</v>
      </c>
      <c r="G57" s="59"/>
      <c r="H57" s="97">
        <v>2.34</v>
      </c>
      <c r="I57" s="52" t="s">
        <v>148</v>
      </c>
    </row>
    <row r="58" spans="1:9" x14ac:dyDescent="0.2">
      <c r="A58" s="59" t="s">
        <v>58</v>
      </c>
      <c r="B58" s="59" t="s">
        <v>58</v>
      </c>
      <c r="C58" s="97">
        <v>500</v>
      </c>
      <c r="F58" s="52" t="s">
        <v>149</v>
      </c>
      <c r="G58" s="59"/>
      <c r="H58" s="97">
        <v>500</v>
      </c>
      <c r="I58" s="52" t="s">
        <v>149</v>
      </c>
    </row>
    <row r="59" spans="1:9" x14ac:dyDescent="0.2">
      <c r="A59" s="59" t="s">
        <v>58</v>
      </c>
      <c r="B59" s="59" t="s">
        <v>58</v>
      </c>
      <c r="C59" s="97">
        <v>500</v>
      </c>
      <c r="F59" s="52" t="s">
        <v>149</v>
      </c>
      <c r="G59" s="59"/>
      <c r="H59" s="97">
        <v>500</v>
      </c>
      <c r="I59" s="52" t="s">
        <v>149</v>
      </c>
    </row>
    <row r="60" spans="1:9" x14ac:dyDescent="0.2">
      <c r="A60" s="59" t="s">
        <v>58</v>
      </c>
      <c r="B60" s="59" t="s">
        <v>144</v>
      </c>
      <c r="C60" s="97">
        <v>500</v>
      </c>
      <c r="F60" s="53" t="s">
        <v>149</v>
      </c>
      <c r="G60" s="59"/>
      <c r="H60" s="97">
        <v>500</v>
      </c>
      <c r="I60" s="53" t="s">
        <v>149</v>
      </c>
    </row>
    <row r="61" spans="1:9" x14ac:dyDescent="0.2">
      <c r="A61" s="109" t="s">
        <v>58</v>
      </c>
      <c r="B61" s="109" t="s">
        <v>58</v>
      </c>
      <c r="C61" s="97">
        <v>186</v>
      </c>
      <c r="F61" s="53" t="s">
        <v>145</v>
      </c>
      <c r="G61" s="109"/>
      <c r="H61" s="97">
        <v>186</v>
      </c>
      <c r="I61" s="53" t="s">
        <v>145</v>
      </c>
    </row>
    <row r="62" spans="1:9" x14ac:dyDescent="0.2">
      <c r="A62" s="59" t="s">
        <v>58</v>
      </c>
      <c r="B62" s="59" t="s">
        <v>58</v>
      </c>
      <c r="C62" s="97">
        <v>164</v>
      </c>
      <c r="F62" s="53" t="s">
        <v>145</v>
      </c>
      <c r="G62" s="59"/>
      <c r="H62" s="97">
        <v>164</v>
      </c>
      <c r="I62" s="53" t="s">
        <v>145</v>
      </c>
    </row>
    <row r="63" spans="1:9" x14ac:dyDescent="0.2">
      <c r="A63" s="109" t="s">
        <v>110</v>
      </c>
      <c r="B63" s="109" t="s">
        <v>110</v>
      </c>
      <c r="C63" s="97">
        <v>163.89340220709087</v>
      </c>
      <c r="F63" s="53" t="s">
        <v>110</v>
      </c>
      <c r="G63" s="109"/>
      <c r="H63" s="97">
        <v>163.89340220709087</v>
      </c>
      <c r="I63" s="53" t="s">
        <v>110</v>
      </c>
    </row>
    <row r="64" spans="1:9" x14ac:dyDescent="0.2">
      <c r="A64" s="109" t="s">
        <v>110</v>
      </c>
      <c r="B64" s="109" t="s">
        <v>110</v>
      </c>
      <c r="C64" s="97">
        <v>163.89340220709087</v>
      </c>
      <c r="F64" s="53" t="s">
        <v>110</v>
      </c>
      <c r="G64" s="109"/>
      <c r="H64" s="97">
        <v>163.89340220709087</v>
      </c>
      <c r="I64" s="53" t="s">
        <v>110</v>
      </c>
    </row>
    <row r="65" spans="1:9" x14ac:dyDescent="0.2">
      <c r="A65" s="109" t="s">
        <v>110</v>
      </c>
      <c r="B65" s="109" t="s">
        <v>110</v>
      </c>
      <c r="C65" s="97">
        <v>82.187573546716877</v>
      </c>
      <c r="F65" s="53" t="s">
        <v>110</v>
      </c>
      <c r="G65" s="109"/>
      <c r="H65" s="97">
        <v>82.187573546716877</v>
      </c>
      <c r="I65" s="53" t="s">
        <v>110</v>
      </c>
    </row>
    <row r="66" spans="1:9" x14ac:dyDescent="0.2">
      <c r="A66" s="109" t="s">
        <v>110</v>
      </c>
      <c r="B66" s="109" t="s">
        <v>110</v>
      </c>
      <c r="C66" s="97">
        <v>82.187573546716877</v>
      </c>
      <c r="F66" s="53" t="s">
        <v>110</v>
      </c>
      <c r="G66" s="109"/>
      <c r="H66" s="97">
        <v>82.187573546716877</v>
      </c>
      <c r="I66" s="53" t="s">
        <v>110</v>
      </c>
    </row>
    <row r="67" spans="1:9" x14ac:dyDescent="0.2">
      <c r="A67" s="109" t="s">
        <v>110</v>
      </c>
      <c r="B67" s="109" t="s">
        <v>110</v>
      </c>
      <c r="C67" s="67">
        <v>51.526315789473692</v>
      </c>
      <c r="F67" s="53" t="s">
        <v>110</v>
      </c>
      <c r="G67" s="109"/>
      <c r="H67" s="67">
        <v>51.526315789473692</v>
      </c>
      <c r="I67" s="53" t="s">
        <v>110</v>
      </c>
    </row>
    <row r="68" spans="1:9" x14ac:dyDescent="0.2">
      <c r="A68" s="59" t="s">
        <v>151</v>
      </c>
      <c r="B68" s="59" t="s">
        <v>147</v>
      </c>
      <c r="C68" s="97">
        <v>400</v>
      </c>
      <c r="F68" s="53" t="s">
        <v>145</v>
      </c>
      <c r="G68" s="59"/>
      <c r="H68" s="97">
        <v>400</v>
      </c>
      <c r="I68" s="53" t="s">
        <v>145</v>
      </c>
    </row>
    <row r="69" spans="1:9" ht="13.5" thickBot="1" x14ac:dyDescent="0.25">
      <c r="A69" s="59"/>
      <c r="B69" s="59"/>
      <c r="C69" s="98"/>
      <c r="F69" s="59"/>
      <c r="G69" s="59"/>
      <c r="H69" s="98"/>
      <c r="I69" s="52"/>
    </row>
    <row r="70" spans="1:9" ht="13.5" thickBot="1" x14ac:dyDescent="0.25">
      <c r="A70" s="86"/>
      <c r="B70" s="86"/>
      <c r="C70" s="88">
        <f>SUM(C45:C68)</f>
        <v>3086.0432672970892</v>
      </c>
      <c r="F70" s="86"/>
      <c r="G70" s="86"/>
      <c r="H70" s="88">
        <f>SUM(H45:H68)</f>
        <v>3086.0432672970892</v>
      </c>
      <c r="I70" s="87"/>
    </row>
    <row r="71" spans="1:9" x14ac:dyDescent="0.2">
      <c r="A71" s="31"/>
      <c r="B71" s="31"/>
      <c r="C71" s="31"/>
      <c r="F71" s="31"/>
      <c r="G71" s="31"/>
      <c r="H71" s="31"/>
      <c r="I71" s="31"/>
    </row>
    <row r="76" spans="1:9" x14ac:dyDescent="0.2">
      <c r="A76" s="115"/>
      <c r="B76" s="31"/>
      <c r="C76" s="31"/>
      <c r="D76" s="31"/>
      <c r="F76" s="115"/>
      <c r="G76" s="31"/>
      <c r="H76" s="31"/>
      <c r="I76" s="31"/>
    </row>
    <row r="77" spans="1:9" x14ac:dyDescent="0.2">
      <c r="A77" s="31"/>
      <c r="B77" s="31"/>
      <c r="C77" s="31"/>
      <c r="D77" s="31"/>
      <c r="F77" s="31"/>
      <c r="G77" s="31"/>
      <c r="H77" s="31"/>
      <c r="I77" s="31"/>
    </row>
    <row r="78" spans="1:9" x14ac:dyDescent="0.2">
      <c r="A78" s="31"/>
      <c r="B78" s="31"/>
      <c r="C78" s="31"/>
      <c r="D78" s="31"/>
      <c r="F78" s="31"/>
      <c r="G78" s="31"/>
      <c r="H78" s="31"/>
      <c r="I78" s="31"/>
    </row>
    <row r="79" spans="1:9" x14ac:dyDescent="0.2">
      <c r="A79" s="31"/>
      <c r="B79" s="31"/>
      <c r="C79" s="31"/>
      <c r="D79" s="31"/>
      <c r="F79" s="31"/>
      <c r="G79" s="31"/>
      <c r="H79" s="31"/>
      <c r="I79" s="31"/>
    </row>
  </sheetData>
  <mergeCells count="2">
    <mergeCell ref="B24:C24"/>
    <mergeCell ref="G24:H24"/>
  </mergeCells>
  <pageMargins left="0.75" right="0.75" top="1" bottom="1" header="0.5" footer="0.5"/>
  <pageSetup paperSize="5" scale="108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9"/>
  <sheetViews>
    <sheetView workbookViewId="0"/>
  </sheetViews>
  <sheetFormatPr defaultRowHeight="12.75" x14ac:dyDescent="0.2"/>
  <cols>
    <col min="1" max="1" width="11.42578125" bestFit="1" customWidth="1"/>
    <col min="2" max="2" width="32.7109375" bestFit="1" customWidth="1"/>
    <col min="3" max="3" width="30.5703125" bestFit="1" customWidth="1"/>
    <col min="4" max="4" width="27.7109375" bestFit="1" customWidth="1"/>
    <col min="5" max="5" width="20.85546875" bestFit="1" customWidth="1"/>
    <col min="6" max="6" width="22.28515625" bestFit="1" customWidth="1"/>
    <col min="7" max="7" width="21.7109375" bestFit="1" customWidth="1"/>
    <col min="8" max="8" width="4" bestFit="1" customWidth="1"/>
    <col min="9" max="9" width="7.28515625" bestFit="1" customWidth="1"/>
  </cols>
  <sheetData>
    <row r="5" spans="1:7" x14ac:dyDescent="0.2">
      <c r="A5" t="s">
        <v>69</v>
      </c>
      <c r="B5" t="s">
        <v>70</v>
      </c>
      <c r="C5" t="s">
        <v>71</v>
      </c>
      <c r="D5" t="s">
        <v>72</v>
      </c>
      <c r="E5">
        <v>991</v>
      </c>
      <c r="F5" t="s">
        <v>73</v>
      </c>
    </row>
    <row r="6" spans="1:7" x14ac:dyDescent="0.2">
      <c r="A6" t="s">
        <v>74</v>
      </c>
      <c r="B6" t="s">
        <v>75</v>
      </c>
      <c r="C6" t="s">
        <v>76</v>
      </c>
      <c r="D6">
        <v>648</v>
      </c>
      <c r="E6" t="s">
        <v>73</v>
      </c>
    </row>
    <row r="7" spans="1:7" x14ac:dyDescent="0.2">
      <c r="A7" t="s">
        <v>77</v>
      </c>
      <c r="B7" t="s">
        <v>78</v>
      </c>
      <c r="C7" t="s">
        <v>79</v>
      </c>
      <c r="D7" t="s">
        <v>80</v>
      </c>
      <c r="E7">
        <v>453</v>
      </c>
      <c r="F7" t="s">
        <v>61</v>
      </c>
    </row>
    <row r="8" spans="1:7" x14ac:dyDescent="0.2">
      <c r="A8" t="s">
        <v>81</v>
      </c>
      <c r="B8" t="s">
        <v>81</v>
      </c>
      <c r="C8" t="s">
        <v>82</v>
      </c>
      <c r="D8">
        <v>424</v>
      </c>
      <c r="E8" t="s">
        <v>31</v>
      </c>
    </row>
    <row r="9" spans="1:7" x14ac:dyDescent="0.2">
      <c r="A9" t="s">
        <v>83</v>
      </c>
      <c r="B9" t="s">
        <v>84</v>
      </c>
      <c r="C9" t="s">
        <v>85</v>
      </c>
      <c r="D9">
        <v>388</v>
      </c>
      <c r="E9" t="s">
        <v>28</v>
      </c>
    </row>
    <row r="10" spans="1:7" x14ac:dyDescent="0.2">
      <c r="A10" t="s">
        <v>86</v>
      </c>
      <c r="B10" t="s">
        <v>87</v>
      </c>
      <c r="C10" t="s">
        <v>88</v>
      </c>
      <c r="D10" t="s">
        <v>89</v>
      </c>
      <c r="E10">
        <v>382</v>
      </c>
      <c r="F10" t="s">
        <v>28</v>
      </c>
    </row>
    <row r="11" spans="1:7" x14ac:dyDescent="0.2">
      <c r="A11" t="s">
        <v>90</v>
      </c>
      <c r="B11" t="s">
        <v>90</v>
      </c>
      <c r="C11" t="s">
        <v>82</v>
      </c>
      <c r="D11">
        <v>300</v>
      </c>
      <c r="E11" t="s">
        <v>31</v>
      </c>
    </row>
    <row r="12" spans="1:7" x14ac:dyDescent="0.2">
      <c r="A12" t="s">
        <v>91</v>
      </c>
    </row>
    <row r="13" spans="1:7" x14ac:dyDescent="0.2">
      <c r="A13" t="s">
        <v>92</v>
      </c>
      <c r="B13" t="s">
        <v>93</v>
      </c>
      <c r="C13" s="30">
        <v>3586</v>
      </c>
    </row>
    <row r="14" spans="1:7" x14ac:dyDescent="0.2">
      <c r="A14" t="s">
        <v>91</v>
      </c>
    </row>
    <row r="15" spans="1:7" x14ac:dyDescent="0.2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</row>
    <row r="16" spans="1:7" x14ac:dyDescent="0.2">
      <c r="A16" t="s">
        <v>101</v>
      </c>
      <c r="B16" t="s">
        <v>102</v>
      </c>
      <c r="C16" t="s">
        <v>103</v>
      </c>
      <c r="D16" t="s">
        <v>104</v>
      </c>
    </row>
    <row r="17" spans="1:9" x14ac:dyDescent="0.2">
      <c r="A17" t="s">
        <v>105</v>
      </c>
      <c r="B17" t="s">
        <v>106</v>
      </c>
      <c r="C17" t="s">
        <v>107</v>
      </c>
      <c r="D17" t="s">
        <v>108</v>
      </c>
      <c r="E17" t="s">
        <v>106</v>
      </c>
      <c r="F17" t="s">
        <v>65</v>
      </c>
      <c r="G17" t="s">
        <v>109</v>
      </c>
      <c r="H17">
        <v>979</v>
      </c>
      <c r="I17" t="s">
        <v>110</v>
      </c>
    </row>
    <row r="18" spans="1:9" x14ac:dyDescent="0.2">
      <c r="A18" t="s">
        <v>67</v>
      </c>
      <c r="B18" t="s">
        <v>111</v>
      </c>
      <c r="C18" t="s">
        <v>107</v>
      </c>
      <c r="D18" t="s">
        <v>108</v>
      </c>
      <c r="E18" t="s">
        <v>106</v>
      </c>
      <c r="F18" t="s">
        <v>65</v>
      </c>
      <c r="G18" t="s">
        <v>112</v>
      </c>
      <c r="H18">
        <v>471</v>
      </c>
      <c r="I18" t="s">
        <v>110</v>
      </c>
    </row>
    <row r="19" spans="1:9" x14ac:dyDescent="0.2">
      <c r="A19" t="s">
        <v>67</v>
      </c>
      <c r="B19" t="s">
        <v>113</v>
      </c>
      <c r="C19" t="s">
        <v>107</v>
      </c>
      <c r="D19" t="s">
        <v>108</v>
      </c>
      <c r="E19" t="s">
        <v>106</v>
      </c>
      <c r="F19" t="s">
        <v>65</v>
      </c>
      <c r="G19" t="s">
        <v>112</v>
      </c>
      <c r="H19">
        <v>471</v>
      </c>
      <c r="I19" t="s">
        <v>110</v>
      </c>
    </row>
    <row r="20" spans="1:9" x14ac:dyDescent="0.2">
      <c r="A20" t="s">
        <v>114</v>
      </c>
      <c r="B20" t="s">
        <v>115</v>
      </c>
      <c r="C20" t="s">
        <v>113</v>
      </c>
      <c r="D20" t="s">
        <v>114</v>
      </c>
      <c r="E20" t="s">
        <v>116</v>
      </c>
      <c r="F20" t="s">
        <v>68</v>
      </c>
      <c r="G20" t="s">
        <v>117</v>
      </c>
      <c r="H20">
        <v>465</v>
      </c>
      <c r="I20" t="s">
        <v>110</v>
      </c>
    </row>
    <row r="21" spans="1:9" x14ac:dyDescent="0.2">
      <c r="A21" t="s">
        <v>114</v>
      </c>
      <c r="B21" t="s">
        <v>115</v>
      </c>
      <c r="C21" t="s">
        <v>118</v>
      </c>
      <c r="D21" t="s">
        <v>114</v>
      </c>
      <c r="E21" t="s">
        <v>116</v>
      </c>
      <c r="F21" t="s">
        <v>68</v>
      </c>
      <c r="G21" t="s">
        <v>117</v>
      </c>
      <c r="H21">
        <v>465</v>
      </c>
      <c r="I21" t="s">
        <v>110</v>
      </c>
    </row>
    <row r="22" spans="1:9" x14ac:dyDescent="0.2">
      <c r="A22" t="s">
        <v>91</v>
      </c>
    </row>
    <row r="23" spans="1:9" x14ac:dyDescent="0.2">
      <c r="A23" t="s">
        <v>92</v>
      </c>
      <c r="B23" t="s">
        <v>119</v>
      </c>
      <c r="C23" s="30">
        <v>2851</v>
      </c>
    </row>
    <row r="24" spans="1:9" x14ac:dyDescent="0.2">
      <c r="A24" t="s">
        <v>91</v>
      </c>
    </row>
    <row r="25" spans="1:9" x14ac:dyDescent="0.2">
      <c r="A25" t="s">
        <v>120</v>
      </c>
      <c r="B25" t="s">
        <v>121</v>
      </c>
    </row>
    <row r="26" spans="1:9" x14ac:dyDescent="0.2">
      <c r="A26" t="s">
        <v>122</v>
      </c>
      <c r="B26" t="s">
        <v>123</v>
      </c>
      <c r="C26" t="s">
        <v>124</v>
      </c>
      <c r="D26">
        <v>675</v>
      </c>
      <c r="E26" t="s">
        <v>58</v>
      </c>
    </row>
    <row r="27" spans="1:9" x14ac:dyDescent="0.2">
      <c r="A27" t="s">
        <v>125</v>
      </c>
      <c r="B27" t="s">
        <v>125</v>
      </c>
      <c r="C27" t="s">
        <v>126</v>
      </c>
      <c r="D27">
        <v>245</v>
      </c>
      <c r="E27" t="s">
        <v>58</v>
      </c>
    </row>
    <row r="28" spans="1:9" x14ac:dyDescent="0.2">
      <c r="A28" t="s">
        <v>91</v>
      </c>
    </row>
    <row r="29" spans="1:9" x14ac:dyDescent="0.2">
      <c r="A29" t="s">
        <v>92</v>
      </c>
      <c r="B29" t="s">
        <v>120</v>
      </c>
      <c r="C29" t="s">
        <v>127</v>
      </c>
      <c r="D29">
        <v>920</v>
      </c>
    </row>
    <row r="30" spans="1:9" x14ac:dyDescent="0.2">
      <c r="A30" t="s">
        <v>91</v>
      </c>
    </row>
    <row r="31" spans="1:9" x14ac:dyDescent="0.2">
      <c r="A31" t="s">
        <v>60</v>
      </c>
      <c r="B31" t="s">
        <v>128</v>
      </c>
    </row>
    <row r="32" spans="1:9" x14ac:dyDescent="0.2">
      <c r="A32" t="s">
        <v>129</v>
      </c>
      <c r="B32" t="s">
        <v>130</v>
      </c>
      <c r="C32" t="s">
        <v>131</v>
      </c>
      <c r="D32">
        <v>617</v>
      </c>
      <c r="E32" t="s">
        <v>61</v>
      </c>
    </row>
    <row r="33" spans="1:8" x14ac:dyDescent="0.2">
      <c r="A33" t="s">
        <v>132</v>
      </c>
      <c r="B33" t="s">
        <v>66</v>
      </c>
      <c r="C33" t="s">
        <v>133</v>
      </c>
      <c r="D33" t="s">
        <v>134</v>
      </c>
      <c r="E33">
        <v>504</v>
      </c>
      <c r="F33" t="s">
        <v>61</v>
      </c>
    </row>
    <row r="34" spans="1:8" x14ac:dyDescent="0.2">
      <c r="A34" t="s">
        <v>90</v>
      </c>
      <c r="B34" t="s">
        <v>90</v>
      </c>
      <c r="C34" t="s">
        <v>82</v>
      </c>
      <c r="D34">
        <v>504</v>
      </c>
      <c r="E34" t="s">
        <v>61</v>
      </c>
    </row>
    <row r="35" spans="1:8" x14ac:dyDescent="0.2">
      <c r="A35" t="s">
        <v>125</v>
      </c>
      <c r="B35" t="s">
        <v>125</v>
      </c>
      <c r="C35" t="s">
        <v>126</v>
      </c>
      <c r="D35">
        <v>389</v>
      </c>
      <c r="E35" t="s">
        <v>31</v>
      </c>
    </row>
    <row r="36" spans="1:8" x14ac:dyDescent="0.2">
      <c r="A36" t="s">
        <v>81</v>
      </c>
      <c r="B36" t="s">
        <v>81</v>
      </c>
      <c r="C36" t="s">
        <v>82</v>
      </c>
      <c r="D36">
        <v>223</v>
      </c>
      <c r="E36" t="s">
        <v>61</v>
      </c>
    </row>
    <row r="37" spans="1:8" x14ac:dyDescent="0.2">
      <c r="A37" t="s">
        <v>69</v>
      </c>
      <c r="B37" t="s">
        <v>70</v>
      </c>
      <c r="C37" t="s">
        <v>71</v>
      </c>
      <c r="D37" t="s">
        <v>72</v>
      </c>
      <c r="E37">
        <v>129</v>
      </c>
      <c r="F37" t="s">
        <v>31</v>
      </c>
    </row>
    <row r="38" spans="1:8" x14ac:dyDescent="0.2">
      <c r="A38" t="s">
        <v>74</v>
      </c>
      <c r="B38" t="s">
        <v>75</v>
      </c>
      <c r="C38" t="s">
        <v>76</v>
      </c>
      <c r="D38">
        <v>129</v>
      </c>
      <c r="E38" t="s">
        <v>31</v>
      </c>
    </row>
    <row r="39" spans="1:8" x14ac:dyDescent="0.2">
      <c r="A39" t="s">
        <v>77</v>
      </c>
      <c r="B39" t="s">
        <v>78</v>
      </c>
      <c r="C39" t="s">
        <v>133</v>
      </c>
      <c r="D39" t="s">
        <v>135</v>
      </c>
      <c r="E39">
        <v>129</v>
      </c>
      <c r="F39" t="s">
        <v>31</v>
      </c>
    </row>
    <row r="40" spans="1:8" x14ac:dyDescent="0.2">
      <c r="A40" t="s">
        <v>136</v>
      </c>
      <c r="B40" t="s">
        <v>136</v>
      </c>
      <c r="C40" t="s">
        <v>76</v>
      </c>
      <c r="D40">
        <v>42</v>
      </c>
      <c r="E40" t="s">
        <v>31</v>
      </c>
    </row>
    <row r="41" spans="1:8" x14ac:dyDescent="0.2">
      <c r="A41" t="s">
        <v>122</v>
      </c>
      <c r="B41" t="s">
        <v>123</v>
      </c>
      <c r="C41" t="s">
        <v>124</v>
      </c>
      <c r="D41">
        <v>21</v>
      </c>
      <c r="E41" t="s">
        <v>58</v>
      </c>
    </row>
    <row r="42" spans="1:8" x14ac:dyDescent="0.2">
      <c r="A42" t="s">
        <v>137</v>
      </c>
      <c r="B42" t="s">
        <v>138</v>
      </c>
      <c r="C42" t="s">
        <v>137</v>
      </c>
      <c r="D42" t="s">
        <v>138</v>
      </c>
      <c r="E42" t="s">
        <v>135</v>
      </c>
      <c r="F42">
        <v>21</v>
      </c>
      <c r="G42" t="s">
        <v>31</v>
      </c>
    </row>
    <row r="43" spans="1:8" x14ac:dyDescent="0.2">
      <c r="A43" t="s">
        <v>139</v>
      </c>
      <c r="B43" t="s">
        <v>107</v>
      </c>
      <c r="C43" t="s">
        <v>108</v>
      </c>
      <c r="D43" t="s">
        <v>106</v>
      </c>
      <c r="E43" t="s">
        <v>65</v>
      </c>
      <c r="F43" t="s">
        <v>140</v>
      </c>
      <c r="G43">
        <v>16</v>
      </c>
      <c r="H43" t="s">
        <v>31</v>
      </c>
    </row>
    <row r="44" spans="1:8" x14ac:dyDescent="0.2">
      <c r="A44" t="s">
        <v>91</v>
      </c>
    </row>
    <row r="45" spans="1:8" x14ac:dyDescent="0.2">
      <c r="A45" t="s">
        <v>92</v>
      </c>
      <c r="B45" t="s">
        <v>60</v>
      </c>
      <c r="C45" t="s">
        <v>141</v>
      </c>
      <c r="D45" s="30">
        <v>2724</v>
      </c>
    </row>
    <row r="46" spans="1:8" x14ac:dyDescent="0.2">
      <c r="A46" t="s">
        <v>91</v>
      </c>
    </row>
    <row r="47" spans="1:8" x14ac:dyDescent="0.2">
      <c r="A47" t="s">
        <v>142</v>
      </c>
      <c r="B47" t="s">
        <v>143</v>
      </c>
    </row>
    <row r="48" spans="1:8" x14ac:dyDescent="0.2">
      <c r="A48" t="s">
        <v>86</v>
      </c>
      <c r="B48" t="s">
        <v>87</v>
      </c>
      <c r="C48" t="s">
        <v>88</v>
      </c>
      <c r="D48" t="s">
        <v>89</v>
      </c>
      <c r="E48">
        <v>3</v>
      </c>
      <c r="F48" t="s">
        <v>31</v>
      </c>
    </row>
    <row r="49" spans="1:4" x14ac:dyDescent="0.2">
      <c r="A49" t="s">
        <v>83</v>
      </c>
      <c r="B49" t="s">
        <v>84</v>
      </c>
      <c r="C49" t="s">
        <v>85</v>
      </c>
      <c r="D49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workbookViewId="0">
      <selection activeCell="E12" sqref="E12"/>
    </sheetView>
  </sheetViews>
  <sheetFormatPr defaultRowHeight="12.75" x14ac:dyDescent="0.2"/>
  <sheetData>
    <row r="1" spans="1:3" x14ac:dyDescent="0.2">
      <c r="A1" s="25" t="s">
        <v>41</v>
      </c>
      <c r="B1" s="9"/>
      <c r="C1" s="9"/>
    </row>
    <row r="2" spans="1:3" x14ac:dyDescent="0.2">
      <c r="A2" s="9" t="s">
        <v>42</v>
      </c>
      <c r="B2" s="9"/>
      <c r="C2" s="9"/>
    </row>
    <row r="3" spans="1:3" x14ac:dyDescent="0.2">
      <c r="A3" s="9"/>
      <c r="B3" s="9"/>
      <c r="C3" s="9"/>
    </row>
    <row r="4" spans="1:3" x14ac:dyDescent="0.2">
      <c r="A4" s="27" t="s">
        <v>44</v>
      </c>
      <c r="B4" s="9"/>
      <c r="C4" s="9"/>
    </row>
    <row r="5" spans="1:3" x14ac:dyDescent="0.2">
      <c r="A5" s="26" t="s">
        <v>48</v>
      </c>
      <c r="B5" s="9"/>
      <c r="C5" s="9"/>
    </row>
    <row r="6" spans="1:3" x14ac:dyDescent="0.2">
      <c r="A6" s="9" t="s">
        <v>51</v>
      </c>
      <c r="B6" s="9"/>
      <c r="C6" s="9"/>
    </row>
    <row r="7" spans="1:3" x14ac:dyDescent="0.2">
      <c r="A7" s="9" t="s">
        <v>49</v>
      </c>
      <c r="B7" s="9"/>
      <c r="C7" s="9"/>
    </row>
    <row r="8" spans="1:3" x14ac:dyDescent="0.2">
      <c r="A8" s="28"/>
      <c r="B8" s="9"/>
      <c r="C8" s="9"/>
    </row>
    <row r="9" spans="1:3" x14ac:dyDescent="0.2">
      <c r="A9" s="27" t="s">
        <v>39</v>
      </c>
      <c r="B9" s="9"/>
      <c r="C9" s="9"/>
    </row>
    <row r="10" spans="1:3" x14ac:dyDescent="0.2">
      <c r="A10" s="26" t="s">
        <v>45</v>
      </c>
      <c r="B10" s="9"/>
      <c r="C10" s="9"/>
    </row>
    <row r="11" spans="1:3" x14ac:dyDescent="0.2">
      <c r="A11" s="26" t="s">
        <v>46</v>
      </c>
      <c r="B11" s="9"/>
      <c r="C11" s="9"/>
    </row>
    <row r="12" spans="1:3" x14ac:dyDescent="0.2">
      <c r="A12" s="9" t="s">
        <v>40</v>
      </c>
      <c r="B12" s="9"/>
      <c r="C12" s="9"/>
    </row>
    <row r="13" spans="1:3" x14ac:dyDescent="0.2">
      <c r="A13" s="26" t="s">
        <v>52</v>
      </c>
      <c r="B13" s="9"/>
      <c r="C13" s="9"/>
    </row>
    <row r="14" spans="1:3" x14ac:dyDescent="0.2">
      <c r="A14" s="9"/>
      <c r="B14" s="9"/>
      <c r="C14" s="9"/>
    </row>
    <row r="15" spans="1:3" x14ac:dyDescent="0.2">
      <c r="A15" s="27" t="s">
        <v>43</v>
      </c>
      <c r="B15" s="9"/>
      <c r="C15" s="9"/>
    </row>
    <row r="16" spans="1:3" x14ac:dyDescent="0.2">
      <c r="A16" s="26" t="s">
        <v>47</v>
      </c>
      <c r="B16" s="9"/>
      <c r="C16" s="9"/>
    </row>
    <row r="17" spans="1:3" x14ac:dyDescent="0.2">
      <c r="A17" s="9"/>
      <c r="B17" s="9"/>
      <c r="C17" s="9"/>
    </row>
    <row r="18" spans="1:3" x14ac:dyDescent="0.2">
      <c r="A18" s="27" t="s">
        <v>53</v>
      </c>
      <c r="B18" s="9"/>
      <c r="C18" s="9"/>
    </row>
    <row r="19" spans="1:3" x14ac:dyDescent="0.2">
      <c r="A19" s="26" t="s">
        <v>54</v>
      </c>
      <c r="B19" s="9"/>
      <c r="C19" s="9"/>
    </row>
  </sheetData>
  <pageMargins left="0.75" right="0.75" top="1" bottom="1" header="0.5" footer="0.5"/>
  <pageSetup paperSize="5" scale="7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Orion</vt:lpstr>
      <vt:lpstr>FPL-Projects</vt:lpstr>
      <vt:lpstr>Charts</vt:lpstr>
      <vt:lpstr>Sheet1</vt:lpstr>
      <vt:lpstr>Sheet2</vt:lpstr>
      <vt:lpstr>Sheet3</vt:lpstr>
      <vt:lpstr>Contracts</vt:lpstr>
      <vt:lpstr>Charts!Print_Area</vt:lpstr>
      <vt:lpstr>'FPL-Projects'!Print_Area</vt:lpstr>
      <vt:lpstr>'FPL-Projects'!Print_Titles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Felienne</cp:lastModifiedBy>
  <cp:lastPrinted>2000-05-08T21:45:13Z</cp:lastPrinted>
  <dcterms:created xsi:type="dcterms:W3CDTF">2000-02-24T21:48:37Z</dcterms:created>
  <dcterms:modified xsi:type="dcterms:W3CDTF">2014-09-03T11:19:54Z</dcterms:modified>
</cp:coreProperties>
</file>