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3915" windowWidth="15330" windowHeight="3975" tabRatio="791" activeTab="5"/>
  </bookViews>
  <sheets>
    <sheet name="Preset Scenarios" sheetId="1" r:id="rId1"/>
    <sheet name="Assumptions" sheetId="2" r:id="rId2"/>
    <sheet name="Power Price Assumption" sheetId="3" r:id="rId3"/>
    <sheet name="IS" sheetId="4" r:id="rId4"/>
    <sheet name="CF" sheetId="5" r:id="rId5"/>
    <sheet name="IRR" sheetId="18" r:id="rId6"/>
    <sheet name="Debt" sheetId="6" r:id="rId7"/>
    <sheet name="Depreciation" sheetId="7" r:id="rId8"/>
    <sheet name="Tax" sheetId="8" r:id="rId9"/>
    <sheet name="Brownsville" sheetId="9" r:id="rId10"/>
    <sheet name="Caledonia" sheetId="10" r:id="rId11"/>
    <sheet name="New Albany" sheetId="11" r:id="rId12"/>
    <sheet name="Calvert" sheetId="12" r:id="rId13"/>
    <sheet name="Wheatland" sheetId="13" r:id="rId14"/>
    <sheet name="Wilton" sheetId="14" r:id="rId15"/>
    <sheet name="EGC Start Charge Matrix" sheetId="15" r:id="rId16"/>
    <sheet name="Allocation" sheetId="16" r:id="rId17"/>
  </sheets>
  <externalReferences>
    <externalReference r:id="rId18"/>
  </externalReferences>
  <definedNames>
    <definedName name="blm_share" localSheetId="12">Calvert!#REF!</definedName>
    <definedName name="blm_share" localSheetId="11">'New Albany'!#REF!</definedName>
    <definedName name="blm_share" localSheetId="13">Wheatland!#REF!</definedName>
    <definedName name="coso" localSheetId="12">Calvert!#REF!</definedName>
    <definedName name="coso" localSheetId="11">'New Albany'!#REF!</definedName>
    <definedName name="coso" localSheetId="13">Wheatland!#REF!</definedName>
    <definedName name="Coso_Distributable_Cash" localSheetId="12">Calvert!$I$520:$Z$520</definedName>
    <definedName name="Coso_Distributable_Cash" localSheetId="11">'New Albany'!$I$520:$Z$520</definedName>
    <definedName name="Coso_Distributable_Cash" localSheetId="13">Wheatland!$I$522:$Z$522</definedName>
    <definedName name="Coso_Net_ATCash" localSheetId="12">Calvert!$I$521:$Z$521</definedName>
    <definedName name="Coso_Net_ATCash" localSheetId="11">'New Albany'!$I$521:$Z$521</definedName>
    <definedName name="Coso_Net_ATCash" localSheetId="13">Wheatland!$I$523:$Z$523</definedName>
    <definedName name="Coso_Net_Income" localSheetId="12">Calvert!$I$519:$Z$519</definedName>
    <definedName name="Coso_Net_Income" localSheetId="11">'New Albany'!$I$519:$Z$519</definedName>
    <definedName name="Coso_Net_Income" localSheetId="13">Wheatland!$I$521:$Z$521</definedName>
    <definedName name="Distributable_Cash" localSheetId="12">Calvert!#REF!</definedName>
    <definedName name="Distributable_Cash" localSheetId="11">'New Albany'!#REF!</definedName>
    <definedName name="Distributable_Cash" localSheetId="13">Wheatland!#REF!</definedName>
    <definedName name="Energy_Credit_Coso" localSheetId="12">Calvert!$I$514:$Z$514</definedName>
    <definedName name="Energy_Credit_Coso" localSheetId="11">'New Albany'!$I$514:$Z$514</definedName>
    <definedName name="Energy_Credit_Coso" localSheetId="13">Wheatland!$I$516:$Z$516</definedName>
    <definedName name="Energy_Credit_Imperial" localSheetId="12">Calvert!#REF!</definedName>
    <definedName name="Energy_Credit_Imperial" localSheetId="11">'New Albany'!#REF!</definedName>
    <definedName name="Energy_Credit_Imperial" localSheetId="13">Wheatland!#REF!</definedName>
    <definedName name="FPOC_Distributable_Cash" localSheetId="12">Calvert!$I$461:$S$461</definedName>
    <definedName name="FPOC_Distributable_Cash" localSheetId="11">'New Albany'!$I$461:$S$461</definedName>
    <definedName name="FPOC_Distributable_Cash" localSheetId="13">Wheatland!$I$463:$S$463</definedName>
    <definedName name="FPOC_Net_ATCash" localSheetId="12">Calvert!$I$463:$S$463</definedName>
    <definedName name="FPOC_Net_ATCash" localSheetId="11">'New Albany'!$I$463:$S$463</definedName>
    <definedName name="FPOC_Net_ATCash" localSheetId="13">Wheatland!$I$465:$S$465</definedName>
    <definedName name="FPOC_Net_Income" localSheetId="12">Calvert!$I$463:$S$463</definedName>
    <definedName name="FPOC_Net_Income" localSheetId="11">'New Albany'!$I$463:$S$463</definedName>
    <definedName name="FPOC_Net_Income" localSheetId="13">Wheatland!$I$465:$S$465</definedName>
    <definedName name="FSGC_ATCash" localSheetId="12">Calvert!$I$298:$M$298</definedName>
    <definedName name="FSGC_ATCash" localSheetId="11">'New Albany'!$I$298:$M$298</definedName>
    <definedName name="FSGC_ATCash" localSheetId="13">Wheatland!$I$300:$M$300</definedName>
    <definedName name="FSGC_Distributable_Cash" localSheetId="12">Calvert!$H$296:$M$296</definedName>
    <definedName name="FSGC_Distributable_Cash" localSheetId="11">'New Albany'!$H$296:$M$296</definedName>
    <definedName name="FSGC_Distributable_Cash" localSheetId="13">Wheatland!$H$298:$M$298</definedName>
    <definedName name="FSGC_Net_Income" localSheetId="12">Calvert!$I$298:$M$298</definedName>
    <definedName name="FSGC_Net_Income" localSheetId="11">'New Albany'!$I$298:$M$298</definedName>
    <definedName name="FSGC_Net_Income" localSheetId="13">Wheatland!$I$300:$M$300</definedName>
    <definedName name="Imperial_Distributable_Cash" localSheetId="12">Calvert!$E$76:$Z$76</definedName>
    <definedName name="Imperial_Distributable_Cash" localSheetId="11">'New Albany'!$E$76:$Z$76</definedName>
    <definedName name="Imperial_Distributable_Cash" localSheetId="13">Wheatland!$E$76:$Z$76</definedName>
    <definedName name="Imperial_Geothermal" localSheetId="12">Calvert!#REF!</definedName>
    <definedName name="Imperial_Geothermal" localSheetId="11">'New Albany'!#REF!</definedName>
    <definedName name="Imperial_Geothermal" localSheetId="13">Wheatland!#REF!</definedName>
    <definedName name="Imperial_Net_ATCash" localSheetId="12">Calvert!#REF!</definedName>
    <definedName name="Imperial_Net_ATCash" localSheetId="11">'New Albany'!#REF!</definedName>
    <definedName name="Imperial_Net_ATCash" localSheetId="13">Wheatland!#REF!</definedName>
    <definedName name="Imperial_Net_Income" localSheetId="12">Calvert!$E$75:$Z$75</definedName>
    <definedName name="Imperial_Net_Income" localSheetId="11">'New Albany'!$E$75:$Z$75</definedName>
    <definedName name="Imperial_Net_Income" localSheetId="13">Wheatland!$E$75:$Z$75</definedName>
    <definedName name="Minerals" localSheetId="12">Calvert!#REF!</definedName>
    <definedName name="Minerals" localSheetId="11">'New Albany'!#REF!</definedName>
    <definedName name="Minerals" localSheetId="13">Wheatland!#REF!</definedName>
    <definedName name="Minerals_Distributable_Cash" localSheetId="12">Calvert!$I$197:$Z$197</definedName>
    <definedName name="Minerals_Distributable_Cash" localSheetId="11">'New Albany'!$I$197:$Z$197</definedName>
    <definedName name="Minerals_Distributable_Cash" localSheetId="13">Wheatland!$I$199:$Z$199</definedName>
    <definedName name="Minerals_Net_ATCash" localSheetId="12">Calvert!$I$198:$Z$198</definedName>
    <definedName name="Minerals_Net_ATCash" localSheetId="11">'New Albany'!$I$198:$Z$198</definedName>
    <definedName name="Minerals_Net_ATCash" localSheetId="13">Wheatland!$I$200:$Z$200</definedName>
    <definedName name="Minerals_Net_Income" localSheetId="12">Calvert!$I$196:$Z$196</definedName>
    <definedName name="Minerals_Net_Income" localSheetId="11">'New Albany'!$I$196:$Z$196</definedName>
    <definedName name="Minerals_Net_Income" localSheetId="13">Wheatland!$I$198:$Z$198</definedName>
    <definedName name="navyi_share" localSheetId="12">Calvert!#REF!</definedName>
    <definedName name="navyi_share" localSheetId="11">'New Albany'!#REF!</definedName>
    <definedName name="navyi_share" localSheetId="13">Wheatland!#REF!</definedName>
    <definedName name="navyII_share" localSheetId="12">Calvert!#REF!</definedName>
    <definedName name="navyII_share" localSheetId="11">'New Albany'!#REF!</definedName>
    <definedName name="navyII_share" localSheetId="13">Wheatland!#REF!</definedName>
    <definedName name="Net_ATCash" localSheetId="12">Calvert!#REF!</definedName>
    <definedName name="Net_ATCash" localSheetId="11">'New Albany'!#REF!</definedName>
    <definedName name="Net_ATCash" localSheetId="13">Wheatland!#REF!</definedName>
    <definedName name="Net_Income_Unlevered" localSheetId="12">Calvert!#REF!</definedName>
    <definedName name="Net_Income_Unlevered" localSheetId="11">'New Albany'!#REF!</definedName>
    <definedName name="Net_Income_Unlevered" localSheetId="13">Wheatland!#REF!</definedName>
    <definedName name="Norcon_Distributable_Cash" localSheetId="12">Calvert!$F$562:$Q$562</definedName>
    <definedName name="Norcon_Distributable_Cash" localSheetId="11">'New Albany'!$F$562:$Q$562</definedName>
    <definedName name="Norcon_Distributable_Cash" localSheetId="13">Wheatland!$F$564:$Q$564</definedName>
    <definedName name="Norcon_Net_ATCash" localSheetId="12">Calvert!$F$563:$Q$563</definedName>
    <definedName name="Norcon_Net_ATCash" localSheetId="11">'New Albany'!$F$563:$Q$563</definedName>
    <definedName name="Norcon_Net_ATCash" localSheetId="13">Wheatland!$F$565:$Q$565</definedName>
    <definedName name="Norcon_Net_Income" localSheetId="12">Calvert!$F$561:$Q$561</definedName>
    <definedName name="Norcon_Net_Income" localSheetId="11">'New Albany'!$F$561:$Q$561</definedName>
    <definedName name="Norcon_Net_Income" localSheetId="13">Wheatland!$F$563:$Q$563</definedName>
    <definedName name="PRI_Cash_Taxes" localSheetId="12">Calvert!$I$241:$M$241</definedName>
    <definedName name="PRI_Cash_Taxes" localSheetId="11">'New Albany'!$I$241:$M$241</definedName>
    <definedName name="PRI_Cash_Taxes" localSheetId="13">Wheatland!$I$243:$M$243</definedName>
    <definedName name="PRI_Net_ATCash" localSheetId="12">Calvert!$I$249:$M$249</definedName>
    <definedName name="PRI_Net_ATCash" localSheetId="11">'New Albany'!$I$249:$M$249</definedName>
    <definedName name="PRI_Net_ATCash" localSheetId="13">Wheatland!$I$251:$M$251</definedName>
    <definedName name="PRI_Net_Income" localSheetId="12">Calvert!$I$248:$M$248</definedName>
    <definedName name="PRI_Net_Income" localSheetId="11">'New Albany'!$I$248:$M$248</definedName>
    <definedName name="PRI_Net_Income" localSheetId="13">Wheatland!$I$250:$M$250</definedName>
    <definedName name="_xlnm.Print_Area" localSheetId="1">Assumptions!$A$2:$U$92</definedName>
    <definedName name="_xlnm.Print_Area" localSheetId="9">Brownsville!$A$2:$Z$79</definedName>
    <definedName name="_xlnm.Print_Area" localSheetId="10">Caledonia!$A$2:$Z$76</definedName>
    <definedName name="_xlnm.Print_Area" localSheetId="12">Calvert!$A$2:$Z$79</definedName>
    <definedName name="_xlnm.Print_Area" localSheetId="4">CF!$A$1:$AA$55</definedName>
    <definedName name="_xlnm.Print_Area" localSheetId="6">Debt!$A$13:$V$119</definedName>
    <definedName name="_xlnm.Print_Area" localSheetId="7">Depreciation!$A$2:$AE$80</definedName>
    <definedName name="_xlnm.Print_Area" localSheetId="15">'EGC Start Charge Matrix'!$A$2:$AM$35</definedName>
    <definedName name="_xlnm.Print_Area" localSheetId="5">IRR!$A$1:$AU$50</definedName>
    <definedName name="_xlnm.Print_Area" localSheetId="3">IS!$A$2:$Z$68</definedName>
    <definedName name="_xlnm.Print_Area" localSheetId="11">'New Albany'!$A$2:$Z$79</definedName>
    <definedName name="_xlnm.Print_Area" localSheetId="0">'Preset Scenarios'!$A$1:$M$57</definedName>
    <definedName name="_xlnm.Print_Area" localSheetId="8">Tax!$A$2:$Y$48</definedName>
    <definedName name="_xlnm.Print_Area" localSheetId="13">Wheatland!$A$2:$Z$91</definedName>
    <definedName name="_xlnm.Print_Area" localSheetId="14">Wilton!$A$2:$Z$79</definedName>
    <definedName name="_xlnm.Print_Titles" localSheetId="9">Brownsville!$A:$B</definedName>
    <definedName name="_xlnm.Print_Titles" localSheetId="10">Caledonia!$A:$A</definedName>
    <definedName name="_xlnm.Print_Titles" localSheetId="12">Calvert!$A:$B</definedName>
    <definedName name="_xlnm.Print_Titles" localSheetId="4">CF!$A:$B</definedName>
    <definedName name="_xlnm.Print_Titles" localSheetId="6">Debt!$A:$A</definedName>
    <definedName name="_xlnm.Print_Titles" localSheetId="7">Depreciation!$A:$A</definedName>
    <definedName name="_xlnm.Print_Titles" localSheetId="5">IRR!$A:$B</definedName>
    <definedName name="_xlnm.Print_Titles" localSheetId="3">IS!$A:$A</definedName>
    <definedName name="_xlnm.Print_Titles" localSheetId="11">'New Albany'!$A:$B</definedName>
    <definedName name="_xlnm.Print_Titles" localSheetId="8">Tax!$A:$C</definedName>
    <definedName name="_xlnm.Print_Titles" localSheetId="13">Wheatland!$A:$B</definedName>
    <definedName name="_xlnm.Print_Titles" localSheetId="14">Wilton!$A:$B</definedName>
    <definedName name="Saranac_Distributable_Cash" localSheetId="12">Calvert!$I$416:$S$416</definedName>
    <definedName name="Saranac_Distributable_Cash" localSheetId="11">'New Albany'!$I$416:$S$416</definedName>
    <definedName name="Saranac_Distributable_Cash" localSheetId="13">Wheatland!$I$418:$S$418</definedName>
    <definedName name="Saranac_Net_ATCash" localSheetId="12">Calvert!$I$417:$S$417</definedName>
    <definedName name="Saranac_Net_ATCash" localSheetId="11">'New Albany'!$I$417:$S$417</definedName>
    <definedName name="Saranac_Net_ATCash" localSheetId="13">Wheatland!$I$419:$S$419</definedName>
    <definedName name="Saranac_Net_Income" localSheetId="12">Calvert!$I$415:$S$415</definedName>
    <definedName name="Saranac_Net_Income" localSheetId="11">'New Albany'!$I$415:$S$415</definedName>
    <definedName name="Saranac_Net_Income" localSheetId="13">Wheatland!$I$417:$S$417</definedName>
    <definedName name="Tax_Depreciation" localSheetId="12">Calvert!#REF!</definedName>
    <definedName name="Tax_Depreciation" localSheetId="11">'New Albany'!#REF!</definedName>
    <definedName name="Tax_Depreciation" localSheetId="13">Wheatland!#REF!</definedName>
    <definedName name="Taxable_Income" localSheetId="12">Calvert!#REF!</definedName>
    <definedName name="Taxable_Income" localSheetId="11">'New Albany'!#REF!</definedName>
    <definedName name="Taxable_Income" localSheetId="13">Wheatland!#REF!</definedName>
    <definedName name="Yuma_Distributable_Cash" localSheetId="12">Calvert!$I$378:$Z$378</definedName>
    <definedName name="Yuma_Distributable_Cash" localSheetId="11">'New Albany'!$I$378:$Z$378</definedName>
    <definedName name="Yuma_Distributable_Cash" localSheetId="13">Wheatland!$I$380:$Z$380</definedName>
    <definedName name="Yuma_Net_ATCash" localSheetId="12">Calvert!$I$379:$Z$379</definedName>
    <definedName name="Yuma_Net_ATCash" localSheetId="11">'New Albany'!$I$379:$Z$379</definedName>
    <definedName name="Yuma_Net_ATCash" localSheetId="13">Wheatland!$I$381:$Z$381</definedName>
    <definedName name="Yuma_Net_Income" localSheetId="12">Calvert!$I$377:$Z$377</definedName>
    <definedName name="Yuma_Net_Income" localSheetId="11">'New Albany'!$I$377:$Z$377</definedName>
    <definedName name="Yuma_Net_Income" localSheetId="13">Wheatland!$I$379:$Z$379</definedName>
    <definedName name="zinc" localSheetId="12">Calvert!$AC$21</definedName>
    <definedName name="zinc" localSheetId="11">'New Albany'!$AC$21</definedName>
    <definedName name="zinc" localSheetId="13">Wheatland!$AC$19</definedName>
    <definedName name="Zinc_Distributable_Cash" localSheetId="12">Calvert!$I$142:$Z$142</definedName>
    <definedName name="Zinc_Distributable_Cash" localSheetId="11">'New Albany'!$I$142:$Z$142</definedName>
    <definedName name="Zinc_Distributable_Cash" localSheetId="13">Wheatland!$I$144:$Z$144</definedName>
    <definedName name="Zinc_Net_ATCash" localSheetId="12">Calvert!$I$143:$Z$143</definedName>
    <definedName name="Zinc_Net_ATCash" localSheetId="11">'New Albany'!$I$143:$Z$143</definedName>
    <definedName name="Zinc_Net_ATCash" localSheetId="13">Wheatland!$I$145:$Z$145</definedName>
    <definedName name="Zinc_Net_Income" localSheetId="12">Calvert!$I$141:$Z$141</definedName>
    <definedName name="Zinc_Net_Income" localSheetId="11">'New Albany'!$I$141:$Z$141</definedName>
    <definedName name="Zinc_Net_Income" localSheetId="13">Wheatland!$I$143:$Z$143</definedName>
  </definedNames>
  <calcPr calcId="152511" calcMode="manual" fullCalcOnLoad="1" iterate="1"/>
</workbook>
</file>

<file path=xl/calcChain.xml><?xml version="1.0" encoding="utf-8"?>
<calcChain xmlns="http://schemas.openxmlformats.org/spreadsheetml/2006/main">
  <c r="C7" i="16" l="1"/>
  <c r="E7" i="16"/>
  <c r="G7" i="16"/>
  <c r="K7" i="16"/>
  <c r="C8" i="16"/>
  <c r="E8" i="16"/>
  <c r="E10" i="16" s="1"/>
  <c r="G9" i="16" s="1"/>
  <c r="C9" i="16"/>
  <c r="E9" i="16"/>
  <c r="K9" i="16"/>
  <c r="I10" i="16"/>
  <c r="K8" i="16" s="1"/>
  <c r="C12" i="16"/>
  <c r="E12" i="16"/>
  <c r="K12" i="16"/>
  <c r="K15" i="16" s="1"/>
  <c r="C13" i="16"/>
  <c r="E13" i="16"/>
  <c r="G13" i="16"/>
  <c r="K13" i="16"/>
  <c r="C14" i="16"/>
  <c r="E14" i="16"/>
  <c r="K14" i="16"/>
  <c r="E15" i="16"/>
  <c r="E17" i="16" s="1"/>
  <c r="I15" i="16"/>
  <c r="C17" i="16"/>
  <c r="G17" i="16"/>
  <c r="C8" i="2"/>
  <c r="C13" i="2" s="1"/>
  <c r="M10" i="2"/>
  <c r="N10" i="2" s="1"/>
  <c r="P10" i="2"/>
  <c r="P33" i="2" s="1"/>
  <c r="B14" i="2"/>
  <c r="C14" i="2" s="1"/>
  <c r="L14" i="2"/>
  <c r="Q14" i="2"/>
  <c r="Q17" i="2" s="1"/>
  <c r="N16" i="2"/>
  <c r="L17" i="2"/>
  <c r="L19" i="2"/>
  <c r="M19" i="2"/>
  <c r="M14" i="2" s="1"/>
  <c r="N19" i="2"/>
  <c r="N14" i="2" s="1"/>
  <c r="Q19" i="2"/>
  <c r="R19" i="2"/>
  <c r="R14" i="2" s="1"/>
  <c r="R17" i="2" s="1"/>
  <c r="B22" i="2"/>
  <c r="C22" i="2"/>
  <c r="B23" i="2"/>
  <c r="C23" i="2"/>
  <c r="D23" i="2"/>
  <c r="M25" i="2"/>
  <c r="N25" i="2"/>
  <c r="P25" i="2" s="1"/>
  <c r="Q25" i="2" s="1"/>
  <c r="R25" i="2" s="1"/>
  <c r="L26" i="2"/>
  <c r="M26" i="2"/>
  <c r="N26" i="2"/>
  <c r="P26" i="2"/>
  <c r="Q26" i="2"/>
  <c r="R26" i="2"/>
  <c r="N27" i="2"/>
  <c r="B28" i="2"/>
  <c r="C28" i="2"/>
  <c r="D28" i="2"/>
  <c r="B29" i="2"/>
  <c r="C29" i="2"/>
  <c r="D29" i="2"/>
  <c r="M29" i="2"/>
  <c r="N29" i="2"/>
  <c r="L30" i="2"/>
  <c r="N30" i="2"/>
  <c r="N17" i="2" s="1"/>
  <c r="L33" i="2"/>
  <c r="M33" i="2"/>
  <c r="M34" i="2" s="1"/>
  <c r="N33" i="2"/>
  <c r="L34" i="2"/>
  <c r="M35" i="2"/>
  <c r="N35" i="2"/>
  <c r="P35" i="2"/>
  <c r="Q35" i="2" s="1"/>
  <c r="R35" i="2" s="1"/>
  <c r="M36" i="2"/>
  <c r="N36" i="2"/>
  <c r="P36" i="2"/>
  <c r="Q36" i="2"/>
  <c r="R36" i="2"/>
  <c r="M50" i="2"/>
  <c r="N50" i="2"/>
  <c r="P50" i="2"/>
  <c r="Q50" i="2"/>
  <c r="R50" i="2"/>
  <c r="D56" i="2"/>
  <c r="E56" i="2"/>
  <c r="F56" i="2"/>
  <c r="D58" i="2"/>
  <c r="E58" i="2"/>
  <c r="F58" i="2"/>
  <c r="L80" i="2"/>
  <c r="M80" i="2"/>
  <c r="N80" i="2"/>
  <c r="P80" i="2"/>
  <c r="Q80" i="2"/>
  <c r="R80" i="2"/>
  <c r="F5" i="9"/>
  <c r="G5" i="9" s="1"/>
  <c r="H5" i="9" s="1"/>
  <c r="I5" i="9"/>
  <c r="J5" i="9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/>
  <c r="W5" i="9" s="1"/>
  <c r="X5" i="9" s="1"/>
  <c r="Y5" i="9" s="1"/>
  <c r="Z5" i="9" s="1"/>
  <c r="E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J17" i="9"/>
  <c r="K17" i="9"/>
  <c r="L17" i="9"/>
  <c r="N17" i="9"/>
  <c r="O17" i="9"/>
  <c r="R17" i="9"/>
  <c r="S17" i="9"/>
  <c r="T17" i="9"/>
  <c r="V17" i="9"/>
  <c r="W17" i="9"/>
  <c r="Z17" i="9"/>
  <c r="E31" i="9"/>
  <c r="I33" i="9"/>
  <c r="E34" i="9"/>
  <c r="E35" i="9"/>
  <c r="C49" i="9"/>
  <c r="C50" i="9"/>
  <c r="B53" i="9"/>
  <c r="C58" i="9"/>
  <c r="F60" i="9"/>
  <c r="G60" i="9" s="1"/>
  <c r="H60" i="9" s="1"/>
  <c r="I60" i="9"/>
  <c r="J60" i="9" s="1"/>
  <c r="K60" i="9" s="1"/>
  <c r="L60" i="9" s="1"/>
  <c r="M60" i="9" s="1"/>
  <c r="N60" i="9" s="1"/>
  <c r="O60" i="9" s="1"/>
  <c r="P60" i="9" s="1"/>
  <c r="Q60" i="9"/>
  <c r="R60" i="9" s="1"/>
  <c r="S60" i="9" s="1"/>
  <c r="T60" i="9"/>
  <c r="U60" i="9" s="1"/>
  <c r="V60" i="9" s="1"/>
  <c r="W60" i="9" s="1"/>
  <c r="X60" i="9" s="1"/>
  <c r="Y60" i="9" s="1"/>
  <c r="Z60" i="9" s="1"/>
  <c r="E64" i="9"/>
  <c r="C75" i="9"/>
  <c r="C76" i="9"/>
  <c r="F5" i="10"/>
  <c r="G5" i="10" s="1"/>
  <c r="H5" i="10" s="1"/>
  <c r="I5" i="10" s="1"/>
  <c r="J5" i="10" s="1"/>
  <c r="K5" i="10"/>
  <c r="L5" i="10" s="1"/>
  <c r="M5" i="10" s="1"/>
  <c r="N5" i="10" s="1"/>
  <c r="O5" i="10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I33" i="10"/>
  <c r="E34" i="10"/>
  <c r="E35" i="10"/>
  <c r="C51" i="10"/>
  <c r="C52" i="10"/>
  <c r="B55" i="10"/>
  <c r="C60" i="10"/>
  <c r="F62" i="10"/>
  <c r="G62" i="10"/>
  <c r="H62" i="10" s="1"/>
  <c r="I62" i="10" s="1"/>
  <c r="J62" i="10" s="1"/>
  <c r="K62" i="10"/>
  <c r="L62" i="10" s="1"/>
  <c r="M62" i="10" s="1"/>
  <c r="N62" i="10" s="1"/>
  <c r="O62" i="10" s="1"/>
  <c r="P62" i="10" s="1"/>
  <c r="Q62" i="10" s="1"/>
  <c r="R62" i="10" s="1"/>
  <c r="S62" i="10" s="1"/>
  <c r="T62" i="10"/>
  <c r="U62" i="10" s="1"/>
  <c r="V62" i="10" s="1"/>
  <c r="W62" i="10" s="1"/>
  <c r="X62" i="10" s="1"/>
  <c r="Y62" i="10" s="1"/>
  <c r="Z62" i="10" s="1"/>
  <c r="E66" i="10"/>
  <c r="C75" i="10"/>
  <c r="C76" i="10"/>
  <c r="F5" i="12"/>
  <c r="G5" i="12" s="1"/>
  <c r="H5" i="12" s="1"/>
  <c r="I5" i="12" s="1"/>
  <c r="J5" i="12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E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E19" i="12"/>
  <c r="E20" i="12" s="1"/>
  <c r="E39" i="12" s="1"/>
  <c r="I33" i="12"/>
  <c r="E36" i="12"/>
  <c r="E44" i="12"/>
  <c r="E49" i="12" s="1"/>
  <c r="C51" i="12"/>
  <c r="C52" i="12"/>
  <c r="B55" i="12"/>
  <c r="C60" i="12"/>
  <c r="C76" i="12" s="1"/>
  <c r="F62" i="12"/>
  <c r="G62" i="12"/>
  <c r="H62" i="12" s="1"/>
  <c r="I62" i="12" s="1"/>
  <c r="J62" i="12" s="1"/>
  <c r="K62" i="12" s="1"/>
  <c r="L62" i="12" s="1"/>
  <c r="M62" i="12" s="1"/>
  <c r="N62" i="12"/>
  <c r="O62" i="12" s="1"/>
  <c r="P62" i="12" s="1"/>
  <c r="Q62" i="12" s="1"/>
  <c r="R62" i="12" s="1"/>
  <c r="S62" i="12" s="1"/>
  <c r="T62" i="12" s="1"/>
  <c r="U62" i="12" s="1"/>
  <c r="V62" i="12" s="1"/>
  <c r="W62" i="12" s="1"/>
  <c r="X62" i="12" s="1"/>
  <c r="Y62" i="12" s="1"/>
  <c r="Z62" i="12" s="1"/>
  <c r="E64" i="12"/>
  <c r="E67" i="12"/>
  <c r="E72" i="12"/>
  <c r="E76" i="12" s="1"/>
  <c r="C75" i="12"/>
  <c r="G7" i="5"/>
  <c r="H7" i="5" s="1"/>
  <c r="I7" i="5"/>
  <c r="J7" i="5" s="1"/>
  <c r="K7" i="5" s="1"/>
  <c r="L7" i="5" s="1"/>
  <c r="M7" i="5" s="1"/>
  <c r="N7" i="5" s="1"/>
  <c r="O7" i="5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G12" i="5"/>
  <c r="AA15" i="5"/>
  <c r="AA16" i="5"/>
  <c r="F18" i="5"/>
  <c r="F22" i="5"/>
  <c r="F27" i="5"/>
  <c r="C29" i="5"/>
  <c r="F30" i="5"/>
  <c r="G36" i="5"/>
  <c r="H36" i="5" s="1"/>
  <c r="I36" i="5" s="1"/>
  <c r="J36" i="5" s="1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U36" i="5" s="1"/>
  <c r="V36" i="5" s="1"/>
  <c r="W36" i="5" s="1"/>
  <c r="X36" i="5" s="1"/>
  <c r="Y36" i="5" s="1"/>
  <c r="Z36" i="5" s="1"/>
  <c r="AA36" i="5" s="1"/>
  <c r="F39" i="5"/>
  <c r="E41" i="5"/>
  <c r="F41" i="5"/>
  <c r="F42" i="5"/>
  <c r="F44" i="5"/>
  <c r="C49" i="5"/>
  <c r="B55" i="5" s="1"/>
  <c r="D50" i="5" s="1"/>
  <c r="E49" i="5"/>
  <c r="F49" i="5"/>
  <c r="F7" i="6"/>
  <c r="B30" i="2" s="1"/>
  <c r="L7" i="6"/>
  <c r="C30" i="2" s="1"/>
  <c r="R7" i="6"/>
  <c r="D30" i="2" s="1"/>
  <c r="R10" i="6"/>
  <c r="D22" i="2" s="1"/>
  <c r="C17" i="6"/>
  <c r="D17" i="6" s="1"/>
  <c r="E17" i="6" s="1"/>
  <c r="F17" i="6" s="1"/>
  <c r="G17" i="6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F21" i="6"/>
  <c r="B23" i="6"/>
  <c r="A24" i="6" s="1"/>
  <c r="L23" i="6"/>
  <c r="A28" i="6"/>
  <c r="A164" i="6" s="1"/>
  <c r="B30" i="6"/>
  <c r="C31" i="6"/>
  <c r="D31" i="6"/>
  <c r="E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B33" i="6"/>
  <c r="B35" i="6" s="1"/>
  <c r="B38" i="6" s="1"/>
  <c r="B40" i="6" s="1"/>
  <c r="C36" i="6"/>
  <c r="D36" i="6"/>
  <c r="E36" i="6"/>
  <c r="G36" i="6"/>
  <c r="H36" i="6"/>
  <c r="I36" i="6"/>
  <c r="J36" i="6"/>
  <c r="K36" i="6"/>
  <c r="K47" i="6" s="1"/>
  <c r="L36" i="6"/>
  <c r="M36" i="6"/>
  <c r="N36" i="6"/>
  <c r="O36" i="6"/>
  <c r="P36" i="6"/>
  <c r="Q36" i="6"/>
  <c r="R36" i="6"/>
  <c r="S36" i="6"/>
  <c r="S47" i="6" s="1"/>
  <c r="T36" i="6"/>
  <c r="U36" i="6"/>
  <c r="V36" i="6"/>
  <c r="B41" i="6"/>
  <c r="B47" i="6"/>
  <c r="D47" i="6"/>
  <c r="H47" i="6"/>
  <c r="J47" i="6"/>
  <c r="L47" i="6"/>
  <c r="N47" i="6"/>
  <c r="P47" i="6"/>
  <c r="R47" i="6"/>
  <c r="T47" i="6"/>
  <c r="V47" i="6"/>
  <c r="C48" i="6"/>
  <c r="C111" i="6" s="1"/>
  <c r="D48" i="6"/>
  <c r="E48" i="6"/>
  <c r="F48" i="6"/>
  <c r="G48" i="6"/>
  <c r="G111" i="6" s="1"/>
  <c r="H48" i="6"/>
  <c r="I48" i="6"/>
  <c r="I111" i="6" s="1"/>
  <c r="J48" i="6"/>
  <c r="K48" i="6"/>
  <c r="K111" i="6" s="1"/>
  <c r="L48" i="6"/>
  <c r="M48" i="6"/>
  <c r="N48" i="6"/>
  <c r="O48" i="6"/>
  <c r="O111" i="6" s="1"/>
  <c r="P48" i="6"/>
  <c r="Q48" i="6"/>
  <c r="Q111" i="6" s="1"/>
  <c r="R48" i="6"/>
  <c r="S48" i="6"/>
  <c r="S111" i="6" s="1"/>
  <c r="T48" i="6"/>
  <c r="U48" i="6"/>
  <c r="V48" i="6"/>
  <c r="A51" i="6"/>
  <c r="B53" i="6"/>
  <c r="C53" i="6"/>
  <c r="C54" i="6"/>
  <c r="C70" i="6" s="1"/>
  <c r="D54" i="6"/>
  <c r="E54" i="6"/>
  <c r="G54" i="6"/>
  <c r="H54" i="6"/>
  <c r="I54" i="6"/>
  <c r="J54" i="6"/>
  <c r="J70" i="6" s="1"/>
  <c r="K54" i="6"/>
  <c r="L54" i="6"/>
  <c r="L144" i="6" s="1"/>
  <c r="M54" i="6"/>
  <c r="N54" i="6"/>
  <c r="O54" i="6"/>
  <c r="P54" i="6"/>
  <c r="Q54" i="6"/>
  <c r="R54" i="6"/>
  <c r="R70" i="6" s="1"/>
  <c r="S54" i="6"/>
  <c r="T54" i="6"/>
  <c r="T144" i="6" s="1"/>
  <c r="U54" i="6"/>
  <c r="V54" i="6"/>
  <c r="B56" i="6"/>
  <c r="B58" i="6"/>
  <c r="B61" i="6" s="1"/>
  <c r="C59" i="6"/>
  <c r="D59" i="6"/>
  <c r="E59" i="6"/>
  <c r="F59" i="6"/>
  <c r="F70" i="6" s="1"/>
  <c r="G59" i="6"/>
  <c r="H59" i="6"/>
  <c r="N127" i="6" s="1"/>
  <c r="I59" i="6"/>
  <c r="J59" i="6"/>
  <c r="K59" i="6"/>
  <c r="K70" i="6" s="1"/>
  <c r="L59" i="6"/>
  <c r="M59" i="6"/>
  <c r="N59" i="6"/>
  <c r="O59" i="6"/>
  <c r="P59" i="6"/>
  <c r="Q59" i="6"/>
  <c r="R59" i="6"/>
  <c r="S59" i="6"/>
  <c r="T59" i="6"/>
  <c r="U59" i="6"/>
  <c r="V59" i="6"/>
  <c r="B63" i="6"/>
  <c r="B64" i="6"/>
  <c r="B65" i="6"/>
  <c r="B69" i="6" s="1"/>
  <c r="B66" i="6"/>
  <c r="B70" i="6"/>
  <c r="E70" i="6"/>
  <c r="G70" i="6"/>
  <c r="I70" i="6"/>
  <c r="M70" i="6"/>
  <c r="O70" i="6"/>
  <c r="Q70" i="6"/>
  <c r="S70" i="6"/>
  <c r="U70" i="6"/>
  <c r="B71" i="6"/>
  <c r="C71" i="6"/>
  <c r="D71" i="6"/>
  <c r="E71" i="6"/>
  <c r="F71" i="6"/>
  <c r="F111" i="6" s="1"/>
  <c r="G71" i="6"/>
  <c r="H71" i="6"/>
  <c r="I71" i="6"/>
  <c r="J71" i="6"/>
  <c r="K71" i="6"/>
  <c r="L71" i="6"/>
  <c r="M71" i="6"/>
  <c r="N71" i="6"/>
  <c r="N111" i="6" s="1"/>
  <c r="O71" i="6"/>
  <c r="P71" i="6"/>
  <c r="Q71" i="6"/>
  <c r="R71" i="6"/>
  <c r="S71" i="6"/>
  <c r="T71" i="6"/>
  <c r="U71" i="6"/>
  <c r="V71" i="6"/>
  <c r="V111" i="6" s="1"/>
  <c r="A74" i="6"/>
  <c r="B76" i="6"/>
  <c r="Q77" i="6" s="1"/>
  <c r="E77" i="6"/>
  <c r="E93" i="6" s="1"/>
  <c r="F77" i="6"/>
  <c r="H77" i="6"/>
  <c r="J77" i="6"/>
  <c r="R145" i="6" s="1"/>
  <c r="S77" i="6"/>
  <c r="S93" i="6" s="1"/>
  <c r="S110" i="6" s="1"/>
  <c r="U77" i="6"/>
  <c r="AM128" i="6" s="1"/>
  <c r="B79" i="6"/>
  <c r="B81" i="6" s="1"/>
  <c r="B84" i="6" s="1"/>
  <c r="B86" i="6" s="1"/>
  <c r="D82" i="6"/>
  <c r="E82" i="6"/>
  <c r="L82" i="6"/>
  <c r="L93" i="6" s="1"/>
  <c r="M82" i="6"/>
  <c r="X128" i="6" s="1"/>
  <c r="Q82" i="6"/>
  <c r="AF128" i="6" s="1"/>
  <c r="S82" i="6"/>
  <c r="B87" i="6"/>
  <c r="B94" i="6" s="1"/>
  <c r="B93" i="6"/>
  <c r="B110" i="6" s="1"/>
  <c r="C94" i="6"/>
  <c r="D94" i="6"/>
  <c r="E94" i="6"/>
  <c r="E111" i="6" s="1"/>
  <c r="F94" i="6"/>
  <c r="G94" i="6"/>
  <c r="H94" i="6"/>
  <c r="H111" i="6" s="1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B99" i="6"/>
  <c r="B100" i="6"/>
  <c r="B101" i="6"/>
  <c r="D103" i="6"/>
  <c r="B104" i="6"/>
  <c r="B108" i="6"/>
  <c r="D111" i="6"/>
  <c r="J111" i="6"/>
  <c r="L111" i="6"/>
  <c r="M111" i="6"/>
  <c r="P111" i="6"/>
  <c r="R111" i="6"/>
  <c r="T111" i="6"/>
  <c r="U111" i="6"/>
  <c r="B114" i="6"/>
  <c r="B123" i="6"/>
  <c r="F124" i="6"/>
  <c r="N124" i="6"/>
  <c r="P124" i="6"/>
  <c r="X124" i="6"/>
  <c r="AD124" i="6"/>
  <c r="AE124" i="6"/>
  <c r="AM124" i="6"/>
  <c r="AO124" i="6"/>
  <c r="B126" i="6"/>
  <c r="E126" i="6"/>
  <c r="F126" i="6"/>
  <c r="G126" i="6"/>
  <c r="H126" i="6"/>
  <c r="K126" i="6"/>
  <c r="L126" i="6"/>
  <c r="M126" i="6"/>
  <c r="N126" i="6"/>
  <c r="P126" i="6"/>
  <c r="Q126" i="6"/>
  <c r="R126" i="6"/>
  <c r="S126" i="6"/>
  <c r="T126" i="6"/>
  <c r="U126" i="6"/>
  <c r="V126" i="6"/>
  <c r="K127" i="6"/>
  <c r="L127" i="6"/>
  <c r="M127" i="6"/>
  <c r="O127" i="6"/>
  <c r="P127" i="6"/>
  <c r="Q127" i="6"/>
  <c r="R127" i="6"/>
  <c r="S127" i="6"/>
  <c r="T127" i="6"/>
  <c r="AI128" i="6"/>
  <c r="AJ128" i="6"/>
  <c r="E142" i="6"/>
  <c r="G142" i="6"/>
  <c r="I142" i="6"/>
  <c r="O142" i="6"/>
  <c r="P142" i="6"/>
  <c r="V142" i="6"/>
  <c r="W142" i="6"/>
  <c r="AC142" i="6"/>
  <c r="B144" i="6"/>
  <c r="C144" i="6"/>
  <c r="E144" i="6"/>
  <c r="F144" i="6"/>
  <c r="G144" i="6"/>
  <c r="H144" i="6"/>
  <c r="I144" i="6"/>
  <c r="J144" i="6"/>
  <c r="K144" i="6"/>
  <c r="M144" i="6"/>
  <c r="N144" i="6"/>
  <c r="O144" i="6"/>
  <c r="P144" i="6"/>
  <c r="Q144" i="6"/>
  <c r="R144" i="6"/>
  <c r="S144" i="6"/>
  <c r="U144" i="6"/>
  <c r="V144" i="6"/>
  <c r="K145" i="6"/>
  <c r="M145" i="6"/>
  <c r="O145" i="6"/>
  <c r="Q145" i="6"/>
  <c r="S145" i="6"/>
  <c r="U145" i="6"/>
  <c r="V145" i="6"/>
  <c r="W146" i="6"/>
  <c r="Y146" i="6"/>
  <c r="AA146" i="6"/>
  <c r="AC146" i="6"/>
  <c r="B166" i="6"/>
  <c r="B169" i="6" s="1"/>
  <c r="B171" i="6" s="1"/>
  <c r="B174" i="6"/>
  <c r="B176" i="6" s="1"/>
  <c r="B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C184" i="6"/>
  <c r="D184" i="6"/>
  <c r="E184" i="6"/>
  <c r="F184" i="6"/>
  <c r="G184" i="6"/>
  <c r="H184" i="6"/>
  <c r="I184" i="6"/>
  <c r="J184" i="6"/>
  <c r="J247" i="6" s="1"/>
  <c r="K184" i="6"/>
  <c r="L184" i="6"/>
  <c r="M184" i="6"/>
  <c r="N184" i="6"/>
  <c r="O184" i="6"/>
  <c r="P184" i="6"/>
  <c r="Q184" i="6"/>
  <c r="R184" i="6"/>
  <c r="R247" i="6" s="1"/>
  <c r="S184" i="6"/>
  <c r="T184" i="6"/>
  <c r="U184" i="6"/>
  <c r="V184" i="6"/>
  <c r="A187" i="6"/>
  <c r="B189" i="6"/>
  <c r="B192" i="6"/>
  <c r="B194" i="6" s="1"/>
  <c r="B197" i="6"/>
  <c r="B199" i="6" s="1"/>
  <c r="B201" i="6" s="1"/>
  <c r="B205" i="6" s="1"/>
  <c r="B200" i="6"/>
  <c r="C206" i="6" s="1"/>
  <c r="B206" i="6"/>
  <c r="D206" i="6"/>
  <c r="E206" i="6"/>
  <c r="M206" i="6"/>
  <c r="N206" i="6"/>
  <c r="O206" i="6"/>
  <c r="P206" i="6"/>
  <c r="Q206" i="6"/>
  <c r="R206" i="6"/>
  <c r="S206" i="6"/>
  <c r="T206" i="6"/>
  <c r="U206" i="6"/>
  <c r="V206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M247" i="6" s="1"/>
  <c r="N207" i="6"/>
  <c r="O207" i="6"/>
  <c r="O247" i="6" s="1"/>
  <c r="P207" i="6"/>
  <c r="Q207" i="6"/>
  <c r="R207" i="6"/>
  <c r="S207" i="6"/>
  <c r="T207" i="6"/>
  <c r="U207" i="6"/>
  <c r="V207" i="6"/>
  <c r="A210" i="6"/>
  <c r="B212" i="6"/>
  <c r="B215" i="6"/>
  <c r="B217" i="6" s="1"/>
  <c r="B220" i="6"/>
  <c r="B222" i="6" s="1"/>
  <c r="B223" i="6"/>
  <c r="B229" i="6"/>
  <c r="B246" i="6" s="1"/>
  <c r="C229" i="6"/>
  <c r="D229" i="6"/>
  <c r="E229" i="6"/>
  <c r="F229" i="6"/>
  <c r="G229" i="6"/>
  <c r="H229" i="6"/>
  <c r="I229" i="6"/>
  <c r="J229" i="6"/>
  <c r="K229" i="6"/>
  <c r="L229" i="6"/>
  <c r="B230" i="6"/>
  <c r="C230" i="6"/>
  <c r="C247" i="6" s="1"/>
  <c r="D230" i="6"/>
  <c r="E230" i="6"/>
  <c r="F230" i="6"/>
  <c r="G230" i="6"/>
  <c r="H230" i="6"/>
  <c r="H247" i="6" s="1"/>
  <c r="I230" i="6"/>
  <c r="J230" i="6"/>
  <c r="K230" i="6"/>
  <c r="L230" i="6"/>
  <c r="M230" i="6"/>
  <c r="N230" i="6"/>
  <c r="O230" i="6"/>
  <c r="P230" i="6"/>
  <c r="P247" i="6" s="1"/>
  <c r="Q230" i="6"/>
  <c r="R230" i="6"/>
  <c r="S230" i="6"/>
  <c r="S247" i="6" s="1"/>
  <c r="T230" i="6"/>
  <c r="U230" i="6"/>
  <c r="V230" i="6"/>
  <c r="B235" i="6"/>
  <c r="B236" i="6"/>
  <c r="B237" i="6"/>
  <c r="D239" i="6"/>
  <c r="B244" i="6"/>
  <c r="D247" i="6"/>
  <c r="E247" i="6"/>
  <c r="F247" i="6"/>
  <c r="K247" i="6"/>
  <c r="L247" i="6"/>
  <c r="N247" i="6"/>
  <c r="T247" i="6"/>
  <c r="U247" i="6"/>
  <c r="V247" i="6"/>
  <c r="B250" i="6"/>
  <c r="G5" i="7"/>
  <c r="I15" i="7" s="1"/>
  <c r="I26" i="7" s="1"/>
  <c r="H7" i="7"/>
  <c r="B15" i="7"/>
  <c r="L15" i="7"/>
  <c r="M15" i="7"/>
  <c r="M26" i="7" s="1"/>
  <c r="O15" i="7"/>
  <c r="O26" i="7" s="1"/>
  <c r="U15" i="7"/>
  <c r="W15" i="7"/>
  <c r="W26" i="7" s="1"/>
  <c r="B16" i="7"/>
  <c r="H16" i="7"/>
  <c r="I16" i="7"/>
  <c r="J16" i="7"/>
  <c r="J27" i="7" s="1"/>
  <c r="J31" i="7" s="1"/>
  <c r="K16" i="7"/>
  <c r="L16" i="7"/>
  <c r="M16" i="7"/>
  <c r="N16" i="7"/>
  <c r="O16" i="7"/>
  <c r="O27" i="7" s="1"/>
  <c r="P16" i="7"/>
  <c r="Q16" i="7"/>
  <c r="R16" i="7"/>
  <c r="R27" i="7" s="1"/>
  <c r="S16" i="7"/>
  <c r="S27" i="7" s="1"/>
  <c r="S31" i="7" s="1"/>
  <c r="T16" i="7"/>
  <c r="U16" i="7"/>
  <c r="V16" i="7"/>
  <c r="W16" i="7"/>
  <c r="W27" i="7" s="1"/>
  <c r="X16" i="7"/>
  <c r="Y16" i="7"/>
  <c r="Z16" i="7"/>
  <c r="Z19" i="7" s="1"/>
  <c r="AA16" i="7"/>
  <c r="AA27" i="7" s="1"/>
  <c r="B19" i="7"/>
  <c r="B42" i="2" s="1"/>
  <c r="H19" i="7"/>
  <c r="I19" i="7"/>
  <c r="J19" i="7"/>
  <c r="K19" i="7"/>
  <c r="L19" i="7"/>
  <c r="O19" i="7"/>
  <c r="P19" i="7"/>
  <c r="R19" i="7"/>
  <c r="S19" i="7"/>
  <c r="T19" i="7"/>
  <c r="W19" i="7"/>
  <c r="X19" i="7"/>
  <c r="AA19" i="7"/>
  <c r="AB19" i="7"/>
  <c r="AC19" i="7"/>
  <c r="B26" i="7"/>
  <c r="L26" i="7"/>
  <c r="U26" i="7"/>
  <c r="X26" i="7"/>
  <c r="Y26" i="7"/>
  <c r="Z26" i="7"/>
  <c r="AA26" i="7"/>
  <c r="AB26" i="7"/>
  <c r="AC26" i="7"/>
  <c r="B27" i="7"/>
  <c r="H27" i="7"/>
  <c r="H31" i="7" s="1"/>
  <c r="K27" i="7"/>
  <c r="K31" i="7" s="1"/>
  <c r="L27" i="7"/>
  <c r="N27" i="7"/>
  <c r="P27" i="7"/>
  <c r="P31" i="7" s="1"/>
  <c r="T27" i="7"/>
  <c r="T31" i="7" s="1"/>
  <c r="X27" i="7"/>
  <c r="Y27" i="7"/>
  <c r="Y31" i="7" s="1"/>
  <c r="Z27" i="7"/>
  <c r="Z31" i="7" s="1"/>
  <c r="AB27" i="7"/>
  <c r="AC27" i="7"/>
  <c r="AC31" i="7" s="1"/>
  <c r="B31" i="7"/>
  <c r="L31" i="7"/>
  <c r="N31" i="7"/>
  <c r="R31" i="7"/>
  <c r="X31" i="7"/>
  <c r="AA31" i="7"/>
  <c r="AB31" i="7"/>
  <c r="AG31" i="7"/>
  <c r="G37" i="7"/>
  <c r="O37" i="7"/>
  <c r="Q37" i="7"/>
  <c r="Y37" i="7"/>
  <c r="Z37" i="7"/>
  <c r="H38" i="7"/>
  <c r="J38" i="7"/>
  <c r="K38" i="7"/>
  <c r="L38" i="7"/>
  <c r="O38" i="7"/>
  <c r="P38" i="7"/>
  <c r="R38" i="7"/>
  <c r="S38" i="7"/>
  <c r="T38" i="7"/>
  <c r="U38" i="7"/>
  <c r="W38" i="7"/>
  <c r="X38" i="7"/>
  <c r="Z38" i="7"/>
  <c r="AA38" i="7"/>
  <c r="AB38" i="7"/>
  <c r="AC38" i="7"/>
  <c r="B39" i="7"/>
  <c r="T37" i="7" s="1"/>
  <c r="C39" i="7"/>
  <c r="B40" i="7"/>
  <c r="R41" i="7"/>
  <c r="B43" i="7"/>
  <c r="Z41" i="7" s="1"/>
  <c r="B51" i="7"/>
  <c r="I51" i="7"/>
  <c r="I61" i="7" s="1"/>
  <c r="B52" i="7"/>
  <c r="H52" i="7"/>
  <c r="I52" i="7"/>
  <c r="I73" i="7" s="1"/>
  <c r="J52" i="7"/>
  <c r="J62" i="7" s="1"/>
  <c r="K52" i="7"/>
  <c r="L52" i="7"/>
  <c r="L73" i="7" s="1"/>
  <c r="M52" i="7"/>
  <c r="M62" i="7" s="1"/>
  <c r="N52" i="7"/>
  <c r="O52" i="7"/>
  <c r="P52" i="7"/>
  <c r="Q52" i="7"/>
  <c r="R52" i="7"/>
  <c r="S52" i="7"/>
  <c r="T52" i="7"/>
  <c r="T73" i="7" s="1"/>
  <c r="U52" i="7"/>
  <c r="U73" i="7" s="1"/>
  <c r="V52" i="7"/>
  <c r="V62" i="7" s="1"/>
  <c r="W52" i="7"/>
  <c r="X52" i="7"/>
  <c r="Y52" i="7"/>
  <c r="Y62" i="7" s="1"/>
  <c r="Z52" i="7"/>
  <c r="AA52" i="7"/>
  <c r="B55" i="7"/>
  <c r="G55" i="7"/>
  <c r="K55" i="7"/>
  <c r="N55" i="7"/>
  <c r="O55" i="7"/>
  <c r="T55" i="7"/>
  <c r="W55" i="7"/>
  <c r="Z55" i="7"/>
  <c r="AC55" i="7"/>
  <c r="B61" i="7"/>
  <c r="G61" i="7"/>
  <c r="X61" i="7"/>
  <c r="Y61" i="7"/>
  <c r="Z61" i="7"/>
  <c r="AA61" i="7"/>
  <c r="AB61" i="7"/>
  <c r="AC61" i="7"/>
  <c r="B62" i="7"/>
  <c r="G62" i="7"/>
  <c r="K62" i="7"/>
  <c r="L62" i="7"/>
  <c r="N62" i="7"/>
  <c r="O62" i="7"/>
  <c r="S62" i="7"/>
  <c r="T62" i="7"/>
  <c r="U62" i="7"/>
  <c r="W62" i="7"/>
  <c r="AA62" i="7"/>
  <c r="AB62" i="7"/>
  <c r="AC62" i="7"/>
  <c r="B72" i="7"/>
  <c r="J72" i="7" s="1"/>
  <c r="C72" i="7"/>
  <c r="H72" i="7"/>
  <c r="I72" i="7"/>
  <c r="L72" i="7"/>
  <c r="O72" i="7"/>
  <c r="Q72" i="7"/>
  <c r="R72" i="7"/>
  <c r="T72" i="7"/>
  <c r="U72" i="7"/>
  <c r="X72" i="7"/>
  <c r="AB72" i="7"/>
  <c r="AC72" i="7"/>
  <c r="B73" i="7"/>
  <c r="J73" i="7"/>
  <c r="K73" i="7"/>
  <c r="N73" i="7"/>
  <c r="O73" i="7"/>
  <c r="S73" i="7"/>
  <c r="V73" i="7"/>
  <c r="W73" i="7"/>
  <c r="Y73" i="7"/>
  <c r="AA73" i="7"/>
  <c r="AB73" i="7"/>
  <c r="AC73" i="7"/>
  <c r="G10" i="15"/>
  <c r="N10" i="15" s="1"/>
  <c r="H10" i="15"/>
  <c r="O10" i="15" s="1"/>
  <c r="I10" i="15"/>
  <c r="J10" i="15"/>
  <c r="K10" i="15"/>
  <c r="R10" i="15" s="1"/>
  <c r="L10" i="15"/>
  <c r="S10" i="15" s="1"/>
  <c r="P10" i="15"/>
  <c r="Q10" i="15"/>
  <c r="AA10" i="15"/>
  <c r="AH10" i="15" s="1"/>
  <c r="AB10" i="15"/>
  <c r="AC10" i="15"/>
  <c r="AD10" i="15"/>
  <c r="AE10" i="15"/>
  <c r="AF10" i="15"/>
  <c r="AM10" i="15" s="1"/>
  <c r="AI10" i="15"/>
  <c r="AJ10" i="15"/>
  <c r="AK10" i="15"/>
  <c r="AL10" i="15"/>
  <c r="G11" i="15"/>
  <c r="N11" i="15" s="1"/>
  <c r="H11" i="15"/>
  <c r="O11" i="15" s="1"/>
  <c r="I11" i="15"/>
  <c r="J11" i="15"/>
  <c r="K11" i="15"/>
  <c r="R11" i="15" s="1"/>
  <c r="L11" i="15"/>
  <c r="S11" i="15" s="1"/>
  <c r="P11" i="15"/>
  <c r="Q11" i="15"/>
  <c r="AA11" i="15"/>
  <c r="AB11" i="15"/>
  <c r="AI11" i="15" s="1"/>
  <c r="AC11" i="15"/>
  <c r="AJ11" i="15" s="1"/>
  <c r="AD11" i="15"/>
  <c r="AE11" i="15"/>
  <c r="AF11" i="15"/>
  <c r="AM11" i="15" s="1"/>
  <c r="AH11" i="15"/>
  <c r="AK11" i="15"/>
  <c r="AL11" i="15"/>
  <c r="A12" i="15"/>
  <c r="G12" i="15"/>
  <c r="H12" i="15"/>
  <c r="I12" i="15"/>
  <c r="J12" i="15"/>
  <c r="Q12" i="15" s="1"/>
  <c r="K12" i="15"/>
  <c r="L12" i="15"/>
  <c r="P12" i="15"/>
  <c r="U12" i="15"/>
  <c r="U13" i="15" s="1"/>
  <c r="U14" i="15" s="1"/>
  <c r="U15" i="15" s="1"/>
  <c r="U16" i="15" s="1"/>
  <c r="U17" i="15" s="1"/>
  <c r="U18" i="15" s="1"/>
  <c r="U19" i="15" s="1"/>
  <c r="AA12" i="15"/>
  <c r="AB12" i="15"/>
  <c r="AC12" i="15"/>
  <c r="AD12" i="15"/>
  <c r="AE12" i="15"/>
  <c r="AF12" i="15"/>
  <c r="G13" i="15"/>
  <c r="H13" i="15"/>
  <c r="I13" i="15"/>
  <c r="J13" i="15"/>
  <c r="K13" i="15"/>
  <c r="L13" i="15"/>
  <c r="AA13" i="15"/>
  <c r="AB13" i="15"/>
  <c r="AC13" i="15"/>
  <c r="AD13" i="15"/>
  <c r="AE13" i="15"/>
  <c r="AF13" i="15"/>
  <c r="G14" i="15"/>
  <c r="H14" i="15"/>
  <c r="I14" i="15"/>
  <c r="J14" i="15"/>
  <c r="K14" i="15"/>
  <c r="L14" i="15"/>
  <c r="AA14" i="15"/>
  <c r="AB14" i="15"/>
  <c r="AC14" i="15"/>
  <c r="AD14" i="15"/>
  <c r="AE14" i="15"/>
  <c r="AF14" i="15"/>
  <c r="G15" i="15"/>
  <c r="H15" i="15"/>
  <c r="I15" i="15"/>
  <c r="J15" i="15"/>
  <c r="K15" i="15"/>
  <c r="L15" i="15"/>
  <c r="AA15" i="15"/>
  <c r="AB15" i="15"/>
  <c r="AC15" i="15"/>
  <c r="AD15" i="15"/>
  <c r="AE15" i="15"/>
  <c r="AF15" i="15"/>
  <c r="G16" i="15"/>
  <c r="H16" i="15"/>
  <c r="I16" i="15"/>
  <c r="J16" i="15"/>
  <c r="K16" i="15"/>
  <c r="L16" i="15"/>
  <c r="AA16" i="15"/>
  <c r="AB16" i="15"/>
  <c r="AC16" i="15"/>
  <c r="AD16" i="15"/>
  <c r="AE16" i="15"/>
  <c r="AF16" i="15"/>
  <c r="G17" i="15"/>
  <c r="H17" i="15"/>
  <c r="I17" i="15"/>
  <c r="J17" i="15"/>
  <c r="K17" i="15"/>
  <c r="L17" i="15"/>
  <c r="AA17" i="15"/>
  <c r="AB17" i="15"/>
  <c r="AC17" i="15"/>
  <c r="AD17" i="15"/>
  <c r="AE17" i="15"/>
  <c r="AF17" i="15"/>
  <c r="G18" i="15"/>
  <c r="H18" i="15"/>
  <c r="I18" i="15"/>
  <c r="J18" i="15"/>
  <c r="K18" i="15"/>
  <c r="L18" i="15"/>
  <c r="AA18" i="15"/>
  <c r="AB18" i="15"/>
  <c r="AC18" i="15"/>
  <c r="AD18" i="15"/>
  <c r="AE18" i="15"/>
  <c r="AF18" i="15"/>
  <c r="G19" i="15"/>
  <c r="H19" i="15"/>
  <c r="I19" i="15"/>
  <c r="J19" i="15"/>
  <c r="K19" i="15"/>
  <c r="L19" i="15"/>
  <c r="AA19" i="15"/>
  <c r="AB19" i="15"/>
  <c r="AC19" i="15"/>
  <c r="AD19" i="15"/>
  <c r="AE19" i="15"/>
  <c r="AF19" i="15"/>
  <c r="G20" i="15"/>
  <c r="H20" i="15"/>
  <c r="I20" i="15"/>
  <c r="J20" i="15"/>
  <c r="K20" i="15"/>
  <c r="L20" i="15"/>
  <c r="U20" i="15"/>
  <c r="U21" i="15" s="1"/>
  <c r="U22" i="15" s="1"/>
  <c r="AA20" i="15"/>
  <c r="AB20" i="15"/>
  <c r="AC20" i="15"/>
  <c r="AD20" i="15"/>
  <c r="AE20" i="15"/>
  <c r="AF20" i="15"/>
  <c r="G21" i="15"/>
  <c r="H21" i="15"/>
  <c r="I21" i="15"/>
  <c r="J21" i="15"/>
  <c r="K21" i="15"/>
  <c r="L21" i="15"/>
  <c r="AA21" i="15"/>
  <c r="AB21" i="15"/>
  <c r="AC21" i="15"/>
  <c r="AD21" i="15"/>
  <c r="AE21" i="15"/>
  <c r="AF21" i="15"/>
  <c r="G22" i="15"/>
  <c r="L27" i="2" s="1"/>
  <c r="H22" i="15"/>
  <c r="I22" i="15"/>
  <c r="J22" i="15"/>
  <c r="P27" i="2" s="1"/>
  <c r="K22" i="15"/>
  <c r="L22" i="15"/>
  <c r="AA22" i="15"/>
  <c r="AB22" i="15"/>
  <c r="AC22" i="15"/>
  <c r="AD22" i="15"/>
  <c r="AE22" i="15"/>
  <c r="AF22" i="15"/>
  <c r="G23" i="15"/>
  <c r="H23" i="15"/>
  <c r="I23" i="15"/>
  <c r="J23" i="15"/>
  <c r="K23" i="15"/>
  <c r="L23" i="15"/>
  <c r="AA23" i="15"/>
  <c r="AB23" i="15"/>
  <c r="AC23" i="15"/>
  <c r="AD23" i="15"/>
  <c r="AE23" i="15"/>
  <c r="AF23" i="15"/>
  <c r="G24" i="15"/>
  <c r="H24" i="15"/>
  <c r="I24" i="15"/>
  <c r="J24" i="15"/>
  <c r="K24" i="15"/>
  <c r="L24" i="15"/>
  <c r="AA24" i="15"/>
  <c r="AB24" i="15"/>
  <c r="AC24" i="15"/>
  <c r="AD24" i="15"/>
  <c r="AE24" i="15"/>
  <c r="AF24" i="15"/>
  <c r="G25" i="15"/>
  <c r="H25" i="15"/>
  <c r="I25" i="15"/>
  <c r="J25" i="15"/>
  <c r="K25" i="15"/>
  <c r="L25" i="15"/>
  <c r="AA25" i="15"/>
  <c r="AB25" i="15"/>
  <c r="AC25" i="15"/>
  <c r="AD25" i="15"/>
  <c r="AE25" i="15"/>
  <c r="AF25" i="15"/>
  <c r="G26" i="15"/>
  <c r="H26" i="15"/>
  <c r="I26" i="15"/>
  <c r="J26" i="15"/>
  <c r="K26" i="15"/>
  <c r="L26" i="15"/>
  <c r="AA26" i="15"/>
  <c r="AB26" i="15"/>
  <c r="AC26" i="15"/>
  <c r="AD26" i="15"/>
  <c r="AE26" i="15"/>
  <c r="AF26" i="15"/>
  <c r="G27" i="15"/>
  <c r="H27" i="15"/>
  <c r="I27" i="15"/>
  <c r="J27" i="15"/>
  <c r="K27" i="15"/>
  <c r="L27" i="15"/>
  <c r="AA27" i="15"/>
  <c r="AB27" i="15"/>
  <c r="AC27" i="15"/>
  <c r="AD27" i="15"/>
  <c r="AE27" i="15"/>
  <c r="AF27" i="15"/>
  <c r="G28" i="15"/>
  <c r="H28" i="15"/>
  <c r="I28" i="15"/>
  <c r="J28" i="15"/>
  <c r="K28" i="15"/>
  <c r="L28" i="15"/>
  <c r="AA28" i="15"/>
  <c r="AB28" i="15"/>
  <c r="AC28" i="15"/>
  <c r="AD28" i="15"/>
  <c r="AE28" i="15"/>
  <c r="AF28" i="15"/>
  <c r="G29" i="15"/>
  <c r="H29" i="15"/>
  <c r="I29" i="15"/>
  <c r="J29" i="15"/>
  <c r="K29" i="15"/>
  <c r="L29" i="15"/>
  <c r="AA29" i="15"/>
  <c r="AB29" i="15"/>
  <c r="AC29" i="15"/>
  <c r="AD29" i="15"/>
  <c r="AE29" i="15"/>
  <c r="AF29" i="15"/>
  <c r="G30" i="15"/>
  <c r="H30" i="15"/>
  <c r="I30" i="15"/>
  <c r="J30" i="15"/>
  <c r="K30" i="15"/>
  <c r="L30" i="15"/>
  <c r="AA30" i="15"/>
  <c r="AB30" i="15"/>
  <c r="AC30" i="15"/>
  <c r="AD30" i="15"/>
  <c r="AE30" i="15"/>
  <c r="AF30" i="15"/>
  <c r="G31" i="15"/>
  <c r="H31" i="15"/>
  <c r="I31" i="15"/>
  <c r="J31" i="15"/>
  <c r="K31" i="15"/>
  <c r="L31" i="15"/>
  <c r="AA31" i="15"/>
  <c r="AB31" i="15"/>
  <c r="AC31" i="15"/>
  <c r="AD31" i="15"/>
  <c r="AE31" i="15"/>
  <c r="AF31" i="15"/>
  <c r="G32" i="15"/>
  <c r="H32" i="15"/>
  <c r="I32" i="15"/>
  <c r="J32" i="15"/>
  <c r="K32" i="15"/>
  <c r="L32" i="15"/>
  <c r="AA32" i="15"/>
  <c r="AB32" i="15"/>
  <c r="AC32" i="15"/>
  <c r="AD32" i="15"/>
  <c r="AE32" i="15"/>
  <c r="AF32" i="15"/>
  <c r="G33" i="15"/>
  <c r="H33" i="15"/>
  <c r="I33" i="15"/>
  <c r="J33" i="15"/>
  <c r="K33" i="15"/>
  <c r="L33" i="15"/>
  <c r="AA33" i="15"/>
  <c r="AB33" i="15"/>
  <c r="AC33" i="15"/>
  <c r="AD33" i="15"/>
  <c r="AE33" i="15"/>
  <c r="AF33" i="15"/>
  <c r="G34" i="15"/>
  <c r="H34" i="15"/>
  <c r="I34" i="15"/>
  <c r="J34" i="15"/>
  <c r="K34" i="15"/>
  <c r="L34" i="15"/>
  <c r="AA34" i="15"/>
  <c r="AB34" i="15"/>
  <c r="AC34" i="15"/>
  <c r="AD34" i="15"/>
  <c r="AE34" i="15"/>
  <c r="AF34" i="15"/>
  <c r="G35" i="15"/>
  <c r="H35" i="15"/>
  <c r="I35" i="15"/>
  <c r="J35" i="15"/>
  <c r="K35" i="15"/>
  <c r="L35" i="15"/>
  <c r="AA35" i="15"/>
  <c r="AB35" i="15"/>
  <c r="AC35" i="15"/>
  <c r="AD35" i="15"/>
  <c r="AE35" i="15"/>
  <c r="AF35" i="15"/>
  <c r="H2" i="18"/>
  <c r="K13" i="18"/>
  <c r="AA13" i="18"/>
  <c r="AI13" i="18"/>
  <c r="AM13" i="18"/>
  <c r="AV18" i="18"/>
  <c r="F20" i="18"/>
  <c r="F34" i="18" s="1"/>
  <c r="F25" i="18"/>
  <c r="F39" i="18" s="1"/>
  <c r="AT27" i="18"/>
  <c r="AU27" i="18"/>
  <c r="D36" i="18"/>
  <c r="E36" i="18"/>
  <c r="F36" i="18"/>
  <c r="F37" i="18"/>
  <c r="B43" i="18"/>
  <c r="E44" i="18"/>
  <c r="C56" i="18"/>
  <c r="C57" i="18"/>
  <c r="J58" i="18"/>
  <c r="K58" i="18" s="1"/>
  <c r="L58" i="18" s="1"/>
  <c r="M58" i="18"/>
  <c r="N58" i="18" s="1"/>
  <c r="O58" i="18" s="1"/>
  <c r="P58" i="18" s="1"/>
  <c r="Q58" i="18" s="1"/>
  <c r="R58" i="18"/>
  <c r="S58" i="18" s="1"/>
  <c r="T58" i="18" s="1"/>
  <c r="U58" i="18" s="1"/>
  <c r="V58" i="18" s="1"/>
  <c r="W58" i="18" s="1"/>
  <c r="X58" i="18" s="1"/>
  <c r="Y58" i="18" s="1"/>
  <c r="Z58" i="18" s="1"/>
  <c r="AA58" i="18" s="1"/>
  <c r="AB58" i="18" s="1"/>
  <c r="AC58" i="18" s="1"/>
  <c r="G77" i="18"/>
  <c r="G85" i="18" s="1"/>
  <c r="H77" i="18"/>
  <c r="I77" i="18"/>
  <c r="J77" i="18"/>
  <c r="K77" i="18"/>
  <c r="L77" i="18"/>
  <c r="M77" i="18"/>
  <c r="M85" i="18" s="1"/>
  <c r="N77" i="18"/>
  <c r="N85" i="18" s="1"/>
  <c r="O77" i="18"/>
  <c r="P77" i="18"/>
  <c r="Q77" i="18"/>
  <c r="R77" i="18"/>
  <c r="S77" i="18"/>
  <c r="T77" i="18"/>
  <c r="U77" i="18"/>
  <c r="U85" i="18" s="1"/>
  <c r="V77" i="18"/>
  <c r="V85" i="18" s="1"/>
  <c r="W77" i="18"/>
  <c r="W85" i="18" s="1"/>
  <c r="X77" i="18"/>
  <c r="Y77" i="18"/>
  <c r="Y85" i="18" s="1"/>
  <c r="Z77" i="18"/>
  <c r="AA77" i="18"/>
  <c r="AA85" i="18" s="1"/>
  <c r="AB77" i="18"/>
  <c r="AC77" i="18"/>
  <c r="AC85" i="18" s="1"/>
  <c r="AD77" i="18"/>
  <c r="AE77" i="18"/>
  <c r="AE85" i="18" s="1"/>
  <c r="AF77" i="18"/>
  <c r="AG77" i="18"/>
  <c r="AH77" i="18"/>
  <c r="AI77" i="18"/>
  <c r="AI85" i="18" s="1"/>
  <c r="AJ77" i="18"/>
  <c r="AK77" i="18"/>
  <c r="AK85" i="18" s="1"/>
  <c r="AL77" i="18"/>
  <c r="AM77" i="18"/>
  <c r="AN77" i="18"/>
  <c r="AO77" i="18"/>
  <c r="AO85" i="18" s="1"/>
  <c r="AP77" i="18"/>
  <c r="AQ77" i="18"/>
  <c r="AQ85" i="18" s="1"/>
  <c r="AR77" i="18"/>
  <c r="AS77" i="18"/>
  <c r="AS85" i="18" s="1"/>
  <c r="AT77" i="18"/>
  <c r="AU77" i="18"/>
  <c r="D85" i="18"/>
  <c r="E85" i="18"/>
  <c r="F85" i="18"/>
  <c r="H85" i="18"/>
  <c r="I85" i="18"/>
  <c r="J85" i="18"/>
  <c r="K85" i="18"/>
  <c r="L85" i="18"/>
  <c r="O85" i="18"/>
  <c r="P85" i="18"/>
  <c r="Q85" i="18"/>
  <c r="R85" i="18"/>
  <c r="S85" i="18"/>
  <c r="T85" i="18"/>
  <c r="X85" i="18"/>
  <c r="Z85" i="18"/>
  <c r="AB85" i="18"/>
  <c r="AD85" i="18"/>
  <c r="AF85" i="18"/>
  <c r="AG85" i="18"/>
  <c r="AH85" i="18"/>
  <c r="AJ85" i="18"/>
  <c r="AL85" i="18"/>
  <c r="AM85" i="18"/>
  <c r="AN85" i="18"/>
  <c r="AP85" i="18"/>
  <c r="AR85" i="18"/>
  <c r="AT85" i="18"/>
  <c r="AU85" i="18"/>
  <c r="E4" i="4"/>
  <c r="F4" i="4" s="1"/>
  <c r="G4" i="4" s="1"/>
  <c r="H4" i="4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H8" i="4"/>
  <c r="H9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D13" i="4"/>
  <c r="E13" i="4"/>
  <c r="F13" i="4"/>
  <c r="G13" i="4"/>
  <c r="D14" i="4"/>
  <c r="E14" i="4"/>
  <c r="F14" i="4"/>
  <c r="G14" i="4"/>
  <c r="D15" i="4"/>
  <c r="E15" i="4"/>
  <c r="F15" i="4"/>
  <c r="G15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D32" i="4"/>
  <c r="E32" i="4"/>
  <c r="F32" i="4"/>
  <c r="G32" i="4"/>
  <c r="F5" i="11"/>
  <c r="G5" i="11" s="1"/>
  <c r="H5" i="11" s="1"/>
  <c r="I5" i="11"/>
  <c r="J5" i="11" s="1"/>
  <c r="K5" i="11" s="1"/>
  <c r="L5" i="11" s="1"/>
  <c r="M5" i="1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E10" i="11"/>
  <c r="H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E11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I33" i="11"/>
  <c r="E34" i="11"/>
  <c r="D33" i="4" s="1"/>
  <c r="E35" i="11"/>
  <c r="D34" i="4" s="1"/>
  <c r="C51" i="11"/>
  <c r="C52" i="11"/>
  <c r="B55" i="11"/>
  <c r="C60" i="11"/>
  <c r="C75" i="11" s="1"/>
  <c r="F62" i="11"/>
  <c r="G62" i="11"/>
  <c r="H62" i="11"/>
  <c r="I62" i="11"/>
  <c r="J62" i="11"/>
  <c r="K62" i="11" s="1"/>
  <c r="L62" i="11" s="1"/>
  <c r="M62" i="11"/>
  <c r="N62" i="11" s="1"/>
  <c r="O62" i="11" s="1"/>
  <c r="P62" i="11" s="1"/>
  <c r="Q62" i="11"/>
  <c r="R62" i="11" s="1"/>
  <c r="S62" i="11" s="1"/>
  <c r="T62" i="11" s="1"/>
  <c r="U62" i="11" s="1"/>
  <c r="V62" i="11" s="1"/>
  <c r="W62" i="11" s="1"/>
  <c r="X62" i="11" s="1"/>
  <c r="Y62" i="11" s="1"/>
  <c r="Z62" i="11" s="1"/>
  <c r="E66" i="11"/>
  <c r="Z66" i="11"/>
  <c r="C76" i="11"/>
  <c r="F9" i="3"/>
  <c r="G9" i="3" s="1"/>
  <c r="H9" i="3"/>
  <c r="I9" i="3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F23" i="3"/>
  <c r="F10" i="11" s="1"/>
  <c r="G23" i="3"/>
  <c r="H23" i="3"/>
  <c r="I23" i="3"/>
  <c r="C25" i="3"/>
  <c r="H25" i="3"/>
  <c r="F42" i="3"/>
  <c r="G42" i="3"/>
  <c r="H42" i="3"/>
  <c r="H44" i="3" s="1"/>
  <c r="I42" i="3"/>
  <c r="F44" i="3"/>
  <c r="G44" i="3"/>
  <c r="F61" i="3"/>
  <c r="G61" i="3"/>
  <c r="H61" i="3"/>
  <c r="I61" i="3"/>
  <c r="G63" i="3"/>
  <c r="H63" i="3"/>
  <c r="B46" i="1"/>
  <c r="L52" i="2" s="1"/>
  <c r="C46" i="1"/>
  <c r="D46" i="1"/>
  <c r="F46" i="1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D20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F5" i="13"/>
  <c r="G5" i="13"/>
  <c r="H5" i="13"/>
  <c r="I5" i="13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G10" i="13"/>
  <c r="H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E11" i="13"/>
  <c r="E19" i="13" s="1"/>
  <c r="J11" i="13"/>
  <c r="I9" i="4" s="1"/>
  <c r="K11" i="13"/>
  <c r="J9" i="4" s="1"/>
  <c r="L11" i="13"/>
  <c r="K9" i="4" s="1"/>
  <c r="M11" i="13"/>
  <c r="L9" i="4" s="1"/>
  <c r="N11" i="13"/>
  <c r="M9" i="4" s="1"/>
  <c r="O11" i="13"/>
  <c r="P11" i="13"/>
  <c r="O9" i="4" s="1"/>
  <c r="Q11" i="13"/>
  <c r="P9" i="4" s="1"/>
  <c r="R11" i="13"/>
  <c r="Q9" i="4" s="1"/>
  <c r="S11" i="13"/>
  <c r="R9" i="4" s="1"/>
  <c r="T11" i="13"/>
  <c r="S9" i="4" s="1"/>
  <c r="U11" i="13"/>
  <c r="T9" i="4" s="1"/>
  <c r="V11" i="13"/>
  <c r="U9" i="4" s="1"/>
  <c r="W11" i="13"/>
  <c r="X11" i="13"/>
  <c r="W9" i="4" s="1"/>
  <c r="Y11" i="13"/>
  <c r="X9" i="4" s="1"/>
  <c r="Z11" i="13"/>
  <c r="Y9" i="4" s="1"/>
  <c r="E36" i="13"/>
  <c r="C51" i="13"/>
  <c r="C52" i="13"/>
  <c r="B55" i="13"/>
  <c r="C60" i="13"/>
  <c r="F62" i="13"/>
  <c r="G62" i="13"/>
  <c r="H62" i="13" s="1"/>
  <c r="I62" i="13" s="1"/>
  <c r="J62" i="13" s="1"/>
  <c r="K62" i="13" s="1"/>
  <c r="L62" i="13" s="1"/>
  <c r="M62" i="13" s="1"/>
  <c r="N62" i="13" s="1"/>
  <c r="O62" i="13" s="1"/>
  <c r="P62" i="13" s="1"/>
  <c r="Q62" i="13" s="1"/>
  <c r="R62" i="13" s="1"/>
  <c r="S62" i="13" s="1"/>
  <c r="T62" i="13" s="1"/>
  <c r="U62" i="13" s="1"/>
  <c r="V62" i="13" s="1"/>
  <c r="W62" i="13" s="1"/>
  <c r="X62" i="13" s="1"/>
  <c r="Y62" i="13" s="1"/>
  <c r="Z62" i="13" s="1"/>
  <c r="Z66" i="13"/>
  <c r="C75" i="13"/>
  <c r="C76" i="13"/>
  <c r="Z87" i="13"/>
  <c r="Z89" i="13" s="1"/>
  <c r="Z91" i="13" s="1"/>
  <c r="F5" i="14"/>
  <c r="G5" i="14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F10" i="14"/>
  <c r="G10" i="14"/>
  <c r="H10" i="14"/>
  <c r="E19" i="14"/>
  <c r="E20" i="14" s="1"/>
  <c r="E39" i="14" s="1"/>
  <c r="E36" i="14"/>
  <c r="C51" i="14"/>
  <c r="C52" i="14"/>
  <c r="B55" i="14"/>
  <c r="C60" i="14"/>
  <c r="F62" i="14"/>
  <c r="G62" i="14"/>
  <c r="H62" i="14" s="1"/>
  <c r="I62" i="14" s="1"/>
  <c r="J62" i="14" s="1"/>
  <c r="K62" i="14" s="1"/>
  <c r="L62" i="14" s="1"/>
  <c r="M62" i="14" s="1"/>
  <c r="N62" i="14" s="1"/>
  <c r="O62" i="14" s="1"/>
  <c r="P62" i="14" s="1"/>
  <c r="Q62" i="14" s="1"/>
  <c r="R62" i="14" s="1"/>
  <c r="S62" i="14" s="1"/>
  <c r="T62" i="14" s="1"/>
  <c r="U62" i="14" s="1"/>
  <c r="V62" i="14" s="1"/>
  <c r="W62" i="14" s="1"/>
  <c r="X62" i="14" s="1"/>
  <c r="Y62" i="14" s="1"/>
  <c r="Z62" i="14" s="1"/>
  <c r="Z66" i="14"/>
  <c r="C75" i="14"/>
  <c r="C76" i="14"/>
  <c r="E44" i="14" l="1"/>
  <c r="E49" i="14" s="1"/>
  <c r="E64" i="14"/>
  <c r="E67" i="14" s="1"/>
  <c r="E72" i="14" s="1"/>
  <c r="E76" i="14" s="1"/>
  <c r="V9" i="4"/>
  <c r="N9" i="4"/>
  <c r="M52" i="2"/>
  <c r="N52" i="2"/>
  <c r="R52" i="2"/>
  <c r="F34" i="9"/>
  <c r="G34" i="9" s="1"/>
  <c r="H34" i="9" s="1"/>
  <c r="I34" i="9" s="1"/>
  <c r="J34" i="9" s="1"/>
  <c r="K34" i="9" s="1"/>
  <c r="L34" i="9" s="1"/>
  <c r="M34" i="9" s="1"/>
  <c r="N34" i="9" s="1"/>
  <c r="O34" i="9" s="1"/>
  <c r="P34" i="9" s="1"/>
  <c r="Q34" i="9" s="1"/>
  <c r="R34" i="9" s="1"/>
  <c r="S34" i="9" s="1"/>
  <c r="T34" i="9" s="1"/>
  <c r="U34" i="9" s="1"/>
  <c r="V34" i="9" s="1"/>
  <c r="W34" i="9" s="1"/>
  <c r="X34" i="9" s="1"/>
  <c r="Y34" i="9" s="1"/>
  <c r="Z34" i="9" s="1"/>
  <c r="P52" i="2"/>
  <c r="J33" i="9"/>
  <c r="K33" i="9" s="1"/>
  <c r="L33" i="9" s="1"/>
  <c r="M33" i="9" s="1"/>
  <c r="N33" i="9" s="1"/>
  <c r="O33" i="9" s="1"/>
  <c r="P33" i="9" s="1"/>
  <c r="Q33" i="9" s="1"/>
  <c r="R33" i="9" s="1"/>
  <c r="S33" i="9" s="1"/>
  <c r="T33" i="9" s="1"/>
  <c r="U33" i="9" s="1"/>
  <c r="V33" i="9" s="1"/>
  <c r="W33" i="9" s="1"/>
  <c r="X33" i="9" s="1"/>
  <c r="Y33" i="9" s="1"/>
  <c r="Z33" i="9" s="1"/>
  <c r="L39" i="2"/>
  <c r="Q52" i="2"/>
  <c r="F35" i="9"/>
  <c r="G35" i="9" s="1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S35" i="9" s="1"/>
  <c r="T35" i="9" s="1"/>
  <c r="U35" i="9" s="1"/>
  <c r="V35" i="9" s="1"/>
  <c r="W35" i="9" s="1"/>
  <c r="X35" i="9" s="1"/>
  <c r="Y35" i="9" s="1"/>
  <c r="Z35" i="9" s="1"/>
  <c r="F35" i="11"/>
  <c r="C6" i="3"/>
  <c r="G10" i="9"/>
  <c r="G10" i="12"/>
  <c r="G25" i="3"/>
  <c r="G10" i="11"/>
  <c r="N76" i="7"/>
  <c r="G87" i="13"/>
  <c r="G89" i="13" s="1"/>
  <c r="F63" i="3"/>
  <c r="F10" i="13"/>
  <c r="V127" i="6"/>
  <c r="Y13" i="18"/>
  <c r="D70" i="6"/>
  <c r="I13" i="18"/>
  <c r="C63" i="3"/>
  <c r="C44" i="3"/>
  <c r="I2" i="18"/>
  <c r="J2" i="18" s="1"/>
  <c r="K10" i="16"/>
  <c r="R62" i="2"/>
  <c r="N56" i="2"/>
  <c r="M62" i="2"/>
  <c r="N63" i="2"/>
  <c r="P64" i="2"/>
  <c r="R56" i="2"/>
  <c r="Q62" i="2"/>
  <c r="R63" i="2"/>
  <c r="P63" i="2"/>
  <c r="Q63" i="2"/>
  <c r="M56" i="2"/>
  <c r="P62" i="2"/>
  <c r="Q64" i="2"/>
  <c r="P56" i="2"/>
  <c r="L63" i="2"/>
  <c r="R64" i="2"/>
  <c r="Q56" i="2"/>
  <c r="L62" i="2"/>
  <c r="N62" i="2"/>
  <c r="M63" i="2"/>
  <c r="L59" i="2"/>
  <c r="N64" i="2"/>
  <c r="M64" i="2"/>
  <c r="L56" i="2"/>
  <c r="L64" i="2"/>
  <c r="E20" i="13"/>
  <c r="E39" i="13" s="1"/>
  <c r="H10" i="9"/>
  <c r="H10" i="12"/>
  <c r="B50" i="18"/>
  <c r="B75" i="18"/>
  <c r="D44" i="18" s="1"/>
  <c r="B83" i="18"/>
  <c r="AI12" i="15"/>
  <c r="AL12" i="15"/>
  <c r="AM12" i="15"/>
  <c r="R12" i="15"/>
  <c r="S12" i="15"/>
  <c r="AH12" i="15"/>
  <c r="A13" i="15"/>
  <c r="AL13" i="15" s="1"/>
  <c r="O12" i="15"/>
  <c r="F25" i="3"/>
  <c r="X73" i="7"/>
  <c r="X55" i="7"/>
  <c r="X62" i="7"/>
  <c r="P62" i="7"/>
  <c r="P55" i="7"/>
  <c r="P73" i="7"/>
  <c r="P76" i="7" s="1"/>
  <c r="H62" i="7"/>
  <c r="H73" i="7"/>
  <c r="U23" i="15"/>
  <c r="AJ12" i="15"/>
  <c r="H51" i="7"/>
  <c r="H61" i="7" s="1"/>
  <c r="P51" i="7"/>
  <c r="P61" i="7" s="1"/>
  <c r="N51" i="7"/>
  <c r="N61" i="7" s="1"/>
  <c r="W51" i="7"/>
  <c r="W61" i="7" s="1"/>
  <c r="O51" i="7"/>
  <c r="O61" i="7" s="1"/>
  <c r="K51" i="7"/>
  <c r="K61" i="7" s="1"/>
  <c r="T51" i="7"/>
  <c r="T61" i="7" s="1"/>
  <c r="L51" i="7"/>
  <c r="L61" i="7" s="1"/>
  <c r="U51" i="7"/>
  <c r="U61" i="7" s="1"/>
  <c r="J51" i="7"/>
  <c r="J61" i="7" s="1"/>
  <c r="M51" i="7"/>
  <c r="M61" i="7" s="1"/>
  <c r="Q51" i="7"/>
  <c r="Q61" i="7" s="1"/>
  <c r="V51" i="7"/>
  <c r="V61" i="7" s="1"/>
  <c r="R51" i="7"/>
  <c r="R61" i="7" s="1"/>
  <c r="S51" i="7"/>
  <c r="S61" i="7" s="1"/>
  <c r="F10" i="9"/>
  <c r="F10" i="12"/>
  <c r="AK13" i="15"/>
  <c r="M73" i="7"/>
  <c r="K41" i="7"/>
  <c r="R27" i="2"/>
  <c r="AK12" i="15"/>
  <c r="U41" i="7"/>
  <c r="J41" i="7"/>
  <c r="B224" i="6"/>
  <c r="B228" i="6" s="1"/>
  <c r="B225" i="6"/>
  <c r="C212" i="6" s="1"/>
  <c r="B179" i="6"/>
  <c r="C166" i="6" s="1"/>
  <c r="B178" i="6"/>
  <c r="B182" i="6" s="1"/>
  <c r="B46" i="2"/>
  <c r="W41" i="7"/>
  <c r="AA41" i="7"/>
  <c r="L41" i="7"/>
  <c r="O41" i="7"/>
  <c r="V19" i="7"/>
  <c r="V27" i="7"/>
  <c r="V31" i="7" s="1"/>
  <c r="V38" i="7"/>
  <c r="V41" i="7" s="1"/>
  <c r="N19" i="7"/>
  <c r="N38" i="7"/>
  <c r="N41" i="7" s="1"/>
  <c r="M27" i="2"/>
  <c r="W37" i="7"/>
  <c r="Y38" i="7"/>
  <c r="Y41" i="7" s="1"/>
  <c r="Y19" i="7"/>
  <c r="Q38" i="7"/>
  <c r="Q41" i="7" s="1"/>
  <c r="Q19" i="7"/>
  <c r="I38" i="7"/>
  <c r="I41" i="7" s="1"/>
  <c r="I27" i="7"/>
  <c r="I31" i="7" s="1"/>
  <c r="B88" i="6"/>
  <c r="B89" i="6"/>
  <c r="C76" i="6" s="1"/>
  <c r="N12" i="15"/>
  <c r="Z72" i="7"/>
  <c r="I62" i="7"/>
  <c r="C42" i="2"/>
  <c r="I55" i="7"/>
  <c r="Q55" i="7"/>
  <c r="Y55" i="7"/>
  <c r="L55" i="7"/>
  <c r="U55" i="7"/>
  <c r="M55" i="7"/>
  <c r="V55" i="7"/>
  <c r="B66" i="7"/>
  <c r="H55" i="7"/>
  <c r="R55" i="7"/>
  <c r="AA55" i="7"/>
  <c r="J55" i="7"/>
  <c r="S55" i="7"/>
  <c r="AB55" i="7"/>
  <c r="B76" i="7"/>
  <c r="U76" i="7" s="1"/>
  <c r="X41" i="7"/>
  <c r="Q27" i="7"/>
  <c r="Q31" i="7" s="1"/>
  <c r="G247" i="6"/>
  <c r="O47" i="6"/>
  <c r="O126" i="6"/>
  <c r="G47" i="6"/>
  <c r="Q27" i="2"/>
  <c r="H37" i="7"/>
  <c r="P37" i="7"/>
  <c r="X37" i="7"/>
  <c r="L37" i="7"/>
  <c r="U37" i="7"/>
  <c r="M37" i="7"/>
  <c r="V37" i="7"/>
  <c r="I37" i="7"/>
  <c r="R37" i="7"/>
  <c r="AA37" i="7"/>
  <c r="J37" i="7"/>
  <c r="S37" i="7"/>
  <c r="AB37" i="7"/>
  <c r="T41" i="7"/>
  <c r="N37" i="7"/>
  <c r="U27" i="7"/>
  <c r="U31" i="7" s="1"/>
  <c r="U19" i="7"/>
  <c r="M27" i="7"/>
  <c r="M31" i="7" s="1"/>
  <c r="M38" i="7"/>
  <c r="M41" i="7" s="1"/>
  <c r="M19" i="7"/>
  <c r="N15" i="7"/>
  <c r="N26" i="7" s="1"/>
  <c r="V15" i="7"/>
  <c r="V26" i="7" s="1"/>
  <c r="J15" i="7"/>
  <c r="J26" i="7" s="1"/>
  <c r="S15" i="7"/>
  <c r="S26" i="7" s="1"/>
  <c r="K15" i="7"/>
  <c r="K26" i="7" s="1"/>
  <c r="T15" i="7"/>
  <c r="T26" i="7" s="1"/>
  <c r="G15" i="7"/>
  <c r="G26" i="7" s="1"/>
  <c r="P15" i="7"/>
  <c r="P26" i="7" s="1"/>
  <c r="G16" i="7"/>
  <c r="H15" i="7"/>
  <c r="H26" i="7" s="1"/>
  <c r="Q15" i="7"/>
  <c r="Q26" i="7" s="1"/>
  <c r="W76" i="7"/>
  <c r="K72" i="7"/>
  <c r="S72" i="7"/>
  <c r="AA72" i="7"/>
  <c r="P72" i="7"/>
  <c r="Y72" i="7"/>
  <c r="M72" i="7"/>
  <c r="V72" i="7"/>
  <c r="N72" i="7"/>
  <c r="W72" i="7"/>
  <c r="Z62" i="7"/>
  <c r="Z73" i="7"/>
  <c r="Z76" i="7" s="1"/>
  <c r="R62" i="7"/>
  <c r="R73" i="7"/>
  <c r="R76" i="7" s="1"/>
  <c r="AC41" i="7"/>
  <c r="S41" i="7"/>
  <c r="AC37" i="7"/>
  <c r="K37" i="7"/>
  <c r="R15" i="7"/>
  <c r="R26" i="7" s="1"/>
  <c r="F50" i="5"/>
  <c r="F51" i="5" s="1"/>
  <c r="Q62" i="7"/>
  <c r="Q73" i="7"/>
  <c r="AB41" i="7"/>
  <c r="T76" i="7"/>
  <c r="L76" i="7"/>
  <c r="O31" i="7"/>
  <c r="W31" i="7"/>
  <c r="B202" i="6"/>
  <c r="C189" i="6" s="1"/>
  <c r="L110" i="6"/>
  <c r="C55" i="6"/>
  <c r="C56" i="6"/>
  <c r="C58" i="6" s="1"/>
  <c r="H41" i="7"/>
  <c r="P41" i="7"/>
  <c r="H93" i="6"/>
  <c r="H110" i="6" s="1"/>
  <c r="N145" i="6"/>
  <c r="Q247" i="6"/>
  <c r="I247" i="6"/>
  <c r="C124" i="6"/>
  <c r="K124" i="6"/>
  <c r="S124" i="6"/>
  <c r="AA124" i="6"/>
  <c r="AI124" i="6"/>
  <c r="J142" i="6"/>
  <c r="R142" i="6"/>
  <c r="Z142" i="6"/>
  <c r="D124" i="6"/>
  <c r="L124" i="6"/>
  <c r="T124" i="6"/>
  <c r="AB124" i="6"/>
  <c r="AJ124" i="6"/>
  <c r="C142" i="6"/>
  <c r="K142" i="6"/>
  <c r="S142" i="6"/>
  <c r="AA142" i="6"/>
  <c r="E124" i="6"/>
  <c r="M124" i="6"/>
  <c r="U124" i="6"/>
  <c r="AC124" i="6"/>
  <c r="AK124" i="6"/>
  <c r="D142" i="6"/>
  <c r="L142" i="6"/>
  <c r="T142" i="6"/>
  <c r="AB142" i="6"/>
  <c r="H124" i="6"/>
  <c r="V124" i="6"/>
  <c r="AG124" i="6"/>
  <c r="F142" i="6"/>
  <c r="Q142" i="6"/>
  <c r="I124" i="6"/>
  <c r="W124" i="6"/>
  <c r="AH124" i="6"/>
  <c r="O124" i="6"/>
  <c r="Z124" i="6"/>
  <c r="AN124" i="6"/>
  <c r="M142" i="6"/>
  <c r="X142" i="6"/>
  <c r="G124" i="6"/>
  <c r="R124" i="6"/>
  <c r="AF124" i="6"/>
  <c r="W15" i="5"/>
  <c r="AD142" i="6"/>
  <c r="N142" i="6"/>
  <c r="U127" i="6"/>
  <c r="Y124" i="6"/>
  <c r="Y142" i="6"/>
  <c r="H142" i="6"/>
  <c r="AP124" i="6"/>
  <c r="Q124" i="6"/>
  <c r="B132" i="6" s="1"/>
  <c r="L9" i="6" s="1"/>
  <c r="C25" i="2" s="1"/>
  <c r="AE128" i="6"/>
  <c r="Q93" i="6"/>
  <c r="B42" i="6"/>
  <c r="B43" i="6"/>
  <c r="C30" i="6" s="1"/>
  <c r="D144" i="6"/>
  <c r="B149" i="6" s="1"/>
  <c r="U142" i="6"/>
  <c r="AL124" i="6"/>
  <c r="J124" i="6"/>
  <c r="T70" i="6"/>
  <c r="L70" i="6"/>
  <c r="C47" i="6"/>
  <c r="D126" i="6"/>
  <c r="C82" i="6"/>
  <c r="G13" i="18" s="1"/>
  <c r="D77" i="6"/>
  <c r="D93" i="6" s="1"/>
  <c r="P70" i="6"/>
  <c r="H70" i="6"/>
  <c r="O82" i="6"/>
  <c r="C77" i="6"/>
  <c r="E15" i="5" s="1"/>
  <c r="K77" i="6"/>
  <c r="T77" i="6"/>
  <c r="J82" i="6"/>
  <c r="R82" i="6"/>
  <c r="G77" i="6"/>
  <c r="K15" i="5" s="1"/>
  <c r="P77" i="6"/>
  <c r="T15" i="5" s="1"/>
  <c r="F82" i="6"/>
  <c r="F93" i="6" s="1"/>
  <c r="N82" i="6"/>
  <c r="R15" i="5" s="1"/>
  <c r="I77" i="6"/>
  <c r="R77" i="6"/>
  <c r="H82" i="6"/>
  <c r="Q13" i="18" s="1"/>
  <c r="P82" i="6"/>
  <c r="M77" i="6"/>
  <c r="G82" i="6"/>
  <c r="O13" i="18" s="1"/>
  <c r="T82" i="6"/>
  <c r="AL128" i="6" s="1"/>
  <c r="N77" i="6"/>
  <c r="I82" i="6"/>
  <c r="S13" i="18" s="1"/>
  <c r="U82" i="6"/>
  <c r="O77" i="6"/>
  <c r="K82" i="6"/>
  <c r="W13" i="18" s="1"/>
  <c r="B48" i="6"/>
  <c r="B111" i="6" s="1"/>
  <c r="B177" i="6" s="1"/>
  <c r="B184" i="6" s="1"/>
  <c r="B247" i="6" s="1"/>
  <c r="C126" i="6"/>
  <c r="U15" i="5"/>
  <c r="Q47" i="6"/>
  <c r="M15" i="5"/>
  <c r="I47" i="6"/>
  <c r="I15" i="5"/>
  <c r="E47" i="6"/>
  <c r="E110" i="6" s="1"/>
  <c r="A22" i="6"/>
  <c r="F31" i="6"/>
  <c r="F36" i="6"/>
  <c r="V70" i="6"/>
  <c r="N70" i="6"/>
  <c r="U47" i="6"/>
  <c r="Q15" i="5"/>
  <c r="M47" i="6"/>
  <c r="Y15" i="5"/>
  <c r="L15" i="5"/>
  <c r="E51" i="12"/>
  <c r="E54" i="12"/>
  <c r="E30" i="2"/>
  <c r="P15" i="5"/>
  <c r="H15" i="5"/>
  <c r="E28" i="2"/>
  <c r="E22" i="2"/>
  <c r="E75" i="12"/>
  <c r="N15" i="5"/>
  <c r="B25" i="6"/>
  <c r="Z64" i="9"/>
  <c r="Z66" i="10"/>
  <c r="Z66" i="12"/>
  <c r="Q59" i="2"/>
  <c r="M16" i="2"/>
  <c r="M58" i="2" s="1"/>
  <c r="M30" i="2"/>
  <c r="F10" i="10" s="1"/>
  <c r="E11" i="10"/>
  <c r="E10" i="10"/>
  <c r="R59" i="2"/>
  <c r="M60" i="2"/>
  <c r="N58" i="2"/>
  <c r="Q10" i="2"/>
  <c r="E29" i="2"/>
  <c r="N59" i="2"/>
  <c r="G12" i="16"/>
  <c r="G8" i="16"/>
  <c r="C9" i="2"/>
  <c r="C11" i="2"/>
  <c r="G14" i="16"/>
  <c r="L60" i="2"/>
  <c r="N34" i="2"/>
  <c r="E11" i="9"/>
  <c r="L16" i="2"/>
  <c r="I17" i="9"/>
  <c r="Q17" i="9"/>
  <c r="Y17" i="9"/>
  <c r="M17" i="9"/>
  <c r="U17" i="9"/>
  <c r="P17" i="9"/>
  <c r="X17" i="9"/>
  <c r="I17" i="16"/>
  <c r="P19" i="2"/>
  <c r="E8" i="4" l="1"/>
  <c r="C168" i="6"/>
  <c r="E28" i="11"/>
  <c r="F28" i="11"/>
  <c r="G28" i="11" s="1"/>
  <c r="H28" i="11" s="1"/>
  <c r="I28" i="11" s="1"/>
  <c r="J28" i="11" s="1"/>
  <c r="K28" i="11" s="1"/>
  <c r="L28" i="11" s="1"/>
  <c r="M28" i="11" s="1"/>
  <c r="N28" i="11" s="1"/>
  <c r="O28" i="11" s="1"/>
  <c r="P28" i="11" s="1"/>
  <c r="Q28" i="11" s="1"/>
  <c r="R28" i="11" s="1"/>
  <c r="S28" i="11" s="1"/>
  <c r="T28" i="11" s="1"/>
  <c r="U28" i="11" s="1"/>
  <c r="V28" i="11" s="1"/>
  <c r="W28" i="11" s="1"/>
  <c r="X28" i="11" s="1"/>
  <c r="Y28" i="11" s="1"/>
  <c r="Z28" i="11" s="1"/>
  <c r="C191" i="6"/>
  <c r="C192" i="6"/>
  <c r="C194" i="6" s="1"/>
  <c r="N89" i="2"/>
  <c r="N77" i="2"/>
  <c r="E25" i="11"/>
  <c r="F25" i="11"/>
  <c r="E30" i="9"/>
  <c r="F30" i="9"/>
  <c r="G30" i="9" s="1"/>
  <c r="H30" i="9" s="1"/>
  <c r="I30" i="9" s="1"/>
  <c r="J30" i="9" s="1"/>
  <c r="K30" i="9" s="1"/>
  <c r="L30" i="9" s="1"/>
  <c r="M30" i="9" s="1"/>
  <c r="N30" i="9" s="1"/>
  <c r="O30" i="9" s="1"/>
  <c r="P30" i="9" s="1"/>
  <c r="Q30" i="9" s="1"/>
  <c r="R30" i="9" s="1"/>
  <c r="S30" i="9" s="1"/>
  <c r="T30" i="9" s="1"/>
  <c r="U30" i="9" s="1"/>
  <c r="V30" i="9" s="1"/>
  <c r="W30" i="9" s="1"/>
  <c r="X30" i="9" s="1"/>
  <c r="Y30" i="9" s="1"/>
  <c r="Z30" i="9" s="1"/>
  <c r="F28" i="14"/>
  <c r="G28" i="14"/>
  <c r="H28" i="14" s="1"/>
  <c r="I28" i="14" s="1"/>
  <c r="J28" i="14" s="1"/>
  <c r="K28" i="14" s="1"/>
  <c r="L28" i="14" s="1"/>
  <c r="M28" i="14" s="1"/>
  <c r="N28" i="14" s="1"/>
  <c r="O28" i="14" s="1"/>
  <c r="P28" i="14" s="1"/>
  <c r="Q28" i="14" s="1"/>
  <c r="R28" i="14" s="1"/>
  <c r="S28" i="14" s="1"/>
  <c r="T28" i="14" s="1"/>
  <c r="U28" i="14" s="1"/>
  <c r="V28" i="14" s="1"/>
  <c r="W28" i="14" s="1"/>
  <c r="X28" i="14" s="1"/>
  <c r="Y28" i="14" s="1"/>
  <c r="Z28" i="14" s="1"/>
  <c r="Q78" i="2"/>
  <c r="F26" i="13"/>
  <c r="V25" i="6"/>
  <c r="A26" i="6" s="1"/>
  <c r="X15" i="5"/>
  <c r="O93" i="6"/>
  <c r="O110" i="6" s="1"/>
  <c r="AA128" i="6"/>
  <c r="AH128" i="6"/>
  <c r="AK13" i="18"/>
  <c r="C33" i="6"/>
  <c r="C35" i="6" s="1"/>
  <c r="C32" i="6"/>
  <c r="B136" i="6"/>
  <c r="B92" i="6"/>
  <c r="N13" i="15"/>
  <c r="E64" i="13"/>
  <c r="E67" i="13" s="1"/>
  <c r="E72" i="13" s="1"/>
  <c r="E76" i="13" s="1"/>
  <c r="E44" i="13"/>
  <c r="E49" i="13" s="1"/>
  <c r="E30" i="10"/>
  <c r="F30" i="10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W30" i="10" s="1"/>
  <c r="X30" i="10" s="1"/>
  <c r="Y30" i="10" s="1"/>
  <c r="Z30" i="10" s="1"/>
  <c r="F29" i="9"/>
  <c r="G29" i="9" s="1"/>
  <c r="H29" i="9" s="1"/>
  <c r="I29" i="9" s="1"/>
  <c r="J29" i="9" s="1"/>
  <c r="K29" i="9" s="1"/>
  <c r="L29" i="9" s="1"/>
  <c r="M29" i="9" s="1"/>
  <c r="N29" i="9" s="1"/>
  <c r="O29" i="9" s="1"/>
  <c r="P29" i="9" s="1"/>
  <c r="Q29" i="9" s="1"/>
  <c r="R29" i="9" s="1"/>
  <c r="S29" i="9" s="1"/>
  <c r="T29" i="9" s="1"/>
  <c r="U29" i="9" s="1"/>
  <c r="V29" i="9" s="1"/>
  <c r="W29" i="9" s="1"/>
  <c r="X29" i="9" s="1"/>
  <c r="Y29" i="9" s="1"/>
  <c r="Z29" i="9" s="1"/>
  <c r="E29" i="9"/>
  <c r="F28" i="13"/>
  <c r="G28" i="13"/>
  <c r="J33" i="12"/>
  <c r="K33" i="12" s="1"/>
  <c r="L33" i="12" s="1"/>
  <c r="M33" i="12" s="1"/>
  <c r="N33" i="12" s="1"/>
  <c r="O33" i="12" s="1"/>
  <c r="P33" i="12" s="1"/>
  <c r="Q33" i="12" s="1"/>
  <c r="R33" i="12" s="1"/>
  <c r="S33" i="12" s="1"/>
  <c r="T33" i="12" s="1"/>
  <c r="U33" i="12" s="1"/>
  <c r="V33" i="12" s="1"/>
  <c r="W33" i="12" s="1"/>
  <c r="X33" i="12" s="1"/>
  <c r="Y33" i="12" s="1"/>
  <c r="Z33" i="12" s="1"/>
  <c r="F34" i="12"/>
  <c r="G35" i="12"/>
  <c r="H35" i="12" s="1"/>
  <c r="I35" i="12" s="1"/>
  <c r="J35" i="12" s="1"/>
  <c r="K35" i="12" s="1"/>
  <c r="L35" i="12" s="1"/>
  <c r="M35" i="12" s="1"/>
  <c r="N35" i="12" s="1"/>
  <c r="O35" i="12" s="1"/>
  <c r="P35" i="12" s="1"/>
  <c r="Q35" i="12" s="1"/>
  <c r="R35" i="12" s="1"/>
  <c r="S35" i="12" s="1"/>
  <c r="T35" i="12" s="1"/>
  <c r="U35" i="12" s="1"/>
  <c r="V35" i="12" s="1"/>
  <c r="W35" i="12" s="1"/>
  <c r="X35" i="12" s="1"/>
  <c r="Y35" i="12" s="1"/>
  <c r="Z35" i="12" s="1"/>
  <c r="F35" i="12"/>
  <c r="G34" i="12"/>
  <c r="H34" i="12" s="1"/>
  <c r="I34" i="12" s="1"/>
  <c r="J34" i="12" s="1"/>
  <c r="K34" i="12" s="1"/>
  <c r="L34" i="12" s="1"/>
  <c r="M34" i="12" s="1"/>
  <c r="N34" i="12" s="1"/>
  <c r="O34" i="12" s="1"/>
  <c r="P34" i="12" s="1"/>
  <c r="Q34" i="12" s="1"/>
  <c r="R34" i="12" s="1"/>
  <c r="S34" i="12" s="1"/>
  <c r="T34" i="12" s="1"/>
  <c r="U34" i="12" s="1"/>
  <c r="V34" i="12" s="1"/>
  <c r="W34" i="12" s="1"/>
  <c r="X34" i="12" s="1"/>
  <c r="Y34" i="12" s="1"/>
  <c r="Z34" i="12" s="1"/>
  <c r="J33" i="10"/>
  <c r="F34" i="10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F35" i="10"/>
  <c r="G35" i="10" s="1"/>
  <c r="H35" i="10" s="1"/>
  <c r="I35" i="10" s="1"/>
  <c r="J35" i="10" s="1"/>
  <c r="K35" i="10" s="1"/>
  <c r="L35" i="10" s="1"/>
  <c r="M35" i="10" s="1"/>
  <c r="N35" i="10" s="1"/>
  <c r="O35" i="10" s="1"/>
  <c r="P35" i="10" s="1"/>
  <c r="Q35" i="10" s="1"/>
  <c r="R35" i="10" s="1"/>
  <c r="S35" i="10" s="1"/>
  <c r="T35" i="10" s="1"/>
  <c r="U35" i="10" s="1"/>
  <c r="V35" i="10" s="1"/>
  <c r="W35" i="10" s="1"/>
  <c r="X35" i="10" s="1"/>
  <c r="Y35" i="10" s="1"/>
  <c r="Z35" i="10" s="1"/>
  <c r="N60" i="2"/>
  <c r="Q77" i="2"/>
  <c r="Q91" i="2" s="1"/>
  <c r="Q89" i="2"/>
  <c r="G25" i="13"/>
  <c r="F25" i="13"/>
  <c r="N44" i="3"/>
  <c r="O44" i="3"/>
  <c r="L44" i="3"/>
  <c r="V44" i="3"/>
  <c r="AO13" i="18"/>
  <c r="N39" i="2"/>
  <c r="R39" i="2"/>
  <c r="P39" i="2"/>
  <c r="Q39" i="2"/>
  <c r="M39" i="2"/>
  <c r="F11" i="9"/>
  <c r="G11" i="9" s="1"/>
  <c r="H11" i="9" s="1"/>
  <c r="I26" i="9"/>
  <c r="J26" i="9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V26" i="9" s="1"/>
  <c r="W26" i="9" s="1"/>
  <c r="X26" i="9" s="1"/>
  <c r="Y26" i="9" s="1"/>
  <c r="Z26" i="9" s="1"/>
  <c r="AN128" i="6"/>
  <c r="AQ13" i="18"/>
  <c r="U93" i="6"/>
  <c r="U110" i="6" s="1"/>
  <c r="AG128" i="6"/>
  <c r="R93" i="6"/>
  <c r="R110" i="6" s="1"/>
  <c r="J93" i="6"/>
  <c r="J110" i="6" s="1"/>
  <c r="U13" i="18"/>
  <c r="E16" i="5"/>
  <c r="B46" i="6"/>
  <c r="E14" i="18"/>
  <c r="C60" i="6"/>
  <c r="C61" i="6"/>
  <c r="C63" i="6" s="1"/>
  <c r="S15" i="5"/>
  <c r="O76" i="7"/>
  <c r="X76" i="7"/>
  <c r="E30" i="11"/>
  <c r="F30" i="11"/>
  <c r="G30" i="11" s="1"/>
  <c r="H30" i="11" s="1"/>
  <c r="I30" i="11" s="1"/>
  <c r="J30" i="11" s="1"/>
  <c r="K30" i="11" s="1"/>
  <c r="L30" i="11" s="1"/>
  <c r="M30" i="11" s="1"/>
  <c r="N30" i="11" s="1"/>
  <c r="O30" i="11" s="1"/>
  <c r="P30" i="11" s="1"/>
  <c r="Q30" i="11" s="1"/>
  <c r="R30" i="11" s="1"/>
  <c r="S30" i="11" s="1"/>
  <c r="T30" i="11" s="1"/>
  <c r="U30" i="11" s="1"/>
  <c r="V30" i="11" s="1"/>
  <c r="W30" i="11" s="1"/>
  <c r="X30" i="11" s="1"/>
  <c r="Y30" i="11" s="1"/>
  <c r="Z30" i="11" s="1"/>
  <c r="P77" i="2"/>
  <c r="P89" i="2"/>
  <c r="G25" i="12"/>
  <c r="F25" i="12"/>
  <c r="R77" i="2"/>
  <c r="R89" i="2"/>
  <c r="F25" i="14"/>
  <c r="G25" i="14"/>
  <c r="Z63" i="3"/>
  <c r="N63" i="3"/>
  <c r="L63" i="3"/>
  <c r="J15" i="5"/>
  <c r="I126" i="6"/>
  <c r="B131" i="6" s="1"/>
  <c r="F9" i="6" s="1"/>
  <c r="B25" i="2" s="1"/>
  <c r="F47" i="6"/>
  <c r="C93" i="6"/>
  <c r="C110" i="6" s="1"/>
  <c r="E13" i="18"/>
  <c r="AM13" i="15"/>
  <c r="A14" i="15"/>
  <c r="R13" i="15"/>
  <c r="AH13" i="15"/>
  <c r="O13" i="15"/>
  <c r="P13" i="15"/>
  <c r="AJ13" i="15"/>
  <c r="S13" i="15"/>
  <c r="E28" i="10"/>
  <c r="F28" i="10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W28" i="10" s="1"/>
  <c r="X28" i="10" s="1"/>
  <c r="Y28" i="10" s="1"/>
  <c r="Z28" i="10" s="1"/>
  <c r="J33" i="11"/>
  <c r="K33" i="11" s="1"/>
  <c r="L33" i="11" s="1"/>
  <c r="M33" i="11" s="1"/>
  <c r="N33" i="11" s="1"/>
  <c r="O33" i="11" s="1"/>
  <c r="P33" i="11" s="1"/>
  <c r="Q33" i="11" s="1"/>
  <c r="R33" i="11" s="1"/>
  <c r="S33" i="11" s="1"/>
  <c r="T33" i="11" s="1"/>
  <c r="U33" i="11" s="1"/>
  <c r="V33" i="11" s="1"/>
  <c r="W33" i="11" s="1"/>
  <c r="X33" i="11" s="1"/>
  <c r="Y33" i="11" s="1"/>
  <c r="Z33" i="11" s="1"/>
  <c r="F34" i="11"/>
  <c r="G34" i="11" s="1"/>
  <c r="H34" i="11" s="1"/>
  <c r="I34" i="11" s="1"/>
  <c r="J34" i="11" s="1"/>
  <c r="K34" i="11" s="1"/>
  <c r="L34" i="11" s="1"/>
  <c r="M34" i="11" s="1"/>
  <c r="N34" i="11" s="1"/>
  <c r="O34" i="11" s="1"/>
  <c r="P34" i="11" s="1"/>
  <c r="Q34" i="11" s="1"/>
  <c r="R34" i="11" s="1"/>
  <c r="S34" i="11" s="1"/>
  <c r="T34" i="11" s="1"/>
  <c r="U34" i="11" s="1"/>
  <c r="V34" i="11" s="1"/>
  <c r="W34" i="11" s="1"/>
  <c r="X34" i="11" s="1"/>
  <c r="Y34" i="11" s="1"/>
  <c r="Z34" i="11" s="1"/>
  <c r="I26" i="10"/>
  <c r="J26" i="10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W26" i="10" s="1"/>
  <c r="X26" i="10" s="1"/>
  <c r="Y26" i="10" s="1"/>
  <c r="Z26" i="10" s="1"/>
  <c r="F29" i="13"/>
  <c r="G29" i="13"/>
  <c r="F34" i="13"/>
  <c r="F35" i="13"/>
  <c r="G34" i="13"/>
  <c r="G35" i="13"/>
  <c r="R78" i="2"/>
  <c r="R91" i="2"/>
  <c r="F26" i="14"/>
  <c r="G26" i="14" s="1"/>
  <c r="H26" i="14" s="1"/>
  <c r="AB128" i="6"/>
  <c r="AE13" i="18"/>
  <c r="G29" i="12"/>
  <c r="H29" i="12" s="1"/>
  <c r="I29" i="12" s="1"/>
  <c r="J29" i="12" s="1"/>
  <c r="K29" i="12" s="1"/>
  <c r="L29" i="12" s="1"/>
  <c r="M29" i="12" s="1"/>
  <c r="N29" i="12" s="1"/>
  <c r="O29" i="12" s="1"/>
  <c r="P29" i="12" s="1"/>
  <c r="Q29" i="12" s="1"/>
  <c r="R29" i="12" s="1"/>
  <c r="S29" i="12" s="1"/>
  <c r="T29" i="12" s="1"/>
  <c r="U29" i="12" s="1"/>
  <c r="V29" i="12" s="1"/>
  <c r="W29" i="12" s="1"/>
  <c r="X29" i="12" s="1"/>
  <c r="Y29" i="12" s="1"/>
  <c r="Z29" i="12" s="1"/>
  <c r="F29" i="12"/>
  <c r="J13" i="18"/>
  <c r="K2" i="18"/>
  <c r="L2" i="18" s="1"/>
  <c r="B9" i="2"/>
  <c r="E26" i="11"/>
  <c r="F26" i="11"/>
  <c r="N78" i="2"/>
  <c r="N91" i="2"/>
  <c r="G26" i="11"/>
  <c r="H26" i="11" s="1"/>
  <c r="V15" i="5"/>
  <c r="I93" i="6"/>
  <c r="I110" i="6" s="1"/>
  <c r="P145" i="6"/>
  <c r="AK128" i="6"/>
  <c r="T93" i="6"/>
  <c r="T110" i="6" s="1"/>
  <c r="D110" i="6"/>
  <c r="H13" i="18" s="1"/>
  <c r="Q110" i="6"/>
  <c r="C68" i="6"/>
  <c r="C100" i="6" s="1"/>
  <c r="Q76" i="7"/>
  <c r="Q13" i="15"/>
  <c r="U24" i="15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H76" i="7"/>
  <c r="L91" i="2"/>
  <c r="E26" i="9"/>
  <c r="L78" i="2"/>
  <c r="F26" i="9"/>
  <c r="G26" i="9" s="1"/>
  <c r="H26" i="9" s="1"/>
  <c r="F30" i="13"/>
  <c r="G30" i="13"/>
  <c r="F30" i="12"/>
  <c r="G30" i="12"/>
  <c r="H30" i="12" s="1"/>
  <c r="I30" i="12" s="1"/>
  <c r="J30" i="12" s="1"/>
  <c r="K30" i="12" s="1"/>
  <c r="L30" i="12" s="1"/>
  <c r="M30" i="12" s="1"/>
  <c r="N30" i="12" s="1"/>
  <c r="O30" i="12" s="1"/>
  <c r="P30" i="12" s="1"/>
  <c r="Q30" i="12" s="1"/>
  <c r="R30" i="12" s="1"/>
  <c r="S30" i="12" s="1"/>
  <c r="T30" i="12" s="1"/>
  <c r="U30" i="12" s="1"/>
  <c r="V30" i="12" s="1"/>
  <c r="W30" i="12" s="1"/>
  <c r="X30" i="12" s="1"/>
  <c r="Y30" i="12" s="1"/>
  <c r="Z30" i="12" s="1"/>
  <c r="J16" i="3"/>
  <c r="J19" i="3" s="1"/>
  <c r="J25" i="3" s="1"/>
  <c r="R16" i="3"/>
  <c r="R19" i="3" s="1"/>
  <c r="R25" i="3" s="1"/>
  <c r="R15" i="12" s="1"/>
  <c r="Z16" i="3"/>
  <c r="Z19" i="3" s="1"/>
  <c r="Z25" i="3" s="1"/>
  <c r="M17" i="3"/>
  <c r="M20" i="3" s="1"/>
  <c r="U17" i="3"/>
  <c r="U20" i="3" s="1"/>
  <c r="L35" i="3"/>
  <c r="L38" i="3" s="1"/>
  <c r="T35" i="3"/>
  <c r="T38" i="3" s="1"/>
  <c r="T44" i="3" s="1"/>
  <c r="G36" i="3"/>
  <c r="G39" i="3" s="1"/>
  <c r="O36" i="3"/>
  <c r="O39" i="3" s="1"/>
  <c r="W36" i="3"/>
  <c r="W39" i="3" s="1"/>
  <c r="G16" i="3"/>
  <c r="G19" i="3" s="1"/>
  <c r="O16" i="3"/>
  <c r="O19" i="3" s="1"/>
  <c r="O25" i="3" s="1"/>
  <c r="W16" i="3"/>
  <c r="W19" i="3" s="1"/>
  <c r="W25" i="3" s="1"/>
  <c r="J17" i="3"/>
  <c r="J20" i="3" s="1"/>
  <c r="R17" i="3"/>
  <c r="R20" i="3" s="1"/>
  <c r="Z17" i="3"/>
  <c r="Z20" i="3" s="1"/>
  <c r="I35" i="3"/>
  <c r="I38" i="3" s="1"/>
  <c r="I44" i="3" s="1"/>
  <c r="Q35" i="3"/>
  <c r="Q38" i="3" s="1"/>
  <c r="Q44" i="3" s="1"/>
  <c r="Y35" i="3"/>
  <c r="Y38" i="3" s="1"/>
  <c r="Y44" i="3" s="1"/>
  <c r="L36" i="3"/>
  <c r="L39" i="3" s="1"/>
  <c r="T36" i="3"/>
  <c r="T39" i="3" s="1"/>
  <c r="K54" i="3"/>
  <c r="K57" i="3" s="1"/>
  <c r="K63" i="3" s="1"/>
  <c r="S54" i="3"/>
  <c r="S57" i="3" s="1"/>
  <c r="S63" i="3" s="1"/>
  <c r="F55" i="3"/>
  <c r="F58" i="3" s="1"/>
  <c r="N55" i="3"/>
  <c r="N58" i="3" s="1"/>
  <c r="V55" i="3"/>
  <c r="V58" i="3" s="1"/>
  <c r="H16" i="3"/>
  <c r="H19" i="3" s="1"/>
  <c r="P16" i="3"/>
  <c r="P19" i="3" s="1"/>
  <c r="P25" i="3" s="1"/>
  <c r="P15" i="12" s="1"/>
  <c r="X16" i="3"/>
  <c r="X19" i="3" s="1"/>
  <c r="X25" i="3" s="1"/>
  <c r="K17" i="3"/>
  <c r="K20" i="3" s="1"/>
  <c r="S17" i="3"/>
  <c r="S20" i="3" s="1"/>
  <c r="J35" i="3"/>
  <c r="J38" i="3" s="1"/>
  <c r="J44" i="3" s="1"/>
  <c r="R35" i="3"/>
  <c r="R38" i="3" s="1"/>
  <c r="R44" i="3" s="1"/>
  <c r="Z35" i="3"/>
  <c r="Z38" i="3" s="1"/>
  <c r="Z44" i="3" s="1"/>
  <c r="M36" i="3"/>
  <c r="M39" i="3" s="1"/>
  <c r="U36" i="3"/>
  <c r="U39" i="3" s="1"/>
  <c r="I16" i="3"/>
  <c r="I19" i="3" s="1"/>
  <c r="I25" i="3" s="1"/>
  <c r="U16" i="3"/>
  <c r="U19" i="3" s="1"/>
  <c r="U25" i="3" s="1"/>
  <c r="N17" i="3"/>
  <c r="N20" i="3" s="1"/>
  <c r="Y17" i="3"/>
  <c r="Y20" i="3" s="1"/>
  <c r="M35" i="3"/>
  <c r="M38" i="3" s="1"/>
  <c r="M44" i="3" s="1"/>
  <c r="X35" i="3"/>
  <c r="X38" i="3" s="1"/>
  <c r="X44" i="3" s="1"/>
  <c r="Q36" i="3"/>
  <c r="Q39" i="3" s="1"/>
  <c r="M54" i="3"/>
  <c r="M57" i="3" s="1"/>
  <c r="M63" i="3" s="1"/>
  <c r="V54" i="3"/>
  <c r="V57" i="3" s="1"/>
  <c r="V63" i="3" s="1"/>
  <c r="J55" i="3"/>
  <c r="J58" i="3" s="1"/>
  <c r="S55" i="3"/>
  <c r="S58" i="3" s="1"/>
  <c r="K16" i="3"/>
  <c r="K19" i="3" s="1"/>
  <c r="K25" i="3" s="1"/>
  <c r="V16" i="3"/>
  <c r="V19" i="3" s="1"/>
  <c r="V25" i="3" s="1"/>
  <c r="O17" i="3"/>
  <c r="O20" i="3" s="1"/>
  <c r="N35" i="3"/>
  <c r="N38" i="3" s="1"/>
  <c r="F36" i="3"/>
  <c r="F39" i="3" s="1"/>
  <c r="R36" i="3"/>
  <c r="R39" i="3" s="1"/>
  <c r="N54" i="3"/>
  <c r="N57" i="3" s="1"/>
  <c r="W54" i="3"/>
  <c r="W57" i="3" s="1"/>
  <c r="W63" i="3" s="1"/>
  <c r="K55" i="3"/>
  <c r="K58" i="3" s="1"/>
  <c r="T55" i="3"/>
  <c r="T58" i="3" s="1"/>
  <c r="L16" i="3"/>
  <c r="L19" i="3" s="1"/>
  <c r="L25" i="3" s="1"/>
  <c r="Y16" i="3"/>
  <c r="Y19" i="3" s="1"/>
  <c r="Y25" i="3" s="1"/>
  <c r="P17" i="3"/>
  <c r="P20" i="3" s="1"/>
  <c r="O35" i="3"/>
  <c r="O38" i="3" s="1"/>
  <c r="H36" i="3"/>
  <c r="H39" i="3" s="1"/>
  <c r="S36" i="3"/>
  <c r="S39" i="3" s="1"/>
  <c r="F54" i="3"/>
  <c r="F57" i="3" s="1"/>
  <c r="O54" i="3"/>
  <c r="O57" i="3" s="1"/>
  <c r="O63" i="3" s="1"/>
  <c r="X54" i="3"/>
  <c r="X57" i="3" s="1"/>
  <c r="X63" i="3" s="1"/>
  <c r="L55" i="3"/>
  <c r="L58" i="3" s="1"/>
  <c r="U55" i="3"/>
  <c r="U58" i="3" s="1"/>
  <c r="Q16" i="3"/>
  <c r="Q19" i="3" s="1"/>
  <c r="Q25" i="3" s="1"/>
  <c r="H17" i="3"/>
  <c r="H20" i="3" s="1"/>
  <c r="V17" i="3"/>
  <c r="V20" i="3" s="1"/>
  <c r="G35" i="3"/>
  <c r="G38" i="3" s="1"/>
  <c r="U35" i="3"/>
  <c r="U38" i="3" s="1"/>
  <c r="U44" i="3" s="1"/>
  <c r="K36" i="3"/>
  <c r="K39" i="3" s="1"/>
  <c r="Y36" i="3"/>
  <c r="Y39" i="3" s="1"/>
  <c r="I54" i="3"/>
  <c r="I57" i="3" s="1"/>
  <c r="I63" i="3" s="1"/>
  <c r="R54" i="3"/>
  <c r="R57" i="3" s="1"/>
  <c r="R63" i="3" s="1"/>
  <c r="G55" i="3"/>
  <c r="G58" i="3" s="1"/>
  <c r="P55" i="3"/>
  <c r="P58" i="3" s="1"/>
  <c r="Y55" i="3"/>
  <c r="Y58" i="3" s="1"/>
  <c r="S16" i="3"/>
  <c r="S19" i="3" s="1"/>
  <c r="S25" i="3" s="1"/>
  <c r="S15" i="12" s="1"/>
  <c r="I17" i="3"/>
  <c r="I20" i="3" s="1"/>
  <c r="W17" i="3"/>
  <c r="W20" i="3" s="1"/>
  <c r="H35" i="3"/>
  <c r="H38" i="3" s="1"/>
  <c r="V35" i="3"/>
  <c r="V38" i="3" s="1"/>
  <c r="N36" i="3"/>
  <c r="N39" i="3" s="1"/>
  <c r="Z36" i="3"/>
  <c r="Z39" i="3" s="1"/>
  <c r="J54" i="3"/>
  <c r="J57" i="3" s="1"/>
  <c r="J63" i="3" s="1"/>
  <c r="T54" i="3"/>
  <c r="T57" i="3" s="1"/>
  <c r="T63" i="3" s="1"/>
  <c r="H55" i="3"/>
  <c r="H58" i="3" s="1"/>
  <c r="Q55" i="3"/>
  <c r="Q58" i="3" s="1"/>
  <c r="Z55" i="3"/>
  <c r="Z58" i="3" s="1"/>
  <c r="L17" i="3"/>
  <c r="L20" i="3" s="1"/>
  <c r="K35" i="3"/>
  <c r="K38" i="3" s="1"/>
  <c r="K44" i="3" s="1"/>
  <c r="X36" i="3"/>
  <c r="X39" i="3" s="1"/>
  <c r="G54" i="3"/>
  <c r="G57" i="3" s="1"/>
  <c r="I55" i="3"/>
  <c r="I58" i="3" s="1"/>
  <c r="Q17" i="3"/>
  <c r="Q20" i="3" s="1"/>
  <c r="P35" i="3"/>
  <c r="P38" i="3" s="1"/>
  <c r="P44" i="3" s="1"/>
  <c r="H54" i="3"/>
  <c r="H57" i="3" s="1"/>
  <c r="M55" i="3"/>
  <c r="M58" i="3" s="1"/>
  <c r="X17" i="3"/>
  <c r="X20" i="3" s="1"/>
  <c r="R55" i="3"/>
  <c r="R58" i="3" s="1"/>
  <c r="F16" i="3"/>
  <c r="F19" i="3" s="1"/>
  <c r="T17" i="3"/>
  <c r="T20" i="3" s="1"/>
  <c r="S35" i="3"/>
  <c r="S38" i="3" s="1"/>
  <c r="S44" i="3" s="1"/>
  <c r="L54" i="3"/>
  <c r="L57" i="3" s="1"/>
  <c r="O55" i="3"/>
  <c r="O58" i="3" s="1"/>
  <c r="M16" i="3"/>
  <c r="M19" i="3" s="1"/>
  <c r="M25" i="3" s="1"/>
  <c r="W35" i="3"/>
  <c r="W38" i="3" s="1"/>
  <c r="W44" i="3" s="1"/>
  <c r="P54" i="3"/>
  <c r="P57" i="3" s="1"/>
  <c r="P63" i="3" s="1"/>
  <c r="N16" i="3"/>
  <c r="N19" i="3" s="1"/>
  <c r="N25" i="3" s="1"/>
  <c r="N15" i="12" s="1"/>
  <c r="I36" i="3"/>
  <c r="I39" i="3" s="1"/>
  <c r="Q54" i="3"/>
  <c r="Q57" i="3" s="1"/>
  <c r="Q63" i="3" s="1"/>
  <c r="W55" i="3"/>
  <c r="W58" i="3" s="1"/>
  <c r="T16" i="3"/>
  <c r="T19" i="3" s="1"/>
  <c r="T25" i="3" s="1"/>
  <c r="J36" i="3"/>
  <c r="J39" i="3" s="1"/>
  <c r="U54" i="3"/>
  <c r="U57" i="3" s="1"/>
  <c r="U63" i="3" s="1"/>
  <c r="X55" i="3"/>
  <c r="X58" i="3" s="1"/>
  <c r="F17" i="3"/>
  <c r="F20" i="3" s="1"/>
  <c r="P36" i="3"/>
  <c r="P39" i="3" s="1"/>
  <c r="Y54" i="3"/>
  <c r="Y57" i="3" s="1"/>
  <c r="Y63" i="3" s="1"/>
  <c r="G17" i="3"/>
  <c r="G20" i="3" s="1"/>
  <c r="F35" i="3"/>
  <c r="F38" i="3" s="1"/>
  <c r="V36" i="3"/>
  <c r="V39" i="3" s="1"/>
  <c r="Z54" i="3"/>
  <c r="Z57" i="3" s="1"/>
  <c r="Z128" i="6"/>
  <c r="AC13" i="18"/>
  <c r="C215" i="6"/>
  <c r="C217" i="6" s="1"/>
  <c r="C214" i="6"/>
  <c r="E28" i="9"/>
  <c r="F28" i="9"/>
  <c r="G28" i="9" s="1"/>
  <c r="H28" i="9" s="1"/>
  <c r="I28" i="9" s="1"/>
  <c r="J28" i="9" s="1"/>
  <c r="K28" i="9" s="1"/>
  <c r="L28" i="9" s="1"/>
  <c r="M28" i="9" s="1"/>
  <c r="N28" i="9" s="1"/>
  <c r="O28" i="9" s="1"/>
  <c r="P28" i="9" s="1"/>
  <c r="Q28" i="9" s="1"/>
  <c r="R28" i="9" s="1"/>
  <c r="S28" i="9" s="1"/>
  <c r="T28" i="9" s="1"/>
  <c r="U28" i="9" s="1"/>
  <c r="V28" i="9" s="1"/>
  <c r="W28" i="9" s="1"/>
  <c r="X28" i="9" s="1"/>
  <c r="Y28" i="9" s="1"/>
  <c r="Z28" i="9" s="1"/>
  <c r="E51" i="14"/>
  <c r="E54" i="14"/>
  <c r="E75" i="14" s="1"/>
  <c r="B11" i="2"/>
  <c r="G14" i="2"/>
  <c r="B8" i="2"/>
  <c r="AA66" i="5"/>
  <c r="P93" i="6"/>
  <c r="P110" i="6" s="1"/>
  <c r="AC128" i="6"/>
  <c r="Q33" i="2"/>
  <c r="R10" i="2"/>
  <c r="R33" i="2" s="1"/>
  <c r="J126" i="6"/>
  <c r="M13" i="18"/>
  <c r="Y128" i="6"/>
  <c r="N93" i="6"/>
  <c r="N110" i="6" s="1"/>
  <c r="K93" i="6"/>
  <c r="K110" i="6" s="1"/>
  <c r="O15" i="5"/>
  <c r="T145" i="6"/>
  <c r="A73" i="2"/>
  <c r="F65" i="5"/>
  <c r="F67" i="5" s="1"/>
  <c r="F59" i="5"/>
  <c r="F61" i="5" s="1"/>
  <c r="G27" i="7"/>
  <c r="G31" i="7" s="1"/>
  <c r="G19" i="7"/>
  <c r="G38" i="7"/>
  <c r="G41" i="7" s="1"/>
  <c r="B245" i="6"/>
  <c r="M76" i="7"/>
  <c r="F29" i="10"/>
  <c r="G29" i="10" s="1"/>
  <c r="H29" i="10" s="1"/>
  <c r="I29" i="10" s="1"/>
  <c r="J29" i="10" s="1"/>
  <c r="K29" i="10" s="1"/>
  <c r="L29" i="10" s="1"/>
  <c r="M29" i="10" s="1"/>
  <c r="N29" i="10" s="1"/>
  <c r="O29" i="10" s="1"/>
  <c r="P29" i="10" s="1"/>
  <c r="Q29" i="10" s="1"/>
  <c r="R29" i="10" s="1"/>
  <c r="S29" i="10" s="1"/>
  <c r="T29" i="10" s="1"/>
  <c r="U29" i="10" s="1"/>
  <c r="V29" i="10" s="1"/>
  <c r="W29" i="10" s="1"/>
  <c r="X29" i="10" s="1"/>
  <c r="Y29" i="10" s="1"/>
  <c r="Z29" i="10" s="1"/>
  <c r="E29" i="10"/>
  <c r="F28" i="12"/>
  <c r="G28" i="12"/>
  <c r="H28" i="12" s="1"/>
  <c r="I28" i="12" s="1"/>
  <c r="J28" i="12" s="1"/>
  <c r="K28" i="12" s="1"/>
  <c r="L28" i="12" s="1"/>
  <c r="M28" i="12" s="1"/>
  <c r="N28" i="12" s="1"/>
  <c r="O28" i="12" s="1"/>
  <c r="P28" i="12" s="1"/>
  <c r="Q28" i="12" s="1"/>
  <c r="R28" i="12" s="1"/>
  <c r="S28" i="12" s="1"/>
  <c r="T28" i="12" s="1"/>
  <c r="U28" i="12" s="1"/>
  <c r="V28" i="12" s="1"/>
  <c r="W28" i="12" s="1"/>
  <c r="X28" i="12" s="1"/>
  <c r="Y28" i="12" s="1"/>
  <c r="Z28" i="12" s="1"/>
  <c r="E29" i="11"/>
  <c r="F29" i="11"/>
  <c r="G29" i="11" s="1"/>
  <c r="H29" i="11" s="1"/>
  <c r="I29" i="11" s="1"/>
  <c r="J29" i="11" s="1"/>
  <c r="K29" i="11" s="1"/>
  <c r="L29" i="11" s="1"/>
  <c r="M29" i="11" s="1"/>
  <c r="N29" i="11" s="1"/>
  <c r="O29" i="11" s="1"/>
  <c r="P29" i="11" s="1"/>
  <c r="Q29" i="11" s="1"/>
  <c r="R29" i="11" s="1"/>
  <c r="S29" i="11" s="1"/>
  <c r="T29" i="11" s="1"/>
  <c r="U29" i="11" s="1"/>
  <c r="V29" i="11" s="1"/>
  <c r="W29" i="11" s="1"/>
  <c r="X29" i="11" s="1"/>
  <c r="Y29" i="11" s="1"/>
  <c r="Z29" i="11" s="1"/>
  <c r="F87" i="13"/>
  <c r="F89" i="13" s="1"/>
  <c r="G35" i="11"/>
  <c r="H35" i="11" s="1"/>
  <c r="I35" i="11" s="1"/>
  <c r="J35" i="11" s="1"/>
  <c r="K35" i="11" s="1"/>
  <c r="L35" i="11" s="1"/>
  <c r="M35" i="11" s="1"/>
  <c r="N35" i="11" s="1"/>
  <c r="O35" i="11" s="1"/>
  <c r="P35" i="11" s="1"/>
  <c r="Q35" i="11" s="1"/>
  <c r="R35" i="11" s="1"/>
  <c r="S35" i="11" s="1"/>
  <c r="T35" i="11" s="1"/>
  <c r="U35" i="11" s="1"/>
  <c r="V35" i="11" s="1"/>
  <c r="W35" i="11" s="1"/>
  <c r="X35" i="11" s="1"/>
  <c r="Y35" i="11" s="1"/>
  <c r="Z35" i="11" s="1"/>
  <c r="F35" i="14"/>
  <c r="G35" i="14"/>
  <c r="H35" i="14" s="1"/>
  <c r="I35" i="14" s="1"/>
  <c r="J35" i="14" s="1"/>
  <c r="K35" i="14" s="1"/>
  <c r="L35" i="14" s="1"/>
  <c r="M35" i="14" s="1"/>
  <c r="N35" i="14" s="1"/>
  <c r="O35" i="14" s="1"/>
  <c r="P35" i="14" s="1"/>
  <c r="Q35" i="14" s="1"/>
  <c r="R35" i="14" s="1"/>
  <c r="S35" i="14" s="1"/>
  <c r="T35" i="14" s="1"/>
  <c r="U35" i="14" s="1"/>
  <c r="V35" i="14" s="1"/>
  <c r="W35" i="14" s="1"/>
  <c r="X35" i="14" s="1"/>
  <c r="Y35" i="14" s="1"/>
  <c r="Z35" i="14" s="1"/>
  <c r="G34" i="14"/>
  <c r="H34" i="14" s="1"/>
  <c r="I34" i="14" s="1"/>
  <c r="J34" i="14" s="1"/>
  <c r="K34" i="14" s="1"/>
  <c r="L34" i="14" s="1"/>
  <c r="M34" i="14" s="1"/>
  <c r="N34" i="14" s="1"/>
  <c r="O34" i="14" s="1"/>
  <c r="P34" i="14" s="1"/>
  <c r="Q34" i="14" s="1"/>
  <c r="R34" i="14" s="1"/>
  <c r="S34" i="14" s="1"/>
  <c r="T34" i="14" s="1"/>
  <c r="U34" i="14" s="1"/>
  <c r="V34" i="14" s="1"/>
  <c r="W34" i="14" s="1"/>
  <c r="X34" i="14" s="1"/>
  <c r="Y34" i="14" s="1"/>
  <c r="Z34" i="14" s="1"/>
  <c r="F34" i="14"/>
  <c r="P14" i="2"/>
  <c r="I15" i="12"/>
  <c r="Q15" i="12"/>
  <c r="Y15" i="12"/>
  <c r="J15" i="12"/>
  <c r="K15" i="12"/>
  <c r="U15" i="12"/>
  <c r="W15" i="12"/>
  <c r="Z15" i="12"/>
  <c r="V15" i="12"/>
  <c r="M15" i="12"/>
  <c r="D8" i="4"/>
  <c r="F44" i="18"/>
  <c r="M89" i="2"/>
  <c r="M77" i="2"/>
  <c r="F25" i="10"/>
  <c r="E25" i="10"/>
  <c r="D9" i="4"/>
  <c r="F110" i="6"/>
  <c r="M17" i="2"/>
  <c r="M59" i="2" s="1"/>
  <c r="H10" i="10"/>
  <c r="Q10" i="10"/>
  <c r="Y10" i="10"/>
  <c r="J10" i="10"/>
  <c r="R10" i="10"/>
  <c r="Z10" i="10"/>
  <c r="K10" i="10"/>
  <c r="S10" i="10"/>
  <c r="N10" i="10"/>
  <c r="V10" i="10"/>
  <c r="O10" i="10"/>
  <c r="W10" i="10"/>
  <c r="T10" i="10"/>
  <c r="U10" i="10"/>
  <c r="X10" i="10"/>
  <c r="L10" i="10"/>
  <c r="M10" i="10"/>
  <c r="G10" i="10"/>
  <c r="G11" i="10"/>
  <c r="P10" i="10"/>
  <c r="W128" i="6"/>
  <c r="M93" i="6"/>
  <c r="M110" i="6" s="1"/>
  <c r="J66" i="7"/>
  <c r="R66" i="7"/>
  <c r="Z66" i="7"/>
  <c r="N66" i="7"/>
  <c r="W66" i="7"/>
  <c r="O66" i="7"/>
  <c r="K66" i="7"/>
  <c r="T66" i="7"/>
  <c r="AC66" i="7"/>
  <c r="L66" i="7"/>
  <c r="U66" i="7"/>
  <c r="P66" i="7"/>
  <c r="Q66" i="7"/>
  <c r="S66" i="7"/>
  <c r="H66" i="7"/>
  <c r="Y66" i="7"/>
  <c r="I66" i="7"/>
  <c r="AA66" i="7"/>
  <c r="G66" i="7"/>
  <c r="M66" i="7"/>
  <c r="V66" i="7"/>
  <c r="X66" i="7"/>
  <c r="AB66" i="7"/>
  <c r="E26" i="10"/>
  <c r="AD128" i="6"/>
  <c r="AG13" i="18"/>
  <c r="G93" i="6"/>
  <c r="G110" i="6" s="1"/>
  <c r="L145" i="6"/>
  <c r="G15" i="5"/>
  <c r="AI13" i="15"/>
  <c r="C46" i="2"/>
  <c r="AB76" i="7"/>
  <c r="K76" i="7"/>
  <c r="AA76" i="7"/>
  <c r="AC76" i="7"/>
  <c r="G76" i="7"/>
  <c r="I76" i="7"/>
  <c r="S76" i="7"/>
  <c r="J76" i="7"/>
  <c r="C79" i="6"/>
  <c r="C81" i="6" s="1"/>
  <c r="C78" i="6"/>
  <c r="V76" i="7"/>
  <c r="Y76" i="7"/>
  <c r="L77" i="2"/>
  <c r="F25" i="9"/>
  <c r="L89" i="2"/>
  <c r="E25" i="9"/>
  <c r="F30" i="14"/>
  <c r="G30" i="14"/>
  <c r="H30" i="14" s="1"/>
  <c r="I30" i="14" s="1"/>
  <c r="J30" i="14" s="1"/>
  <c r="K30" i="14" s="1"/>
  <c r="L30" i="14" s="1"/>
  <c r="M30" i="14" s="1"/>
  <c r="N30" i="14" s="1"/>
  <c r="O30" i="14" s="1"/>
  <c r="P30" i="14" s="1"/>
  <c r="Q30" i="14" s="1"/>
  <c r="R30" i="14" s="1"/>
  <c r="S30" i="14" s="1"/>
  <c r="T30" i="14" s="1"/>
  <c r="U30" i="14" s="1"/>
  <c r="V30" i="14" s="1"/>
  <c r="W30" i="14" s="1"/>
  <c r="X30" i="14" s="1"/>
  <c r="Y30" i="14" s="1"/>
  <c r="Z30" i="14" s="1"/>
  <c r="G29" i="14"/>
  <c r="H29" i="14" s="1"/>
  <c r="I29" i="14" s="1"/>
  <c r="J29" i="14" s="1"/>
  <c r="K29" i="14" s="1"/>
  <c r="L29" i="14" s="1"/>
  <c r="M29" i="14" s="1"/>
  <c r="N29" i="14" s="1"/>
  <c r="O29" i="14" s="1"/>
  <c r="P29" i="14" s="1"/>
  <c r="Q29" i="14" s="1"/>
  <c r="R29" i="14" s="1"/>
  <c r="S29" i="14" s="1"/>
  <c r="T29" i="14" s="1"/>
  <c r="U29" i="14" s="1"/>
  <c r="V29" i="14" s="1"/>
  <c r="W29" i="14" s="1"/>
  <c r="X29" i="14" s="1"/>
  <c r="Y29" i="14" s="1"/>
  <c r="Z29" i="14" s="1"/>
  <c r="F29" i="14"/>
  <c r="R8" i="4" l="1"/>
  <c r="L15" i="10"/>
  <c r="L15" i="11"/>
  <c r="L15" i="9"/>
  <c r="W8" i="4"/>
  <c r="F79" i="18"/>
  <c r="F87" i="18"/>
  <c r="AM14" i="15"/>
  <c r="A15" i="15"/>
  <c r="AH14" i="15"/>
  <c r="P14" i="15"/>
  <c r="AK14" i="15"/>
  <c r="Q14" i="15"/>
  <c r="S14" i="15"/>
  <c r="O14" i="15"/>
  <c r="N14" i="15"/>
  <c r="R14" i="15"/>
  <c r="AL14" i="15"/>
  <c r="AI14" i="15"/>
  <c r="AJ14" i="15"/>
  <c r="G11" i="11"/>
  <c r="F11" i="11"/>
  <c r="K33" i="10"/>
  <c r="O8" i="4"/>
  <c r="V8" i="4"/>
  <c r="H11" i="10"/>
  <c r="N8" i="4"/>
  <c r="X8" i="4"/>
  <c r="C220" i="6"/>
  <c r="C222" i="6" s="1"/>
  <c r="C219" i="6"/>
  <c r="C227" i="6" s="1"/>
  <c r="C237" i="6" s="1"/>
  <c r="M15" i="10"/>
  <c r="M15" i="11"/>
  <c r="M15" i="9"/>
  <c r="Q15" i="10"/>
  <c r="Q15" i="11"/>
  <c r="Q15" i="9"/>
  <c r="I15" i="10"/>
  <c r="I15" i="11"/>
  <c r="I15" i="9"/>
  <c r="X15" i="9"/>
  <c r="X15" i="10"/>
  <c r="X15" i="11"/>
  <c r="W15" i="10"/>
  <c r="W15" i="9"/>
  <c r="W15" i="11"/>
  <c r="E29" i="4"/>
  <c r="F34" i="4"/>
  <c r="H35" i="13"/>
  <c r="D29" i="4"/>
  <c r="F11" i="10"/>
  <c r="E24" i="4"/>
  <c r="E27" i="4"/>
  <c r="K8" i="4"/>
  <c r="M78" i="2"/>
  <c r="M91" i="2"/>
  <c r="G26" i="10"/>
  <c r="H26" i="10" s="1"/>
  <c r="R34" i="2"/>
  <c r="J15" i="14"/>
  <c r="R15" i="14"/>
  <c r="Z15" i="14"/>
  <c r="N17" i="14"/>
  <c r="V17" i="14"/>
  <c r="I15" i="14"/>
  <c r="S15" i="14"/>
  <c r="J17" i="14"/>
  <c r="S17" i="14"/>
  <c r="K15" i="14"/>
  <c r="T15" i="14"/>
  <c r="K17" i="14"/>
  <c r="T17" i="14"/>
  <c r="V15" i="14"/>
  <c r="W17" i="14"/>
  <c r="L15" i="14"/>
  <c r="U15" i="14"/>
  <c r="L17" i="14"/>
  <c r="U17" i="14"/>
  <c r="M15" i="14"/>
  <c r="M17" i="14"/>
  <c r="N15" i="14"/>
  <c r="W15" i="14"/>
  <c r="O17" i="14"/>
  <c r="X17" i="14"/>
  <c r="O15" i="14"/>
  <c r="X15" i="14"/>
  <c r="P17" i="14"/>
  <c r="Y17" i="14"/>
  <c r="Q15" i="14"/>
  <c r="I17" i="14"/>
  <c r="J33" i="14"/>
  <c r="K33" i="14" s="1"/>
  <c r="L33" i="14" s="1"/>
  <c r="M33" i="14" s="1"/>
  <c r="N33" i="14" s="1"/>
  <c r="O33" i="14" s="1"/>
  <c r="P33" i="14" s="1"/>
  <c r="Q33" i="14" s="1"/>
  <c r="R33" i="14" s="1"/>
  <c r="S33" i="14" s="1"/>
  <c r="T33" i="14" s="1"/>
  <c r="U33" i="14" s="1"/>
  <c r="V33" i="14" s="1"/>
  <c r="W33" i="14" s="1"/>
  <c r="X33" i="14" s="1"/>
  <c r="Y33" i="14" s="1"/>
  <c r="Z33" i="14" s="1"/>
  <c r="P15" i="14"/>
  <c r="Y15" i="14"/>
  <c r="Q17" i="14"/>
  <c r="Z17" i="14"/>
  <c r="I33" i="14"/>
  <c r="R17" i="14"/>
  <c r="F8" i="4"/>
  <c r="U8" i="4"/>
  <c r="P8" i="4"/>
  <c r="D60" i="2"/>
  <c r="G8" i="2"/>
  <c r="F11" i="2"/>
  <c r="T15" i="10"/>
  <c r="S13" i="4" s="1"/>
  <c r="T15" i="11"/>
  <c r="T15" i="9"/>
  <c r="P15" i="10"/>
  <c r="P15" i="9"/>
  <c r="P15" i="11"/>
  <c r="O15" i="10"/>
  <c r="O15" i="9"/>
  <c r="O15" i="11"/>
  <c r="F33" i="4"/>
  <c r="H34" i="13"/>
  <c r="F11" i="13"/>
  <c r="H25" i="13"/>
  <c r="I26" i="11"/>
  <c r="J26" i="11"/>
  <c r="K26" i="11" s="1"/>
  <c r="L26" i="11" s="1"/>
  <c r="M26" i="11" s="1"/>
  <c r="N26" i="11" s="1"/>
  <c r="O26" i="11" s="1"/>
  <c r="P26" i="11" s="1"/>
  <c r="Q26" i="11" s="1"/>
  <c r="R26" i="11" s="1"/>
  <c r="S26" i="11" s="1"/>
  <c r="T26" i="11" s="1"/>
  <c r="U26" i="11" s="1"/>
  <c r="V26" i="11" s="1"/>
  <c r="W26" i="11" s="1"/>
  <c r="X26" i="11" s="1"/>
  <c r="Y26" i="11" s="1"/>
  <c r="Z26" i="11" s="1"/>
  <c r="C197" i="6"/>
  <c r="C199" i="6" s="1"/>
  <c r="C196" i="6"/>
  <c r="F26" i="10"/>
  <c r="L8" i="4"/>
  <c r="M8" i="4"/>
  <c r="G8" i="4"/>
  <c r="X15" i="12"/>
  <c r="D28" i="4"/>
  <c r="Y15" i="10"/>
  <c r="Y15" i="11"/>
  <c r="Y15" i="9"/>
  <c r="Z15" i="9"/>
  <c r="Z15" i="10"/>
  <c r="Z15" i="11"/>
  <c r="E34" i="4"/>
  <c r="B109" i="6"/>
  <c r="D44" i="4"/>
  <c r="C204" i="6"/>
  <c r="C236" i="6" s="1"/>
  <c r="D27" i="4"/>
  <c r="F11" i="14"/>
  <c r="J8" i="4"/>
  <c r="S15" i="9"/>
  <c r="S15" i="10"/>
  <c r="S15" i="11"/>
  <c r="J15" i="9"/>
  <c r="J15" i="10"/>
  <c r="I13" i="4" s="1"/>
  <c r="J15" i="11"/>
  <c r="G25" i="11"/>
  <c r="G25" i="10"/>
  <c r="L15" i="12"/>
  <c r="P17" i="2"/>
  <c r="P59" i="2" s="1"/>
  <c r="M17" i="12"/>
  <c r="L15" i="4" s="1"/>
  <c r="U17" i="12"/>
  <c r="F11" i="12"/>
  <c r="J17" i="12"/>
  <c r="S17" i="12"/>
  <c r="K17" i="12"/>
  <c r="T17" i="12"/>
  <c r="S15" i="4" s="1"/>
  <c r="L17" i="12"/>
  <c r="V17" i="12"/>
  <c r="O17" i="12"/>
  <c r="X17" i="12"/>
  <c r="Q17" i="12"/>
  <c r="Z17" i="12"/>
  <c r="Y15" i="4" s="1"/>
  <c r="P17" i="12"/>
  <c r="O15" i="4" s="1"/>
  <c r="R17" i="12"/>
  <c r="Q15" i="4" s="1"/>
  <c r="W17" i="12"/>
  <c r="I17" i="12"/>
  <c r="H15" i="4" s="1"/>
  <c r="Y17" i="12"/>
  <c r="N17" i="12"/>
  <c r="P34" i="2"/>
  <c r="N15" i="9"/>
  <c r="N15" i="10"/>
  <c r="N15" i="11"/>
  <c r="K15" i="9"/>
  <c r="K15" i="10"/>
  <c r="J13" i="4" s="1"/>
  <c r="K15" i="11"/>
  <c r="D25" i="4"/>
  <c r="M2" i="18"/>
  <c r="N2" i="18" s="1"/>
  <c r="L13" i="18"/>
  <c r="F28" i="4"/>
  <c r="H29" i="13"/>
  <c r="E51" i="13"/>
  <c r="E54" i="13" s="1"/>
  <c r="E75" i="13" s="1"/>
  <c r="C104" i="6"/>
  <c r="B138" i="6"/>
  <c r="E14" i="5" s="1"/>
  <c r="D24" i="4"/>
  <c r="Q34" i="2"/>
  <c r="O15" i="13"/>
  <c r="W15" i="13"/>
  <c r="K17" i="13"/>
  <c r="S17" i="13"/>
  <c r="J33" i="13"/>
  <c r="K33" i="13" s="1"/>
  <c r="L33" i="13" s="1"/>
  <c r="M33" i="13" s="1"/>
  <c r="N33" i="13" s="1"/>
  <c r="O33" i="13" s="1"/>
  <c r="P33" i="13" s="1"/>
  <c r="Q33" i="13" s="1"/>
  <c r="R33" i="13" s="1"/>
  <c r="S33" i="13" s="1"/>
  <c r="T33" i="13" s="1"/>
  <c r="U33" i="13" s="1"/>
  <c r="V33" i="13" s="1"/>
  <c r="W33" i="13" s="1"/>
  <c r="X33" i="13" s="1"/>
  <c r="Y33" i="13" s="1"/>
  <c r="Z33" i="13" s="1"/>
  <c r="P15" i="13"/>
  <c r="X15" i="13"/>
  <c r="L17" i="13"/>
  <c r="T17" i="13"/>
  <c r="I15" i="13"/>
  <c r="Q15" i="13"/>
  <c r="Y15" i="13"/>
  <c r="M17" i="13"/>
  <c r="U17" i="13"/>
  <c r="L15" i="13"/>
  <c r="T15" i="13"/>
  <c r="P17" i="13"/>
  <c r="X17" i="13"/>
  <c r="M15" i="13"/>
  <c r="U15" i="13"/>
  <c r="I17" i="13"/>
  <c r="Q17" i="13"/>
  <c r="Y17" i="13"/>
  <c r="S15" i="13"/>
  <c r="Z17" i="13"/>
  <c r="V15" i="13"/>
  <c r="N17" i="13"/>
  <c r="Z15" i="13"/>
  <c r="J17" i="13"/>
  <c r="J15" i="13"/>
  <c r="O17" i="13"/>
  <c r="K15" i="13"/>
  <c r="R17" i="13"/>
  <c r="I33" i="13"/>
  <c r="H32" i="4" s="1"/>
  <c r="N15" i="13"/>
  <c r="V17" i="13"/>
  <c r="R15" i="13"/>
  <c r="W17" i="13"/>
  <c r="V15" i="9"/>
  <c r="V15" i="10"/>
  <c r="U13" i="4" s="1"/>
  <c r="V15" i="11"/>
  <c r="E33" i="4"/>
  <c r="B150" i="6"/>
  <c r="T8" i="4"/>
  <c r="Y8" i="4"/>
  <c r="O15" i="12"/>
  <c r="G25" i="9"/>
  <c r="C83" i="6"/>
  <c r="C91" i="6" s="1"/>
  <c r="C101" i="6" s="1"/>
  <c r="C84" i="6"/>
  <c r="C86" i="6" s="1"/>
  <c r="S8" i="4"/>
  <c r="Q8" i="4"/>
  <c r="T15" i="12"/>
  <c r="E28" i="4"/>
  <c r="C38" i="6"/>
  <c r="C40" i="6" s="1"/>
  <c r="C37" i="6"/>
  <c r="V77" i="6"/>
  <c r="V82" i="6"/>
  <c r="R15" i="9"/>
  <c r="R15" i="10"/>
  <c r="R15" i="11"/>
  <c r="H25" i="12"/>
  <c r="I8" i="4"/>
  <c r="U15" i="10"/>
  <c r="U15" i="11"/>
  <c r="U15" i="9"/>
  <c r="F29" i="4"/>
  <c r="H30" i="13"/>
  <c r="H25" i="14"/>
  <c r="C65" i="6"/>
  <c r="C69" i="6" s="1"/>
  <c r="C66" i="6"/>
  <c r="D53" i="6" s="1"/>
  <c r="F27" i="4"/>
  <c r="H28" i="13"/>
  <c r="G26" i="13"/>
  <c r="H25" i="9" l="1"/>
  <c r="G12" i="2"/>
  <c r="G14" i="5"/>
  <c r="G12" i="18" s="1"/>
  <c r="G27" i="18" s="1"/>
  <c r="D136" i="6"/>
  <c r="C240" i="6"/>
  <c r="J15" i="4"/>
  <c r="F24" i="4"/>
  <c r="V93" i="6"/>
  <c r="V110" i="6" s="1"/>
  <c r="AO128" i="6"/>
  <c r="Z15" i="5"/>
  <c r="AB15" i="5" s="1"/>
  <c r="C88" i="6"/>
  <c r="C92" i="6" s="1"/>
  <c r="C89" i="6"/>
  <c r="D76" i="6" s="1"/>
  <c r="K87" i="13"/>
  <c r="K89" i="13" s="1"/>
  <c r="W87" i="13"/>
  <c r="W89" i="13" s="1"/>
  <c r="X15" i="4"/>
  <c r="N15" i="4"/>
  <c r="T15" i="4"/>
  <c r="H25" i="11"/>
  <c r="O13" i="4"/>
  <c r="W13" i="4"/>
  <c r="L33" i="10"/>
  <c r="J32" i="4"/>
  <c r="T87" i="13"/>
  <c r="T89" i="13" s="1"/>
  <c r="H11" i="11"/>
  <c r="M87" i="13"/>
  <c r="M89" i="13" s="1"/>
  <c r="L87" i="13"/>
  <c r="L89" i="13" s="1"/>
  <c r="G29" i="4"/>
  <c r="I30" i="13"/>
  <c r="G16" i="5"/>
  <c r="G14" i="18"/>
  <c r="I87" i="13"/>
  <c r="I89" i="13" s="1"/>
  <c r="O87" i="13"/>
  <c r="O89" i="13" s="1"/>
  <c r="U15" i="4"/>
  <c r="G11" i="14"/>
  <c r="Y13" i="4"/>
  <c r="G33" i="4"/>
  <c r="I34" i="13"/>
  <c r="G34" i="4"/>
  <c r="I35" i="13"/>
  <c r="G27" i="4"/>
  <c r="I28" i="13"/>
  <c r="C43" i="6"/>
  <c r="D30" i="6" s="1"/>
  <c r="C42" i="6"/>
  <c r="C46" i="6" s="1"/>
  <c r="Q87" i="13"/>
  <c r="Q89" i="13" s="1"/>
  <c r="G28" i="4"/>
  <c r="I29" i="13"/>
  <c r="V15" i="4"/>
  <c r="K15" i="4"/>
  <c r="P91" i="2"/>
  <c r="P78" i="2"/>
  <c r="F26" i="12"/>
  <c r="I25" i="13"/>
  <c r="L13" i="4"/>
  <c r="X87" i="13"/>
  <c r="X89" i="13" s="1"/>
  <c r="P87" i="13"/>
  <c r="P89" i="13" s="1"/>
  <c r="R60" i="2"/>
  <c r="D56" i="6"/>
  <c r="D58" i="6" s="1"/>
  <c r="D55" i="6"/>
  <c r="H87" i="13"/>
  <c r="H89" i="13" s="1"/>
  <c r="V87" i="13"/>
  <c r="V89" i="13" s="1"/>
  <c r="R15" i="4"/>
  <c r="H25" i="10"/>
  <c r="E46" i="10"/>
  <c r="E46" i="11"/>
  <c r="E45" i="9"/>
  <c r="X13" i="4"/>
  <c r="N13" i="4"/>
  <c r="F8" i="2"/>
  <c r="B18" i="7"/>
  <c r="E12" i="18"/>
  <c r="K13" i="4"/>
  <c r="Q13" i="4"/>
  <c r="C225" i="6"/>
  <c r="D212" i="6" s="1"/>
  <c r="C224" i="6"/>
  <c r="C228" i="6" s="1"/>
  <c r="T13" i="4"/>
  <c r="I25" i="12"/>
  <c r="U87" i="13"/>
  <c r="U89" i="13" s="1"/>
  <c r="N87" i="13"/>
  <c r="N89" i="13" s="1"/>
  <c r="C45" i="6"/>
  <c r="O2" i="18"/>
  <c r="P2" i="18" s="1"/>
  <c r="N13" i="18"/>
  <c r="P60" i="2"/>
  <c r="P15" i="4"/>
  <c r="I15" i="4"/>
  <c r="R13" i="4"/>
  <c r="C202" i="6"/>
  <c r="D189" i="6" s="1"/>
  <c r="C201" i="6"/>
  <c r="C205" i="6" s="1"/>
  <c r="G11" i="13"/>
  <c r="V13" i="4"/>
  <c r="Y87" i="13"/>
  <c r="Y89" i="13" s="1"/>
  <c r="M13" i="4"/>
  <c r="H13" i="4"/>
  <c r="H26" i="13"/>
  <c r="I25" i="14"/>
  <c r="AP128" i="6"/>
  <c r="AS13" i="18"/>
  <c r="J87" i="13"/>
  <c r="J89" i="13" s="1"/>
  <c r="R87" i="13"/>
  <c r="R89" i="13" s="1"/>
  <c r="S87" i="13"/>
  <c r="S89" i="13" s="1"/>
  <c r="Q60" i="2"/>
  <c r="M15" i="4"/>
  <c r="W15" i="4"/>
  <c r="G11" i="12"/>
  <c r="E9" i="4"/>
  <c r="P13" i="4"/>
  <c r="I32" i="4"/>
  <c r="A16" i="15"/>
  <c r="N15" i="15"/>
  <c r="AK15" i="15"/>
  <c r="R15" i="15"/>
  <c r="AL15" i="15"/>
  <c r="AH15" i="15"/>
  <c r="Q15" i="15"/>
  <c r="AM15" i="15"/>
  <c r="AI15" i="15"/>
  <c r="P15" i="15"/>
  <c r="O15" i="15"/>
  <c r="S15" i="15"/>
  <c r="AJ15" i="15"/>
  <c r="C109" i="6" l="1"/>
  <c r="E44" i="4"/>
  <c r="P13" i="18"/>
  <c r="Q2" i="18"/>
  <c r="R2" i="18" s="1"/>
  <c r="H28" i="4"/>
  <c r="J29" i="13"/>
  <c r="C99" i="6"/>
  <c r="C108" i="6"/>
  <c r="H27" i="4"/>
  <c r="J28" i="13"/>
  <c r="AI16" i="15"/>
  <c r="Q16" i="15"/>
  <c r="R16" i="15"/>
  <c r="A17" i="15"/>
  <c r="S16" i="15"/>
  <c r="AL16" i="15"/>
  <c r="AJ16" i="15"/>
  <c r="O16" i="15"/>
  <c r="AH16" i="15"/>
  <c r="AK16" i="15"/>
  <c r="P16" i="15"/>
  <c r="N16" i="15"/>
  <c r="AM16" i="15"/>
  <c r="H11" i="12"/>
  <c r="D191" i="6"/>
  <c r="D192" i="6"/>
  <c r="D194" i="6" s="1"/>
  <c r="I26" i="12"/>
  <c r="J26" i="12"/>
  <c r="K26" i="12" s="1"/>
  <c r="L26" i="12" s="1"/>
  <c r="M26" i="12" s="1"/>
  <c r="N26" i="12" s="1"/>
  <c r="O26" i="12" s="1"/>
  <c r="P26" i="12" s="1"/>
  <c r="Q26" i="12" s="1"/>
  <c r="R26" i="12" s="1"/>
  <c r="S26" i="12" s="1"/>
  <c r="T26" i="12" s="1"/>
  <c r="U26" i="12" s="1"/>
  <c r="V26" i="12" s="1"/>
  <c r="W26" i="12" s="1"/>
  <c r="X26" i="12" s="1"/>
  <c r="Y26" i="12" s="1"/>
  <c r="Z26" i="12" s="1"/>
  <c r="I25" i="10"/>
  <c r="D61" i="6"/>
  <c r="D63" i="6" s="1"/>
  <c r="D60" i="6"/>
  <c r="I25" i="11"/>
  <c r="D78" i="6"/>
  <c r="D79" i="6"/>
  <c r="D81" i="6" s="1"/>
  <c r="C136" i="6"/>
  <c r="A58" i="4" s="1"/>
  <c r="C138" i="6"/>
  <c r="J25" i="12"/>
  <c r="AV12" i="18"/>
  <c r="D32" i="6"/>
  <c r="D33" i="6"/>
  <c r="D35" i="6" s="1"/>
  <c r="H29" i="4"/>
  <c r="J30" i="13"/>
  <c r="F12" i="2"/>
  <c r="G9" i="2"/>
  <c r="F66" i="12"/>
  <c r="F66" i="10"/>
  <c r="F64" i="9"/>
  <c r="F66" i="14"/>
  <c r="F66" i="13"/>
  <c r="F66" i="11"/>
  <c r="G26" i="12"/>
  <c r="E25" i="4"/>
  <c r="D214" i="6"/>
  <c r="D215" i="6"/>
  <c r="D217" i="6" s="1"/>
  <c r="H34" i="4"/>
  <c r="J35" i="13"/>
  <c r="M33" i="10"/>
  <c r="K32" i="4"/>
  <c r="I25" i="9"/>
  <c r="B133" i="6"/>
  <c r="R9" i="6" s="1"/>
  <c r="D25" i="2" s="1"/>
  <c r="J25" i="13"/>
  <c r="H11" i="13"/>
  <c r="J26" i="14"/>
  <c r="K26" i="14" s="1"/>
  <c r="L26" i="14" s="1"/>
  <c r="M26" i="14" s="1"/>
  <c r="N26" i="14" s="1"/>
  <c r="O26" i="14" s="1"/>
  <c r="P26" i="14" s="1"/>
  <c r="Q26" i="14" s="1"/>
  <c r="R26" i="14" s="1"/>
  <c r="S26" i="14" s="1"/>
  <c r="T26" i="14" s="1"/>
  <c r="U26" i="14" s="1"/>
  <c r="V26" i="14" s="1"/>
  <c r="W26" i="14" s="1"/>
  <c r="X26" i="14" s="1"/>
  <c r="Y26" i="14" s="1"/>
  <c r="Z26" i="14" s="1"/>
  <c r="I26" i="14"/>
  <c r="G24" i="4"/>
  <c r="AB14" i="5"/>
  <c r="J25" i="14"/>
  <c r="J26" i="13"/>
  <c r="I26" i="13"/>
  <c r="H25" i="4" s="1"/>
  <c r="F9" i="4"/>
  <c r="B41" i="2"/>
  <c r="N18" i="7"/>
  <c r="N20" i="7" s="1"/>
  <c r="V18" i="7"/>
  <c r="V20" i="7" s="1"/>
  <c r="B20" i="7"/>
  <c r="G22" i="7" s="1"/>
  <c r="M18" i="7"/>
  <c r="M20" i="7" s="1"/>
  <c r="W18" i="7"/>
  <c r="W20" i="7" s="1"/>
  <c r="B30" i="7"/>
  <c r="O18" i="7"/>
  <c r="O20" i="7" s="1"/>
  <c r="X18" i="7"/>
  <c r="X20" i="7" s="1"/>
  <c r="J18" i="7"/>
  <c r="J20" i="7" s="1"/>
  <c r="S18" i="7"/>
  <c r="S20" i="7" s="1"/>
  <c r="AB18" i="7"/>
  <c r="AB20" i="7" s="1"/>
  <c r="K18" i="7"/>
  <c r="K20" i="7" s="1"/>
  <c r="T18" i="7"/>
  <c r="T20" i="7" s="1"/>
  <c r="AC18" i="7"/>
  <c r="AC20" i="7" s="1"/>
  <c r="U18" i="7"/>
  <c r="U20" i="7" s="1"/>
  <c r="G18" i="7"/>
  <c r="G20" i="7" s="1"/>
  <c r="Y18" i="7"/>
  <c r="Y20" i="7" s="1"/>
  <c r="B42" i="7"/>
  <c r="H18" i="7"/>
  <c r="H20" i="7" s="1"/>
  <c r="Z18" i="7"/>
  <c r="Z20" i="7" s="1"/>
  <c r="P18" i="7"/>
  <c r="P20" i="7" s="1"/>
  <c r="Q18" i="7"/>
  <c r="Q20" i="7" s="1"/>
  <c r="I18" i="7"/>
  <c r="I20" i="7" s="1"/>
  <c r="L18" i="7"/>
  <c r="L20" i="7" s="1"/>
  <c r="R18" i="7"/>
  <c r="R20" i="7" s="1"/>
  <c r="AA18" i="7"/>
  <c r="AA20" i="7" s="1"/>
  <c r="D68" i="6"/>
  <c r="D100" i="6" s="1"/>
  <c r="H33" i="4"/>
  <c r="J34" i="13"/>
  <c r="H11" i="14"/>
  <c r="D91" i="6" l="1"/>
  <c r="D101" i="6" s="1"/>
  <c r="F45" i="9"/>
  <c r="F46" i="10"/>
  <c r="F46" i="12"/>
  <c r="F46" i="11"/>
  <c r="F46" i="13"/>
  <c r="F46" i="14"/>
  <c r="B45" i="2"/>
  <c r="B44" i="7"/>
  <c r="G44" i="7" s="1"/>
  <c r="T40" i="7"/>
  <c r="T42" i="7" s="1"/>
  <c r="Z40" i="7"/>
  <c r="Z42" i="7" s="1"/>
  <c r="Q40" i="7"/>
  <c r="Q42" i="7" s="1"/>
  <c r="Y40" i="7"/>
  <c r="Y42" i="7" s="1"/>
  <c r="O40" i="7"/>
  <c r="O42" i="7" s="1"/>
  <c r="G40" i="7"/>
  <c r="G42" i="7" s="1"/>
  <c r="K40" i="7"/>
  <c r="K42" i="7" s="1"/>
  <c r="W40" i="7"/>
  <c r="W42" i="7" s="1"/>
  <c r="M40" i="7"/>
  <c r="M42" i="7" s="1"/>
  <c r="J40" i="7"/>
  <c r="J42" i="7" s="1"/>
  <c r="P40" i="7"/>
  <c r="P42" i="7" s="1"/>
  <c r="L40" i="7"/>
  <c r="L42" i="7" s="1"/>
  <c r="N40" i="7"/>
  <c r="N42" i="7" s="1"/>
  <c r="S40" i="7"/>
  <c r="S42" i="7" s="1"/>
  <c r="AC40" i="7"/>
  <c r="AC42" i="7" s="1"/>
  <c r="AA40" i="7"/>
  <c r="AA42" i="7" s="1"/>
  <c r="R40" i="7"/>
  <c r="R42" i="7" s="1"/>
  <c r="X40" i="7"/>
  <c r="X42" i="7" s="1"/>
  <c r="H40" i="7"/>
  <c r="H42" i="7" s="1"/>
  <c r="V40" i="7"/>
  <c r="V42" i="7" s="1"/>
  <c r="AB40" i="7"/>
  <c r="AB42" i="7" s="1"/>
  <c r="I40" i="7"/>
  <c r="I42" i="7" s="1"/>
  <c r="U40" i="7"/>
  <c r="U42" i="7" s="1"/>
  <c r="J25" i="11"/>
  <c r="D37" i="6"/>
  <c r="I14" i="18" s="1"/>
  <c r="D38" i="6"/>
  <c r="D40" i="6" s="1"/>
  <c r="R13" i="18"/>
  <c r="S2" i="18"/>
  <c r="T2" i="18" s="1"/>
  <c r="I33" i="4"/>
  <c r="K34" i="13"/>
  <c r="K25" i="14"/>
  <c r="I34" i="4"/>
  <c r="K35" i="13"/>
  <c r="I29" i="4"/>
  <c r="K30" i="13"/>
  <c r="Q17" i="15"/>
  <c r="R17" i="15"/>
  <c r="AK17" i="15"/>
  <c r="AL17" i="15"/>
  <c r="AM17" i="15"/>
  <c r="A18" i="15"/>
  <c r="P17" i="15"/>
  <c r="AI17" i="15"/>
  <c r="AH17" i="15"/>
  <c r="S17" i="15"/>
  <c r="AJ17" i="15"/>
  <c r="N17" i="15"/>
  <c r="O17" i="15"/>
  <c r="J25" i="10"/>
  <c r="H26" i="12"/>
  <c r="F25" i="4"/>
  <c r="I27" i="4"/>
  <c r="K28" i="13"/>
  <c r="G30" i="7"/>
  <c r="G32" i="7" s="1"/>
  <c r="O30" i="7"/>
  <c r="O32" i="7" s="1"/>
  <c r="W30" i="7"/>
  <c r="W32" i="7" s="1"/>
  <c r="B32" i="7"/>
  <c r="P30" i="7"/>
  <c r="P32" i="7" s="1"/>
  <c r="Y30" i="7"/>
  <c r="Y32" i="7" s="1"/>
  <c r="H30" i="7"/>
  <c r="H32" i="7" s="1"/>
  <c r="Q30" i="7"/>
  <c r="Q32" i="7" s="1"/>
  <c r="Z30" i="7"/>
  <c r="Z32" i="7" s="1"/>
  <c r="L30" i="7"/>
  <c r="L32" i="7" s="1"/>
  <c r="U30" i="7"/>
  <c r="U32" i="7" s="1"/>
  <c r="M30" i="7"/>
  <c r="M32" i="7" s="1"/>
  <c r="V30" i="7"/>
  <c r="V32" i="7" s="1"/>
  <c r="R30" i="7"/>
  <c r="R32" i="7" s="1"/>
  <c r="S30" i="7"/>
  <c r="S32" i="7" s="1"/>
  <c r="T30" i="7"/>
  <c r="T32" i="7" s="1"/>
  <c r="J30" i="7"/>
  <c r="J32" i="7" s="1"/>
  <c r="AB30" i="7"/>
  <c r="AB32" i="7" s="1"/>
  <c r="K30" i="7"/>
  <c r="K32" i="7" s="1"/>
  <c r="AC30" i="7"/>
  <c r="AC32" i="7" s="1"/>
  <c r="I30" i="7"/>
  <c r="I32" i="7" s="1"/>
  <c r="AA30" i="7"/>
  <c r="AA32" i="7" s="1"/>
  <c r="N30" i="7"/>
  <c r="N32" i="7" s="1"/>
  <c r="X30" i="7"/>
  <c r="X32" i="7" s="1"/>
  <c r="D196" i="6"/>
  <c r="D197" i="6"/>
  <c r="D199" i="6" s="1"/>
  <c r="H22" i="7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V22" i="7" s="1"/>
  <c r="W22" i="7" s="1"/>
  <c r="X22" i="7" s="1"/>
  <c r="Y22" i="7" s="1"/>
  <c r="Z22" i="7" s="1"/>
  <c r="AA22" i="7" s="1"/>
  <c r="AB22" i="7" s="1"/>
  <c r="AC22" i="7" s="1"/>
  <c r="G9" i="4"/>
  <c r="F9" i="2"/>
  <c r="F14" i="2" s="1"/>
  <c r="B54" i="7"/>
  <c r="D66" i="6"/>
  <c r="E53" i="6" s="1"/>
  <c r="D65" i="6"/>
  <c r="D69" i="6" s="1"/>
  <c r="D204" i="6"/>
  <c r="D236" i="6" s="1"/>
  <c r="I28" i="4"/>
  <c r="K29" i="13"/>
  <c r="I25" i="4"/>
  <c r="K26" i="13"/>
  <c r="K25" i="13"/>
  <c r="I24" i="4"/>
  <c r="N33" i="10"/>
  <c r="L32" i="4"/>
  <c r="H24" i="4"/>
  <c r="J25" i="9"/>
  <c r="D219" i="6"/>
  <c r="D220" i="6"/>
  <c r="D222" i="6" s="1"/>
  <c r="K25" i="12"/>
  <c r="D83" i="6"/>
  <c r="D84" i="6"/>
  <c r="D86" i="6" s="1"/>
  <c r="D92" i="6" l="1"/>
  <c r="U2" i="18"/>
  <c r="V2" i="18" s="1"/>
  <c r="T13" i="18"/>
  <c r="D88" i="6"/>
  <c r="D89" i="6"/>
  <c r="E76" i="6" s="1"/>
  <c r="J24" i="4"/>
  <c r="L25" i="13"/>
  <c r="J29" i="4"/>
  <c r="L30" i="13"/>
  <c r="K25" i="11"/>
  <c r="K25" i="10"/>
  <c r="D42" i="6"/>
  <c r="D46" i="6" s="1"/>
  <c r="D43" i="6"/>
  <c r="E30" i="6" s="1"/>
  <c r="H44" i="7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V44" i="7" s="1"/>
  <c r="W44" i="7" s="1"/>
  <c r="X44" i="7" s="1"/>
  <c r="Y44" i="7" s="1"/>
  <c r="Z44" i="7" s="1"/>
  <c r="AA44" i="7" s="1"/>
  <c r="AB44" i="7" s="1"/>
  <c r="AC44" i="7" s="1"/>
  <c r="J25" i="4"/>
  <c r="L26" i="13"/>
  <c r="AM18" i="15"/>
  <c r="P18" i="15"/>
  <c r="Q18" i="15"/>
  <c r="S18" i="15"/>
  <c r="A19" i="15"/>
  <c r="N18" i="15"/>
  <c r="O18" i="15"/>
  <c r="AJ18" i="15"/>
  <c r="AH18" i="15"/>
  <c r="AL18" i="15"/>
  <c r="AI18" i="15"/>
  <c r="R18" i="15"/>
  <c r="AK18" i="15"/>
  <c r="I27" i="18"/>
  <c r="K25" i="9"/>
  <c r="C41" i="2"/>
  <c r="I54" i="7"/>
  <c r="I56" i="7" s="1"/>
  <c r="F34" i="8" s="1"/>
  <c r="Q54" i="7"/>
  <c r="Q56" i="7" s="1"/>
  <c r="N34" i="8" s="1"/>
  <c r="Y54" i="7"/>
  <c r="Y56" i="7" s="1"/>
  <c r="V34" i="8" s="1"/>
  <c r="H54" i="7"/>
  <c r="H56" i="7" s="1"/>
  <c r="E34" i="8" s="1"/>
  <c r="R54" i="7"/>
  <c r="R56" i="7" s="1"/>
  <c r="O34" i="8" s="1"/>
  <c r="AA54" i="7"/>
  <c r="AA56" i="7" s="1"/>
  <c r="X34" i="8" s="1"/>
  <c r="B56" i="7"/>
  <c r="J54" i="7"/>
  <c r="J56" i="7" s="1"/>
  <c r="G34" i="8" s="1"/>
  <c r="S54" i="7"/>
  <c r="S56" i="7" s="1"/>
  <c r="P34" i="8" s="1"/>
  <c r="AB54" i="7"/>
  <c r="AB56" i="7" s="1"/>
  <c r="Y34" i="8" s="1"/>
  <c r="N54" i="7"/>
  <c r="N56" i="7" s="1"/>
  <c r="K34" i="8" s="1"/>
  <c r="W54" i="7"/>
  <c r="W56" i="7" s="1"/>
  <c r="T34" i="8" s="1"/>
  <c r="O54" i="7"/>
  <c r="O56" i="7" s="1"/>
  <c r="L34" i="8" s="1"/>
  <c r="X54" i="7"/>
  <c r="X56" i="7" s="1"/>
  <c r="U34" i="8" s="1"/>
  <c r="T54" i="7"/>
  <c r="T56" i="7" s="1"/>
  <c r="Q34" i="8" s="1"/>
  <c r="U54" i="7"/>
  <c r="U56" i="7" s="1"/>
  <c r="R34" i="8" s="1"/>
  <c r="V54" i="7"/>
  <c r="V56" i="7" s="1"/>
  <c r="S34" i="8" s="1"/>
  <c r="B65" i="7"/>
  <c r="L54" i="7"/>
  <c r="L56" i="7" s="1"/>
  <c r="I34" i="8" s="1"/>
  <c r="M54" i="7"/>
  <c r="M56" i="7" s="1"/>
  <c r="J34" i="8" s="1"/>
  <c r="K54" i="7"/>
  <c r="K56" i="7" s="1"/>
  <c r="H34" i="8" s="1"/>
  <c r="B75" i="7"/>
  <c r="P54" i="7"/>
  <c r="P56" i="7" s="1"/>
  <c r="M34" i="8" s="1"/>
  <c r="Z54" i="7"/>
  <c r="Z56" i="7" s="1"/>
  <c r="W34" i="8" s="1"/>
  <c r="G54" i="7"/>
  <c r="G56" i="7" s="1"/>
  <c r="D34" i="8" s="1"/>
  <c r="AC54" i="7"/>
  <c r="AC56" i="7" s="1"/>
  <c r="D227" i="6"/>
  <c r="D237" i="6" s="1"/>
  <c r="J27" i="4"/>
  <c r="L28" i="13"/>
  <c r="D45" i="6"/>
  <c r="D201" i="6"/>
  <c r="D205" i="6" s="1"/>
  <c r="D202" i="6"/>
  <c r="E189" i="6" s="1"/>
  <c r="E55" i="6"/>
  <c r="E56" i="6"/>
  <c r="E58" i="6" s="1"/>
  <c r="D224" i="6"/>
  <c r="D228" i="6" s="1"/>
  <c r="D225" i="6"/>
  <c r="E212" i="6" s="1"/>
  <c r="J28" i="4"/>
  <c r="L29" i="13"/>
  <c r="J33" i="4"/>
  <c r="L34" i="13"/>
  <c r="O33" i="10"/>
  <c r="M32" i="4"/>
  <c r="G25" i="4"/>
  <c r="L25" i="14"/>
  <c r="L25" i="12"/>
  <c r="G34" i="7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V34" i="7" s="1"/>
  <c r="W34" i="7" s="1"/>
  <c r="X34" i="7" s="1"/>
  <c r="Y34" i="7" s="1"/>
  <c r="Z34" i="7" s="1"/>
  <c r="AA34" i="7" s="1"/>
  <c r="AB34" i="7" s="1"/>
  <c r="AC34" i="7" s="1"/>
  <c r="J34" i="4"/>
  <c r="L35" i="13"/>
  <c r="D109" i="6" l="1"/>
  <c r="F44" i="4"/>
  <c r="M25" i="14"/>
  <c r="E33" i="6"/>
  <c r="E35" i="6" s="1"/>
  <c r="E32" i="6"/>
  <c r="K28" i="4"/>
  <c r="M29" i="13"/>
  <c r="E192" i="6"/>
  <c r="E194" i="6" s="1"/>
  <c r="E191" i="6"/>
  <c r="W2" i="18"/>
  <c r="X2" i="18" s="1"/>
  <c r="V13" i="18"/>
  <c r="K33" i="4"/>
  <c r="M34" i="13"/>
  <c r="E214" i="6"/>
  <c r="E215" i="6"/>
  <c r="E217" i="6" s="1"/>
  <c r="G58" i="7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V58" i="7" s="1"/>
  <c r="W58" i="7" s="1"/>
  <c r="X58" i="7" s="1"/>
  <c r="Y58" i="7" s="1"/>
  <c r="Z58" i="7" s="1"/>
  <c r="AA58" i="7" s="1"/>
  <c r="AB58" i="7" s="1"/>
  <c r="AC58" i="7" s="1"/>
  <c r="L25" i="10"/>
  <c r="K24" i="4" s="1"/>
  <c r="L25" i="11"/>
  <c r="M25" i="13"/>
  <c r="C45" i="2"/>
  <c r="G75" i="7"/>
  <c r="G77" i="7" s="1"/>
  <c r="D40" i="4" s="1"/>
  <c r="B77" i="7"/>
  <c r="R75" i="7"/>
  <c r="R77" i="7" s="1"/>
  <c r="O40" i="4" s="1"/>
  <c r="Q75" i="7"/>
  <c r="Q77" i="7" s="1"/>
  <c r="N40" i="4" s="1"/>
  <c r="O75" i="7"/>
  <c r="O77" i="7" s="1"/>
  <c r="L40" i="4" s="1"/>
  <c r="AC75" i="7"/>
  <c r="AC77" i="7" s="1"/>
  <c r="U75" i="7"/>
  <c r="U77" i="7" s="1"/>
  <c r="R40" i="4" s="1"/>
  <c r="I75" i="7"/>
  <c r="I77" i="7" s="1"/>
  <c r="F40" i="4" s="1"/>
  <c r="X75" i="7"/>
  <c r="X77" i="7" s="1"/>
  <c r="U40" i="4" s="1"/>
  <c r="J75" i="7"/>
  <c r="J77" i="7" s="1"/>
  <c r="G40" i="4" s="1"/>
  <c r="H75" i="7"/>
  <c r="H77" i="7" s="1"/>
  <c r="E40" i="4" s="1"/>
  <c r="AB75" i="7"/>
  <c r="AB77" i="7" s="1"/>
  <c r="Y40" i="4" s="1"/>
  <c r="L75" i="7"/>
  <c r="L77" i="7" s="1"/>
  <c r="I40" i="4" s="1"/>
  <c r="T75" i="7"/>
  <c r="T77" i="7" s="1"/>
  <c r="Q40" i="4" s="1"/>
  <c r="Y75" i="7"/>
  <c r="Y77" i="7" s="1"/>
  <c r="V40" i="4" s="1"/>
  <c r="S75" i="7"/>
  <c r="S77" i="7" s="1"/>
  <c r="P40" i="4" s="1"/>
  <c r="W75" i="7"/>
  <c r="W77" i="7" s="1"/>
  <c r="T40" i="4" s="1"/>
  <c r="N75" i="7"/>
  <c r="N77" i="7" s="1"/>
  <c r="K40" i="4" s="1"/>
  <c r="P75" i="7"/>
  <c r="P77" i="7" s="1"/>
  <c r="M40" i="4" s="1"/>
  <c r="Z75" i="7"/>
  <c r="Z77" i="7" s="1"/>
  <c r="W40" i="4" s="1"/>
  <c r="K75" i="7"/>
  <c r="K77" i="7" s="1"/>
  <c r="H40" i="4" s="1"/>
  <c r="V75" i="7"/>
  <c r="V77" i="7" s="1"/>
  <c r="S40" i="4" s="1"/>
  <c r="AA75" i="7"/>
  <c r="AA77" i="7" s="1"/>
  <c r="X40" i="4" s="1"/>
  <c r="M75" i="7"/>
  <c r="M77" i="7" s="1"/>
  <c r="J40" i="4" s="1"/>
  <c r="L25" i="9"/>
  <c r="J65" i="7"/>
  <c r="J67" i="7" s="1"/>
  <c r="G13" i="8" s="1"/>
  <c r="R65" i="7"/>
  <c r="R67" i="7" s="1"/>
  <c r="O13" i="8" s="1"/>
  <c r="Z65" i="7"/>
  <c r="Z67" i="7" s="1"/>
  <c r="W13" i="8" s="1"/>
  <c r="K65" i="7"/>
  <c r="K67" i="7" s="1"/>
  <c r="H13" i="8" s="1"/>
  <c r="T65" i="7"/>
  <c r="T67" i="7" s="1"/>
  <c r="Q13" i="8" s="1"/>
  <c r="AC65" i="7"/>
  <c r="AC67" i="7" s="1"/>
  <c r="L65" i="7"/>
  <c r="L67" i="7" s="1"/>
  <c r="I13" i="8" s="1"/>
  <c r="U65" i="7"/>
  <c r="U67" i="7" s="1"/>
  <c r="R13" i="8" s="1"/>
  <c r="G65" i="7"/>
  <c r="G67" i="7" s="1"/>
  <c r="D13" i="8" s="1"/>
  <c r="P65" i="7"/>
  <c r="P67" i="7" s="1"/>
  <c r="M13" i="8" s="1"/>
  <c r="Y65" i="7"/>
  <c r="Y67" i="7" s="1"/>
  <c r="V13" i="8" s="1"/>
  <c r="H65" i="7"/>
  <c r="H67" i="7" s="1"/>
  <c r="E13" i="8" s="1"/>
  <c r="Q65" i="7"/>
  <c r="Q67" i="7" s="1"/>
  <c r="N13" i="8" s="1"/>
  <c r="AA65" i="7"/>
  <c r="AA67" i="7" s="1"/>
  <c r="X13" i="8" s="1"/>
  <c r="B67" i="7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V69" i="7" s="1"/>
  <c r="W69" i="7" s="1"/>
  <c r="X69" i="7" s="1"/>
  <c r="Y69" i="7" s="1"/>
  <c r="Z69" i="7" s="1"/>
  <c r="AA69" i="7" s="1"/>
  <c r="AB69" i="7" s="1"/>
  <c r="AC69" i="7" s="1"/>
  <c r="V65" i="7"/>
  <c r="V67" i="7" s="1"/>
  <c r="S13" i="8" s="1"/>
  <c r="W65" i="7"/>
  <c r="W67" i="7" s="1"/>
  <c r="T13" i="8" s="1"/>
  <c r="X65" i="7"/>
  <c r="X67" i="7" s="1"/>
  <c r="U13" i="8" s="1"/>
  <c r="N65" i="7"/>
  <c r="N67" i="7" s="1"/>
  <c r="K13" i="8" s="1"/>
  <c r="O65" i="7"/>
  <c r="O67" i="7" s="1"/>
  <c r="L13" i="8" s="1"/>
  <c r="M65" i="7"/>
  <c r="M67" i="7" s="1"/>
  <c r="J13" i="8" s="1"/>
  <c r="S65" i="7"/>
  <c r="S67" i="7" s="1"/>
  <c r="P13" i="8" s="1"/>
  <c r="AB65" i="7"/>
  <c r="AB67" i="7" s="1"/>
  <c r="Y13" i="8" s="1"/>
  <c r="I65" i="7"/>
  <c r="I67" i="7" s="1"/>
  <c r="F13" i="8" s="1"/>
  <c r="H16" i="5"/>
  <c r="D99" i="6"/>
  <c r="D106" i="6" s="1"/>
  <c r="D108" i="6"/>
  <c r="H14" i="18" s="1"/>
  <c r="A20" i="15"/>
  <c r="N19" i="15"/>
  <c r="AK19" i="15"/>
  <c r="O19" i="15"/>
  <c r="AJ19" i="15"/>
  <c r="R19" i="15"/>
  <c r="AM19" i="15"/>
  <c r="P19" i="15"/>
  <c r="AL19" i="15"/>
  <c r="Q19" i="15"/>
  <c r="AH19" i="15"/>
  <c r="AI19" i="15"/>
  <c r="S19" i="15"/>
  <c r="M25" i="12"/>
  <c r="E60" i="6"/>
  <c r="E61" i="6"/>
  <c r="E63" i="6" s="1"/>
  <c r="K29" i="4"/>
  <c r="M30" i="13"/>
  <c r="E78" i="6"/>
  <c r="E79" i="6"/>
  <c r="E81" i="6" s="1"/>
  <c r="M26" i="13"/>
  <c r="K25" i="4"/>
  <c r="K27" i="4"/>
  <c r="M28" i="13"/>
  <c r="K34" i="4"/>
  <c r="M35" i="13"/>
  <c r="P33" i="10"/>
  <c r="N32" i="4"/>
  <c r="E68" i="6"/>
  <c r="E100" i="6" s="1"/>
  <c r="V41" i="9" l="1"/>
  <c r="U12" i="8"/>
  <c r="U33" i="8" s="1"/>
  <c r="V41" i="11"/>
  <c r="V41" i="14"/>
  <c r="V41" i="10"/>
  <c r="V41" i="13"/>
  <c r="V41" i="12"/>
  <c r="N25" i="14"/>
  <c r="P20" i="15"/>
  <c r="Q20" i="15"/>
  <c r="A21" i="15"/>
  <c r="R20" i="15"/>
  <c r="AI20" i="15"/>
  <c r="AJ20" i="15"/>
  <c r="AM20" i="15"/>
  <c r="S20" i="15"/>
  <c r="AL20" i="15"/>
  <c r="O20" i="15"/>
  <c r="N20" i="15"/>
  <c r="AH20" i="15"/>
  <c r="AK20" i="15"/>
  <c r="H27" i="18"/>
  <c r="M41" i="11"/>
  <c r="L12" i="8"/>
  <c r="L33" i="8" s="1"/>
  <c r="M41" i="14"/>
  <c r="M41" i="9"/>
  <c r="M41" i="13"/>
  <c r="M41" i="10"/>
  <c r="M41" i="12"/>
  <c r="X41" i="9"/>
  <c r="W12" i="8"/>
  <c r="W33" i="8" s="1"/>
  <c r="X41" i="11"/>
  <c r="X41" i="14"/>
  <c r="X41" i="10"/>
  <c r="X41" i="13"/>
  <c r="X41" i="12"/>
  <c r="Z41" i="11"/>
  <c r="Y12" i="8"/>
  <c r="Y33" i="8" s="1"/>
  <c r="Z41" i="14"/>
  <c r="Z41" i="9"/>
  <c r="Z41" i="13"/>
  <c r="Z41" i="12"/>
  <c r="Z41" i="10"/>
  <c r="O41" i="11"/>
  <c r="N12" i="8"/>
  <c r="N33" i="8" s="1"/>
  <c r="O41" i="14"/>
  <c r="O41" i="9"/>
  <c r="O41" i="13"/>
  <c r="O41" i="12"/>
  <c r="O41" i="10"/>
  <c r="M25" i="11"/>
  <c r="D12" i="8"/>
  <c r="D33" i="8" s="1"/>
  <c r="E41" i="11"/>
  <c r="E41" i="9"/>
  <c r="E41" i="10"/>
  <c r="X13" i="18"/>
  <c r="Y2" i="18"/>
  <c r="Z2" i="18" s="1"/>
  <c r="L29" i="4"/>
  <c r="N30" i="13"/>
  <c r="K41" i="11"/>
  <c r="J12" i="8"/>
  <c r="J33" i="8" s="1"/>
  <c r="K41" i="14"/>
  <c r="K41" i="9"/>
  <c r="K41" i="10"/>
  <c r="K41" i="13"/>
  <c r="K41" i="12"/>
  <c r="E65" i="6"/>
  <c r="E69" i="6" s="1"/>
  <c r="E66" i="6"/>
  <c r="F53" i="6" s="1"/>
  <c r="T41" i="11"/>
  <c r="S12" i="8"/>
  <c r="S33" i="8" s="1"/>
  <c r="T41" i="14"/>
  <c r="T41" i="9"/>
  <c r="T41" i="12"/>
  <c r="T41" i="10"/>
  <c r="T41" i="13"/>
  <c r="R41" i="11"/>
  <c r="R41" i="14"/>
  <c r="Q12" i="8"/>
  <c r="Q33" i="8" s="1"/>
  <c r="R41" i="9"/>
  <c r="R41" i="13"/>
  <c r="R41" i="12"/>
  <c r="R41" i="10"/>
  <c r="L28" i="4"/>
  <c r="N29" i="13"/>
  <c r="I41" i="9"/>
  <c r="I41" i="11"/>
  <c r="H12" i="8"/>
  <c r="H33" i="8" s="1"/>
  <c r="I41" i="14"/>
  <c r="I41" i="10"/>
  <c r="I41" i="12"/>
  <c r="I41" i="13"/>
  <c r="J41" i="11"/>
  <c r="J41" i="14"/>
  <c r="I12" i="8"/>
  <c r="I33" i="8" s="1"/>
  <c r="J41" i="9"/>
  <c r="J41" i="12"/>
  <c r="J41" i="13"/>
  <c r="J41" i="10"/>
  <c r="L33" i="4"/>
  <c r="N34" i="13"/>
  <c r="Q33" i="10"/>
  <c r="O32" i="4"/>
  <c r="L25" i="4"/>
  <c r="N26" i="13"/>
  <c r="N25" i="12"/>
  <c r="G64" i="9"/>
  <c r="G66" i="12"/>
  <c r="G66" i="10"/>
  <c r="G66" i="11"/>
  <c r="G66" i="13"/>
  <c r="G66" i="14"/>
  <c r="M12" i="8"/>
  <c r="M33" i="8" s="1"/>
  <c r="N41" i="14"/>
  <c r="N41" i="11"/>
  <c r="N41" i="9"/>
  <c r="N41" i="13"/>
  <c r="N41" i="12"/>
  <c r="N41" i="10"/>
  <c r="F41" i="11"/>
  <c r="F41" i="14"/>
  <c r="E12" i="8"/>
  <c r="E33" i="8" s="1"/>
  <c r="F41" i="9"/>
  <c r="F41" i="13"/>
  <c r="F41" i="10"/>
  <c r="F41" i="12"/>
  <c r="P41" i="9"/>
  <c r="O12" i="8"/>
  <c r="O33" i="8" s="1"/>
  <c r="P41" i="11"/>
  <c r="P41" i="14"/>
  <c r="P41" i="10"/>
  <c r="P41" i="13"/>
  <c r="P41" i="12"/>
  <c r="E37" i="6"/>
  <c r="K14" i="18" s="1"/>
  <c r="E38" i="6"/>
  <c r="E40" i="6" s="1"/>
  <c r="L34" i="4"/>
  <c r="N35" i="13"/>
  <c r="E84" i="6"/>
  <c r="E86" i="6" s="1"/>
  <c r="E83" i="6"/>
  <c r="E91" i="6" s="1"/>
  <c r="E101" i="6" s="1"/>
  <c r="M25" i="9"/>
  <c r="L41" i="9"/>
  <c r="L41" i="11"/>
  <c r="K12" i="8"/>
  <c r="K33" i="8" s="1"/>
  <c r="L41" i="14"/>
  <c r="L41" i="10"/>
  <c r="L41" i="13"/>
  <c r="L41" i="12"/>
  <c r="H41" i="9"/>
  <c r="G12" i="8"/>
  <c r="G33" i="8" s="1"/>
  <c r="H41" i="11"/>
  <c r="H41" i="14"/>
  <c r="H41" i="10"/>
  <c r="H41" i="12"/>
  <c r="H41" i="13"/>
  <c r="G79" i="7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V79" i="7" s="1"/>
  <c r="W79" i="7" s="1"/>
  <c r="X79" i="7" s="1"/>
  <c r="Y79" i="7" s="1"/>
  <c r="Z79" i="7" s="1"/>
  <c r="AA79" i="7" s="1"/>
  <c r="AB79" i="7" s="1"/>
  <c r="AC79" i="7" s="1"/>
  <c r="U41" i="9"/>
  <c r="T12" i="8"/>
  <c r="T33" i="8" s="1"/>
  <c r="U41" i="11"/>
  <c r="U41" i="14"/>
  <c r="U41" i="10"/>
  <c r="U41" i="13"/>
  <c r="U41" i="12"/>
  <c r="M25" i="10"/>
  <c r="P12" i="8"/>
  <c r="P33" i="8" s="1"/>
  <c r="Q41" i="11"/>
  <c r="Q41" i="14"/>
  <c r="Q41" i="9"/>
  <c r="Q41" i="13"/>
  <c r="Q41" i="10"/>
  <c r="Q41" i="12"/>
  <c r="G41" i="11"/>
  <c r="F12" i="8"/>
  <c r="F33" i="8" s="1"/>
  <c r="G41" i="14"/>
  <c r="G41" i="9"/>
  <c r="G41" i="13"/>
  <c r="G41" i="12"/>
  <c r="G41" i="10"/>
  <c r="E204" i="6"/>
  <c r="E236" i="6" s="1"/>
  <c r="L27" i="4"/>
  <c r="N28" i="13"/>
  <c r="Y41" i="11"/>
  <c r="Y41" i="14"/>
  <c r="X12" i="8"/>
  <c r="X33" i="8" s="1"/>
  <c r="Y41" i="9"/>
  <c r="Y41" i="13"/>
  <c r="Y41" i="12"/>
  <c r="Y41" i="10"/>
  <c r="W41" i="11"/>
  <c r="W41" i="14"/>
  <c r="V12" i="8"/>
  <c r="V33" i="8" s="1"/>
  <c r="W41" i="9"/>
  <c r="W41" i="10"/>
  <c r="W41" i="13"/>
  <c r="W41" i="12"/>
  <c r="S41" i="11"/>
  <c r="R12" i="8"/>
  <c r="R33" i="8" s="1"/>
  <c r="S41" i="14"/>
  <c r="S41" i="9"/>
  <c r="S41" i="12"/>
  <c r="S41" i="10"/>
  <c r="S41" i="13"/>
  <c r="L24" i="4"/>
  <c r="N25" i="13"/>
  <c r="E219" i="6"/>
  <c r="E227" i="6" s="1"/>
  <c r="E237" i="6" s="1"/>
  <c r="E220" i="6"/>
  <c r="E222" i="6" s="1"/>
  <c r="E197" i="6"/>
  <c r="E199" i="6" s="1"/>
  <c r="E196" i="6"/>
  <c r="G45" i="9"/>
  <c r="G46" i="10"/>
  <c r="G46" i="12"/>
  <c r="G46" i="11"/>
  <c r="G46" i="14"/>
  <c r="G46" i="13"/>
  <c r="Z13" i="18" l="1"/>
  <c r="AA2" i="18"/>
  <c r="AB2" i="18" s="1"/>
  <c r="N25" i="10"/>
  <c r="E202" i="6"/>
  <c r="F189" i="6" s="1"/>
  <c r="E201" i="6"/>
  <c r="E205" i="6" s="1"/>
  <c r="M28" i="4"/>
  <c r="O29" i="13"/>
  <c r="E225" i="6"/>
  <c r="F212" i="6" s="1"/>
  <c r="E224" i="6"/>
  <c r="E228" i="6" s="1"/>
  <c r="N25" i="11"/>
  <c r="M34" i="4"/>
  <c r="O35" i="13"/>
  <c r="F56" i="6"/>
  <c r="F58" i="6" s="1"/>
  <c r="F55" i="6"/>
  <c r="M24" i="4"/>
  <c r="O25" i="13"/>
  <c r="M27" i="4"/>
  <c r="O28" i="13"/>
  <c r="O25" i="12"/>
  <c r="O30" i="13"/>
  <c r="M29" i="4"/>
  <c r="R21" i="15"/>
  <c r="P21" i="15"/>
  <c r="AJ21" i="15"/>
  <c r="S21" i="15"/>
  <c r="AK21" i="15"/>
  <c r="A22" i="15"/>
  <c r="AM21" i="15"/>
  <c r="O21" i="15"/>
  <c r="AI21" i="15"/>
  <c r="AH21" i="15"/>
  <c r="N21" i="15"/>
  <c r="Q21" i="15"/>
  <c r="AL21" i="15"/>
  <c r="M33" i="4"/>
  <c r="O34" i="13"/>
  <c r="E89" i="6"/>
  <c r="F76" i="6" s="1"/>
  <c r="E88" i="6"/>
  <c r="E92" i="6" s="1"/>
  <c r="E42" i="6"/>
  <c r="E43" i="6"/>
  <c r="F30" i="6" s="1"/>
  <c r="M25" i="4"/>
  <c r="O26" i="13"/>
  <c r="K27" i="18"/>
  <c r="E46" i="6"/>
  <c r="O25" i="14"/>
  <c r="N25" i="9"/>
  <c r="R33" i="10"/>
  <c r="P32" i="4"/>
  <c r="E45" i="6"/>
  <c r="O25" i="9" l="1"/>
  <c r="N24" i="4" s="1"/>
  <c r="F32" i="6"/>
  <c r="F33" i="6"/>
  <c r="F35" i="6" s="1"/>
  <c r="E109" i="6"/>
  <c r="G44" i="4"/>
  <c r="AB13" i="18"/>
  <c r="AC2" i="18"/>
  <c r="AD2" i="18" s="1"/>
  <c r="S33" i="10"/>
  <c r="Q32" i="4"/>
  <c r="P25" i="12"/>
  <c r="P29" i="13"/>
  <c r="N28" i="4"/>
  <c r="P25" i="14"/>
  <c r="F191" i="6"/>
  <c r="F192" i="6"/>
  <c r="F194" i="6" s="1"/>
  <c r="P25" i="13"/>
  <c r="O25" i="11"/>
  <c r="F78" i="6"/>
  <c r="F79" i="6"/>
  <c r="F81" i="6" s="1"/>
  <c r="O25" i="10"/>
  <c r="N33" i="4"/>
  <c r="P34" i="13"/>
  <c r="N29" i="4"/>
  <c r="P30" i="13"/>
  <c r="F68" i="6"/>
  <c r="F100" i="6" s="1"/>
  <c r="F214" i="6"/>
  <c r="F215" i="6"/>
  <c r="F217" i="6" s="1"/>
  <c r="I16" i="5"/>
  <c r="E108" i="6"/>
  <c r="J14" i="18" s="1"/>
  <c r="J27" i="18" s="1"/>
  <c r="E99" i="6"/>
  <c r="E106" i="6" s="1"/>
  <c r="E12" i="10"/>
  <c r="AL22" i="15"/>
  <c r="F27" i="13" s="1"/>
  <c r="P22" i="15"/>
  <c r="F12" i="11" s="1"/>
  <c r="A23" i="15"/>
  <c r="N22" i="15"/>
  <c r="F12" i="9" s="1"/>
  <c r="AI22" i="15"/>
  <c r="Q22" i="15"/>
  <c r="AM22" i="15"/>
  <c r="F27" i="14" s="1"/>
  <c r="AJ22" i="15"/>
  <c r="E12" i="9"/>
  <c r="AK22" i="15"/>
  <c r="F27" i="12" s="1"/>
  <c r="R22" i="15"/>
  <c r="F12" i="13" s="1"/>
  <c r="S22" i="15"/>
  <c r="AH22" i="15"/>
  <c r="O22" i="15"/>
  <c r="F12" i="12"/>
  <c r="F12" i="10"/>
  <c r="F12" i="14"/>
  <c r="F61" i="6"/>
  <c r="F63" i="6" s="1"/>
  <c r="F60" i="6"/>
  <c r="N25" i="4"/>
  <c r="P26" i="13"/>
  <c r="N27" i="4"/>
  <c r="P28" i="13"/>
  <c r="N34" i="4"/>
  <c r="P35" i="13"/>
  <c r="G12" i="11" l="1"/>
  <c r="J16" i="11"/>
  <c r="I16" i="11"/>
  <c r="G12" i="9"/>
  <c r="J16" i="9"/>
  <c r="I16" i="9"/>
  <c r="F69" i="6"/>
  <c r="G12" i="13"/>
  <c r="J16" i="13"/>
  <c r="I16" i="13"/>
  <c r="O29" i="4"/>
  <c r="Q30" i="13"/>
  <c r="AE2" i="18"/>
  <c r="AF2" i="18" s="1"/>
  <c r="AD13" i="18"/>
  <c r="F66" i="6"/>
  <c r="G53" i="6" s="1"/>
  <c r="F65" i="6"/>
  <c r="E12" i="11"/>
  <c r="O34" i="4"/>
  <c r="Q35" i="13"/>
  <c r="G12" i="14"/>
  <c r="I16" i="14"/>
  <c r="J16" i="14"/>
  <c r="E27" i="10"/>
  <c r="E36" i="10" s="1"/>
  <c r="F27" i="10"/>
  <c r="O33" i="4"/>
  <c r="Q34" i="13"/>
  <c r="G27" i="14"/>
  <c r="F83" i="6"/>
  <c r="F84" i="6"/>
  <c r="F86" i="6" s="1"/>
  <c r="H64" i="9"/>
  <c r="H66" i="10"/>
  <c r="H66" i="12"/>
  <c r="H66" i="11"/>
  <c r="H66" i="13"/>
  <c r="H66" i="14"/>
  <c r="Q25" i="13"/>
  <c r="O28" i="4"/>
  <c r="Q29" i="13"/>
  <c r="H45" i="9"/>
  <c r="H46" i="12"/>
  <c r="H46" i="10"/>
  <c r="H46" i="11"/>
  <c r="H46" i="14"/>
  <c r="H46" i="13"/>
  <c r="O27" i="4"/>
  <c r="Q28" i="13"/>
  <c r="G27" i="12"/>
  <c r="AK23" i="15"/>
  <c r="O23" i="15"/>
  <c r="AI23" i="15"/>
  <c r="A24" i="15"/>
  <c r="N23" i="15"/>
  <c r="AJ23" i="15"/>
  <c r="S23" i="15"/>
  <c r="AM23" i="15"/>
  <c r="R23" i="15"/>
  <c r="Q23" i="15"/>
  <c r="P23" i="15"/>
  <c r="AH23" i="15"/>
  <c r="AL23" i="15"/>
  <c r="F219" i="6"/>
  <c r="F220" i="6"/>
  <c r="F222" i="6" s="1"/>
  <c r="G12" i="10"/>
  <c r="E10" i="4"/>
  <c r="Z16" i="10"/>
  <c r="O16" i="10"/>
  <c r="Q16" i="10"/>
  <c r="U16" i="10"/>
  <c r="W16" i="10"/>
  <c r="X16" i="10"/>
  <c r="T16" i="10"/>
  <c r="K16" i="10"/>
  <c r="I16" i="10"/>
  <c r="L16" i="10"/>
  <c r="S16" i="10"/>
  <c r="P16" i="10"/>
  <c r="V16" i="10"/>
  <c r="R16" i="10"/>
  <c r="Y16" i="10"/>
  <c r="J16" i="10"/>
  <c r="M16" i="10"/>
  <c r="N16" i="10"/>
  <c r="E19" i="9"/>
  <c r="E20" i="9" s="1"/>
  <c r="E39" i="9" s="1"/>
  <c r="P25" i="10"/>
  <c r="Q25" i="12"/>
  <c r="F37" i="6"/>
  <c r="M14" i="18" s="1"/>
  <c r="F38" i="6"/>
  <c r="F40" i="6" s="1"/>
  <c r="O25" i="4"/>
  <c r="Q26" i="13"/>
  <c r="F27" i="11"/>
  <c r="E27" i="11"/>
  <c r="E26" i="4"/>
  <c r="G27" i="13"/>
  <c r="F196" i="6"/>
  <c r="G12" i="12"/>
  <c r="J16" i="12"/>
  <c r="I16" i="12"/>
  <c r="T33" i="10"/>
  <c r="R32" i="4"/>
  <c r="F91" i="6"/>
  <c r="F101" i="6" s="1"/>
  <c r="Q25" i="14"/>
  <c r="P25" i="9"/>
  <c r="E27" i="9"/>
  <c r="E36" i="9" s="1"/>
  <c r="F27" i="9"/>
  <c r="P25" i="11"/>
  <c r="O24" i="4" s="1"/>
  <c r="E43" i="9" l="1"/>
  <c r="E47" i="9" s="1"/>
  <c r="E62" i="9"/>
  <c r="E67" i="9" s="1"/>
  <c r="F42" i="6"/>
  <c r="F46" i="6" s="1"/>
  <c r="F43" i="6"/>
  <c r="G30" i="6" s="1"/>
  <c r="K16" i="12"/>
  <c r="D26" i="4"/>
  <c r="D35" i="4" s="1"/>
  <c r="E36" i="11"/>
  <c r="F45" i="6"/>
  <c r="H14" i="4"/>
  <c r="F89" i="6"/>
  <c r="G76" i="6" s="1"/>
  <c r="F88" i="6"/>
  <c r="F92" i="6" s="1"/>
  <c r="E19" i="11"/>
  <c r="E20" i="11" s="1"/>
  <c r="E39" i="11" s="1"/>
  <c r="F204" i="6"/>
  <c r="K16" i="13"/>
  <c r="H12" i="9"/>
  <c r="Q25" i="9"/>
  <c r="AM24" i="15"/>
  <c r="O24" i="15"/>
  <c r="A25" i="15"/>
  <c r="AI24" i="15"/>
  <c r="P24" i="15"/>
  <c r="AJ24" i="15"/>
  <c r="Q24" i="15"/>
  <c r="AK24" i="15"/>
  <c r="AL24" i="15"/>
  <c r="AH24" i="15"/>
  <c r="S24" i="15"/>
  <c r="N24" i="15"/>
  <c r="R24" i="15"/>
  <c r="R25" i="13"/>
  <c r="P34" i="4"/>
  <c r="R35" i="13"/>
  <c r="P29" i="4"/>
  <c r="R30" i="13"/>
  <c r="H12" i="12"/>
  <c r="Q25" i="10"/>
  <c r="G27" i="10"/>
  <c r="K16" i="9"/>
  <c r="G27" i="11"/>
  <c r="G27" i="9"/>
  <c r="P25" i="4"/>
  <c r="R26" i="13"/>
  <c r="F227" i="6"/>
  <c r="F237" i="6" s="1"/>
  <c r="I14" i="4"/>
  <c r="K16" i="14"/>
  <c r="U33" i="10"/>
  <c r="S32" i="4"/>
  <c r="H12" i="10"/>
  <c r="F10" i="4"/>
  <c r="G55" i="6"/>
  <c r="G56" i="6"/>
  <c r="G58" i="6" s="1"/>
  <c r="E19" i="10"/>
  <c r="H12" i="13"/>
  <c r="F225" i="6"/>
  <c r="G212" i="6" s="1"/>
  <c r="F224" i="6"/>
  <c r="F228" i="6" s="1"/>
  <c r="H27" i="12"/>
  <c r="H27" i="14"/>
  <c r="P27" i="4"/>
  <c r="R28" i="13"/>
  <c r="P28" i="4"/>
  <c r="R29" i="13"/>
  <c r="P33" i="4"/>
  <c r="R34" i="13"/>
  <c r="D10" i="4"/>
  <c r="K16" i="11"/>
  <c r="M27" i="18"/>
  <c r="Q25" i="11"/>
  <c r="P24" i="4" s="1"/>
  <c r="R25" i="14"/>
  <c r="F26" i="4"/>
  <c r="H27" i="13"/>
  <c r="R25" i="12"/>
  <c r="H12" i="14"/>
  <c r="AF13" i="18"/>
  <c r="AG2" i="18"/>
  <c r="AH2" i="18" s="1"/>
  <c r="H12" i="11"/>
  <c r="E44" i="11" l="1"/>
  <c r="E49" i="11" s="1"/>
  <c r="E64" i="11"/>
  <c r="E67" i="11" s="1"/>
  <c r="F109" i="6"/>
  <c r="H44" i="4"/>
  <c r="Q25" i="4"/>
  <c r="S26" i="13"/>
  <c r="R25" i="10"/>
  <c r="S25" i="12"/>
  <c r="L16" i="9"/>
  <c r="J16" i="5"/>
  <c r="F99" i="6"/>
  <c r="F106" i="6" s="1"/>
  <c r="F108" i="6"/>
  <c r="L14" i="18" s="1"/>
  <c r="L27" i="18" s="1"/>
  <c r="L16" i="11"/>
  <c r="L16" i="13"/>
  <c r="G215" i="6"/>
  <c r="G217" i="6" s="1"/>
  <c r="G214" i="6"/>
  <c r="D18" i="4"/>
  <c r="E20" i="10"/>
  <c r="E39" i="10" s="1"/>
  <c r="Q28" i="4"/>
  <c r="S29" i="13"/>
  <c r="G60" i="6"/>
  <c r="G61" i="6"/>
  <c r="G63" i="6" s="1"/>
  <c r="S25" i="13"/>
  <c r="AH13" i="18"/>
  <c r="AI2" i="18"/>
  <c r="AJ2" i="18" s="1"/>
  <c r="I27" i="13"/>
  <c r="D19" i="4"/>
  <c r="D38" i="4" s="1"/>
  <c r="Q27" i="4"/>
  <c r="S28" i="13"/>
  <c r="J14" i="4"/>
  <c r="H27" i="10"/>
  <c r="I27" i="14"/>
  <c r="H27" i="9"/>
  <c r="Q29" i="4"/>
  <c r="S30" i="13"/>
  <c r="R25" i="9"/>
  <c r="E49" i="9"/>
  <c r="E50" i="9" s="1"/>
  <c r="AM25" i="15"/>
  <c r="A26" i="15"/>
  <c r="O25" i="15"/>
  <c r="R25" i="15"/>
  <c r="AL25" i="15"/>
  <c r="AH25" i="15"/>
  <c r="P25" i="15"/>
  <c r="AK25" i="15"/>
  <c r="AI25" i="15"/>
  <c r="S25" i="15"/>
  <c r="AJ25" i="15"/>
  <c r="Q25" i="15"/>
  <c r="N25" i="15"/>
  <c r="S25" i="14"/>
  <c r="I27" i="12"/>
  <c r="G10" i="4"/>
  <c r="V33" i="10"/>
  <c r="T32" i="4"/>
  <c r="H27" i="11"/>
  <c r="G26" i="4" s="1"/>
  <c r="Q34" i="4"/>
  <c r="S35" i="13"/>
  <c r="L16" i="12"/>
  <c r="R25" i="11"/>
  <c r="Q33" i="4"/>
  <c r="S34" i="13"/>
  <c r="L16" i="14"/>
  <c r="G79" i="6"/>
  <c r="G81" i="6" s="1"/>
  <c r="G78" i="6"/>
  <c r="G32" i="6"/>
  <c r="G33" i="6"/>
  <c r="G35" i="6" s="1"/>
  <c r="M16" i="14" l="1"/>
  <c r="M16" i="12"/>
  <c r="E44" i="10"/>
  <c r="E49" i="10" s="1"/>
  <c r="E64" i="10"/>
  <c r="E67" i="10" s="1"/>
  <c r="I64" i="9"/>
  <c r="I66" i="10"/>
  <c r="I66" i="12"/>
  <c r="I66" i="11"/>
  <c r="I66" i="14"/>
  <c r="I66" i="13"/>
  <c r="R33" i="4"/>
  <c r="T34" i="13"/>
  <c r="G68" i="6"/>
  <c r="G100" i="6" s="1"/>
  <c r="AM26" i="15"/>
  <c r="O26" i="15"/>
  <c r="A27" i="15"/>
  <c r="P26" i="15"/>
  <c r="AI26" i="15"/>
  <c r="AL26" i="15"/>
  <c r="AH26" i="15"/>
  <c r="S26" i="15"/>
  <c r="N26" i="15"/>
  <c r="R26" i="15"/>
  <c r="AK26" i="15"/>
  <c r="Q26" i="15"/>
  <c r="AJ26" i="15"/>
  <c r="R29" i="4"/>
  <c r="T30" i="13"/>
  <c r="S25" i="10"/>
  <c r="G91" i="6"/>
  <c r="G101" i="6" s="1"/>
  <c r="R34" i="4"/>
  <c r="T35" i="13"/>
  <c r="J27" i="13"/>
  <c r="G65" i="6"/>
  <c r="G69" i="6" s="1"/>
  <c r="G66" i="6"/>
  <c r="H53" i="6" s="1"/>
  <c r="M16" i="13"/>
  <c r="R25" i="4"/>
  <c r="T26" i="13"/>
  <c r="G84" i="6"/>
  <c r="G86" i="6" s="1"/>
  <c r="G83" i="6"/>
  <c r="E52" i="9"/>
  <c r="E75" i="9" s="1"/>
  <c r="I27" i="9"/>
  <c r="I27" i="10"/>
  <c r="R28" i="4"/>
  <c r="T29" i="13"/>
  <c r="I45" i="9"/>
  <c r="I46" i="10"/>
  <c r="I46" i="12"/>
  <c r="I46" i="11"/>
  <c r="I46" i="13"/>
  <c r="I46" i="14"/>
  <c r="G38" i="6"/>
  <c r="G40" i="6" s="1"/>
  <c r="G37" i="6"/>
  <c r="O14" i="18" s="1"/>
  <c r="J27" i="12"/>
  <c r="AK2" i="18"/>
  <c r="AL2" i="18" s="1"/>
  <c r="AJ13" i="18"/>
  <c r="G220" i="6"/>
  <c r="G222" i="6" s="1"/>
  <c r="G219" i="6"/>
  <c r="G227" i="6" s="1"/>
  <c r="G237" i="6" s="1"/>
  <c r="M16" i="9"/>
  <c r="W33" i="10"/>
  <c r="U32" i="4"/>
  <c r="I27" i="11"/>
  <c r="S25" i="11"/>
  <c r="J27" i="14"/>
  <c r="T28" i="13"/>
  <c r="R27" i="4"/>
  <c r="T25" i="14"/>
  <c r="S25" i="9"/>
  <c r="Q24" i="4"/>
  <c r="M16" i="11"/>
  <c r="K14" i="4"/>
  <c r="T25" i="12"/>
  <c r="D10" i="5"/>
  <c r="D8" i="18"/>
  <c r="D42" i="4"/>
  <c r="D48" i="4" s="1"/>
  <c r="T25" i="13"/>
  <c r="E51" i="11"/>
  <c r="G92" i="6" l="1"/>
  <c r="D11" i="8"/>
  <c r="K27" i="12"/>
  <c r="N16" i="13"/>
  <c r="G225" i="6"/>
  <c r="H212" i="6" s="1"/>
  <c r="G224" i="6"/>
  <c r="G228" i="6" s="1"/>
  <c r="H56" i="6"/>
  <c r="H58" i="6" s="1"/>
  <c r="H55" i="6"/>
  <c r="E51" i="10"/>
  <c r="D50" i="4" s="1"/>
  <c r="D53" i="4" s="1"/>
  <c r="E52" i="10"/>
  <c r="D51" i="4" s="1"/>
  <c r="G45" i="6"/>
  <c r="E52" i="11"/>
  <c r="E54" i="11" s="1"/>
  <c r="E75" i="11" s="1"/>
  <c r="D13" i="5"/>
  <c r="D18" i="5" s="1"/>
  <c r="J27" i="11"/>
  <c r="G43" i="6"/>
  <c r="H30" i="6" s="1"/>
  <c r="G42" i="6"/>
  <c r="G46" i="6" s="1"/>
  <c r="N27" i="15"/>
  <c r="A28" i="15"/>
  <c r="R27" i="15"/>
  <c r="AK27" i="15"/>
  <c r="AH27" i="15"/>
  <c r="AI27" i="15"/>
  <c r="AL27" i="15"/>
  <c r="S27" i="15"/>
  <c r="AJ27" i="15"/>
  <c r="AM27" i="15"/>
  <c r="O27" i="15"/>
  <c r="Q27" i="15"/>
  <c r="P27" i="15"/>
  <c r="U26" i="13"/>
  <c r="S25" i="4"/>
  <c r="N16" i="14"/>
  <c r="T25" i="11"/>
  <c r="D11" i="18"/>
  <c r="D16" i="18"/>
  <c r="S27" i="4"/>
  <c r="U28" i="13"/>
  <c r="AM2" i="18"/>
  <c r="AN2" i="18" s="1"/>
  <c r="AL13" i="18"/>
  <c r="S28" i="4"/>
  <c r="U29" i="13"/>
  <c r="G89" i="6"/>
  <c r="H76" i="6" s="1"/>
  <c r="G88" i="6"/>
  <c r="X33" i="10"/>
  <c r="V32" i="4"/>
  <c r="S24" i="4"/>
  <c r="U25" i="13"/>
  <c r="U25" i="12"/>
  <c r="T25" i="9"/>
  <c r="H26" i="4"/>
  <c r="T25" i="10"/>
  <c r="N16" i="11"/>
  <c r="L14" i="4"/>
  <c r="U25" i="14"/>
  <c r="J27" i="10"/>
  <c r="K27" i="13"/>
  <c r="S29" i="4"/>
  <c r="U30" i="13"/>
  <c r="J27" i="9"/>
  <c r="O27" i="18"/>
  <c r="K27" i="14"/>
  <c r="R24" i="4"/>
  <c r="N16" i="9"/>
  <c r="S34" i="4"/>
  <c r="U35" i="13"/>
  <c r="S33" i="4"/>
  <c r="U34" i="13"/>
  <c r="N16" i="12"/>
  <c r="D22" i="5" l="1"/>
  <c r="D39" i="5"/>
  <c r="V25" i="14"/>
  <c r="U25" i="9"/>
  <c r="K27" i="11"/>
  <c r="O16" i="14"/>
  <c r="AN13" i="18"/>
  <c r="AO2" i="18"/>
  <c r="AP2" i="18" s="1"/>
  <c r="O16" i="13"/>
  <c r="Y33" i="10"/>
  <c r="W32" i="4"/>
  <c r="T27" i="4"/>
  <c r="V28" i="13"/>
  <c r="R28" i="15"/>
  <c r="S28" i="15"/>
  <c r="AL28" i="15"/>
  <c r="O28" i="15"/>
  <c r="AI28" i="15"/>
  <c r="AJ28" i="15"/>
  <c r="A29" i="15"/>
  <c r="Q28" i="15"/>
  <c r="AH28" i="15"/>
  <c r="AM28" i="15"/>
  <c r="N28" i="15"/>
  <c r="P28" i="15"/>
  <c r="AK28" i="15"/>
  <c r="E54" i="10"/>
  <c r="E75" i="10" s="1"/>
  <c r="O16" i="9"/>
  <c r="L27" i="13"/>
  <c r="O16" i="12"/>
  <c r="I26" i="4"/>
  <c r="H78" i="6"/>
  <c r="H79" i="6"/>
  <c r="H81" i="6" s="1"/>
  <c r="H61" i="6"/>
  <c r="H63" i="6" s="1"/>
  <c r="H60" i="6"/>
  <c r="H68" i="6" s="1"/>
  <c r="H100" i="6" s="1"/>
  <c r="L27" i="12"/>
  <c r="O16" i="11"/>
  <c r="M14" i="4"/>
  <c r="T28" i="4"/>
  <c r="V29" i="13"/>
  <c r="D20" i="18"/>
  <c r="T25" i="4"/>
  <c r="V26" i="13"/>
  <c r="G109" i="6"/>
  <c r="I44" i="4"/>
  <c r="AB13" i="5"/>
  <c r="E13" i="5"/>
  <c r="C13" i="5"/>
  <c r="D14" i="8"/>
  <c r="D16" i="8" s="1"/>
  <c r="D18" i="8" s="1"/>
  <c r="D32" i="8"/>
  <c r="V25" i="12"/>
  <c r="K27" i="9"/>
  <c r="V25" i="13"/>
  <c r="C102" i="6"/>
  <c r="E11" i="18"/>
  <c r="AV11" i="18" s="1"/>
  <c r="H32" i="6"/>
  <c r="H33" i="6"/>
  <c r="H35" i="6" s="1"/>
  <c r="H214" i="6"/>
  <c r="H215" i="6"/>
  <c r="H217" i="6" s="1"/>
  <c r="T33" i="4"/>
  <c r="V34" i="13"/>
  <c r="V35" i="13"/>
  <c r="T34" i="4"/>
  <c r="L27" i="14"/>
  <c r="T29" i="4"/>
  <c r="V30" i="13"/>
  <c r="K27" i="10"/>
  <c r="U25" i="10"/>
  <c r="U25" i="11"/>
  <c r="T24" i="4" s="1"/>
  <c r="K16" i="5"/>
  <c r="G108" i="6"/>
  <c r="N14" i="18" s="1"/>
  <c r="N27" i="18" s="1"/>
  <c r="G99" i="6"/>
  <c r="G106" i="6" s="1"/>
  <c r="H220" i="6" l="1"/>
  <c r="H222" i="6" s="1"/>
  <c r="H219" i="6"/>
  <c r="H227" i="6" s="1"/>
  <c r="H237" i="6" s="1"/>
  <c r="D23" i="8"/>
  <c r="D26" i="8" s="1"/>
  <c r="D28" i="8" s="1"/>
  <c r="D21" i="8"/>
  <c r="D24" i="8" s="1"/>
  <c r="E20" i="8" s="1"/>
  <c r="P16" i="13"/>
  <c r="V25" i="9"/>
  <c r="D34" i="18"/>
  <c r="U27" i="4"/>
  <c r="W28" i="13"/>
  <c r="AP13" i="18"/>
  <c r="AQ2" i="18"/>
  <c r="AR2" i="18" s="1"/>
  <c r="W25" i="14"/>
  <c r="V25" i="10"/>
  <c r="H38" i="6"/>
  <c r="H40" i="6" s="1"/>
  <c r="H37" i="6"/>
  <c r="U28" i="4"/>
  <c r="W29" i="13"/>
  <c r="M27" i="12"/>
  <c r="P16" i="9"/>
  <c r="R29" i="15"/>
  <c r="S29" i="15"/>
  <c r="AJ29" i="15"/>
  <c r="N29" i="15"/>
  <c r="A30" i="15"/>
  <c r="AK29" i="15"/>
  <c r="O29" i="15"/>
  <c r="AL29" i="15"/>
  <c r="AM29" i="15"/>
  <c r="AI29" i="15"/>
  <c r="Q29" i="15"/>
  <c r="AH29" i="15"/>
  <c r="P29" i="15"/>
  <c r="P16" i="14"/>
  <c r="P16" i="12"/>
  <c r="L27" i="9"/>
  <c r="J45" i="9"/>
  <c r="J46" i="10"/>
  <c r="J46" i="12"/>
  <c r="J46" i="11"/>
  <c r="J46" i="13"/>
  <c r="J46" i="14"/>
  <c r="H66" i="6"/>
  <c r="I53" i="6" s="1"/>
  <c r="H65" i="6"/>
  <c r="H69" i="6" s="1"/>
  <c r="Z33" i="10"/>
  <c r="Y32" i="4" s="1"/>
  <c r="X32" i="4"/>
  <c r="U34" i="4"/>
  <c r="W35" i="13"/>
  <c r="W25" i="12"/>
  <c r="H84" i="6"/>
  <c r="H86" i="6" s="1"/>
  <c r="H83" i="6"/>
  <c r="U33" i="4"/>
  <c r="W34" i="13"/>
  <c r="H91" i="6"/>
  <c r="H101" i="6" s="1"/>
  <c r="M27" i="13"/>
  <c r="L27" i="11"/>
  <c r="K26" i="4" s="1"/>
  <c r="V25" i="11"/>
  <c r="M27" i="14"/>
  <c r="H45" i="6"/>
  <c r="J64" i="9"/>
  <c r="J66" i="10"/>
  <c r="J66" i="12"/>
  <c r="J66" i="11"/>
  <c r="J66" i="13"/>
  <c r="J66" i="14"/>
  <c r="L27" i="10"/>
  <c r="C238" i="6"/>
  <c r="U25" i="4"/>
  <c r="W26" i="13"/>
  <c r="U29" i="4"/>
  <c r="W30" i="13"/>
  <c r="W25" i="13"/>
  <c r="P16" i="11"/>
  <c r="N14" i="4"/>
  <c r="J26" i="4"/>
  <c r="D24" i="5" l="1"/>
  <c r="D35" i="8"/>
  <c r="D36" i="8" s="1"/>
  <c r="D39" i="8" s="1"/>
  <c r="X25" i="13"/>
  <c r="X25" i="12"/>
  <c r="V29" i="4"/>
  <c r="X30" i="13"/>
  <c r="M27" i="10"/>
  <c r="V25" i="4"/>
  <c r="X26" i="13"/>
  <c r="Q16" i="11"/>
  <c r="O14" i="4"/>
  <c r="N27" i="14"/>
  <c r="W25" i="10"/>
  <c r="N27" i="13"/>
  <c r="H89" i="6"/>
  <c r="I76" i="6" s="1"/>
  <c r="H88" i="6"/>
  <c r="H92" i="6" s="1"/>
  <c r="I55" i="6"/>
  <c r="I56" i="6"/>
  <c r="I58" i="6" s="1"/>
  <c r="N27" i="12"/>
  <c r="X25" i="14"/>
  <c r="Q16" i="13"/>
  <c r="W25" i="11"/>
  <c r="V24" i="4" s="1"/>
  <c r="V28" i="4"/>
  <c r="X29" i="13"/>
  <c r="M27" i="9"/>
  <c r="Q16" i="12"/>
  <c r="U24" i="4"/>
  <c r="L16" i="5"/>
  <c r="H108" i="6"/>
  <c r="H99" i="6"/>
  <c r="H106" i="6" s="1"/>
  <c r="V34" i="4"/>
  <c r="X35" i="13"/>
  <c r="Q14" i="18"/>
  <c r="AS2" i="18"/>
  <c r="AT2" i="18" s="1"/>
  <c r="AU2" i="18" s="1"/>
  <c r="AR13" i="18"/>
  <c r="V33" i="4"/>
  <c r="X34" i="13"/>
  <c r="H42" i="6"/>
  <c r="H46" i="6" s="1"/>
  <c r="H43" i="6"/>
  <c r="I30" i="6" s="1"/>
  <c r="M27" i="11"/>
  <c r="Q16" i="14"/>
  <c r="Q16" i="9"/>
  <c r="V27" i="4"/>
  <c r="X28" i="13"/>
  <c r="W25" i="9"/>
  <c r="H225" i="6"/>
  <c r="I212" i="6" s="1"/>
  <c r="H224" i="6"/>
  <c r="H228" i="6" s="1"/>
  <c r="P30" i="15"/>
  <c r="A31" i="15"/>
  <c r="N30" i="15"/>
  <c r="AM30" i="15"/>
  <c r="AK30" i="15"/>
  <c r="Q30" i="15"/>
  <c r="AL30" i="15"/>
  <c r="AJ30" i="15"/>
  <c r="R30" i="15"/>
  <c r="AI30" i="15"/>
  <c r="AH30" i="15"/>
  <c r="S30" i="15"/>
  <c r="O30" i="15"/>
  <c r="AV13" i="18" l="1"/>
  <c r="N27" i="9"/>
  <c r="M26" i="4" s="1"/>
  <c r="I79" i="6"/>
  <c r="I81" i="6" s="1"/>
  <c r="I78" i="6"/>
  <c r="Y25" i="13"/>
  <c r="A32" i="15"/>
  <c r="AK31" i="15"/>
  <c r="N31" i="15"/>
  <c r="AH31" i="15"/>
  <c r="AL31" i="15"/>
  <c r="O31" i="15"/>
  <c r="AJ31" i="15"/>
  <c r="Q31" i="15"/>
  <c r="R31" i="15"/>
  <c r="S31" i="15"/>
  <c r="P31" i="15"/>
  <c r="AI31" i="15"/>
  <c r="AM31" i="15"/>
  <c r="N27" i="11"/>
  <c r="W28" i="4"/>
  <c r="Y29" i="13"/>
  <c r="O27" i="14"/>
  <c r="R16" i="9"/>
  <c r="Q27" i="18"/>
  <c r="P14" i="18"/>
  <c r="P27" i="18" s="1"/>
  <c r="X25" i="11"/>
  <c r="O27" i="13"/>
  <c r="N27" i="10"/>
  <c r="I214" i="6"/>
  <c r="I215" i="6"/>
  <c r="I217" i="6" s="1"/>
  <c r="I33" i="6"/>
  <c r="I35" i="6" s="1"/>
  <c r="I32" i="6"/>
  <c r="W34" i="4"/>
  <c r="Y35" i="13"/>
  <c r="O27" i="12"/>
  <c r="L26" i="4"/>
  <c r="W29" i="4"/>
  <c r="Y30" i="13"/>
  <c r="H109" i="6"/>
  <c r="J44" i="4"/>
  <c r="R16" i="12"/>
  <c r="I60" i="6"/>
  <c r="I68" i="6" s="1"/>
  <c r="I100" i="6" s="1"/>
  <c r="I61" i="6"/>
  <c r="I63" i="6" s="1"/>
  <c r="Y25" i="14"/>
  <c r="X25" i="9"/>
  <c r="R16" i="14"/>
  <c r="W33" i="4"/>
  <c r="Y34" i="13"/>
  <c r="R16" i="11"/>
  <c r="P14" i="4"/>
  <c r="Y25" i="12"/>
  <c r="D25" i="5"/>
  <c r="D41" i="8"/>
  <c r="D44" i="8"/>
  <c r="K64" i="9"/>
  <c r="K66" i="10"/>
  <c r="K66" i="12"/>
  <c r="K66" i="11"/>
  <c r="K66" i="13"/>
  <c r="K66" i="14"/>
  <c r="Y28" i="13"/>
  <c r="W27" i="4"/>
  <c r="R16" i="13"/>
  <c r="X25" i="10"/>
  <c r="W25" i="4"/>
  <c r="Y26" i="13"/>
  <c r="D41" i="5"/>
  <c r="X34" i="4" l="1"/>
  <c r="Z35" i="13"/>
  <c r="Y34" i="4" s="1"/>
  <c r="Y25" i="10"/>
  <c r="S16" i="14"/>
  <c r="Z25" i="12"/>
  <c r="Y25" i="9"/>
  <c r="Y25" i="11"/>
  <c r="I84" i="6"/>
  <c r="I86" i="6" s="1"/>
  <c r="I83" i="6"/>
  <c r="I91" i="6" s="1"/>
  <c r="I101" i="6" s="1"/>
  <c r="S16" i="12"/>
  <c r="P27" i="12"/>
  <c r="P27" i="14"/>
  <c r="X28" i="4"/>
  <c r="Z29" i="13"/>
  <c r="Y28" i="4" s="1"/>
  <c r="Z25" i="14"/>
  <c r="O27" i="9"/>
  <c r="X25" i="4"/>
  <c r="Z26" i="13"/>
  <c r="Y25" i="4" s="1"/>
  <c r="S16" i="11"/>
  <c r="Q14" i="4"/>
  <c r="Z30" i="13"/>
  <c r="Y29" i="4" s="1"/>
  <c r="X29" i="4"/>
  <c r="I45" i="6"/>
  <c r="Z25" i="13"/>
  <c r="O27" i="10"/>
  <c r="A33" i="15"/>
  <c r="O32" i="15"/>
  <c r="AI32" i="15"/>
  <c r="Q32" i="15"/>
  <c r="AJ32" i="15"/>
  <c r="R32" i="15"/>
  <c r="AM32" i="15"/>
  <c r="P32" i="15"/>
  <c r="AL32" i="15"/>
  <c r="AK32" i="15"/>
  <c r="AH32" i="15"/>
  <c r="S32" i="15"/>
  <c r="N32" i="15"/>
  <c r="X27" i="4"/>
  <c r="Z28" i="13"/>
  <c r="Y27" i="4" s="1"/>
  <c r="I65" i="6"/>
  <c r="I69" i="6" s="1"/>
  <c r="I66" i="6"/>
  <c r="J53" i="6" s="1"/>
  <c r="I38" i="6"/>
  <c r="I40" i="6" s="1"/>
  <c r="I37" i="6"/>
  <c r="K45" i="9"/>
  <c r="K46" i="10"/>
  <c r="K46" i="12"/>
  <c r="K46" i="11"/>
  <c r="K46" i="13"/>
  <c r="K46" i="14"/>
  <c r="S16" i="13"/>
  <c r="Z34" i="13"/>
  <c r="Y33" i="4" s="1"/>
  <c r="X33" i="4"/>
  <c r="E70" i="10"/>
  <c r="E72" i="10" s="1"/>
  <c r="E76" i="10" s="1"/>
  <c r="D42" i="5"/>
  <c r="D23" i="18"/>
  <c r="E70" i="11"/>
  <c r="E72" i="11" s="1"/>
  <c r="E76" i="11" s="1"/>
  <c r="E70" i="9"/>
  <c r="E72" i="9" s="1"/>
  <c r="E76" i="9" s="1"/>
  <c r="D27" i="5"/>
  <c r="I220" i="6"/>
  <c r="I222" i="6" s="1"/>
  <c r="I219" i="6"/>
  <c r="P27" i="13"/>
  <c r="S16" i="9"/>
  <c r="O27" i="11"/>
  <c r="W24" i="4"/>
  <c r="I228" i="6" l="1"/>
  <c r="P27" i="11"/>
  <c r="I224" i="6"/>
  <c r="I225" i="6"/>
  <c r="J212" i="6" s="1"/>
  <c r="T16" i="12"/>
  <c r="T16" i="14"/>
  <c r="Z25" i="9"/>
  <c r="P27" i="9"/>
  <c r="I92" i="6"/>
  <c r="I89" i="6"/>
  <c r="J76" i="6" s="1"/>
  <c r="I88" i="6"/>
  <c r="Z25" i="10"/>
  <c r="D30" i="5"/>
  <c r="D49" i="5"/>
  <c r="D51" i="5" s="1"/>
  <c r="D44" i="5"/>
  <c r="P27" i="10"/>
  <c r="Q27" i="14"/>
  <c r="S14" i="18"/>
  <c r="Z25" i="11"/>
  <c r="Y24" i="4" s="1"/>
  <c r="I227" i="6"/>
  <c r="I237" i="6" s="1"/>
  <c r="M16" i="5"/>
  <c r="I99" i="6"/>
  <c r="I106" i="6" s="1"/>
  <c r="I108" i="6"/>
  <c r="O26" i="4"/>
  <c r="Q27" i="13"/>
  <c r="D37" i="18"/>
  <c r="D25" i="18"/>
  <c r="T16" i="13"/>
  <c r="I43" i="6"/>
  <c r="J30" i="6" s="1"/>
  <c r="I42" i="6"/>
  <c r="I46" i="6" s="1"/>
  <c r="X24" i="4"/>
  <c r="T16" i="11"/>
  <c r="R14" i="4"/>
  <c r="Q27" i="12"/>
  <c r="T16" i="9"/>
  <c r="N26" i="4"/>
  <c r="J56" i="6"/>
  <c r="J58" i="6" s="1"/>
  <c r="J55" i="6"/>
  <c r="A34" i="15"/>
  <c r="Q33" i="15"/>
  <c r="AK33" i="15"/>
  <c r="S33" i="15"/>
  <c r="AM33" i="15"/>
  <c r="AH33" i="15"/>
  <c r="R33" i="15"/>
  <c r="O33" i="15"/>
  <c r="AI33" i="15"/>
  <c r="AJ33" i="15"/>
  <c r="P33" i="15"/>
  <c r="N33" i="15"/>
  <c r="AL33" i="15"/>
  <c r="AM34" i="15" l="1"/>
  <c r="S34" i="15"/>
  <c r="A35" i="15"/>
  <c r="P34" i="15"/>
  <c r="AK34" i="15"/>
  <c r="AJ34" i="15"/>
  <c r="O34" i="15"/>
  <c r="Q34" i="15"/>
  <c r="R34" i="15"/>
  <c r="AI34" i="15"/>
  <c r="AH34" i="15"/>
  <c r="N34" i="15"/>
  <c r="AL34" i="15"/>
  <c r="J60" i="6"/>
  <c r="J61" i="6"/>
  <c r="J63" i="6" s="1"/>
  <c r="Q27" i="10"/>
  <c r="U16" i="12"/>
  <c r="U16" i="9"/>
  <c r="R27" i="12"/>
  <c r="R27" i="13"/>
  <c r="U16" i="13"/>
  <c r="S27" i="18"/>
  <c r="R14" i="18"/>
  <c r="R27" i="18" s="1"/>
  <c r="J79" i="6"/>
  <c r="J81" i="6" s="1"/>
  <c r="J78" i="6"/>
  <c r="J214" i="6"/>
  <c r="J215" i="6"/>
  <c r="J217" i="6" s="1"/>
  <c r="D43" i="18"/>
  <c r="D39" i="18"/>
  <c r="J33" i="6"/>
  <c r="J35" i="6" s="1"/>
  <c r="J32" i="6"/>
  <c r="J68" i="6"/>
  <c r="J100" i="6" s="1"/>
  <c r="U16" i="11"/>
  <c r="S14" i="4"/>
  <c r="L64" i="9"/>
  <c r="L66" i="10"/>
  <c r="L66" i="12"/>
  <c r="L66" i="13"/>
  <c r="L66" i="11"/>
  <c r="L66" i="14"/>
  <c r="D59" i="5"/>
  <c r="D61" i="5" s="1"/>
  <c r="D65" i="5"/>
  <c r="D67" i="5" s="1"/>
  <c r="I109" i="6"/>
  <c r="K44" i="4"/>
  <c r="R27" i="14"/>
  <c r="U16" i="14"/>
  <c r="Q27" i="11"/>
  <c r="Q27" i="9"/>
  <c r="S27" i="12" l="1"/>
  <c r="N35" i="15"/>
  <c r="AJ35" i="15"/>
  <c r="AK35" i="15"/>
  <c r="R35" i="15"/>
  <c r="Q35" i="15"/>
  <c r="AM35" i="15"/>
  <c r="AL35" i="15"/>
  <c r="O35" i="15"/>
  <c r="AI35" i="15"/>
  <c r="AH35" i="15"/>
  <c r="P35" i="15"/>
  <c r="S35" i="15"/>
  <c r="L45" i="9"/>
  <c r="L46" i="12"/>
  <c r="L46" i="10"/>
  <c r="L46" i="11"/>
  <c r="L46" i="13"/>
  <c r="L46" i="14"/>
  <c r="R27" i="11"/>
  <c r="Q26" i="4" s="1"/>
  <c r="J37" i="6"/>
  <c r="U14" i="18" s="1"/>
  <c r="J38" i="6"/>
  <c r="J40" i="6" s="1"/>
  <c r="S27" i="13"/>
  <c r="V16" i="14"/>
  <c r="V16" i="13"/>
  <c r="V16" i="12"/>
  <c r="V16" i="11"/>
  <c r="T14" i="4"/>
  <c r="R27" i="9"/>
  <c r="J91" i="6"/>
  <c r="J101" i="6" s="1"/>
  <c r="S27" i="14"/>
  <c r="J83" i="6"/>
  <c r="J84" i="6"/>
  <c r="J86" i="6" s="1"/>
  <c r="R27" i="10"/>
  <c r="J45" i="6"/>
  <c r="V16" i="9"/>
  <c r="D45" i="18"/>
  <c r="J66" i="6"/>
  <c r="K53" i="6" s="1"/>
  <c r="J65" i="6"/>
  <c r="J69" i="6" s="1"/>
  <c r="J219" i="6"/>
  <c r="J227" i="6" s="1"/>
  <c r="J237" i="6" s="1"/>
  <c r="J220" i="6"/>
  <c r="J222" i="6" s="1"/>
  <c r="P26" i="4"/>
  <c r="R26" i="4" l="1"/>
  <c r="T27" i="13"/>
  <c r="T27" i="14"/>
  <c r="J224" i="6"/>
  <c r="J228" i="6" s="1"/>
  <c r="J225" i="6"/>
  <c r="K212" i="6" s="1"/>
  <c r="N16" i="5"/>
  <c r="J99" i="6"/>
  <c r="J106" i="6" s="1"/>
  <c r="J108" i="6"/>
  <c r="T14" i="18" s="1"/>
  <c r="T27" i="18" s="1"/>
  <c r="W16" i="13"/>
  <c r="K55" i="6"/>
  <c r="K56" i="6"/>
  <c r="K58" i="6" s="1"/>
  <c r="W16" i="11"/>
  <c r="U14" i="4"/>
  <c r="J42" i="6"/>
  <c r="J46" i="6" s="1"/>
  <c r="J43" i="6"/>
  <c r="K30" i="6" s="1"/>
  <c r="W16" i="9"/>
  <c r="S27" i="11"/>
  <c r="D87" i="18"/>
  <c r="D79" i="18"/>
  <c r="U27" i="18"/>
  <c r="S27" i="10"/>
  <c r="J88" i="6"/>
  <c r="J92" i="6" s="1"/>
  <c r="J89" i="6"/>
  <c r="K76" i="6" s="1"/>
  <c r="W16" i="12"/>
  <c r="W16" i="14"/>
  <c r="T27" i="12"/>
  <c r="S27" i="9"/>
  <c r="X16" i="12" l="1"/>
  <c r="K79" i="6"/>
  <c r="K81" i="6" s="1"/>
  <c r="K78" i="6"/>
  <c r="U27" i="12"/>
  <c r="X16" i="13"/>
  <c r="U27" i="14"/>
  <c r="T27" i="11"/>
  <c r="X16" i="14"/>
  <c r="T27" i="10"/>
  <c r="X16" i="11"/>
  <c r="V14" i="4"/>
  <c r="M66" i="10"/>
  <c r="M64" i="9"/>
  <c r="M66" i="12"/>
  <c r="M66" i="14"/>
  <c r="M66" i="13"/>
  <c r="M66" i="11"/>
  <c r="K33" i="6"/>
  <c r="K35" i="6" s="1"/>
  <c r="K32" i="6"/>
  <c r="T27" i="9"/>
  <c r="K60" i="6"/>
  <c r="K68" i="6" s="1"/>
  <c r="K100" i="6" s="1"/>
  <c r="K61" i="6"/>
  <c r="K63" i="6" s="1"/>
  <c r="K214" i="6"/>
  <c r="K215" i="6"/>
  <c r="K217" i="6" s="1"/>
  <c r="U27" i="13"/>
  <c r="X16" i="9"/>
  <c r="J109" i="6"/>
  <c r="L44" i="4"/>
  <c r="Y16" i="9" l="1"/>
  <c r="K91" i="6"/>
  <c r="K101" i="6" s="1"/>
  <c r="V27" i="13"/>
  <c r="Y16" i="14"/>
  <c r="U27" i="11"/>
  <c r="Y16" i="11"/>
  <c r="W14" i="4"/>
  <c r="V27" i="12"/>
  <c r="V27" i="14"/>
  <c r="K83" i="6"/>
  <c r="K84" i="6"/>
  <c r="K86" i="6" s="1"/>
  <c r="M45" i="9"/>
  <c r="M46" i="10"/>
  <c r="M46" i="12"/>
  <c r="M46" i="13"/>
  <c r="M46" i="11"/>
  <c r="M46" i="14"/>
  <c r="U27" i="9"/>
  <c r="U27" i="10"/>
  <c r="S26" i="4"/>
  <c r="Y16" i="13"/>
  <c r="K220" i="6"/>
  <c r="K222" i="6" s="1"/>
  <c r="K219" i="6"/>
  <c r="K227" i="6" s="1"/>
  <c r="K237" i="6" s="1"/>
  <c r="K38" i="6"/>
  <c r="K40" i="6" s="1"/>
  <c r="K37" i="6"/>
  <c r="Y16" i="12"/>
  <c r="K65" i="6"/>
  <c r="K69" i="6" s="1"/>
  <c r="K66" i="6"/>
  <c r="L53" i="6" s="1"/>
  <c r="V27" i="11" l="1"/>
  <c r="U26" i="4" s="1"/>
  <c r="Z16" i="13"/>
  <c r="K88" i="6"/>
  <c r="K92" i="6" s="1"/>
  <c r="K89" i="6"/>
  <c r="L76" i="6" s="1"/>
  <c r="W27" i="12"/>
  <c r="W27" i="13"/>
  <c r="K43" i="6"/>
  <c r="L30" i="6" s="1"/>
  <c r="K42" i="6"/>
  <c r="K46" i="6" s="1"/>
  <c r="Z16" i="12"/>
  <c r="V27" i="9"/>
  <c r="T26" i="4"/>
  <c r="W14" i="18"/>
  <c r="K45" i="6"/>
  <c r="Z16" i="14"/>
  <c r="W27" i="14"/>
  <c r="Z16" i="11"/>
  <c r="X14" i="4"/>
  <c r="L56" i="6"/>
  <c r="L58" i="6" s="1"/>
  <c r="L55" i="6"/>
  <c r="K225" i="6"/>
  <c r="L212" i="6" s="1"/>
  <c r="K224" i="6"/>
  <c r="K228" i="6" s="1"/>
  <c r="V27" i="10"/>
  <c r="Z16" i="9"/>
  <c r="W27" i="18" l="1"/>
  <c r="V14" i="18"/>
  <c r="V27" i="18" s="1"/>
  <c r="W27" i="9"/>
  <c r="Y14" i="4"/>
  <c r="X27" i="14"/>
  <c r="L61" i="6"/>
  <c r="L63" i="6" s="1"/>
  <c r="L60" i="6"/>
  <c r="L68" i="6" s="1"/>
  <c r="L100" i="6" s="1"/>
  <c r="V26" i="4"/>
  <c r="X27" i="13"/>
  <c r="O16" i="5"/>
  <c r="K99" i="6"/>
  <c r="K106" i="6" s="1"/>
  <c r="K108" i="6"/>
  <c r="K109" i="6"/>
  <c r="M44" i="4"/>
  <c r="X27" i="12"/>
  <c r="W27" i="11"/>
  <c r="W27" i="10"/>
  <c r="L214" i="6"/>
  <c r="L215" i="6"/>
  <c r="L217" i="6" s="1"/>
  <c r="L32" i="6"/>
  <c r="L33" i="6"/>
  <c r="L35" i="6" s="1"/>
  <c r="L78" i="6"/>
  <c r="L79" i="6"/>
  <c r="L81" i="6" s="1"/>
  <c r="X27" i="10" l="1"/>
  <c r="L37" i="6"/>
  <c r="L38" i="6"/>
  <c r="L40" i="6" s="1"/>
  <c r="X27" i="9"/>
  <c r="X27" i="11"/>
  <c r="L66" i="6"/>
  <c r="M53" i="6" s="1"/>
  <c r="L65" i="6"/>
  <c r="L69" i="6" s="1"/>
  <c r="L219" i="6"/>
  <c r="L220" i="6"/>
  <c r="L222" i="6" s="1"/>
  <c r="N64" i="9"/>
  <c r="N66" i="10"/>
  <c r="N66" i="12"/>
  <c r="N66" i="11"/>
  <c r="N66" i="13"/>
  <c r="N66" i="14"/>
  <c r="L227" i="6"/>
  <c r="L237" i="6" s="1"/>
  <c r="L45" i="6"/>
  <c r="Y27" i="12"/>
  <c r="Y27" i="14"/>
  <c r="L83" i="6"/>
  <c r="L84" i="6"/>
  <c r="L86" i="6" s="1"/>
  <c r="N45" i="9"/>
  <c r="N46" i="10"/>
  <c r="N46" i="12"/>
  <c r="N46" i="11"/>
  <c r="N46" i="13"/>
  <c r="N46" i="14"/>
  <c r="W26" i="4"/>
  <c r="Y27" i="13"/>
  <c r="Z27" i="13" l="1"/>
  <c r="Z27" i="12"/>
  <c r="L99" i="6"/>
  <c r="M55" i="6"/>
  <c r="M56" i="6"/>
  <c r="M58" i="6" s="1"/>
  <c r="Y27" i="10"/>
  <c r="L91" i="6"/>
  <c r="L101" i="6" s="1"/>
  <c r="Y27" i="9"/>
  <c r="L88" i="6"/>
  <c r="L92" i="6" s="1"/>
  <c r="L89" i="6"/>
  <c r="M76" i="6" s="1"/>
  <c r="Z27" i="14"/>
  <c r="L224" i="6"/>
  <c r="L228" i="6" s="1"/>
  <c r="L225" i="6"/>
  <c r="M212" i="6" s="1"/>
  <c r="L42" i="6"/>
  <c r="L46" i="6" s="1"/>
  <c r="L43" i="6"/>
  <c r="M30" i="6" s="1"/>
  <c r="Y14" i="18"/>
  <c r="Y27" i="11"/>
  <c r="Z27" i="10" l="1"/>
  <c r="Y27" i="18"/>
  <c r="X14" i="18"/>
  <c r="X27" i="18" s="1"/>
  <c r="M68" i="6"/>
  <c r="M100" i="6" s="1"/>
  <c r="X146" i="6" s="1"/>
  <c r="M79" i="6"/>
  <c r="M81" i="6" s="1"/>
  <c r="M78" i="6"/>
  <c r="L109" i="6"/>
  <c r="N44" i="4"/>
  <c r="M214" i="6"/>
  <c r="P16" i="5"/>
  <c r="Z27" i="11"/>
  <c r="M33" i="6"/>
  <c r="M35" i="6" s="1"/>
  <c r="M32" i="6"/>
  <c r="Z27" i="9"/>
  <c r="L106" i="6"/>
  <c r="X26" i="4"/>
  <c r="M60" i="6"/>
  <c r="M61" i="6"/>
  <c r="M63" i="6" s="1"/>
  <c r="L108" i="6"/>
  <c r="M65" i="6" l="1"/>
  <c r="M69" i="6" s="1"/>
  <c r="M66" i="6"/>
  <c r="N53" i="6" s="1"/>
  <c r="Y26" i="4"/>
  <c r="O64" i="9"/>
  <c r="O66" i="10"/>
  <c r="O66" i="12"/>
  <c r="O66" i="11"/>
  <c r="O66" i="13"/>
  <c r="O66" i="14"/>
  <c r="O45" i="9"/>
  <c r="O46" i="10"/>
  <c r="O46" i="12"/>
  <c r="O46" i="11"/>
  <c r="O46" i="14"/>
  <c r="O46" i="13"/>
  <c r="M37" i="6"/>
  <c r="AA14" i="18" s="1"/>
  <c r="M38" i="6"/>
  <c r="M40" i="6" s="1"/>
  <c r="M84" i="6"/>
  <c r="M86" i="6" s="1"/>
  <c r="M83" i="6"/>
  <c r="AA27" i="18" l="1"/>
  <c r="M45" i="6"/>
  <c r="M89" i="6"/>
  <c r="N76" i="6" s="1"/>
  <c r="M88" i="6"/>
  <c r="M92" i="6" s="1"/>
  <c r="N56" i="6"/>
  <c r="N58" i="6" s="1"/>
  <c r="N55" i="6"/>
  <c r="M91" i="6"/>
  <c r="M101" i="6" s="1"/>
  <c r="M42" i="6"/>
  <c r="M46" i="6" s="1"/>
  <c r="M43" i="6"/>
  <c r="N30" i="6" s="1"/>
  <c r="N68" i="6" l="1"/>
  <c r="N100" i="6" s="1"/>
  <c r="Z146" i="6" s="1"/>
  <c r="N61" i="6"/>
  <c r="N63" i="6" s="1"/>
  <c r="N60" i="6"/>
  <c r="N78" i="6"/>
  <c r="N79" i="6"/>
  <c r="N81" i="6" s="1"/>
  <c r="N32" i="6"/>
  <c r="N33" i="6"/>
  <c r="N35" i="6" s="1"/>
  <c r="Q16" i="5"/>
  <c r="M99" i="6"/>
  <c r="M106" i="6" s="1"/>
  <c r="M108" i="6"/>
  <c r="Z14" i="18" s="1"/>
  <c r="Z27" i="18" s="1"/>
  <c r="M109" i="6"/>
  <c r="O44" i="4"/>
  <c r="P64" i="9" l="1"/>
  <c r="P66" i="10"/>
  <c r="P66" i="12"/>
  <c r="P66" i="11"/>
  <c r="P66" i="13"/>
  <c r="P66" i="14"/>
  <c r="N37" i="6"/>
  <c r="AC14" i="18" s="1"/>
  <c r="N38" i="6"/>
  <c r="N40" i="6" s="1"/>
  <c r="N84" i="6"/>
  <c r="N86" i="6" s="1"/>
  <c r="N83" i="6"/>
  <c r="N91" i="6"/>
  <c r="N101" i="6" s="1"/>
  <c r="N45" i="6"/>
  <c r="P45" i="9"/>
  <c r="P46" i="10"/>
  <c r="P46" i="12"/>
  <c r="P46" i="11"/>
  <c r="P46" i="14"/>
  <c r="P46" i="13"/>
  <c r="N66" i="6"/>
  <c r="O53" i="6" s="1"/>
  <c r="N65" i="6"/>
  <c r="N69" i="6" s="1"/>
  <c r="AC27" i="18" l="1"/>
  <c r="R16" i="5"/>
  <c r="N99" i="6"/>
  <c r="N106" i="6" s="1"/>
  <c r="N108" i="6"/>
  <c r="AB14" i="18" s="1"/>
  <c r="AB27" i="18" s="1"/>
  <c r="N89" i="6"/>
  <c r="O76" i="6" s="1"/>
  <c r="N88" i="6"/>
  <c r="N92" i="6" s="1"/>
  <c r="O55" i="6"/>
  <c r="O56" i="6"/>
  <c r="O58" i="6" s="1"/>
  <c r="N42" i="6"/>
  <c r="N46" i="6" s="1"/>
  <c r="N43" i="6"/>
  <c r="O30" i="6" s="1"/>
  <c r="O61" i="6" l="1"/>
  <c r="O63" i="6" s="1"/>
  <c r="O60" i="6"/>
  <c r="O68" i="6"/>
  <c r="O100" i="6" s="1"/>
  <c r="AB146" i="6" s="1"/>
  <c r="O79" i="6"/>
  <c r="O81" i="6" s="1"/>
  <c r="O78" i="6"/>
  <c r="O32" i="6"/>
  <c r="O33" i="6"/>
  <c r="O35" i="6" s="1"/>
  <c r="Q64" i="9"/>
  <c r="Q66" i="10"/>
  <c r="Q66" i="12"/>
  <c r="Q66" i="11"/>
  <c r="Q66" i="14"/>
  <c r="Q66" i="13"/>
  <c r="N109" i="6"/>
  <c r="P44" i="4"/>
  <c r="Q45" i="9" l="1"/>
  <c r="Q46" i="10"/>
  <c r="Q46" i="12"/>
  <c r="Q46" i="13"/>
  <c r="Q46" i="14"/>
  <c r="Q46" i="11"/>
  <c r="O38" i="6"/>
  <c r="O40" i="6" s="1"/>
  <c r="O37" i="6"/>
  <c r="O84" i="6"/>
  <c r="O86" i="6" s="1"/>
  <c r="O83" i="6"/>
  <c r="O91" i="6" s="1"/>
  <c r="O101" i="6" s="1"/>
  <c r="O45" i="6"/>
  <c r="O65" i="6"/>
  <c r="O69" i="6" s="1"/>
  <c r="O66" i="6"/>
  <c r="P53" i="6" s="1"/>
  <c r="P56" i="6" l="1"/>
  <c r="P58" i="6" s="1"/>
  <c r="P55" i="6"/>
  <c r="O89" i="6"/>
  <c r="P76" i="6" s="1"/>
  <c r="O88" i="6"/>
  <c r="S16" i="5"/>
  <c r="O99" i="6"/>
  <c r="O106" i="6" s="1"/>
  <c r="O108" i="6"/>
  <c r="AE14" i="18"/>
  <c r="O92" i="6"/>
  <c r="O43" i="6"/>
  <c r="P30" i="6" s="1"/>
  <c r="O42" i="6"/>
  <c r="O46" i="6" s="1"/>
  <c r="AE27" i="18" l="1"/>
  <c r="AD14" i="18"/>
  <c r="AD27" i="18" s="1"/>
  <c r="R64" i="9"/>
  <c r="R66" i="10"/>
  <c r="R66" i="12"/>
  <c r="R66" i="11"/>
  <c r="R66" i="13"/>
  <c r="R66" i="14"/>
  <c r="P78" i="6"/>
  <c r="P79" i="6"/>
  <c r="P81" i="6" s="1"/>
  <c r="P61" i="6"/>
  <c r="P63" i="6" s="1"/>
  <c r="P60" i="6"/>
  <c r="O109" i="6"/>
  <c r="Q44" i="4"/>
  <c r="P32" i="6"/>
  <c r="P33" i="6"/>
  <c r="P35" i="6" s="1"/>
  <c r="P68" i="6"/>
  <c r="P100" i="6" s="1"/>
  <c r="AD146" i="6" s="1"/>
  <c r="B151" i="6" s="1"/>
  <c r="P38" i="6" l="1"/>
  <c r="P40" i="6" s="1"/>
  <c r="P37" i="6"/>
  <c r="P45" i="6"/>
  <c r="R45" i="9"/>
  <c r="R46" i="10"/>
  <c r="R46" i="12"/>
  <c r="R46" i="11"/>
  <c r="R46" i="13"/>
  <c r="R46" i="14"/>
  <c r="P66" i="6"/>
  <c r="Q53" i="6" s="1"/>
  <c r="P65" i="6"/>
  <c r="P69" i="6" s="1"/>
  <c r="P83" i="6"/>
  <c r="P84" i="6"/>
  <c r="P86" i="6" s="1"/>
  <c r="P91" i="6"/>
  <c r="P101" i="6" s="1"/>
  <c r="P88" i="6" l="1"/>
  <c r="P92" i="6" s="1"/>
  <c r="P89" i="6"/>
  <c r="Q76" i="6" s="1"/>
  <c r="T16" i="5"/>
  <c r="P108" i="6"/>
  <c r="P99" i="6"/>
  <c r="P106" i="6" s="1"/>
  <c r="Q55" i="6"/>
  <c r="Q56" i="6"/>
  <c r="Q58" i="6" s="1"/>
  <c r="AG14" i="18"/>
  <c r="P42" i="6"/>
  <c r="P46" i="6" s="1"/>
  <c r="P43" i="6"/>
  <c r="Q30" i="6" s="1"/>
  <c r="P109" i="6" l="1"/>
  <c r="R44" i="4"/>
  <c r="AG27" i="18"/>
  <c r="AF14" i="18"/>
  <c r="AF27" i="18" s="1"/>
  <c r="Q60" i="6"/>
  <c r="Q68" i="6" s="1"/>
  <c r="Q100" i="6" s="1"/>
  <c r="Q61" i="6"/>
  <c r="Q63" i="6" s="1"/>
  <c r="S64" i="9"/>
  <c r="S66" i="10"/>
  <c r="S66" i="12"/>
  <c r="S66" i="11"/>
  <c r="S66" i="14"/>
  <c r="S66" i="13"/>
  <c r="Q33" i="6"/>
  <c r="Q35" i="6" s="1"/>
  <c r="Q32" i="6"/>
  <c r="Q79" i="6"/>
  <c r="Q81" i="6" s="1"/>
  <c r="Q78" i="6"/>
  <c r="Q91" i="6" l="1"/>
  <c r="Q101" i="6" s="1"/>
  <c r="Q83" i="6"/>
  <c r="Q84" i="6"/>
  <c r="Q86" i="6" s="1"/>
  <c r="Q45" i="6"/>
  <c r="Q65" i="6"/>
  <c r="Q69" i="6" s="1"/>
  <c r="Q66" i="6"/>
  <c r="R53" i="6" s="1"/>
  <c r="Q38" i="6"/>
  <c r="Q40" i="6" s="1"/>
  <c r="Q37" i="6"/>
  <c r="AI14" i="18" s="1"/>
  <c r="S45" i="9"/>
  <c r="S46" i="10"/>
  <c r="S46" i="12"/>
  <c r="S46" i="11"/>
  <c r="S46" i="14"/>
  <c r="S46" i="13"/>
  <c r="Q92" i="6" l="1"/>
  <c r="Q43" i="6"/>
  <c r="R30" i="6" s="1"/>
  <c r="Q42" i="6"/>
  <c r="Q46" i="6" s="1"/>
  <c r="U16" i="5"/>
  <c r="Q99" i="6"/>
  <c r="Q106" i="6" s="1"/>
  <c r="Q108" i="6"/>
  <c r="Q88" i="6"/>
  <c r="Q89" i="6"/>
  <c r="R76" i="6" s="1"/>
  <c r="R56" i="6"/>
  <c r="R58" i="6" s="1"/>
  <c r="R55" i="6"/>
  <c r="AI27" i="18"/>
  <c r="AH14" i="18"/>
  <c r="AH27" i="18" s="1"/>
  <c r="R61" i="6" l="1"/>
  <c r="R63" i="6" s="1"/>
  <c r="R60" i="6"/>
  <c r="R78" i="6"/>
  <c r="R79" i="6"/>
  <c r="R81" i="6" s="1"/>
  <c r="T64" i="9"/>
  <c r="T66" i="10"/>
  <c r="T66" i="12"/>
  <c r="T66" i="14"/>
  <c r="T66" i="13"/>
  <c r="T66" i="11"/>
  <c r="Q109" i="6"/>
  <c r="S44" i="4"/>
  <c r="R68" i="6"/>
  <c r="R100" i="6" s="1"/>
  <c r="R33" i="6"/>
  <c r="R35" i="6" s="1"/>
  <c r="R32" i="6"/>
  <c r="R37" i="6" l="1"/>
  <c r="R38" i="6"/>
  <c r="R40" i="6" s="1"/>
  <c r="R83" i="6"/>
  <c r="R84" i="6"/>
  <c r="R86" i="6" s="1"/>
  <c r="T45" i="9"/>
  <c r="T46" i="10"/>
  <c r="T46" i="12"/>
  <c r="T46" i="11"/>
  <c r="T46" i="13"/>
  <c r="T46" i="14"/>
  <c r="R65" i="6"/>
  <c r="R69" i="6" s="1"/>
  <c r="R66" i="6"/>
  <c r="S53" i="6" s="1"/>
  <c r="R46" i="6" l="1"/>
  <c r="R91" i="6"/>
  <c r="R101" i="6" s="1"/>
  <c r="R42" i="6"/>
  <c r="R43" i="6"/>
  <c r="S30" i="6" s="1"/>
  <c r="R88" i="6"/>
  <c r="R92" i="6" s="1"/>
  <c r="R89" i="6"/>
  <c r="S76" i="6" s="1"/>
  <c r="AK14" i="18"/>
  <c r="R45" i="6"/>
  <c r="S55" i="6"/>
  <c r="S56" i="6"/>
  <c r="S58" i="6" s="1"/>
  <c r="AK27" i="18" l="1"/>
  <c r="S33" i="6"/>
  <c r="S35" i="6" s="1"/>
  <c r="S32" i="6"/>
  <c r="V16" i="5"/>
  <c r="R99" i="6"/>
  <c r="R106" i="6" s="1"/>
  <c r="R108" i="6"/>
  <c r="AJ14" i="18" s="1"/>
  <c r="AJ27" i="18" s="1"/>
  <c r="S79" i="6"/>
  <c r="S81" i="6" s="1"/>
  <c r="S78" i="6"/>
  <c r="R109" i="6"/>
  <c r="T44" i="4"/>
  <c r="S60" i="6"/>
  <c r="S61" i="6"/>
  <c r="S63" i="6" s="1"/>
  <c r="S68" i="6"/>
  <c r="S100" i="6" s="1"/>
  <c r="S65" i="6" l="1"/>
  <c r="S69" i="6" s="1"/>
  <c r="S66" i="6"/>
  <c r="T53" i="6" s="1"/>
  <c r="U66" i="10"/>
  <c r="U64" i="9"/>
  <c r="U66" i="12"/>
  <c r="U66" i="11"/>
  <c r="U66" i="14"/>
  <c r="U66" i="13"/>
  <c r="S83" i="6"/>
  <c r="S91" i="6" s="1"/>
  <c r="S101" i="6" s="1"/>
  <c r="S84" i="6"/>
  <c r="S86" i="6" s="1"/>
  <c r="U45" i="9"/>
  <c r="U46" i="10"/>
  <c r="U46" i="12"/>
  <c r="U46" i="13"/>
  <c r="U46" i="11"/>
  <c r="U46" i="14"/>
  <c r="S38" i="6"/>
  <c r="S40" i="6" s="1"/>
  <c r="S37" i="6"/>
  <c r="AM14" i="18" l="1"/>
  <c r="S92" i="6"/>
  <c r="S43" i="6"/>
  <c r="T30" i="6" s="1"/>
  <c r="S42" i="6"/>
  <c r="S46" i="6"/>
  <c r="S45" i="6"/>
  <c r="S88" i="6"/>
  <c r="S89" i="6"/>
  <c r="T76" i="6" s="1"/>
  <c r="T56" i="6"/>
  <c r="T58" i="6" s="1"/>
  <c r="T55" i="6"/>
  <c r="T61" i="6" l="1"/>
  <c r="T63" i="6" s="1"/>
  <c r="T60" i="6"/>
  <c r="T68" i="6" s="1"/>
  <c r="T100" i="6" s="1"/>
  <c r="T78" i="6"/>
  <c r="T79" i="6"/>
  <c r="T81" i="6" s="1"/>
  <c r="W16" i="5"/>
  <c r="S99" i="6"/>
  <c r="S106" i="6" s="1"/>
  <c r="S108" i="6"/>
  <c r="S109" i="6"/>
  <c r="U44" i="4"/>
  <c r="AM27" i="18"/>
  <c r="AL14" i="18"/>
  <c r="AL27" i="18" s="1"/>
  <c r="T32" i="6"/>
  <c r="T33" i="6"/>
  <c r="T35" i="6" s="1"/>
  <c r="T83" i="6" l="1"/>
  <c r="T84" i="6"/>
  <c r="T86" i="6" s="1"/>
  <c r="T66" i="6"/>
  <c r="U53" i="6" s="1"/>
  <c r="T65" i="6"/>
  <c r="T69" i="6"/>
  <c r="V45" i="9"/>
  <c r="V46" i="10"/>
  <c r="V46" i="12"/>
  <c r="V46" i="11"/>
  <c r="V46" i="13"/>
  <c r="V46" i="14"/>
  <c r="T37" i="6"/>
  <c r="AO14" i="18" s="1"/>
  <c r="T38" i="6"/>
  <c r="T40" i="6" s="1"/>
  <c r="V64" i="9"/>
  <c r="V66" i="10"/>
  <c r="V66" i="12"/>
  <c r="V66" i="11"/>
  <c r="V66" i="13"/>
  <c r="V66" i="14"/>
  <c r="T91" i="6"/>
  <c r="T101" i="6" s="1"/>
  <c r="T42" i="6" l="1"/>
  <c r="T43" i="6"/>
  <c r="U30" i="6" s="1"/>
  <c r="U55" i="6"/>
  <c r="U56" i="6"/>
  <c r="U58" i="6" s="1"/>
  <c r="AO27" i="18"/>
  <c r="T88" i="6"/>
  <c r="T92" i="6" s="1"/>
  <c r="T89" i="6"/>
  <c r="U76" i="6" s="1"/>
  <c r="T45" i="6"/>
  <c r="T46" i="6"/>
  <c r="U33" i="6" l="1"/>
  <c r="U35" i="6" s="1"/>
  <c r="U32" i="6"/>
  <c r="T109" i="6"/>
  <c r="V44" i="4"/>
  <c r="X16" i="5"/>
  <c r="T99" i="6"/>
  <c r="T106" i="6" s="1"/>
  <c r="T108" i="6"/>
  <c r="AN14" i="18" s="1"/>
  <c r="AN27" i="18" s="1"/>
  <c r="U78" i="6"/>
  <c r="U79" i="6"/>
  <c r="U81" i="6" s="1"/>
  <c r="U60" i="6"/>
  <c r="U61" i="6"/>
  <c r="U63" i="6" s="1"/>
  <c r="U68" i="6"/>
  <c r="U100" i="6" s="1"/>
  <c r="U84" i="6" l="1"/>
  <c r="U86" i="6" s="1"/>
  <c r="U83" i="6"/>
  <c r="U37" i="6"/>
  <c r="AQ14" i="18" s="1"/>
  <c r="U38" i="6"/>
  <c r="U40" i="6" s="1"/>
  <c r="W64" i="9"/>
  <c r="W66" i="10"/>
  <c r="W66" i="12"/>
  <c r="W66" i="11"/>
  <c r="W66" i="13"/>
  <c r="W66" i="14"/>
  <c r="U65" i="6"/>
  <c r="U69" i="6" s="1"/>
  <c r="U66" i="6"/>
  <c r="V53" i="6" s="1"/>
  <c r="U91" i="6"/>
  <c r="U101" i="6" s="1"/>
  <c r="W45" i="9"/>
  <c r="W46" i="10"/>
  <c r="W46" i="12"/>
  <c r="W46" i="11"/>
  <c r="W46" i="14"/>
  <c r="W46" i="13"/>
  <c r="U45" i="6"/>
  <c r="U42" i="6" l="1"/>
  <c r="U46" i="6" s="1"/>
  <c r="U43" i="6"/>
  <c r="V30" i="6" s="1"/>
  <c r="Y16" i="5"/>
  <c r="U99" i="6"/>
  <c r="U106" i="6" s="1"/>
  <c r="U108" i="6"/>
  <c r="AQ27" i="18"/>
  <c r="AP14" i="18"/>
  <c r="AP27" i="18" s="1"/>
  <c r="V56" i="6"/>
  <c r="V58" i="6" s="1"/>
  <c r="V55" i="6"/>
  <c r="U89" i="6"/>
  <c r="V76" i="6" s="1"/>
  <c r="U88" i="6"/>
  <c r="U92" i="6" s="1"/>
  <c r="U109" i="6" l="1"/>
  <c r="W44" i="4"/>
  <c r="V61" i="6"/>
  <c r="V63" i="6" s="1"/>
  <c r="V60" i="6"/>
  <c r="V78" i="6"/>
  <c r="V79" i="6"/>
  <c r="V81" i="6" s="1"/>
  <c r="X64" i="9"/>
  <c r="X66" i="10"/>
  <c r="X66" i="12"/>
  <c r="X66" i="11"/>
  <c r="X66" i="13"/>
  <c r="X66" i="14"/>
  <c r="V32" i="6"/>
  <c r="V33" i="6"/>
  <c r="V35" i="6" s="1"/>
  <c r="V68" i="6"/>
  <c r="V100" i="6" s="1"/>
  <c r="V37" i="6" l="1"/>
  <c r="AS14" i="18" s="1"/>
  <c r="V38" i="6"/>
  <c r="V40" i="6" s="1"/>
  <c r="V66" i="6"/>
  <c r="V65" i="6"/>
  <c r="V69" i="6" s="1"/>
  <c r="X45" i="9"/>
  <c r="X46" i="10"/>
  <c r="X46" i="12"/>
  <c r="X46" i="11"/>
  <c r="X46" i="13"/>
  <c r="X46" i="14"/>
  <c r="V84" i="6"/>
  <c r="V86" i="6" s="1"/>
  <c r="V83" i="6"/>
  <c r="V45" i="6"/>
  <c r="V92" i="6" l="1"/>
  <c r="Z16" i="5"/>
  <c r="V99" i="6"/>
  <c r="V106" i="6" s="1"/>
  <c r="V91" i="6"/>
  <c r="V101" i="6" s="1"/>
  <c r="V89" i="6"/>
  <c r="V88" i="6"/>
  <c r="V42" i="6"/>
  <c r="V46" i="6" s="1"/>
  <c r="V43" i="6"/>
  <c r="AS27" i="18"/>
  <c r="V109" i="6" l="1"/>
  <c r="X44" i="4"/>
  <c r="Y64" i="9"/>
  <c r="Y66" i="10"/>
  <c r="Y66" i="12"/>
  <c r="Y66" i="11"/>
  <c r="Y66" i="14"/>
  <c r="Y66" i="13"/>
  <c r="AB16" i="5"/>
  <c r="Y31" i="4"/>
  <c r="AH31" i="4"/>
  <c r="AP31" i="4"/>
  <c r="AE31" i="4"/>
  <c r="AM31" i="4"/>
  <c r="AU31" i="4"/>
  <c r="AF31" i="4"/>
  <c r="AN31" i="4"/>
  <c r="AV31" i="4"/>
  <c r="AC31" i="4"/>
  <c r="AQ31" i="4"/>
  <c r="AD31" i="4"/>
  <c r="AR31" i="4"/>
  <c r="AG31" i="4"/>
  <c r="AS31" i="4"/>
  <c r="X31" i="4"/>
  <c r="AK31" i="4"/>
  <c r="AA31" i="4"/>
  <c r="AL31" i="4"/>
  <c r="AB31" i="4"/>
  <c r="AO31" i="4"/>
  <c r="AT31" i="4"/>
  <c r="AI31" i="4"/>
  <c r="AJ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W31" i="4"/>
  <c r="V31" i="4"/>
  <c r="S31" i="4"/>
  <c r="U31" i="4"/>
  <c r="T31" i="4"/>
  <c r="V108" i="6"/>
  <c r="AR14" i="18" s="1"/>
  <c r="T32" i="10" l="1"/>
  <c r="T32" i="12"/>
  <c r="T32" i="9"/>
  <c r="T32" i="11"/>
  <c r="T32" i="13"/>
  <c r="T32" i="14"/>
  <c r="S35" i="4"/>
  <c r="Y32" i="9"/>
  <c r="Y32" i="10"/>
  <c r="Y32" i="12"/>
  <c r="Y32" i="11"/>
  <c r="Y32" i="13"/>
  <c r="Y32" i="14"/>
  <c r="X35" i="4"/>
  <c r="W32" i="9"/>
  <c r="W32" i="10"/>
  <c r="W32" i="12"/>
  <c r="W32" i="11"/>
  <c r="W32" i="14"/>
  <c r="W32" i="13"/>
  <c r="V35" i="4"/>
  <c r="L32" i="9"/>
  <c r="L32" i="10"/>
  <c r="L32" i="12"/>
  <c r="L32" i="11"/>
  <c r="L32" i="13"/>
  <c r="L32" i="14"/>
  <c r="K35" i="4"/>
  <c r="S32" i="9"/>
  <c r="S32" i="10"/>
  <c r="S32" i="12"/>
  <c r="S32" i="11"/>
  <c r="S32" i="13"/>
  <c r="S32" i="14"/>
  <c r="R35" i="4"/>
  <c r="K32" i="9"/>
  <c r="K32" i="10"/>
  <c r="K32" i="12"/>
  <c r="K32" i="11"/>
  <c r="K32" i="14"/>
  <c r="K32" i="13"/>
  <c r="J35" i="4"/>
  <c r="R32" i="9"/>
  <c r="R32" i="10"/>
  <c r="R32" i="12"/>
  <c r="R32" i="11"/>
  <c r="R32" i="13"/>
  <c r="R32" i="14"/>
  <c r="Q35" i="4"/>
  <c r="J32" i="9"/>
  <c r="J32" i="10"/>
  <c r="J32" i="12"/>
  <c r="J32" i="11"/>
  <c r="J32" i="13"/>
  <c r="J32" i="14"/>
  <c r="I35" i="4"/>
  <c r="U32" i="9"/>
  <c r="U32" i="12"/>
  <c r="U32" i="10"/>
  <c r="U32" i="13"/>
  <c r="U32" i="14"/>
  <c r="U32" i="11"/>
  <c r="T35" i="4"/>
  <c r="N32" i="9"/>
  <c r="N32" i="10"/>
  <c r="N32" i="12"/>
  <c r="N32" i="11"/>
  <c r="N32" i="13"/>
  <c r="N32" i="14"/>
  <c r="M35" i="4"/>
  <c r="M32" i="9"/>
  <c r="M32" i="10"/>
  <c r="M32" i="12"/>
  <c r="M32" i="11"/>
  <c r="M32" i="13"/>
  <c r="M32" i="14"/>
  <c r="L35" i="4"/>
  <c r="X32" i="10"/>
  <c r="X32" i="9"/>
  <c r="X32" i="12"/>
  <c r="X32" i="11"/>
  <c r="X32" i="14"/>
  <c r="X32" i="13"/>
  <c r="W35" i="4"/>
  <c r="AR27" i="18"/>
  <c r="AV14" i="18"/>
  <c r="Q32" i="9"/>
  <c r="Q32" i="10"/>
  <c r="Q32" i="12"/>
  <c r="Q32" i="11"/>
  <c r="Q32" i="13"/>
  <c r="Q32" i="14"/>
  <c r="P35" i="4"/>
  <c r="I32" i="9"/>
  <c r="I32" i="10"/>
  <c r="I32" i="12"/>
  <c r="I32" i="13"/>
  <c r="I32" i="11"/>
  <c r="I32" i="14"/>
  <c r="H35" i="4"/>
  <c r="H32" i="9"/>
  <c r="H32" i="10"/>
  <c r="H32" i="12"/>
  <c r="H32" i="11"/>
  <c r="H32" i="14"/>
  <c r="H32" i="13"/>
  <c r="G35" i="4"/>
  <c r="V32" i="9"/>
  <c r="V32" i="10"/>
  <c r="V32" i="12"/>
  <c r="V32" i="14"/>
  <c r="V32" i="11"/>
  <c r="V32" i="13"/>
  <c r="U35" i="4"/>
  <c r="O32" i="9"/>
  <c r="O32" i="10"/>
  <c r="O32" i="12"/>
  <c r="O32" i="11"/>
  <c r="O32" i="14"/>
  <c r="O32" i="13"/>
  <c r="N35" i="4"/>
  <c r="G32" i="9"/>
  <c r="G32" i="10"/>
  <c r="G32" i="12"/>
  <c r="G32" i="11"/>
  <c r="G32" i="14"/>
  <c r="G32" i="13"/>
  <c r="F35" i="4"/>
  <c r="Z32" i="9"/>
  <c r="Z32" i="10"/>
  <c r="Z32" i="12"/>
  <c r="Z32" i="11"/>
  <c r="Z32" i="13"/>
  <c r="Z32" i="14"/>
  <c r="Y35" i="4"/>
  <c r="Y45" i="9"/>
  <c r="Y46" i="10"/>
  <c r="Y46" i="12"/>
  <c r="Y46" i="13"/>
  <c r="Y46" i="14"/>
  <c r="Y46" i="11"/>
  <c r="P32" i="9"/>
  <c r="P32" i="10"/>
  <c r="P32" i="12"/>
  <c r="P32" i="11"/>
  <c r="P32" i="13"/>
  <c r="P32" i="14"/>
  <c r="O35" i="4"/>
  <c r="V36" i="11" l="1"/>
  <c r="V19" i="11"/>
  <c r="V20" i="11" s="1"/>
  <c r="I36" i="12"/>
  <c r="I19" i="12"/>
  <c r="I20" i="12" s="1"/>
  <c r="I39" i="12" s="1"/>
  <c r="M36" i="10"/>
  <c r="M19" i="10"/>
  <c r="R19" i="14"/>
  <c r="R20" i="14" s="1"/>
  <c r="R36" i="14"/>
  <c r="K36" i="14"/>
  <c r="K19" i="14"/>
  <c r="K20" i="14" s="1"/>
  <c r="S19" i="11"/>
  <c r="S20" i="11" s="1"/>
  <c r="S36" i="11"/>
  <c r="L19" i="12"/>
  <c r="L20" i="12" s="1"/>
  <c r="L39" i="12" s="1"/>
  <c r="L36" i="12"/>
  <c r="W19" i="10"/>
  <c r="W36" i="10"/>
  <c r="Y36" i="9"/>
  <c r="Y19" i="9"/>
  <c r="Y20" i="9" s="1"/>
  <c r="P19" i="10"/>
  <c r="P36" i="10"/>
  <c r="G19" i="13"/>
  <c r="G20" i="13" s="1"/>
  <c r="G39" i="13" s="1"/>
  <c r="G36" i="13"/>
  <c r="O36" i="14"/>
  <c r="O19" i="14"/>
  <c r="O20" i="14" s="1"/>
  <c r="O39" i="14" s="1"/>
  <c r="V36" i="14"/>
  <c r="V19" i="14"/>
  <c r="V20" i="14" s="1"/>
  <c r="H36" i="12"/>
  <c r="H19" i="12"/>
  <c r="H20" i="12" s="1"/>
  <c r="H39" i="12" s="1"/>
  <c r="I36" i="10"/>
  <c r="I19" i="10"/>
  <c r="Q36" i="9"/>
  <c r="Q19" i="9"/>
  <c r="Q20" i="9" s="1"/>
  <c r="Q39" i="9" s="1"/>
  <c r="X36" i="9"/>
  <c r="X19" i="9"/>
  <c r="X20" i="9" s="1"/>
  <c r="M19" i="9"/>
  <c r="M20" i="9" s="1"/>
  <c r="M39" i="9" s="1"/>
  <c r="M36" i="9"/>
  <c r="J36" i="14"/>
  <c r="J19" i="14"/>
  <c r="J20" i="14" s="1"/>
  <c r="R19" i="13"/>
  <c r="R20" i="13" s="1"/>
  <c r="R36" i="13"/>
  <c r="K36" i="11"/>
  <c r="K19" i="11"/>
  <c r="K20" i="11" s="1"/>
  <c r="S36" i="12"/>
  <c r="S19" i="12"/>
  <c r="S20" i="12" s="1"/>
  <c r="S39" i="12" s="1"/>
  <c r="L36" i="10"/>
  <c r="L19" i="10"/>
  <c r="W36" i="9"/>
  <c r="W19" i="9"/>
  <c r="W20" i="9" s="1"/>
  <c r="W39" i="9" s="1"/>
  <c r="P36" i="9"/>
  <c r="P19" i="9"/>
  <c r="P20" i="9" s="1"/>
  <c r="P39" i="9" s="1"/>
  <c r="Z19" i="14"/>
  <c r="Z20" i="14" s="1"/>
  <c r="Z39" i="14" s="1"/>
  <c r="Z36" i="14"/>
  <c r="G19" i="14"/>
  <c r="G20" i="14" s="1"/>
  <c r="G39" i="14" s="1"/>
  <c r="G36" i="14"/>
  <c r="O36" i="11"/>
  <c r="O19" i="11"/>
  <c r="O20" i="11" s="1"/>
  <c r="O39" i="11" s="1"/>
  <c r="V19" i="12"/>
  <c r="V20" i="12" s="1"/>
  <c r="V39" i="12" s="1"/>
  <c r="V36" i="12"/>
  <c r="H19" i="10"/>
  <c r="H36" i="10"/>
  <c r="I36" i="9"/>
  <c r="I19" i="9"/>
  <c r="I20" i="9" s="1"/>
  <c r="X36" i="10"/>
  <c r="X19" i="10"/>
  <c r="U36" i="11"/>
  <c r="U19" i="11"/>
  <c r="U20" i="11" s="1"/>
  <c r="J19" i="13"/>
  <c r="J20" i="13" s="1"/>
  <c r="J39" i="13" s="1"/>
  <c r="J36" i="13"/>
  <c r="R36" i="11"/>
  <c r="R19" i="11"/>
  <c r="R20" i="11" s="1"/>
  <c r="K36" i="12"/>
  <c r="K19" i="12"/>
  <c r="K20" i="12" s="1"/>
  <c r="K39" i="12" s="1"/>
  <c r="S19" i="10"/>
  <c r="S36" i="10"/>
  <c r="L36" i="9"/>
  <c r="L19" i="9"/>
  <c r="L20" i="9" s="1"/>
  <c r="T19" i="14"/>
  <c r="T20" i="14" s="1"/>
  <c r="T39" i="14" s="1"/>
  <c r="T36" i="14"/>
  <c r="O36" i="13"/>
  <c r="O19" i="13"/>
  <c r="O20" i="13" s="1"/>
  <c r="O39" i="13" s="1"/>
  <c r="G19" i="11"/>
  <c r="G20" i="11" s="1"/>
  <c r="G39" i="11" s="1"/>
  <c r="G36" i="11"/>
  <c r="J36" i="11"/>
  <c r="J19" i="11"/>
  <c r="J20" i="11" s="1"/>
  <c r="Y19" i="14"/>
  <c r="Y20" i="14" s="1"/>
  <c r="Y39" i="14" s="1"/>
  <c r="Y36" i="14"/>
  <c r="Z36" i="11"/>
  <c r="Z19" i="11"/>
  <c r="Z20" i="11" s="1"/>
  <c r="Z39" i="11" s="1"/>
  <c r="G36" i="12"/>
  <c r="G19" i="12"/>
  <c r="G20" i="12" s="1"/>
  <c r="G39" i="12" s="1"/>
  <c r="O36" i="10"/>
  <c r="O19" i="10"/>
  <c r="V19" i="9"/>
  <c r="V20" i="9" s="1"/>
  <c r="V39" i="9" s="1"/>
  <c r="V36" i="9"/>
  <c r="Q36" i="14"/>
  <c r="Q19" i="14"/>
  <c r="Q20" i="14" s="1"/>
  <c r="M19" i="14"/>
  <c r="M20" i="14" s="1"/>
  <c r="M39" i="14" s="1"/>
  <c r="M36" i="14"/>
  <c r="N36" i="13"/>
  <c r="N19" i="13"/>
  <c r="N20" i="13" s="1"/>
  <c r="N39" i="13" s="1"/>
  <c r="U19" i="13"/>
  <c r="U20" i="13" s="1"/>
  <c r="U36" i="13"/>
  <c r="J19" i="12"/>
  <c r="J20" i="12" s="1"/>
  <c r="J39" i="12" s="1"/>
  <c r="J36" i="12"/>
  <c r="R19" i="10"/>
  <c r="R36" i="10"/>
  <c r="K36" i="9"/>
  <c r="K19" i="9"/>
  <c r="K20" i="9" s="1"/>
  <c r="K39" i="9" s="1"/>
  <c r="W36" i="13"/>
  <c r="W19" i="13"/>
  <c r="W20" i="13" s="1"/>
  <c r="W39" i="13" s="1"/>
  <c r="Y19" i="13"/>
  <c r="Y20" i="13" s="1"/>
  <c r="Y39" i="13" s="1"/>
  <c r="Y36" i="13"/>
  <c r="T36" i="11"/>
  <c r="T19" i="11"/>
  <c r="T20" i="11" s="1"/>
  <c r="P19" i="12"/>
  <c r="P20" i="12" s="1"/>
  <c r="P36" i="12"/>
  <c r="N36" i="9"/>
  <c r="N19" i="9"/>
  <c r="N20" i="9" s="1"/>
  <c r="N39" i="9" s="1"/>
  <c r="V36" i="10"/>
  <c r="V19" i="10"/>
  <c r="Z36" i="12"/>
  <c r="Z19" i="12"/>
  <c r="Z20" i="12" s="1"/>
  <c r="Z39" i="12" s="1"/>
  <c r="G19" i="10"/>
  <c r="G36" i="10"/>
  <c r="O36" i="9"/>
  <c r="O19" i="9"/>
  <c r="O20" i="9" s="1"/>
  <c r="O39" i="9" s="1"/>
  <c r="I36" i="14"/>
  <c r="I19" i="14"/>
  <c r="I20" i="14" s="1"/>
  <c r="Q19" i="13"/>
  <c r="Q20" i="13" s="1"/>
  <c r="Q39" i="13" s="1"/>
  <c r="Q36" i="13"/>
  <c r="X36" i="13"/>
  <c r="X19" i="13"/>
  <c r="X20" i="13" s="1"/>
  <c r="X39" i="13" s="1"/>
  <c r="M36" i="13"/>
  <c r="M19" i="13"/>
  <c r="M20" i="13" s="1"/>
  <c r="M39" i="13" s="1"/>
  <c r="N36" i="11"/>
  <c r="N19" i="11"/>
  <c r="N20" i="11" s="1"/>
  <c r="U19" i="10"/>
  <c r="U36" i="10"/>
  <c r="J36" i="10"/>
  <c r="J19" i="10"/>
  <c r="R36" i="9"/>
  <c r="R19" i="9"/>
  <c r="R20" i="9" s="1"/>
  <c r="R39" i="9" s="1"/>
  <c r="L36" i="14"/>
  <c r="L19" i="14"/>
  <c r="L20" i="14" s="1"/>
  <c r="W36" i="14"/>
  <c r="W19" i="14"/>
  <c r="W20" i="14" s="1"/>
  <c r="Y36" i="11"/>
  <c r="Y19" i="11"/>
  <c r="Y20" i="11" s="1"/>
  <c r="Y39" i="11" s="1"/>
  <c r="T19" i="9"/>
  <c r="T20" i="9" s="1"/>
  <c r="T36" i="9"/>
  <c r="Q36" i="10"/>
  <c r="Q19" i="10"/>
  <c r="O36" i="12"/>
  <c r="O19" i="12"/>
  <c r="O20" i="12" s="1"/>
  <c r="O39" i="12" s="1"/>
  <c r="H19" i="9"/>
  <c r="H20" i="9" s="1"/>
  <c r="H36" i="9"/>
  <c r="N36" i="14"/>
  <c r="N19" i="14"/>
  <c r="N20" i="14" s="1"/>
  <c r="N39" i="14" s="1"/>
  <c r="T19" i="13"/>
  <c r="T20" i="13" s="1"/>
  <c r="T39" i="13" s="1"/>
  <c r="T36" i="13"/>
  <c r="P19" i="13"/>
  <c r="P20" i="13" s="1"/>
  <c r="P36" i="13"/>
  <c r="Z19" i="10"/>
  <c r="Z36" i="10"/>
  <c r="G19" i="9"/>
  <c r="G20" i="9" s="1"/>
  <c r="G36" i="9"/>
  <c r="H36" i="13"/>
  <c r="H19" i="13"/>
  <c r="H20" i="13" s="1"/>
  <c r="I36" i="11"/>
  <c r="I19" i="11"/>
  <c r="I20" i="11" s="1"/>
  <c r="I39" i="11" s="1"/>
  <c r="Q19" i="11"/>
  <c r="Q20" i="11" s="1"/>
  <c r="Q36" i="11"/>
  <c r="X36" i="14"/>
  <c r="X19" i="14"/>
  <c r="X20" i="14" s="1"/>
  <c r="X39" i="14" s="1"/>
  <c r="M36" i="11"/>
  <c r="M19" i="11"/>
  <c r="M20" i="11" s="1"/>
  <c r="N36" i="12"/>
  <c r="N19" i="12"/>
  <c r="N20" i="12" s="1"/>
  <c r="N39" i="12" s="1"/>
  <c r="U19" i="12"/>
  <c r="U20" i="12" s="1"/>
  <c r="U36" i="12"/>
  <c r="J36" i="9"/>
  <c r="J19" i="9"/>
  <c r="J20" i="9" s="1"/>
  <c r="J39" i="9" s="1"/>
  <c r="S19" i="14"/>
  <c r="S20" i="14" s="1"/>
  <c r="S39" i="14" s="1"/>
  <c r="S36" i="14"/>
  <c r="L19" i="13"/>
  <c r="L20" i="13" s="1"/>
  <c r="L36" i="13"/>
  <c r="W36" i="11"/>
  <c r="W19" i="11"/>
  <c r="W20" i="11" s="1"/>
  <c r="W39" i="11" s="1"/>
  <c r="Y36" i="12"/>
  <c r="Y19" i="12"/>
  <c r="Y20" i="12" s="1"/>
  <c r="Y39" i="12" s="1"/>
  <c r="T36" i="12"/>
  <c r="T19" i="12"/>
  <c r="T20" i="12" s="1"/>
  <c r="H36" i="11"/>
  <c r="H19" i="11"/>
  <c r="H20" i="11" s="1"/>
  <c r="H39" i="11" s="1"/>
  <c r="X36" i="12"/>
  <c r="X19" i="12"/>
  <c r="X20" i="12" s="1"/>
  <c r="X39" i="12" s="1"/>
  <c r="Z36" i="13"/>
  <c r="Z19" i="13"/>
  <c r="Z20" i="13" s="1"/>
  <c r="Z39" i="13" s="1"/>
  <c r="U36" i="14"/>
  <c r="U19" i="14"/>
  <c r="U20" i="14" s="1"/>
  <c r="U39" i="14" s="1"/>
  <c r="R36" i="12"/>
  <c r="R19" i="12"/>
  <c r="R20" i="12" s="1"/>
  <c r="K19" i="10"/>
  <c r="K36" i="10"/>
  <c r="S36" i="9"/>
  <c r="S19" i="9"/>
  <c r="S20" i="9" s="1"/>
  <c r="S39" i="9" s="1"/>
  <c r="P36" i="14"/>
  <c r="P19" i="14"/>
  <c r="P20" i="14" s="1"/>
  <c r="P39" i="14" s="1"/>
  <c r="P19" i="11"/>
  <c r="P20" i="11" s="1"/>
  <c r="P39" i="11" s="1"/>
  <c r="P36" i="11"/>
  <c r="Z36" i="9"/>
  <c r="Z19" i="9"/>
  <c r="Z20" i="9" s="1"/>
  <c r="V19" i="13"/>
  <c r="V20" i="13" s="1"/>
  <c r="V36" i="13"/>
  <c r="H19" i="14"/>
  <c r="H20" i="14" s="1"/>
  <c r="H36" i="14"/>
  <c r="I36" i="13"/>
  <c r="I19" i="13"/>
  <c r="I20" i="13" s="1"/>
  <c r="Q36" i="12"/>
  <c r="Q19" i="12"/>
  <c r="Q20" i="12" s="1"/>
  <c r="X19" i="11"/>
  <c r="X20" i="11" s="1"/>
  <c r="X36" i="11"/>
  <c r="M36" i="12"/>
  <c r="M19" i="12"/>
  <c r="M20" i="12" s="1"/>
  <c r="M39" i="12" s="1"/>
  <c r="N36" i="10"/>
  <c r="N19" i="10"/>
  <c r="U19" i="9"/>
  <c r="U20" i="9" s="1"/>
  <c r="U39" i="9" s="1"/>
  <c r="U36" i="9"/>
  <c r="K36" i="13"/>
  <c r="K19" i="13"/>
  <c r="K20" i="13" s="1"/>
  <c r="K39" i="13" s="1"/>
  <c r="S36" i="13"/>
  <c r="S19" i="13"/>
  <c r="S20" i="13" s="1"/>
  <c r="S39" i="13" s="1"/>
  <c r="L19" i="11"/>
  <c r="L20" i="11" s="1"/>
  <c r="L39" i="11" s="1"/>
  <c r="L36" i="11"/>
  <c r="W36" i="12"/>
  <c r="W19" i="12"/>
  <c r="W20" i="12" s="1"/>
  <c r="Y36" i="10"/>
  <c r="Y19" i="10"/>
  <c r="T36" i="10"/>
  <c r="T19" i="10"/>
  <c r="X18" i="4" l="1"/>
  <c r="X19" i="4" s="1"/>
  <c r="X38" i="4" s="1"/>
  <c r="Y20" i="10"/>
  <c r="Y39" i="10" s="1"/>
  <c r="T64" i="13"/>
  <c r="T67" i="13" s="1"/>
  <c r="T44" i="13"/>
  <c r="T49" i="13" s="1"/>
  <c r="Y44" i="13"/>
  <c r="Y49" i="13" s="1"/>
  <c r="Y64" i="13"/>
  <c r="Y67" i="13" s="1"/>
  <c r="W18" i="4"/>
  <c r="W19" i="4" s="1"/>
  <c r="W38" i="4" s="1"/>
  <c r="X20" i="10"/>
  <c r="X39" i="10" s="1"/>
  <c r="Q43" i="9"/>
  <c r="Q47" i="9" s="1"/>
  <c r="Q62" i="9"/>
  <c r="Q67" i="9" s="1"/>
  <c r="X39" i="11"/>
  <c r="V39" i="13"/>
  <c r="Z44" i="13"/>
  <c r="Z49" i="13" s="1"/>
  <c r="Z64" i="13"/>
  <c r="Z67" i="13" s="1"/>
  <c r="Y64" i="12"/>
  <c r="Y67" i="12" s="1"/>
  <c r="Y44" i="12"/>
  <c r="Y49" i="12" s="1"/>
  <c r="J43" i="9"/>
  <c r="J47" i="9" s="1"/>
  <c r="J62" i="9"/>
  <c r="J67" i="9" s="1"/>
  <c r="X44" i="14"/>
  <c r="X49" i="14" s="1"/>
  <c r="X64" i="14"/>
  <c r="X67" i="14" s="1"/>
  <c r="N44" i="14"/>
  <c r="N49" i="14" s="1"/>
  <c r="N64" i="14"/>
  <c r="N67" i="14" s="1"/>
  <c r="R43" i="9"/>
  <c r="R47" i="9" s="1"/>
  <c r="R62" i="9"/>
  <c r="R67" i="9" s="1"/>
  <c r="M64" i="13"/>
  <c r="M67" i="13" s="1"/>
  <c r="M44" i="13"/>
  <c r="M49" i="13" s="1"/>
  <c r="O62" i="9"/>
  <c r="O67" i="9" s="1"/>
  <c r="O43" i="9"/>
  <c r="O47" i="9" s="1"/>
  <c r="N43" i="9"/>
  <c r="N47" i="9" s="1"/>
  <c r="N62" i="9"/>
  <c r="N67" i="9" s="1"/>
  <c r="W8" i="18"/>
  <c r="W64" i="13"/>
  <c r="W67" i="13" s="1"/>
  <c r="W44" i="13"/>
  <c r="W49" i="13" s="1"/>
  <c r="R39" i="13"/>
  <c r="V18" i="4"/>
  <c r="V19" i="4" s="1"/>
  <c r="V38" i="4" s="1"/>
  <c r="W20" i="10"/>
  <c r="W39" i="10" s="1"/>
  <c r="R39" i="14"/>
  <c r="W39" i="12"/>
  <c r="Q39" i="12"/>
  <c r="Z39" i="9"/>
  <c r="G39" i="9"/>
  <c r="T39" i="9"/>
  <c r="U39" i="13"/>
  <c r="R39" i="11"/>
  <c r="I39" i="9"/>
  <c r="K18" i="4"/>
  <c r="K19" i="4" s="1"/>
  <c r="K38" i="4" s="1"/>
  <c r="L20" i="10"/>
  <c r="L39" i="10" s="1"/>
  <c r="J39" i="14"/>
  <c r="H18" i="4"/>
  <c r="I20" i="10"/>
  <c r="I39" i="10" s="1"/>
  <c r="L18" i="4"/>
  <c r="L19" i="4" s="1"/>
  <c r="L38" i="4" s="1"/>
  <c r="M20" i="10"/>
  <c r="M39" i="10" s="1"/>
  <c r="U8" i="18" s="1"/>
  <c r="S43" i="9"/>
  <c r="S47" i="9" s="1"/>
  <c r="S62" i="9"/>
  <c r="S67" i="9" s="1"/>
  <c r="AG8" i="18"/>
  <c r="J44" i="12"/>
  <c r="J49" i="12" s="1"/>
  <c r="J64" i="12"/>
  <c r="J67" i="12" s="1"/>
  <c r="O44" i="11"/>
  <c r="O49" i="11" s="1"/>
  <c r="O64" i="11"/>
  <c r="O67" i="11" s="1"/>
  <c r="W44" i="11"/>
  <c r="W49" i="11" s="1"/>
  <c r="W64" i="11"/>
  <c r="W67" i="11" s="1"/>
  <c r="X64" i="13"/>
  <c r="X67" i="13" s="1"/>
  <c r="X44" i="13"/>
  <c r="X49" i="13" s="1"/>
  <c r="T44" i="14"/>
  <c r="T49" i="14" s="1"/>
  <c r="T64" i="14"/>
  <c r="T67" i="14" s="1"/>
  <c r="M18" i="4"/>
  <c r="M19" i="4" s="1"/>
  <c r="M38" i="4" s="1"/>
  <c r="N20" i="10"/>
  <c r="N39" i="10" s="1"/>
  <c r="X8" i="18" s="1"/>
  <c r="I39" i="13"/>
  <c r="R39" i="12"/>
  <c r="U39" i="12"/>
  <c r="Q39" i="11"/>
  <c r="Y18" i="4"/>
  <c r="Y19" i="4" s="1"/>
  <c r="Y38" i="4" s="1"/>
  <c r="Z20" i="10"/>
  <c r="Z39" i="10" s="1"/>
  <c r="H39" i="9"/>
  <c r="F18" i="4"/>
  <c r="F19" i="4" s="1"/>
  <c r="F38" i="4" s="1"/>
  <c r="G20" i="10"/>
  <c r="G39" i="10" s="1"/>
  <c r="P39" i="12"/>
  <c r="N18" i="4"/>
  <c r="N19" i="4" s="1"/>
  <c r="N38" i="4" s="1"/>
  <c r="O20" i="10"/>
  <c r="O39" i="10" s="1"/>
  <c r="Y8" i="18" s="1"/>
  <c r="J39" i="11"/>
  <c r="L39" i="9"/>
  <c r="S44" i="12"/>
  <c r="S49" i="12" s="1"/>
  <c r="S64" i="12"/>
  <c r="S67" i="12" s="1"/>
  <c r="H44" i="12"/>
  <c r="H49" i="12" s="1"/>
  <c r="H64" i="12"/>
  <c r="H67" i="12" s="1"/>
  <c r="I64" i="12"/>
  <c r="I67" i="12" s="1"/>
  <c r="I44" i="12"/>
  <c r="I49" i="12" s="1"/>
  <c r="K44" i="12"/>
  <c r="K49" i="12" s="1"/>
  <c r="K64" i="12"/>
  <c r="K67" i="12" s="1"/>
  <c r="U43" i="9"/>
  <c r="U47" i="9" s="1"/>
  <c r="U62" i="9"/>
  <c r="U67" i="9" s="1"/>
  <c r="V43" i="9"/>
  <c r="V47" i="9" s="1"/>
  <c r="V62" i="9"/>
  <c r="V67" i="9" s="1"/>
  <c r="P64" i="11"/>
  <c r="P67" i="11" s="1"/>
  <c r="P44" i="11"/>
  <c r="P49" i="11" s="1"/>
  <c r="H64" i="11"/>
  <c r="H67" i="11" s="1"/>
  <c r="H44" i="11"/>
  <c r="H49" i="11" s="1"/>
  <c r="N44" i="12"/>
  <c r="N49" i="12" s="1"/>
  <c r="N64" i="12"/>
  <c r="N67" i="12" s="1"/>
  <c r="I64" i="11"/>
  <c r="I67" i="11" s="1"/>
  <c r="I44" i="11"/>
  <c r="I49" i="11" s="1"/>
  <c r="O64" i="12"/>
  <c r="O67" i="12" s="1"/>
  <c r="O44" i="12"/>
  <c r="O49" i="12" s="1"/>
  <c r="W39" i="14"/>
  <c r="Z64" i="12"/>
  <c r="Z67" i="12" s="1"/>
  <c r="Z44" i="12"/>
  <c r="Z49" i="12" s="1"/>
  <c r="T39" i="11"/>
  <c r="J44" i="13"/>
  <c r="J49" i="13" s="1"/>
  <c r="J64" i="13"/>
  <c r="J67" i="13" s="1"/>
  <c r="G18" i="4"/>
  <c r="G19" i="4" s="1"/>
  <c r="G38" i="4" s="1"/>
  <c r="H20" i="10"/>
  <c r="H39" i="10" s="1"/>
  <c r="Z64" i="14"/>
  <c r="Z67" i="14" s="1"/>
  <c r="Z44" i="14"/>
  <c r="Z49" i="14" s="1"/>
  <c r="M43" i="9"/>
  <c r="M47" i="9" s="1"/>
  <c r="M62" i="9"/>
  <c r="M67" i="9" s="1"/>
  <c r="O18" i="4"/>
  <c r="O19" i="4" s="1"/>
  <c r="O38" i="4" s="1"/>
  <c r="P20" i="10"/>
  <c r="P39" i="10" s="1"/>
  <c r="S39" i="11"/>
  <c r="O64" i="13"/>
  <c r="O67" i="13" s="1"/>
  <c r="O44" i="13"/>
  <c r="O49" i="13" s="1"/>
  <c r="O44" i="14"/>
  <c r="O49" i="14" s="1"/>
  <c r="O64" i="14"/>
  <c r="O67" i="14" s="1"/>
  <c r="J18" i="4"/>
  <c r="J19" i="4" s="1"/>
  <c r="J38" i="4" s="1"/>
  <c r="K20" i="10"/>
  <c r="K39" i="10" s="1"/>
  <c r="Y64" i="11"/>
  <c r="Y67" i="11" s="1"/>
  <c r="Y44" i="11"/>
  <c r="Y49" i="11" s="1"/>
  <c r="N44" i="13"/>
  <c r="N49" i="13" s="1"/>
  <c r="N64" i="13"/>
  <c r="N67" i="13" s="1"/>
  <c r="G44" i="14"/>
  <c r="G49" i="14" s="1"/>
  <c r="G64" i="14"/>
  <c r="G67" i="14" s="1"/>
  <c r="L44" i="12"/>
  <c r="L49" i="12" s="1"/>
  <c r="L64" i="12"/>
  <c r="L67" i="12" s="1"/>
  <c r="M44" i="12"/>
  <c r="M49" i="12" s="1"/>
  <c r="M64" i="12"/>
  <c r="M67" i="12" s="1"/>
  <c r="U44" i="14"/>
  <c r="U49" i="14" s="1"/>
  <c r="U64" i="14"/>
  <c r="U67" i="14" s="1"/>
  <c r="L39" i="13"/>
  <c r="P39" i="13"/>
  <c r="T18" i="4"/>
  <c r="T19" i="4" s="1"/>
  <c r="T38" i="4" s="1"/>
  <c r="U20" i="10"/>
  <c r="U39" i="10" s="1"/>
  <c r="AK8" i="18" s="1"/>
  <c r="Q44" i="13"/>
  <c r="Q49" i="13" s="1"/>
  <c r="Q64" i="13"/>
  <c r="Q67" i="13" s="1"/>
  <c r="Q18" i="4"/>
  <c r="Q19" i="4" s="1"/>
  <c r="Q38" i="4" s="1"/>
  <c r="R20" i="10"/>
  <c r="R39" i="10" s="1"/>
  <c r="AF8" i="18" s="1"/>
  <c r="M44" i="14"/>
  <c r="M49" i="14" s="1"/>
  <c r="M64" i="14"/>
  <c r="M67" i="14" s="1"/>
  <c r="G44" i="12"/>
  <c r="G49" i="12" s="1"/>
  <c r="G64" i="12"/>
  <c r="G67" i="12" s="1"/>
  <c r="U39" i="11"/>
  <c r="AL8" i="18" s="1"/>
  <c r="P43" i="9"/>
  <c r="P47" i="9" s="1"/>
  <c r="P62" i="9"/>
  <c r="P67" i="9" s="1"/>
  <c r="AA8" i="18"/>
  <c r="K39" i="11"/>
  <c r="X39" i="9"/>
  <c r="V39" i="14"/>
  <c r="Y39" i="9"/>
  <c r="K39" i="14"/>
  <c r="V39" i="11"/>
  <c r="K44" i="13"/>
  <c r="K49" i="13" s="1"/>
  <c r="K64" i="13"/>
  <c r="K67" i="13" s="1"/>
  <c r="S64" i="14"/>
  <c r="S67" i="14" s="1"/>
  <c r="S44" i="14"/>
  <c r="S49" i="14" s="1"/>
  <c r="Z64" i="11"/>
  <c r="Z67" i="11" s="1"/>
  <c r="Z44" i="11"/>
  <c r="Z49" i="11" s="1"/>
  <c r="W43" i="9"/>
  <c r="W47" i="9" s="1"/>
  <c r="W62" i="9"/>
  <c r="W67" i="9" s="1"/>
  <c r="AO8" i="18"/>
  <c r="X64" i="12"/>
  <c r="X67" i="12" s="1"/>
  <c r="X44" i="12"/>
  <c r="X49" i="12" s="1"/>
  <c r="I18" i="4"/>
  <c r="I19" i="4" s="1"/>
  <c r="I38" i="4" s="1"/>
  <c r="J20" i="10"/>
  <c r="J39" i="10" s="1"/>
  <c r="O8" i="18" s="1"/>
  <c r="K43" i="9"/>
  <c r="K47" i="9" s="1"/>
  <c r="K62" i="9"/>
  <c r="K67" i="9" s="1"/>
  <c r="Q8" i="18"/>
  <c r="Y44" i="14"/>
  <c r="Y49" i="14" s="1"/>
  <c r="Y64" i="14"/>
  <c r="Y67" i="14" s="1"/>
  <c r="G64" i="13"/>
  <c r="G67" i="13" s="1"/>
  <c r="G44" i="13"/>
  <c r="G49" i="13" s="1"/>
  <c r="L44" i="11"/>
  <c r="L49" i="11" s="1"/>
  <c r="L64" i="11"/>
  <c r="L67" i="11" s="1"/>
  <c r="S18" i="4"/>
  <c r="S19" i="4" s="1"/>
  <c r="S38" i="4" s="1"/>
  <c r="T20" i="10"/>
  <c r="T39" i="10" s="1"/>
  <c r="S64" i="13"/>
  <c r="S67" i="13" s="1"/>
  <c r="S44" i="13"/>
  <c r="S49" i="13" s="1"/>
  <c r="P44" i="14"/>
  <c r="P49" i="14" s="1"/>
  <c r="P64" i="14"/>
  <c r="P67" i="14" s="1"/>
  <c r="H39" i="14"/>
  <c r="T39" i="12"/>
  <c r="M39" i="11"/>
  <c r="H39" i="13"/>
  <c r="P18" i="4"/>
  <c r="P19" i="4" s="1"/>
  <c r="P38" i="4" s="1"/>
  <c r="Q20" i="10"/>
  <c r="Q39" i="10" s="1"/>
  <c r="AC8" i="18" s="1"/>
  <c r="L39" i="14"/>
  <c r="N39" i="11"/>
  <c r="I39" i="14"/>
  <c r="U18" i="4"/>
  <c r="U19" i="4" s="1"/>
  <c r="U38" i="4" s="1"/>
  <c r="V20" i="10"/>
  <c r="V39" i="10" s="1"/>
  <c r="Q39" i="14"/>
  <c r="G44" i="11"/>
  <c r="G49" i="11" s="1"/>
  <c r="G64" i="11"/>
  <c r="G67" i="11" s="1"/>
  <c r="R18" i="4"/>
  <c r="R19" i="4" s="1"/>
  <c r="R38" i="4" s="1"/>
  <c r="S20" i="10"/>
  <c r="S39" i="10" s="1"/>
  <c r="V44" i="12"/>
  <c r="V49" i="12" s="1"/>
  <c r="V64" i="12"/>
  <c r="V67" i="12" s="1"/>
  <c r="Y16" i="18" l="1"/>
  <c r="Y28" i="18"/>
  <c r="AL16" i="18"/>
  <c r="AL28" i="18"/>
  <c r="AK16" i="18"/>
  <c r="AK28" i="18"/>
  <c r="U16" i="18"/>
  <c r="U28" i="18"/>
  <c r="AF16" i="18"/>
  <c r="AF28" i="18"/>
  <c r="X16" i="18"/>
  <c r="X28" i="18"/>
  <c r="AC16" i="18"/>
  <c r="AC28" i="18"/>
  <c r="O16" i="18"/>
  <c r="O28" i="18"/>
  <c r="U10" i="5"/>
  <c r="U18" i="5" s="1"/>
  <c r="Q97" i="6"/>
  <c r="S42" i="4"/>
  <c r="S48" i="4" s="1"/>
  <c r="AO16" i="18"/>
  <c r="AO28" i="18"/>
  <c r="M50" i="9"/>
  <c r="M49" i="9"/>
  <c r="M52" i="9"/>
  <c r="M75" i="9" s="1"/>
  <c r="AG16" i="18"/>
  <c r="AG28" i="18"/>
  <c r="W10" i="5"/>
  <c r="W18" i="5" s="1"/>
  <c r="S97" i="6"/>
  <c r="U42" i="4"/>
  <c r="U48" i="4" s="1"/>
  <c r="T44" i="12"/>
  <c r="T49" i="12" s="1"/>
  <c r="T64" i="12"/>
  <c r="T67" i="12" s="1"/>
  <c r="V44" i="11"/>
  <c r="V49" i="11" s="1"/>
  <c r="V64" i="11"/>
  <c r="V67" i="11" s="1"/>
  <c r="S10" i="5"/>
  <c r="S18" i="5" s="1"/>
  <c r="O97" i="6"/>
  <c r="Q42" i="4"/>
  <c r="Q48" i="4" s="1"/>
  <c r="U51" i="14"/>
  <c r="U52" i="14" s="1"/>
  <c r="N82" i="13"/>
  <c r="N84" i="13" s="1"/>
  <c r="N91" i="13" s="1"/>
  <c r="N51" i="13"/>
  <c r="N52" i="13" s="1"/>
  <c r="N54" i="13" s="1"/>
  <c r="N75" i="13" s="1"/>
  <c r="Z51" i="14"/>
  <c r="Z52" i="14"/>
  <c r="Z54" i="14"/>
  <c r="Z75" i="14" s="1"/>
  <c r="H51" i="11"/>
  <c r="P64" i="12"/>
  <c r="P67" i="12" s="1"/>
  <c r="P44" i="12"/>
  <c r="P49" i="12" s="1"/>
  <c r="R64" i="12"/>
  <c r="R67" i="12" s="1"/>
  <c r="R44" i="12"/>
  <c r="R49" i="12" s="1"/>
  <c r="M10" i="5"/>
  <c r="M18" i="5" s="1"/>
  <c r="I97" i="6"/>
  <c r="K42" i="4"/>
  <c r="K48" i="4" s="1"/>
  <c r="W64" i="12"/>
  <c r="W67" i="12" s="1"/>
  <c r="W44" i="12"/>
  <c r="W49" i="12" s="1"/>
  <c r="X51" i="14"/>
  <c r="X52" i="14" s="1"/>
  <c r="X54" i="14" s="1"/>
  <c r="X75" i="14" s="1"/>
  <c r="Z52" i="13"/>
  <c r="Z51" i="13"/>
  <c r="Z54" i="13" s="1"/>
  <c r="Z75" i="13" s="1"/>
  <c r="Z82" i="13"/>
  <c r="Z84" i="13" s="1"/>
  <c r="Y10" i="5"/>
  <c r="Y18" i="5" s="1"/>
  <c r="U97" i="6"/>
  <c r="W42" i="4"/>
  <c r="W48" i="4" s="1"/>
  <c r="V51" i="12"/>
  <c r="V52" i="12" s="1"/>
  <c r="V54" i="12" s="1"/>
  <c r="V75" i="12" s="1"/>
  <c r="I44" i="14"/>
  <c r="I49" i="14" s="1"/>
  <c r="I64" i="14"/>
  <c r="I67" i="14" s="1"/>
  <c r="H64" i="14"/>
  <c r="H67" i="14" s="1"/>
  <c r="H44" i="14"/>
  <c r="H49" i="14" s="1"/>
  <c r="L52" i="11"/>
  <c r="L51" i="11"/>
  <c r="L54" i="11"/>
  <c r="L75" i="11" s="1"/>
  <c r="K49" i="9"/>
  <c r="K50" i="9"/>
  <c r="K52" i="9"/>
  <c r="K75" i="9" s="1"/>
  <c r="W50" i="9"/>
  <c r="W49" i="9"/>
  <c r="W52" i="9"/>
  <c r="W75" i="9" s="1"/>
  <c r="K64" i="14"/>
  <c r="K67" i="14" s="1"/>
  <c r="K44" i="14"/>
  <c r="K49" i="14" s="1"/>
  <c r="P49" i="9"/>
  <c r="Y52" i="11"/>
  <c r="Y51" i="11"/>
  <c r="Y54" i="11"/>
  <c r="Y75" i="11" s="1"/>
  <c r="S44" i="11"/>
  <c r="S49" i="11" s="1"/>
  <c r="S64" i="11"/>
  <c r="S67" i="11" s="1"/>
  <c r="W44" i="14"/>
  <c r="W49" i="14" s="1"/>
  <c r="W64" i="14"/>
  <c r="W67" i="14" s="1"/>
  <c r="H51" i="12"/>
  <c r="H52" i="12" s="1"/>
  <c r="G64" i="10"/>
  <c r="G67" i="10" s="1"/>
  <c r="G44" i="10"/>
  <c r="G49" i="10" s="1"/>
  <c r="I44" i="13"/>
  <c r="I49" i="13" s="1"/>
  <c r="I64" i="13"/>
  <c r="I67" i="13" s="1"/>
  <c r="W51" i="11"/>
  <c r="W52" i="11"/>
  <c r="W54" i="11" s="1"/>
  <c r="W75" i="11" s="1"/>
  <c r="S49" i="9"/>
  <c r="S50" i="9"/>
  <c r="S52" i="9" s="1"/>
  <c r="S75" i="9" s="1"/>
  <c r="I43" i="9"/>
  <c r="I47" i="9" s="1"/>
  <c r="I62" i="9"/>
  <c r="I67" i="9" s="1"/>
  <c r="M8" i="18"/>
  <c r="N8" i="18"/>
  <c r="R64" i="14"/>
  <c r="R67" i="14" s="1"/>
  <c r="R44" i="14"/>
  <c r="R49" i="14" s="1"/>
  <c r="AE8" i="18"/>
  <c r="V44" i="13"/>
  <c r="V49" i="13" s="1"/>
  <c r="V64" i="13"/>
  <c r="V67" i="13" s="1"/>
  <c r="V64" i="10"/>
  <c r="V67" i="10" s="1"/>
  <c r="V44" i="10"/>
  <c r="V49" i="10" s="1"/>
  <c r="K51" i="13"/>
  <c r="K52" i="13" s="1"/>
  <c r="K82" i="13"/>
  <c r="K84" i="13" s="1"/>
  <c r="K91" i="13" s="1"/>
  <c r="P10" i="5"/>
  <c r="P18" i="5" s="1"/>
  <c r="L97" i="6"/>
  <c r="N42" i="4"/>
  <c r="N48" i="4" s="1"/>
  <c r="Q44" i="12"/>
  <c r="Q49" i="12" s="1"/>
  <c r="Q64" i="12"/>
  <c r="Q67" i="12" s="1"/>
  <c r="X44" i="10"/>
  <c r="X49" i="10" s="1"/>
  <c r="X64" i="10"/>
  <c r="X67" i="10" s="1"/>
  <c r="Y43" i="9"/>
  <c r="Y47" i="9" s="1"/>
  <c r="Y62" i="9"/>
  <c r="Y67" i="9" s="1"/>
  <c r="AS8" i="18"/>
  <c r="AT8" i="18"/>
  <c r="AT16" i="18" s="1"/>
  <c r="P64" i="10"/>
  <c r="P67" i="10" s="1"/>
  <c r="P44" i="10"/>
  <c r="P49" i="10" s="1"/>
  <c r="T10" i="5"/>
  <c r="T18" i="5" s="1"/>
  <c r="P97" i="6"/>
  <c r="R42" i="4"/>
  <c r="R48" i="4" s="1"/>
  <c r="F68" i="2"/>
  <c r="K10" i="5"/>
  <c r="K18" i="5" s="1"/>
  <c r="G97" i="6"/>
  <c r="I42" i="4"/>
  <c r="I48" i="4" s="1"/>
  <c r="V44" i="14"/>
  <c r="V49" i="14" s="1"/>
  <c r="V64" i="14"/>
  <c r="V67" i="14" s="1"/>
  <c r="U44" i="10"/>
  <c r="U49" i="10" s="1"/>
  <c r="U64" i="10"/>
  <c r="U67" i="10" s="1"/>
  <c r="K64" i="10"/>
  <c r="K67" i="10" s="1"/>
  <c r="K44" i="10"/>
  <c r="K49" i="10" s="1"/>
  <c r="Q10" i="5"/>
  <c r="Q18" i="5" s="1"/>
  <c r="M97" i="6"/>
  <c r="O42" i="4"/>
  <c r="O48" i="4" s="1"/>
  <c r="D68" i="2"/>
  <c r="I10" i="5"/>
  <c r="I18" i="5" s="1"/>
  <c r="E97" i="6"/>
  <c r="G42" i="4"/>
  <c r="G48" i="4" s="1"/>
  <c r="U49" i="9"/>
  <c r="S51" i="12"/>
  <c r="S52" i="12" s="1"/>
  <c r="H43" i="9"/>
  <c r="H47" i="9" s="1"/>
  <c r="H62" i="9"/>
  <c r="H67" i="9" s="1"/>
  <c r="K8" i="18"/>
  <c r="L8" i="18"/>
  <c r="O10" i="5"/>
  <c r="O18" i="5" s="1"/>
  <c r="K97" i="6"/>
  <c r="M42" i="4"/>
  <c r="M48" i="4" s="1"/>
  <c r="O51" i="11"/>
  <c r="N10" i="5"/>
  <c r="N18" i="5" s="1"/>
  <c r="J97" i="6"/>
  <c r="L42" i="4"/>
  <c r="L48" i="4" s="1"/>
  <c r="U64" i="13"/>
  <c r="U67" i="13" s="1"/>
  <c r="U44" i="13"/>
  <c r="U49" i="13" s="1"/>
  <c r="X10" i="5"/>
  <c r="X18" i="5" s="1"/>
  <c r="T97" i="6"/>
  <c r="V42" i="4"/>
  <c r="V48" i="4" s="1"/>
  <c r="Z8" i="18"/>
  <c r="AD8" i="18"/>
  <c r="T52" i="13"/>
  <c r="T82" i="13"/>
  <c r="T84" i="13" s="1"/>
  <c r="T91" i="13" s="1"/>
  <c r="T51" i="13"/>
  <c r="T54" i="13" s="1"/>
  <c r="T75" i="13" s="1"/>
  <c r="AA16" i="18"/>
  <c r="AA28" i="18"/>
  <c r="Z51" i="12"/>
  <c r="Z52" i="12" s="1"/>
  <c r="U64" i="12"/>
  <c r="U67" i="12" s="1"/>
  <c r="U44" i="12"/>
  <c r="U49" i="12" s="1"/>
  <c r="M51" i="13"/>
  <c r="M52" i="13"/>
  <c r="M54" i="13" s="1"/>
  <c r="M75" i="13" s="1"/>
  <c r="M82" i="13"/>
  <c r="M84" i="13" s="1"/>
  <c r="M91" i="13" s="1"/>
  <c r="J64" i="10"/>
  <c r="J67" i="10" s="1"/>
  <c r="J44" i="10"/>
  <c r="J49" i="10" s="1"/>
  <c r="P52" i="11"/>
  <c r="P51" i="11"/>
  <c r="P54" i="11" s="1"/>
  <c r="P75" i="11" s="1"/>
  <c r="R64" i="11"/>
  <c r="R67" i="11" s="1"/>
  <c r="R44" i="11"/>
  <c r="R49" i="11" s="1"/>
  <c r="P8" i="18"/>
  <c r="P51" i="14"/>
  <c r="P52" i="14" s="1"/>
  <c r="S82" i="13"/>
  <c r="S84" i="13" s="1"/>
  <c r="S91" i="13" s="1"/>
  <c r="S51" i="13"/>
  <c r="S51" i="14"/>
  <c r="S52" i="14"/>
  <c r="S54" i="14" s="1"/>
  <c r="S75" i="14" s="1"/>
  <c r="X62" i="9"/>
  <c r="X67" i="9" s="1"/>
  <c r="X43" i="9"/>
  <c r="X47" i="9" s="1"/>
  <c r="AQ8" i="18"/>
  <c r="AR8" i="18"/>
  <c r="G54" i="12"/>
  <c r="G75" i="12" s="1"/>
  <c r="G51" i="12"/>
  <c r="G52" i="12"/>
  <c r="V10" i="5"/>
  <c r="V18" i="5" s="1"/>
  <c r="R97" i="6"/>
  <c r="T42" i="4"/>
  <c r="T48" i="4" s="1"/>
  <c r="L52" i="12"/>
  <c r="L51" i="12"/>
  <c r="L54" i="12"/>
  <c r="L75" i="12" s="1"/>
  <c r="L10" i="5"/>
  <c r="L18" i="5" s="1"/>
  <c r="H97" i="6"/>
  <c r="J42" i="4"/>
  <c r="J48" i="4" s="1"/>
  <c r="V8" i="18"/>
  <c r="I51" i="11"/>
  <c r="AM8" i="18"/>
  <c r="L43" i="9"/>
  <c r="L47" i="9" s="1"/>
  <c r="L62" i="9"/>
  <c r="L67" i="9" s="1"/>
  <c r="S8" i="18"/>
  <c r="T8" i="18"/>
  <c r="Z44" i="10"/>
  <c r="Z49" i="10" s="1"/>
  <c r="Z64" i="10"/>
  <c r="Z67" i="10" s="1"/>
  <c r="I44" i="10"/>
  <c r="I49" i="10" s="1"/>
  <c r="I64" i="10"/>
  <c r="I67" i="10" s="1"/>
  <c r="T43" i="9"/>
  <c r="T47" i="9" s="1"/>
  <c r="T62" i="9"/>
  <c r="T67" i="9" s="1"/>
  <c r="AI8" i="18"/>
  <c r="AJ8" i="18"/>
  <c r="R44" i="13"/>
  <c r="R49" i="13" s="1"/>
  <c r="R64" i="13"/>
  <c r="R67" i="13" s="1"/>
  <c r="R49" i="9"/>
  <c r="R50" i="9" s="1"/>
  <c r="J49" i="9"/>
  <c r="R64" i="10"/>
  <c r="R67" i="10" s="1"/>
  <c r="R44" i="10"/>
  <c r="R49" i="10" s="1"/>
  <c r="V49" i="9"/>
  <c r="V52" i="9" s="1"/>
  <c r="V75" i="9" s="1"/>
  <c r="V50" i="9"/>
  <c r="L64" i="10"/>
  <c r="L67" i="10" s="1"/>
  <c r="L44" i="10"/>
  <c r="L49" i="10" s="1"/>
  <c r="G52" i="13"/>
  <c r="G54" i="13" s="1"/>
  <c r="G75" i="13" s="1"/>
  <c r="G82" i="13"/>
  <c r="G84" i="13" s="1"/>
  <c r="G91" i="13" s="1"/>
  <c r="G51" i="13"/>
  <c r="Q82" i="13"/>
  <c r="Q84" i="13" s="1"/>
  <c r="Q91" i="13" s="1"/>
  <c r="Q51" i="13"/>
  <c r="Q52" i="13" s="1"/>
  <c r="Q54" i="13" s="1"/>
  <c r="Q75" i="13" s="1"/>
  <c r="C68" i="2"/>
  <c r="H10" i="5"/>
  <c r="H18" i="5" s="1"/>
  <c r="D97" i="6"/>
  <c r="F42" i="4"/>
  <c r="F48" i="4" s="1"/>
  <c r="W44" i="10"/>
  <c r="W49" i="10" s="1"/>
  <c r="W64" i="10"/>
  <c r="W67" i="10" s="1"/>
  <c r="X64" i="11"/>
  <c r="X67" i="11" s="1"/>
  <c r="X44" i="11"/>
  <c r="X49" i="11" s="1"/>
  <c r="L44" i="14"/>
  <c r="L49" i="14" s="1"/>
  <c r="L64" i="14"/>
  <c r="L67" i="14" s="1"/>
  <c r="Q44" i="10"/>
  <c r="Q49" i="10" s="1"/>
  <c r="Q64" i="10"/>
  <c r="Q67" i="10" s="1"/>
  <c r="X51" i="12"/>
  <c r="X52" i="12"/>
  <c r="X54" i="12" s="1"/>
  <c r="X75" i="12" s="1"/>
  <c r="G51" i="11"/>
  <c r="G54" i="11" s="1"/>
  <c r="G75" i="11" s="1"/>
  <c r="G52" i="11"/>
  <c r="Y51" i="14"/>
  <c r="Y52" i="14" s="1"/>
  <c r="K44" i="11"/>
  <c r="K49" i="11" s="1"/>
  <c r="K64" i="11"/>
  <c r="K67" i="11" s="1"/>
  <c r="P44" i="13"/>
  <c r="P49" i="13" s="1"/>
  <c r="P64" i="13"/>
  <c r="P67" i="13" s="1"/>
  <c r="J52" i="13"/>
  <c r="J51" i="13"/>
  <c r="J54" i="13" s="1"/>
  <c r="J75" i="13" s="1"/>
  <c r="J82" i="13"/>
  <c r="J84" i="13" s="1"/>
  <c r="J91" i="13" s="1"/>
  <c r="AN8" i="18"/>
  <c r="K51" i="12"/>
  <c r="K54" i="12" s="1"/>
  <c r="K75" i="12" s="1"/>
  <c r="K52" i="12"/>
  <c r="J64" i="11"/>
  <c r="J67" i="11" s="1"/>
  <c r="J44" i="11"/>
  <c r="J49" i="11" s="1"/>
  <c r="AA10" i="5"/>
  <c r="Y42" i="4"/>
  <c r="Y48" i="4" s="1"/>
  <c r="T51" i="14"/>
  <c r="T54" i="14"/>
  <c r="T75" i="14" s="1"/>
  <c r="T52" i="14"/>
  <c r="J52" i="12"/>
  <c r="J54" i="12" s="1"/>
  <c r="J75" i="12" s="1"/>
  <c r="J51" i="12"/>
  <c r="F154" i="6"/>
  <c r="F158" i="6" s="1"/>
  <c r="F195" i="6" s="1"/>
  <c r="H19" i="4"/>
  <c r="H38" i="4" s="1"/>
  <c r="G43" i="9"/>
  <c r="G47" i="9" s="1"/>
  <c r="G62" i="9"/>
  <c r="G67" i="9" s="1"/>
  <c r="I8" i="18"/>
  <c r="J8" i="18"/>
  <c r="W52" i="13"/>
  <c r="W82" i="13"/>
  <c r="W84" i="13" s="1"/>
  <c r="W91" i="13" s="1"/>
  <c r="W51" i="13"/>
  <c r="W54" i="13" s="1"/>
  <c r="W75" i="13" s="1"/>
  <c r="O49" i="9"/>
  <c r="Y51" i="12"/>
  <c r="Y52" i="12" s="1"/>
  <c r="Y54" i="12" s="1"/>
  <c r="Y75" i="12" s="1"/>
  <c r="Y44" i="10"/>
  <c r="Y49" i="10" s="1"/>
  <c r="Y64" i="10"/>
  <c r="Y67" i="10" s="1"/>
  <c r="M44" i="11"/>
  <c r="M49" i="11" s="1"/>
  <c r="M64" i="11"/>
  <c r="M67" i="11" s="1"/>
  <c r="Q16" i="18"/>
  <c r="Q28" i="18"/>
  <c r="O51" i="13"/>
  <c r="O82" i="13"/>
  <c r="O84" i="13" s="1"/>
  <c r="O91" i="13" s="1"/>
  <c r="N51" i="12"/>
  <c r="N52" i="12" s="1"/>
  <c r="N54" i="12" s="1"/>
  <c r="N75" i="12" s="1"/>
  <c r="W16" i="18"/>
  <c r="W28" i="18"/>
  <c r="S64" i="10"/>
  <c r="S67" i="10" s="1"/>
  <c r="S44" i="10"/>
  <c r="S49" i="10" s="1"/>
  <c r="N44" i="11"/>
  <c r="N49" i="11" s="1"/>
  <c r="N64" i="11"/>
  <c r="N67" i="11" s="1"/>
  <c r="Z51" i="11"/>
  <c r="Z54" i="11"/>
  <c r="Z75" i="11" s="1"/>
  <c r="Z52" i="11"/>
  <c r="U44" i="11"/>
  <c r="U49" i="11" s="1"/>
  <c r="U64" i="11"/>
  <c r="U67" i="11" s="1"/>
  <c r="M51" i="12"/>
  <c r="M52" i="12" s="1"/>
  <c r="H44" i="10"/>
  <c r="H49" i="10" s="1"/>
  <c r="H64" i="10"/>
  <c r="H67" i="10" s="1"/>
  <c r="O51" i="12"/>
  <c r="N44" i="10"/>
  <c r="N49" i="10" s="1"/>
  <c r="N64" i="10"/>
  <c r="N67" i="10" s="1"/>
  <c r="M44" i="10"/>
  <c r="M49" i="10" s="1"/>
  <c r="M64" i="10"/>
  <c r="M67" i="10" s="1"/>
  <c r="N49" i="9"/>
  <c r="N50" i="9" s="1"/>
  <c r="Y82" i="13"/>
  <c r="Y84" i="13" s="1"/>
  <c r="Y91" i="13" s="1"/>
  <c r="Y51" i="13"/>
  <c r="N97" i="6"/>
  <c r="R10" i="5"/>
  <c r="R18" i="5" s="1"/>
  <c r="P42" i="4"/>
  <c r="P48" i="4" s="1"/>
  <c r="Q44" i="14"/>
  <c r="Q49" i="14" s="1"/>
  <c r="Q64" i="14"/>
  <c r="Q67" i="14" s="1"/>
  <c r="H64" i="13"/>
  <c r="H67" i="13" s="1"/>
  <c r="H44" i="13"/>
  <c r="H49" i="13" s="1"/>
  <c r="T64" i="10"/>
  <c r="T67" i="10" s="1"/>
  <c r="T44" i="10"/>
  <c r="T49" i="10" s="1"/>
  <c r="R8" i="18"/>
  <c r="AP8" i="18"/>
  <c r="AB8" i="18"/>
  <c r="M51" i="14"/>
  <c r="M52" i="14" s="1"/>
  <c r="L64" i="13"/>
  <c r="L67" i="13" s="1"/>
  <c r="L44" i="13"/>
  <c r="L49" i="13" s="1"/>
  <c r="G51" i="14"/>
  <c r="O52" i="14"/>
  <c r="O54" i="14" s="1"/>
  <c r="O75" i="14" s="1"/>
  <c r="O51" i="14"/>
  <c r="T44" i="11"/>
  <c r="T49" i="11" s="1"/>
  <c r="T64" i="11"/>
  <c r="T67" i="11" s="1"/>
  <c r="I52" i="12"/>
  <c r="I54" i="12"/>
  <c r="I75" i="12" s="1"/>
  <c r="I51" i="12"/>
  <c r="O64" i="10"/>
  <c r="O67" i="10" s="1"/>
  <c r="O44" i="10"/>
  <c r="O49" i="10" s="1"/>
  <c r="Q64" i="11"/>
  <c r="Q67" i="11" s="1"/>
  <c r="Q44" i="11"/>
  <c r="Q49" i="11" s="1"/>
  <c r="X51" i="13"/>
  <c r="X52" i="13" s="1"/>
  <c r="X82" i="13"/>
  <c r="X84" i="13" s="1"/>
  <c r="X91" i="13" s="1"/>
  <c r="AH8" i="18"/>
  <c r="J64" i="14"/>
  <c r="J67" i="14" s="1"/>
  <c r="J44" i="14"/>
  <c r="J49" i="14" s="1"/>
  <c r="Z62" i="9"/>
  <c r="Z67" i="9" s="1"/>
  <c r="Z43" i="9"/>
  <c r="Z47" i="9" s="1"/>
  <c r="AU8" i="18"/>
  <c r="AU16" i="18" s="1"/>
  <c r="N51" i="14"/>
  <c r="N52" i="14" s="1"/>
  <c r="Q49" i="9"/>
  <c r="Q50" i="9"/>
  <c r="Q52" i="9" s="1"/>
  <c r="Q75" i="9" s="1"/>
  <c r="Z10" i="5"/>
  <c r="Z18" i="5" s="1"/>
  <c r="V97" i="6"/>
  <c r="X42" i="4"/>
  <c r="X48" i="4" s="1"/>
  <c r="N52" i="9" l="1"/>
  <c r="N75" i="9" s="1"/>
  <c r="R52" i="9"/>
  <c r="R75" i="9" s="1"/>
  <c r="S54" i="13"/>
  <c r="S75" i="13" s="1"/>
  <c r="H54" i="11"/>
  <c r="H75" i="11" s="1"/>
  <c r="I50" i="4"/>
  <c r="D70" i="2"/>
  <c r="I22" i="5"/>
  <c r="I39" i="5"/>
  <c r="Z49" i="9"/>
  <c r="Y50" i="4" s="1"/>
  <c r="W20" i="18"/>
  <c r="W87" i="18"/>
  <c r="O52" i="13"/>
  <c r="O54" i="13" s="1"/>
  <c r="O75" i="13" s="1"/>
  <c r="J52" i="9"/>
  <c r="J75" i="9" s="1"/>
  <c r="I52" i="11"/>
  <c r="I54" i="11" s="1"/>
  <c r="I75" i="11" s="1"/>
  <c r="L16" i="18"/>
  <c r="L28" i="18"/>
  <c r="O11" i="8"/>
  <c r="R11" i="8"/>
  <c r="L115" i="6"/>
  <c r="L154" i="6"/>
  <c r="Q51" i="11"/>
  <c r="Q52" i="11" s="1"/>
  <c r="G52" i="14"/>
  <c r="G54" i="14" s="1"/>
  <c r="G75" i="14" s="1"/>
  <c r="Q51" i="14"/>
  <c r="Q54" i="14" s="1"/>
  <c r="Q75" i="14" s="1"/>
  <c r="Q52" i="14"/>
  <c r="Y52" i="13"/>
  <c r="Y54" i="13" s="1"/>
  <c r="Y75" i="13" s="1"/>
  <c r="M51" i="10"/>
  <c r="M52" i="10" s="1"/>
  <c r="H51" i="10"/>
  <c r="AN16" i="18"/>
  <c r="AN28" i="18"/>
  <c r="Y54" i="14"/>
  <c r="Y75" i="14" s="1"/>
  <c r="F11" i="8"/>
  <c r="T50" i="9"/>
  <c r="T49" i="9"/>
  <c r="T52" i="9" s="1"/>
  <c r="T75" i="9" s="1"/>
  <c r="S16" i="18"/>
  <c r="S28" i="18"/>
  <c r="T11" i="8"/>
  <c r="X50" i="9"/>
  <c r="X52" i="9"/>
  <c r="X75" i="9" s="1"/>
  <c r="X49" i="9"/>
  <c r="S52" i="13"/>
  <c r="AA87" i="18"/>
  <c r="AA20" i="18"/>
  <c r="Z16" i="18"/>
  <c r="Z28" i="18"/>
  <c r="N39" i="5"/>
  <c r="N22" i="5"/>
  <c r="K16" i="18"/>
  <c r="K28" i="18"/>
  <c r="U50" i="9"/>
  <c r="M154" i="6"/>
  <c r="M115" i="6"/>
  <c r="P154" i="6"/>
  <c r="P115" i="6"/>
  <c r="Y50" i="9"/>
  <c r="Y49" i="9"/>
  <c r="P22" i="5"/>
  <c r="P39" i="5"/>
  <c r="H51" i="14"/>
  <c r="H54" i="14" s="1"/>
  <c r="H75" i="14" s="1"/>
  <c r="H52" i="14"/>
  <c r="U115" i="6"/>
  <c r="U154" i="6"/>
  <c r="H52" i="11"/>
  <c r="U11" i="8"/>
  <c r="L50" i="4"/>
  <c r="H51" i="13"/>
  <c r="H52" i="13" s="1"/>
  <c r="H82" i="13"/>
  <c r="H84" i="13" s="1"/>
  <c r="H91" i="13" s="1"/>
  <c r="U52" i="11"/>
  <c r="U51" i="11"/>
  <c r="U54" i="11" s="1"/>
  <c r="U75" i="11" s="1"/>
  <c r="AJ16" i="18"/>
  <c r="AJ28" i="18"/>
  <c r="R51" i="11"/>
  <c r="R54" i="11" s="1"/>
  <c r="R75" i="11" s="1"/>
  <c r="R52" i="11"/>
  <c r="K154" i="6"/>
  <c r="K115" i="6"/>
  <c r="AB16" i="18"/>
  <c r="AB28" i="18"/>
  <c r="W51" i="10"/>
  <c r="W52" i="10" s="1"/>
  <c r="T16" i="18"/>
  <c r="T28" i="18"/>
  <c r="AQ16" i="18"/>
  <c r="AQ28" i="18"/>
  <c r="J115" i="6"/>
  <c r="J154" i="6"/>
  <c r="N54" i="14"/>
  <c r="N75" i="14" s="1"/>
  <c r="J51" i="14"/>
  <c r="J52" i="14"/>
  <c r="J54" i="14" s="1"/>
  <c r="J75" i="14" s="1"/>
  <c r="AP16" i="18"/>
  <c r="AP28" i="18"/>
  <c r="M54" i="12"/>
  <c r="M75" i="12" s="1"/>
  <c r="E68" i="2"/>
  <c r="J10" i="5"/>
  <c r="J18" i="5" s="1"/>
  <c r="F97" i="6"/>
  <c r="H42" i="4"/>
  <c r="H48" i="4" s="1"/>
  <c r="Y11" i="8"/>
  <c r="P51" i="13"/>
  <c r="P52" i="13" s="1"/>
  <c r="P54" i="13" s="1"/>
  <c r="P75" i="13" s="1"/>
  <c r="P82" i="13"/>
  <c r="P84" i="13" s="1"/>
  <c r="P91" i="13" s="1"/>
  <c r="Q51" i="10"/>
  <c r="Q52" i="10" s="1"/>
  <c r="D114" i="6"/>
  <c r="D140" i="6"/>
  <c r="V16" i="18"/>
  <c r="V28" i="18"/>
  <c r="R115" i="6"/>
  <c r="R154" i="6"/>
  <c r="P54" i="14"/>
  <c r="P75" i="14" s="1"/>
  <c r="V11" i="8"/>
  <c r="O52" i="11"/>
  <c r="O54" i="11" s="1"/>
  <c r="O75" i="11" s="1"/>
  <c r="Q22" i="5"/>
  <c r="Q39" i="5"/>
  <c r="V51" i="14"/>
  <c r="T22" i="5"/>
  <c r="T39" i="5"/>
  <c r="K54" i="13"/>
  <c r="K75" i="13" s="1"/>
  <c r="V82" i="13"/>
  <c r="V84" i="13" s="1"/>
  <c r="V91" i="13" s="1"/>
  <c r="V51" i="13"/>
  <c r="V54" i="13" s="1"/>
  <c r="V75" i="13" s="1"/>
  <c r="V52" i="13"/>
  <c r="I49" i="9"/>
  <c r="I82" i="13"/>
  <c r="I84" i="13" s="1"/>
  <c r="I91" i="13" s="1"/>
  <c r="I51" i="13"/>
  <c r="I52" i="13"/>
  <c r="I54" i="13" s="1"/>
  <c r="I75" i="13" s="1"/>
  <c r="W52" i="14"/>
  <c r="W54" i="14" s="1"/>
  <c r="W75" i="14" s="1"/>
  <c r="W51" i="14"/>
  <c r="Y22" i="5"/>
  <c r="Y39" i="5"/>
  <c r="R52" i="12"/>
  <c r="R54" i="12"/>
  <c r="R75" i="12" s="1"/>
  <c r="R51" i="12"/>
  <c r="S115" i="6"/>
  <c r="S154" i="6"/>
  <c r="O20" i="18"/>
  <c r="O87" i="18"/>
  <c r="U20" i="18"/>
  <c r="U87" i="18"/>
  <c r="X11" i="8"/>
  <c r="O51" i="10"/>
  <c r="O52" i="10"/>
  <c r="O54" i="10" s="1"/>
  <c r="O75" i="10" s="1"/>
  <c r="T51" i="11"/>
  <c r="T52" i="11" s="1"/>
  <c r="L51" i="13"/>
  <c r="L82" i="13"/>
  <c r="L84" i="13" s="1"/>
  <c r="L91" i="13" s="1"/>
  <c r="P11" i="8"/>
  <c r="N51" i="10"/>
  <c r="N52" i="10" s="1"/>
  <c r="F206" i="6"/>
  <c r="F197" i="6"/>
  <c r="F199" i="6" s="1"/>
  <c r="AA18" i="5"/>
  <c r="AA60" i="5"/>
  <c r="R52" i="10"/>
  <c r="R51" i="10"/>
  <c r="R54" i="10" s="1"/>
  <c r="R75" i="10" s="1"/>
  <c r="L50" i="9"/>
  <c r="L49" i="9"/>
  <c r="L52" i="9"/>
  <c r="L75" i="9" s="1"/>
  <c r="J11" i="8"/>
  <c r="U52" i="12"/>
  <c r="U51" i="12"/>
  <c r="U54" i="12" s="1"/>
  <c r="U75" i="12" s="1"/>
  <c r="T115" i="6"/>
  <c r="T154" i="6"/>
  <c r="H50" i="9"/>
  <c r="H52" i="9"/>
  <c r="H75" i="9" s="1"/>
  <c r="H49" i="9"/>
  <c r="K51" i="10"/>
  <c r="K52" i="10" s="1"/>
  <c r="AE16" i="18"/>
  <c r="AE28" i="18"/>
  <c r="G51" i="10"/>
  <c r="G52" i="10" s="1"/>
  <c r="G54" i="10" s="1"/>
  <c r="G75" i="10" s="1"/>
  <c r="W22" i="5"/>
  <c r="W39" i="5"/>
  <c r="AH16" i="18"/>
  <c r="AH28" i="18"/>
  <c r="L52" i="14"/>
  <c r="L51" i="14"/>
  <c r="L54" i="14"/>
  <c r="L75" i="14" s="1"/>
  <c r="G11" i="8"/>
  <c r="I11" i="8"/>
  <c r="P51" i="10"/>
  <c r="P52" i="10" s="1"/>
  <c r="P54" i="10" s="1"/>
  <c r="P75" i="10" s="1"/>
  <c r="X51" i="10"/>
  <c r="I54" i="14"/>
  <c r="I75" i="14" s="1"/>
  <c r="I51" i="14"/>
  <c r="I52" i="14"/>
  <c r="P52" i="12"/>
  <c r="P51" i="12"/>
  <c r="P54" i="12" s="1"/>
  <c r="P75" i="12" s="1"/>
  <c r="U54" i="14"/>
  <c r="U75" i="14" s="1"/>
  <c r="AC20" i="18"/>
  <c r="AC87" i="18"/>
  <c r="AK20" i="18"/>
  <c r="AK87" i="18"/>
  <c r="R16" i="18"/>
  <c r="R28" i="18"/>
  <c r="N51" i="11"/>
  <c r="M50" i="4" s="1"/>
  <c r="N52" i="11"/>
  <c r="Q87" i="18"/>
  <c r="Q20" i="18"/>
  <c r="C70" i="2"/>
  <c r="H39" i="5"/>
  <c r="H22" i="5"/>
  <c r="I52" i="10"/>
  <c r="I54" i="10"/>
  <c r="I75" i="10" s="1"/>
  <c r="I51" i="10"/>
  <c r="V22" i="5"/>
  <c r="V39" i="5"/>
  <c r="W51" i="12"/>
  <c r="W52" i="12" s="1"/>
  <c r="V51" i="11"/>
  <c r="V52" i="11" s="1"/>
  <c r="V54" i="11" s="1"/>
  <c r="V75" i="11" s="1"/>
  <c r="V154" i="6"/>
  <c r="V115" i="6"/>
  <c r="T52" i="10"/>
  <c r="T51" i="10"/>
  <c r="T54" i="10" s="1"/>
  <c r="T75" i="10" s="1"/>
  <c r="R39" i="5"/>
  <c r="R22" i="5"/>
  <c r="S51" i="10"/>
  <c r="S52" i="10"/>
  <c r="S54" i="10"/>
  <c r="S75" i="10" s="1"/>
  <c r="J16" i="18"/>
  <c r="J28" i="18"/>
  <c r="J51" i="11"/>
  <c r="J54" i="11" s="1"/>
  <c r="J75" i="11" s="1"/>
  <c r="J52" i="11"/>
  <c r="H115" i="6"/>
  <c r="H154" i="6"/>
  <c r="X39" i="5"/>
  <c r="X22" i="5"/>
  <c r="S54" i="12"/>
  <c r="S75" i="12" s="1"/>
  <c r="Z39" i="5"/>
  <c r="Z22" i="5"/>
  <c r="X54" i="13"/>
  <c r="X75" i="13" s="1"/>
  <c r="M54" i="14"/>
  <c r="M75" i="14" s="1"/>
  <c r="N154" i="6"/>
  <c r="N115" i="6"/>
  <c r="O52" i="12"/>
  <c r="O54" i="12" s="1"/>
  <c r="O75" i="12" s="1"/>
  <c r="M52" i="11"/>
  <c r="M54" i="11" s="1"/>
  <c r="M75" i="11" s="1"/>
  <c r="M51" i="11"/>
  <c r="I16" i="18"/>
  <c r="I28" i="18"/>
  <c r="K51" i="11"/>
  <c r="X52" i="11"/>
  <c r="X54" i="11" s="1"/>
  <c r="X75" i="11" s="1"/>
  <c r="X51" i="11"/>
  <c r="R82" i="13"/>
  <c r="R84" i="13" s="1"/>
  <c r="R91" i="13" s="1"/>
  <c r="R51" i="13"/>
  <c r="R52" i="13" s="1"/>
  <c r="AM16" i="18"/>
  <c r="AM28" i="18"/>
  <c r="L22" i="5"/>
  <c r="L39" i="5"/>
  <c r="P16" i="18"/>
  <c r="P28" i="18"/>
  <c r="J52" i="10"/>
  <c r="J54" i="10" s="1"/>
  <c r="J75" i="10" s="1"/>
  <c r="J51" i="10"/>
  <c r="Z54" i="12"/>
  <c r="Z75" i="12" s="1"/>
  <c r="U51" i="13"/>
  <c r="U52" i="13"/>
  <c r="U82" i="13"/>
  <c r="U84" i="13" s="1"/>
  <c r="U91" i="13" s="1"/>
  <c r="U54" i="13"/>
  <c r="U75" i="13" s="1"/>
  <c r="M11" i="8"/>
  <c r="E114" i="6"/>
  <c r="E140" i="6"/>
  <c r="G154" i="6"/>
  <c r="G115" i="6"/>
  <c r="R54" i="14"/>
  <c r="R75" i="14" s="1"/>
  <c r="R51" i="14"/>
  <c r="R52" i="14"/>
  <c r="H54" i="12"/>
  <c r="H75" i="12" s="1"/>
  <c r="S51" i="11"/>
  <c r="R50" i="4" s="1"/>
  <c r="P50" i="9"/>
  <c r="P52" i="9" s="1"/>
  <c r="P75" i="9" s="1"/>
  <c r="K11" i="8"/>
  <c r="AO87" i="18"/>
  <c r="AO20" i="18"/>
  <c r="N50" i="4"/>
  <c r="L51" i="10"/>
  <c r="L52" i="10" s="1"/>
  <c r="AD16" i="18"/>
  <c r="AD28" i="18"/>
  <c r="F70" i="2"/>
  <c r="K22" i="5"/>
  <c r="K39" i="5"/>
  <c r="AT87" i="18"/>
  <c r="AT20" i="18"/>
  <c r="Q51" i="12"/>
  <c r="V51" i="10"/>
  <c r="V52" i="10" s="1"/>
  <c r="K51" i="14"/>
  <c r="K52" i="14"/>
  <c r="K54" i="14" s="1"/>
  <c r="K75" i="14" s="1"/>
  <c r="I115" i="6"/>
  <c r="I154" i="6"/>
  <c r="Q11" i="8"/>
  <c r="AG87" i="18"/>
  <c r="AG20" i="18"/>
  <c r="S11" i="8"/>
  <c r="X20" i="18"/>
  <c r="X87" i="18"/>
  <c r="AL20" i="18"/>
  <c r="AL87" i="18"/>
  <c r="AU20" i="18"/>
  <c r="AU87" i="18"/>
  <c r="Y51" i="10"/>
  <c r="O50" i="9"/>
  <c r="O52" i="9" s="1"/>
  <c r="O75" i="9" s="1"/>
  <c r="G49" i="9"/>
  <c r="F50" i="4" s="1"/>
  <c r="J50" i="9"/>
  <c r="AI16" i="18"/>
  <c r="AI28" i="18"/>
  <c r="Z51" i="10"/>
  <c r="Z52" i="10"/>
  <c r="Z54" i="10" s="1"/>
  <c r="Z75" i="10" s="1"/>
  <c r="AR16" i="18"/>
  <c r="AR28" i="18"/>
  <c r="L11" i="8"/>
  <c r="O22" i="5"/>
  <c r="O39" i="5"/>
  <c r="U52" i="9"/>
  <c r="U75" i="9" s="1"/>
  <c r="U52" i="10"/>
  <c r="U51" i="10"/>
  <c r="T50" i="4" s="1"/>
  <c r="AS16" i="18"/>
  <c r="AS28" i="18"/>
  <c r="N11" i="8"/>
  <c r="N16" i="18"/>
  <c r="N28" i="18"/>
  <c r="M22" i="5"/>
  <c r="M39" i="5"/>
  <c r="O154" i="6"/>
  <c r="O115" i="6"/>
  <c r="Q115" i="6"/>
  <c r="Q154" i="6"/>
  <c r="M16" i="18"/>
  <c r="M28" i="18"/>
  <c r="W11" i="8"/>
  <c r="S22" i="5"/>
  <c r="S39" i="5"/>
  <c r="T51" i="12"/>
  <c r="T52" i="12"/>
  <c r="T54" i="12" s="1"/>
  <c r="T75" i="12" s="1"/>
  <c r="U22" i="5"/>
  <c r="U39" i="5"/>
  <c r="AF20" i="18"/>
  <c r="AF87" i="18"/>
  <c r="Y20" i="18"/>
  <c r="Y87" i="18"/>
  <c r="L53" i="4" l="1"/>
  <c r="N29" i="5" s="1"/>
  <c r="V54" i="14"/>
  <c r="V75" i="14" s="1"/>
  <c r="W54" i="10"/>
  <c r="W75" i="10" s="1"/>
  <c r="V51" i="4"/>
  <c r="T53" i="4"/>
  <c r="V29" i="5" s="1"/>
  <c r="M51" i="4"/>
  <c r="M53" i="4" s="1"/>
  <c r="O29" i="5" s="1"/>
  <c r="N54" i="10"/>
  <c r="N75" i="10" s="1"/>
  <c r="M54" i="10"/>
  <c r="M75" i="10" s="1"/>
  <c r="L51" i="4"/>
  <c r="Q51" i="4"/>
  <c r="L54" i="13"/>
  <c r="L75" i="13" s="1"/>
  <c r="Q54" i="10"/>
  <c r="Q75" i="10" s="1"/>
  <c r="M14" i="8"/>
  <c r="M16" i="8" s="1"/>
  <c r="M18" i="8" s="1"/>
  <c r="M32" i="8"/>
  <c r="E70" i="2"/>
  <c r="J39" i="5"/>
  <c r="J22" i="5"/>
  <c r="AQ20" i="18"/>
  <c r="AQ87" i="18"/>
  <c r="G54" i="1"/>
  <c r="G50" i="9"/>
  <c r="AU34" i="18"/>
  <c r="AG34" i="18"/>
  <c r="AT34" i="18"/>
  <c r="AO34" i="18"/>
  <c r="P20" i="18"/>
  <c r="P87" i="18"/>
  <c r="R54" i="13"/>
  <c r="R75" i="13" s="1"/>
  <c r="N54" i="11"/>
  <c r="N75" i="11" s="1"/>
  <c r="I32" i="8"/>
  <c r="I14" i="8"/>
  <c r="I16" i="8" s="1"/>
  <c r="I18" i="8" s="1"/>
  <c r="T158" i="6"/>
  <c r="T233" i="6"/>
  <c r="K50" i="4"/>
  <c r="F201" i="6"/>
  <c r="F205" i="6" s="1"/>
  <c r="F202" i="6"/>
  <c r="G189" i="6" s="1"/>
  <c r="L52" i="13"/>
  <c r="S233" i="6"/>
  <c r="S158" i="6"/>
  <c r="U50" i="4"/>
  <c r="T20" i="18"/>
  <c r="T87" i="18"/>
  <c r="K158" i="6"/>
  <c r="K233" i="6"/>
  <c r="V50" i="4"/>
  <c r="V53" i="4" s="1"/>
  <c r="X29" i="5" s="1"/>
  <c r="X50" i="4"/>
  <c r="T51" i="4"/>
  <c r="AA34" i="18"/>
  <c r="Q54" i="11"/>
  <c r="Q75" i="11" s="1"/>
  <c r="O32" i="8"/>
  <c r="O14" i="8"/>
  <c r="O16" i="8" s="1"/>
  <c r="O18" i="8" s="1"/>
  <c r="Z52" i="9"/>
  <c r="Z75" i="9" s="1"/>
  <c r="W14" i="8"/>
  <c r="W16" i="8" s="1"/>
  <c r="W18" i="8" s="1"/>
  <c r="W32" i="8"/>
  <c r="AC34" i="18"/>
  <c r="AB20" i="18"/>
  <c r="AB87" i="18"/>
  <c r="Q52" i="12"/>
  <c r="P51" i="4" s="1"/>
  <c r="Q50" i="4"/>
  <c r="Z87" i="18"/>
  <c r="Z20" i="18"/>
  <c r="M20" i="18"/>
  <c r="M87" i="18"/>
  <c r="AS20" i="18"/>
  <c r="AS87" i="18"/>
  <c r="L14" i="8"/>
  <c r="L16" i="8" s="1"/>
  <c r="L18" i="8" s="1"/>
  <c r="L32" i="8"/>
  <c r="P50" i="4"/>
  <c r="AD20" i="18"/>
  <c r="AD87" i="18"/>
  <c r="S52" i="11"/>
  <c r="S54" i="11" s="1"/>
  <c r="S75" i="11" s="1"/>
  <c r="E53" i="2"/>
  <c r="D53" i="2"/>
  <c r="V158" i="6"/>
  <c r="V233" i="6"/>
  <c r="AE20" i="18"/>
  <c r="AE87" i="18"/>
  <c r="K51" i="4"/>
  <c r="F236" i="6"/>
  <c r="X32" i="8"/>
  <c r="X14" i="8"/>
  <c r="X16" i="8" s="1"/>
  <c r="X18" i="8" s="1"/>
  <c r="R233" i="6"/>
  <c r="R158" i="6"/>
  <c r="D157" i="6"/>
  <c r="D233" i="6"/>
  <c r="U14" i="8"/>
  <c r="U16" i="8" s="1"/>
  <c r="U18" i="8" s="1"/>
  <c r="U32" i="8"/>
  <c r="X51" i="4"/>
  <c r="S20" i="18"/>
  <c r="S87" i="18"/>
  <c r="O51" i="4"/>
  <c r="AH20" i="18"/>
  <c r="AH87" i="18"/>
  <c r="O34" i="18"/>
  <c r="V32" i="8"/>
  <c r="V14" i="8"/>
  <c r="V16" i="8" s="1"/>
  <c r="V18" i="8" s="1"/>
  <c r="T14" i="8"/>
  <c r="T16" i="8" s="1"/>
  <c r="T18" i="8" s="1"/>
  <c r="T32" i="8"/>
  <c r="R32" i="8"/>
  <c r="R14" i="8"/>
  <c r="R16" i="8" s="1"/>
  <c r="R18" i="8" s="1"/>
  <c r="W54" i="12"/>
  <c r="W75" i="12" s="1"/>
  <c r="AA22" i="5"/>
  <c r="AA39" i="5"/>
  <c r="V52" i="14"/>
  <c r="U51" i="4" s="1"/>
  <c r="Z50" i="9"/>
  <c r="Y51" i="4" s="1"/>
  <c r="Y53" i="4" s="1"/>
  <c r="AA29" i="5" s="1"/>
  <c r="N51" i="4"/>
  <c r="N53" i="4" s="1"/>
  <c r="P29" i="5" s="1"/>
  <c r="Y34" i="18"/>
  <c r="Q158" i="6"/>
  <c r="Q233" i="6"/>
  <c r="U54" i="10"/>
  <c r="U75" i="10" s="1"/>
  <c r="AI87" i="18"/>
  <c r="AI20" i="18"/>
  <c r="Y52" i="10"/>
  <c r="Y54" i="10" s="1"/>
  <c r="Y75" i="10" s="1"/>
  <c r="Q32" i="8"/>
  <c r="Q14" i="8"/>
  <c r="Q16" i="8" s="1"/>
  <c r="Q18" i="8" s="1"/>
  <c r="V54" i="10"/>
  <c r="V75" i="10" s="1"/>
  <c r="G233" i="6"/>
  <c r="G158" i="6"/>
  <c r="I87" i="18"/>
  <c r="I20" i="18"/>
  <c r="N158" i="6"/>
  <c r="N233" i="6"/>
  <c r="R20" i="18"/>
  <c r="R87" i="18"/>
  <c r="X52" i="10"/>
  <c r="W51" i="4" s="1"/>
  <c r="K54" i="10"/>
  <c r="K75" i="10" s="1"/>
  <c r="H50" i="4"/>
  <c r="Y32" i="8"/>
  <c r="Y14" i="8"/>
  <c r="Y16" i="8" s="1"/>
  <c r="Y18" i="8" s="1"/>
  <c r="Y52" i="9"/>
  <c r="Y75" i="9" s="1"/>
  <c r="K20" i="18"/>
  <c r="K87" i="18"/>
  <c r="W34" i="18"/>
  <c r="M158" i="6"/>
  <c r="M233" i="6"/>
  <c r="F54" i="1"/>
  <c r="I51" i="4"/>
  <c r="I53" i="4" s="1"/>
  <c r="AL34" i="18"/>
  <c r="L54" i="10"/>
  <c r="L75" i="10" s="1"/>
  <c r="E157" i="6"/>
  <c r="E233" i="6"/>
  <c r="G32" i="8"/>
  <c r="G14" i="8"/>
  <c r="G16" i="8" s="1"/>
  <c r="G18" i="8" s="1"/>
  <c r="T54" i="11"/>
  <c r="T75" i="11" s="1"/>
  <c r="I50" i="9"/>
  <c r="J158" i="6"/>
  <c r="J233" i="6"/>
  <c r="H54" i="13"/>
  <c r="H75" i="13" s="1"/>
  <c r="U158" i="6"/>
  <c r="U233" i="6"/>
  <c r="W50" i="4"/>
  <c r="S50" i="4"/>
  <c r="S53" i="4" s="1"/>
  <c r="U29" i="5" s="1"/>
  <c r="AN20" i="18"/>
  <c r="AN87" i="18"/>
  <c r="L158" i="6"/>
  <c r="L233" i="6"/>
  <c r="N32" i="8"/>
  <c r="N14" i="8"/>
  <c r="N16" i="8" s="1"/>
  <c r="N18" i="8" s="1"/>
  <c r="S14" i="8"/>
  <c r="S16" i="8" s="1"/>
  <c r="S18" i="8" s="1"/>
  <c r="S32" i="8"/>
  <c r="H233" i="6"/>
  <c r="H158" i="6"/>
  <c r="J14" i="8"/>
  <c r="J16" i="8" s="1"/>
  <c r="J18" i="8" s="1"/>
  <c r="J32" i="8"/>
  <c r="F32" i="8"/>
  <c r="F14" i="8"/>
  <c r="F16" i="8" s="1"/>
  <c r="F18" i="8" s="1"/>
  <c r="K52" i="11"/>
  <c r="J51" i="4" s="1"/>
  <c r="AF34" i="18"/>
  <c r="N20" i="18"/>
  <c r="N87" i="18"/>
  <c r="I158" i="6"/>
  <c r="I233" i="6"/>
  <c r="K14" i="8"/>
  <c r="K16" i="8" s="1"/>
  <c r="K18" i="8" s="1"/>
  <c r="K32" i="8"/>
  <c r="Q34" i="18"/>
  <c r="AK34" i="18"/>
  <c r="O50" i="4"/>
  <c r="O53" i="4" s="1"/>
  <c r="Q29" i="5" s="1"/>
  <c r="U34" i="18"/>
  <c r="V20" i="18"/>
  <c r="V87" i="18"/>
  <c r="H11" i="8"/>
  <c r="AP87" i="18"/>
  <c r="AP20" i="18"/>
  <c r="P233" i="6"/>
  <c r="P158" i="6"/>
  <c r="S51" i="4"/>
  <c r="H52" i="10"/>
  <c r="G51" i="4" s="1"/>
  <c r="L20" i="18"/>
  <c r="L87" i="18"/>
  <c r="O158" i="6"/>
  <c r="O233" i="6"/>
  <c r="AR20" i="18"/>
  <c r="AR87" i="18"/>
  <c r="X34" i="18"/>
  <c r="J50" i="4"/>
  <c r="AM20" i="18"/>
  <c r="AM87" i="18"/>
  <c r="J87" i="18"/>
  <c r="J20" i="18"/>
  <c r="G50" i="4"/>
  <c r="P32" i="8"/>
  <c r="P14" i="8"/>
  <c r="P16" i="8" s="1"/>
  <c r="P18" i="8" s="1"/>
  <c r="F140" i="6"/>
  <c r="F115" i="6"/>
  <c r="AJ20" i="18"/>
  <c r="AJ87" i="18"/>
  <c r="F69" i="2" l="1"/>
  <c r="K29" i="5"/>
  <c r="G191" i="6"/>
  <c r="X54" i="10"/>
  <c r="X75" i="10" s="1"/>
  <c r="J119" i="6"/>
  <c r="F55" i="1" s="1"/>
  <c r="D162" i="6"/>
  <c r="J118" i="6"/>
  <c r="G55" i="1" s="1"/>
  <c r="AM34" i="18"/>
  <c r="H32" i="8"/>
  <c r="H14" i="8"/>
  <c r="H16" i="8" s="1"/>
  <c r="H18" i="8" s="1"/>
  <c r="N34" i="18"/>
  <c r="AS34" i="18"/>
  <c r="K54" i="11"/>
  <c r="K75" i="11" s="1"/>
  <c r="Q54" i="12"/>
  <c r="Q75" i="12" s="1"/>
  <c r="F113" i="6"/>
  <c r="F233" i="6"/>
  <c r="F157" i="6"/>
  <c r="J53" i="4"/>
  <c r="L29" i="5" s="1"/>
  <c r="L34" i="18"/>
  <c r="AN34" i="18"/>
  <c r="H51" i="4"/>
  <c r="H53" i="4" s="1"/>
  <c r="I52" i="9"/>
  <c r="I75" i="9" s="1"/>
  <c r="K34" i="18"/>
  <c r="R34" i="18"/>
  <c r="Q21" i="8"/>
  <c r="U21" i="8"/>
  <c r="AB34" i="18"/>
  <c r="K53" i="4"/>
  <c r="M29" i="5" s="1"/>
  <c r="P34" i="18"/>
  <c r="P21" i="8"/>
  <c r="M34" i="18"/>
  <c r="T34" i="18"/>
  <c r="V34" i="18"/>
  <c r="S21" i="8"/>
  <c r="W53" i="4"/>
  <c r="Y29" i="5" s="1"/>
  <c r="G26" i="8"/>
  <c r="G28" i="8" s="1"/>
  <c r="G21" i="8"/>
  <c r="G23" i="8"/>
  <c r="Y21" i="8"/>
  <c r="AH34" i="18"/>
  <c r="AD34" i="18"/>
  <c r="Z34" i="18"/>
  <c r="U53" i="4"/>
  <c r="W29" i="5" s="1"/>
  <c r="M21" i="8"/>
  <c r="H54" i="10"/>
  <c r="H75" i="10" s="1"/>
  <c r="F51" i="4"/>
  <c r="F53" i="4" s="1"/>
  <c r="G52" i="9"/>
  <c r="G75" i="9" s="1"/>
  <c r="G53" i="4"/>
  <c r="K21" i="8"/>
  <c r="F21" i="8"/>
  <c r="F23" i="8"/>
  <c r="F26" i="8"/>
  <c r="F28" i="8" s="1"/>
  <c r="N21" i="8"/>
  <c r="I34" i="18"/>
  <c r="AI34" i="18"/>
  <c r="AE34" i="18"/>
  <c r="P53" i="4"/>
  <c r="R29" i="5" s="1"/>
  <c r="I21" i="8"/>
  <c r="R51" i="4"/>
  <c r="R53" i="4" s="1"/>
  <c r="T29" i="5" s="1"/>
  <c r="R21" i="8"/>
  <c r="AR34" i="18"/>
  <c r="T21" i="8"/>
  <c r="Q53" i="4"/>
  <c r="S29" i="5" s="1"/>
  <c r="W21" i="8"/>
  <c r="X53" i="4"/>
  <c r="Z29" i="5" s="1"/>
  <c r="AQ34" i="18"/>
  <c r="AJ34" i="18"/>
  <c r="J21" i="8"/>
  <c r="O21" i="8"/>
  <c r="J34" i="18"/>
  <c r="AP34" i="18"/>
  <c r="V21" i="8"/>
  <c r="V24" i="8" s="1"/>
  <c r="W20" i="8" s="1"/>
  <c r="V23" i="8"/>
  <c r="V26" i="8" s="1"/>
  <c r="V28" i="8" s="1"/>
  <c r="S34" i="18"/>
  <c r="X21" i="8"/>
  <c r="L21" i="8"/>
  <c r="X24" i="5" l="1"/>
  <c r="V35" i="8"/>
  <c r="V36" i="8" s="1"/>
  <c r="V39" i="8" s="1"/>
  <c r="E69" i="2"/>
  <c r="J29" i="5"/>
  <c r="H21" i="8"/>
  <c r="C69" i="2"/>
  <c r="H29" i="5"/>
  <c r="I24" i="5"/>
  <c r="G35" i="8"/>
  <c r="G36" i="8" s="1"/>
  <c r="G39" i="8" s="1"/>
  <c r="W24" i="8"/>
  <c r="X20" i="8" s="1"/>
  <c r="W23" i="8"/>
  <c r="W26" i="8" s="1"/>
  <c r="W28" i="8" s="1"/>
  <c r="H24" i="5"/>
  <c r="F35" i="8"/>
  <c r="F36" i="8" s="1"/>
  <c r="F39" i="8" s="1"/>
  <c r="D69" i="2"/>
  <c r="I29" i="5"/>
  <c r="I25" i="5" l="1"/>
  <c r="G42" i="8"/>
  <c r="G44" i="8"/>
  <c r="H69" i="9"/>
  <c r="H69" i="10"/>
  <c r="I41" i="5"/>
  <c r="H69" i="12"/>
  <c r="H69" i="11"/>
  <c r="H69" i="13"/>
  <c r="H69" i="14"/>
  <c r="X23" i="8"/>
  <c r="X26" i="8" s="1"/>
  <c r="X28" i="8" s="1"/>
  <c r="H25" i="5"/>
  <c r="F44" i="8"/>
  <c r="F42" i="8"/>
  <c r="G69" i="9"/>
  <c r="G69" i="10"/>
  <c r="G69" i="12"/>
  <c r="H41" i="5"/>
  <c r="G69" i="11"/>
  <c r="G69" i="13"/>
  <c r="G69" i="14"/>
  <c r="W69" i="9"/>
  <c r="W69" i="10"/>
  <c r="W69" i="12"/>
  <c r="X41" i="5"/>
  <c r="W69" i="11"/>
  <c r="W69" i="13"/>
  <c r="W69" i="14"/>
  <c r="Y24" i="5"/>
  <c r="W35" i="8"/>
  <c r="W36" i="8" s="1"/>
  <c r="W39" i="8" s="1"/>
  <c r="X25" i="5"/>
  <c r="G70" i="9" l="1"/>
  <c r="G70" i="10"/>
  <c r="G72" i="10" s="1"/>
  <c r="G76" i="10" s="1"/>
  <c r="G70" i="12"/>
  <c r="G72" i="12" s="1"/>
  <c r="G76" i="12" s="1"/>
  <c r="H42" i="5"/>
  <c r="G70" i="11"/>
  <c r="G72" i="11" s="1"/>
  <c r="G76" i="11" s="1"/>
  <c r="G70" i="13"/>
  <c r="G72" i="13" s="1"/>
  <c r="G76" i="13" s="1"/>
  <c r="G70" i="14"/>
  <c r="G72" i="14" s="1"/>
  <c r="G76" i="14" s="1"/>
  <c r="H27" i="5"/>
  <c r="Z24" i="5"/>
  <c r="X35" i="8"/>
  <c r="X36" i="8" s="1"/>
  <c r="X39" i="8" s="1"/>
  <c r="K22" i="18"/>
  <c r="W70" i="9"/>
  <c r="W70" i="10"/>
  <c r="W72" i="10" s="1"/>
  <c r="W76" i="10" s="1"/>
  <c r="X42" i="5"/>
  <c r="W70" i="12"/>
  <c r="W72" i="12" s="1"/>
  <c r="W76" i="12" s="1"/>
  <c r="W70" i="11"/>
  <c r="W72" i="11" s="1"/>
  <c r="W76" i="11" s="1"/>
  <c r="W70" i="13"/>
  <c r="W72" i="13" s="1"/>
  <c r="W76" i="13" s="1"/>
  <c r="W70" i="14"/>
  <c r="W72" i="14" s="1"/>
  <c r="W76" i="14" s="1"/>
  <c r="X27" i="5"/>
  <c r="J22" i="18"/>
  <c r="I22" i="18"/>
  <c r="X69" i="9"/>
  <c r="X69" i="10"/>
  <c r="X69" i="12"/>
  <c r="Y41" i="5"/>
  <c r="X69" i="11"/>
  <c r="X69" i="13"/>
  <c r="X69" i="14"/>
  <c r="Y25" i="5"/>
  <c r="AO22" i="18"/>
  <c r="H70" i="10"/>
  <c r="H72" i="10" s="1"/>
  <c r="H76" i="10" s="1"/>
  <c r="H70" i="9"/>
  <c r="H70" i="12"/>
  <c r="H72" i="12" s="1"/>
  <c r="H76" i="12" s="1"/>
  <c r="I42" i="5"/>
  <c r="H70" i="13"/>
  <c r="H72" i="13" s="1"/>
  <c r="H76" i="13" s="1"/>
  <c r="H70" i="11"/>
  <c r="H72" i="11" s="1"/>
  <c r="H76" i="11" s="1"/>
  <c r="H70" i="14"/>
  <c r="H72" i="14" s="1"/>
  <c r="H76" i="14" s="1"/>
  <c r="I27" i="5"/>
  <c r="C71" i="2" l="1"/>
  <c r="H30" i="5"/>
  <c r="H49" i="5"/>
  <c r="H51" i="5" s="1"/>
  <c r="H44" i="5"/>
  <c r="X70" i="9"/>
  <c r="X70" i="10"/>
  <c r="X72" i="10" s="1"/>
  <c r="X76" i="10" s="1"/>
  <c r="X70" i="12"/>
  <c r="X72" i="12" s="1"/>
  <c r="X76" i="12" s="1"/>
  <c r="Y42" i="5"/>
  <c r="X70" i="13"/>
  <c r="X72" i="13" s="1"/>
  <c r="X76" i="13" s="1"/>
  <c r="X70" i="11"/>
  <c r="X72" i="11" s="1"/>
  <c r="X76" i="11" s="1"/>
  <c r="X70" i="14"/>
  <c r="X72" i="14" s="1"/>
  <c r="X76" i="14" s="1"/>
  <c r="Y27" i="5"/>
  <c r="I36" i="18"/>
  <c r="AQ22" i="18"/>
  <c r="AR22" i="18"/>
  <c r="K23" i="18"/>
  <c r="K37" i="18" s="1"/>
  <c r="H72" i="9"/>
  <c r="H76" i="9" s="1"/>
  <c r="J36" i="18"/>
  <c r="AO23" i="18"/>
  <c r="AO37" i="18" s="1"/>
  <c r="AP23" i="18"/>
  <c r="AP37" i="18" s="1"/>
  <c r="W72" i="9"/>
  <c r="W76" i="9" s="1"/>
  <c r="X30" i="5"/>
  <c r="X44" i="5"/>
  <c r="X49" i="5"/>
  <c r="X51" i="5" s="1"/>
  <c r="AO36" i="18"/>
  <c r="AO25" i="18"/>
  <c r="K36" i="18"/>
  <c r="K25" i="18"/>
  <c r="D71" i="2"/>
  <c r="I49" i="5"/>
  <c r="I51" i="5" s="1"/>
  <c r="I30" i="5"/>
  <c r="I44" i="5"/>
  <c r="Z25" i="5"/>
  <c r="AP22" i="18"/>
  <c r="Y69" i="9"/>
  <c r="Y69" i="10"/>
  <c r="Y69" i="12"/>
  <c r="Z41" i="5"/>
  <c r="Y69" i="11"/>
  <c r="Y69" i="13"/>
  <c r="Y69" i="14"/>
  <c r="I23" i="18"/>
  <c r="I37" i="18" s="1"/>
  <c r="J23" i="18"/>
  <c r="J37" i="18" s="1"/>
  <c r="G72" i="9"/>
  <c r="G76" i="9" s="1"/>
  <c r="AQ36" i="18" l="1"/>
  <c r="I25" i="18"/>
  <c r="AP36" i="18"/>
  <c r="AP25" i="18"/>
  <c r="J25" i="18"/>
  <c r="AQ23" i="18"/>
  <c r="AQ37" i="18" s="1"/>
  <c r="AR23" i="18"/>
  <c r="AR37" i="18" s="1"/>
  <c r="X72" i="9"/>
  <c r="X76" i="9" s="1"/>
  <c r="Y70" i="9"/>
  <c r="Y70" i="10"/>
  <c r="Y72" i="10" s="1"/>
  <c r="Y76" i="10" s="1"/>
  <c r="Z42" i="5"/>
  <c r="Y70" i="12"/>
  <c r="Y72" i="12" s="1"/>
  <c r="Y76" i="12" s="1"/>
  <c r="Y70" i="11"/>
  <c r="Y72" i="11" s="1"/>
  <c r="Y76" i="11" s="1"/>
  <c r="Y70" i="14"/>
  <c r="Y72" i="14" s="1"/>
  <c r="Y76" i="14" s="1"/>
  <c r="Y70" i="13"/>
  <c r="Y72" i="13" s="1"/>
  <c r="Y76" i="13" s="1"/>
  <c r="Z27" i="5"/>
  <c r="Y49" i="5"/>
  <c r="Y51" i="5" s="1"/>
  <c r="Y30" i="5"/>
  <c r="Y44" i="5"/>
  <c r="AR36" i="18"/>
  <c r="K43" i="18"/>
  <c r="K45" i="18" s="1"/>
  <c r="K79" i="18" s="1"/>
  <c r="K39" i="18"/>
  <c r="AO43" i="18"/>
  <c r="AO45" i="18" s="1"/>
  <c r="AO79" i="18" s="1"/>
  <c r="AO39" i="18"/>
  <c r="X59" i="5"/>
  <c r="X61" i="5" s="1"/>
  <c r="V82" i="5" s="1"/>
  <c r="X65" i="5"/>
  <c r="X67" i="5" s="1"/>
  <c r="V86" i="5" s="1"/>
  <c r="V78" i="5"/>
  <c r="H59" i="5"/>
  <c r="H61" i="5" s="1"/>
  <c r="F82" i="5" s="1"/>
  <c r="F78" i="5"/>
  <c r="H65" i="5"/>
  <c r="H67" i="5" s="1"/>
  <c r="F86" i="5" s="1"/>
  <c r="AS22" i="18"/>
  <c r="I59" i="5"/>
  <c r="I61" i="5" s="1"/>
  <c r="G82" i="5" s="1"/>
  <c r="I65" i="5"/>
  <c r="I67" i="5" s="1"/>
  <c r="G86" i="5" s="1"/>
  <c r="G78" i="5"/>
  <c r="AR25" i="18" l="1"/>
  <c r="J43" i="18"/>
  <c r="J45" i="18" s="1"/>
  <c r="J79" i="18" s="1"/>
  <c r="J39" i="18"/>
  <c r="AP43" i="18"/>
  <c r="AP45" i="18" s="1"/>
  <c r="AP79" i="18" s="1"/>
  <c r="AP39" i="18"/>
  <c r="I39" i="18"/>
  <c r="I43" i="18"/>
  <c r="I45" i="18" s="1"/>
  <c r="I79" i="18" s="1"/>
  <c r="Y59" i="5"/>
  <c r="Y61" i="5" s="1"/>
  <c r="W82" i="5" s="1"/>
  <c r="Y65" i="5"/>
  <c r="Y67" i="5" s="1"/>
  <c r="W86" i="5" s="1"/>
  <c r="W78" i="5"/>
  <c r="AS23" i="18"/>
  <c r="AS37" i="18" s="1"/>
  <c r="Y72" i="9"/>
  <c r="Y76" i="9" s="1"/>
  <c r="AQ25" i="18"/>
  <c r="AS36" i="18"/>
  <c r="Z44" i="5"/>
  <c r="Z30" i="5"/>
  <c r="Z49" i="5"/>
  <c r="Z51" i="5" s="1"/>
  <c r="AR43" i="18" l="1"/>
  <c r="AR45" i="18" s="1"/>
  <c r="AR79" i="18" s="1"/>
  <c r="AR39" i="18"/>
  <c r="AS25" i="18"/>
  <c r="AQ43" i="18"/>
  <c r="AQ45" i="18" s="1"/>
  <c r="AQ79" i="18" s="1"/>
  <c r="AQ39" i="18"/>
  <c r="X78" i="5"/>
  <c r="Z59" i="5"/>
  <c r="Z61" i="5" s="1"/>
  <c r="X82" i="5" s="1"/>
  <c r="Z65" i="5"/>
  <c r="Z67" i="5" s="1"/>
  <c r="X86" i="5" s="1"/>
  <c r="AS39" i="18" l="1"/>
  <c r="AS43" i="18"/>
  <c r="AS45" i="18" s="1"/>
  <c r="AS79" i="18" s="1"/>
  <c r="D8" i="2"/>
  <c r="B32" i="2"/>
  <c r="D52" i="2"/>
  <c r="E52" i="2"/>
  <c r="D62" i="2"/>
  <c r="D63" i="2"/>
  <c r="D64" i="2"/>
  <c r="B68" i="2"/>
  <c r="B69" i="2"/>
  <c r="B70" i="2"/>
  <c r="B71" i="2"/>
  <c r="E71" i="2"/>
  <c r="F71" i="2"/>
  <c r="F19" i="9"/>
  <c r="F20" i="9"/>
  <c r="F32" i="9"/>
  <c r="F36" i="9"/>
  <c r="F39" i="9"/>
  <c r="F43" i="9"/>
  <c r="F47" i="9"/>
  <c r="F49" i="9"/>
  <c r="F50" i="9"/>
  <c r="F52" i="9"/>
  <c r="F62" i="9"/>
  <c r="F67" i="9"/>
  <c r="F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Z69" i="9"/>
  <c r="F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Z70" i="9"/>
  <c r="F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Z72" i="9"/>
  <c r="F75" i="9"/>
  <c r="F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Z76" i="9"/>
  <c r="F19" i="10"/>
  <c r="F20" i="10"/>
  <c r="F32" i="10"/>
  <c r="F36" i="10"/>
  <c r="F39" i="10"/>
  <c r="F44" i="10"/>
  <c r="F49" i="10"/>
  <c r="F51" i="10"/>
  <c r="F52" i="10"/>
  <c r="F54" i="10"/>
  <c r="F64" i="10"/>
  <c r="F67" i="10"/>
  <c r="F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Z69" i="10"/>
  <c r="F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Z70" i="10"/>
  <c r="F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Z72" i="10"/>
  <c r="F75" i="10"/>
  <c r="F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Z76" i="10"/>
  <c r="F19" i="12"/>
  <c r="F20" i="12"/>
  <c r="F32" i="12"/>
  <c r="F36" i="12"/>
  <c r="F39" i="12"/>
  <c r="F44" i="12"/>
  <c r="F49" i="12"/>
  <c r="F51" i="12"/>
  <c r="F52" i="12"/>
  <c r="F54" i="12"/>
  <c r="F64" i="12"/>
  <c r="F67" i="12"/>
  <c r="F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Z69" i="12"/>
  <c r="F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Z70" i="12"/>
  <c r="F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Z72" i="12"/>
  <c r="F75" i="12"/>
  <c r="F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Z76" i="12"/>
  <c r="E10" i="5"/>
  <c r="G10" i="5"/>
  <c r="AB10" i="5"/>
  <c r="E12" i="5"/>
  <c r="AB12" i="5"/>
  <c r="E18" i="5"/>
  <c r="G18" i="5"/>
  <c r="AB18" i="5"/>
  <c r="E22" i="5"/>
  <c r="G22" i="5"/>
  <c r="G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AA24" i="5"/>
  <c r="AB24" i="5"/>
  <c r="E25" i="5"/>
  <c r="G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AA25" i="5"/>
  <c r="AB25" i="5"/>
  <c r="E27" i="5"/>
  <c r="G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AA27" i="5"/>
  <c r="AB27" i="5"/>
  <c r="G29" i="5"/>
  <c r="AB29" i="5"/>
  <c r="E30" i="5"/>
  <c r="G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AA30" i="5"/>
  <c r="AB30" i="5"/>
  <c r="E39" i="5"/>
  <c r="G39" i="5"/>
  <c r="G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AA41" i="5"/>
  <c r="E42" i="5"/>
  <c r="G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AA42" i="5"/>
  <c r="E44" i="5"/>
  <c r="G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AA44" i="5"/>
  <c r="G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AA49" i="5"/>
  <c r="E51" i="5"/>
  <c r="G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AA51" i="5"/>
  <c r="D53" i="5"/>
  <c r="E59" i="5"/>
  <c r="G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AA59" i="5"/>
  <c r="E61" i="5"/>
  <c r="G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AA61" i="5"/>
  <c r="D62" i="5"/>
  <c r="E65" i="5"/>
  <c r="G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AA65" i="5"/>
  <c r="E67" i="5"/>
  <c r="G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AA67" i="5"/>
  <c r="D68" i="5"/>
  <c r="B77" i="5"/>
  <c r="D77" i="5"/>
  <c r="D78" i="5"/>
  <c r="E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Y78" i="5"/>
  <c r="D79" i="5"/>
  <c r="B81" i="5"/>
  <c r="D81" i="5"/>
  <c r="D82" i="5"/>
  <c r="E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Y82" i="5"/>
  <c r="D83" i="5"/>
  <c r="B85" i="5"/>
  <c r="D85" i="5"/>
  <c r="D86" i="5"/>
  <c r="E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Y86" i="5"/>
  <c r="D87" i="5"/>
  <c r="C97" i="6"/>
  <c r="C103" i="6"/>
  <c r="C106" i="6"/>
  <c r="C114" i="6"/>
  <c r="E118" i="6"/>
  <c r="E119" i="6"/>
  <c r="C140" i="6"/>
  <c r="C157" i="6"/>
  <c r="C161" i="6"/>
  <c r="D161" i="6"/>
  <c r="E161" i="6"/>
  <c r="C162" i="6"/>
  <c r="C163" i="6"/>
  <c r="D163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C167" i="6"/>
  <c r="D167" i="6"/>
  <c r="E167" i="6"/>
  <c r="F167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C172" i="6"/>
  <c r="D172" i="6"/>
  <c r="E172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C183" i="6"/>
  <c r="D183" i="6"/>
  <c r="E183" i="6"/>
  <c r="F183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G190" i="6"/>
  <c r="H190" i="6"/>
  <c r="I190" i="6"/>
  <c r="J190" i="6"/>
  <c r="K190" i="6"/>
  <c r="L190" i="6"/>
  <c r="H191" i="6"/>
  <c r="I191" i="6"/>
  <c r="J191" i="6"/>
  <c r="K191" i="6"/>
  <c r="L191" i="6"/>
  <c r="N191" i="6"/>
  <c r="O191" i="6"/>
  <c r="P191" i="6"/>
  <c r="Q191" i="6"/>
  <c r="R191" i="6"/>
  <c r="S191" i="6"/>
  <c r="T191" i="6"/>
  <c r="U191" i="6"/>
  <c r="V191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G195" i="6"/>
  <c r="H195" i="6"/>
  <c r="I195" i="6"/>
  <c r="J195" i="6"/>
  <c r="K195" i="6"/>
  <c r="L195" i="6"/>
  <c r="G196" i="6"/>
  <c r="H196" i="6"/>
  <c r="I196" i="6"/>
  <c r="J196" i="6"/>
  <c r="K196" i="6"/>
  <c r="L196" i="6"/>
  <c r="N196" i="6"/>
  <c r="O196" i="6"/>
  <c r="P196" i="6"/>
  <c r="Q196" i="6"/>
  <c r="R196" i="6"/>
  <c r="S196" i="6"/>
  <c r="T196" i="6"/>
  <c r="U196" i="6"/>
  <c r="V196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G206" i="6"/>
  <c r="H206" i="6"/>
  <c r="I206" i="6"/>
  <c r="J206" i="6"/>
  <c r="K206" i="6"/>
  <c r="L206" i="6"/>
  <c r="N212" i="6"/>
  <c r="O212" i="6"/>
  <c r="P212" i="6"/>
  <c r="Q212" i="6"/>
  <c r="R212" i="6"/>
  <c r="S212" i="6"/>
  <c r="T212" i="6"/>
  <c r="U212" i="6"/>
  <c r="V212" i="6"/>
  <c r="M213" i="6"/>
  <c r="N213" i="6"/>
  <c r="O213" i="6"/>
  <c r="P213" i="6"/>
  <c r="Q213" i="6"/>
  <c r="R213" i="6"/>
  <c r="S213" i="6"/>
  <c r="T213" i="6"/>
  <c r="U213" i="6"/>
  <c r="V213" i="6"/>
  <c r="N214" i="6"/>
  <c r="O214" i="6"/>
  <c r="P214" i="6"/>
  <c r="Q214" i="6"/>
  <c r="R214" i="6"/>
  <c r="S214" i="6"/>
  <c r="T214" i="6"/>
  <c r="U214" i="6"/>
  <c r="V214" i="6"/>
  <c r="M215" i="6"/>
  <c r="N215" i="6"/>
  <c r="O215" i="6"/>
  <c r="P215" i="6"/>
  <c r="Q215" i="6"/>
  <c r="R215" i="6"/>
  <c r="S215" i="6"/>
  <c r="T215" i="6"/>
  <c r="U215" i="6"/>
  <c r="V215" i="6"/>
  <c r="M217" i="6"/>
  <c r="N217" i="6"/>
  <c r="O217" i="6"/>
  <c r="P217" i="6"/>
  <c r="Q217" i="6"/>
  <c r="R217" i="6"/>
  <c r="S217" i="6"/>
  <c r="T217" i="6"/>
  <c r="U217" i="6"/>
  <c r="V217" i="6"/>
  <c r="M218" i="6"/>
  <c r="N218" i="6"/>
  <c r="O218" i="6"/>
  <c r="P218" i="6"/>
  <c r="Q218" i="6"/>
  <c r="R218" i="6"/>
  <c r="S218" i="6"/>
  <c r="T218" i="6"/>
  <c r="U218" i="6"/>
  <c r="V218" i="6"/>
  <c r="M219" i="6"/>
  <c r="N219" i="6"/>
  <c r="O219" i="6"/>
  <c r="P219" i="6"/>
  <c r="Q219" i="6"/>
  <c r="R219" i="6"/>
  <c r="S219" i="6"/>
  <c r="T219" i="6"/>
  <c r="U219" i="6"/>
  <c r="V219" i="6"/>
  <c r="M220" i="6"/>
  <c r="N220" i="6"/>
  <c r="O220" i="6"/>
  <c r="P220" i="6"/>
  <c r="Q220" i="6"/>
  <c r="R220" i="6"/>
  <c r="S220" i="6"/>
  <c r="T220" i="6"/>
  <c r="U220" i="6"/>
  <c r="V220" i="6"/>
  <c r="M222" i="6"/>
  <c r="N222" i="6"/>
  <c r="O222" i="6"/>
  <c r="P222" i="6"/>
  <c r="Q222" i="6"/>
  <c r="R222" i="6"/>
  <c r="S222" i="6"/>
  <c r="T222" i="6"/>
  <c r="U222" i="6"/>
  <c r="V222" i="6"/>
  <c r="M224" i="6"/>
  <c r="N224" i="6"/>
  <c r="O224" i="6"/>
  <c r="P224" i="6"/>
  <c r="Q224" i="6"/>
  <c r="R224" i="6"/>
  <c r="S224" i="6"/>
  <c r="T224" i="6"/>
  <c r="U224" i="6"/>
  <c r="V224" i="6"/>
  <c r="M225" i="6"/>
  <c r="N225" i="6"/>
  <c r="O225" i="6"/>
  <c r="P225" i="6"/>
  <c r="Q225" i="6"/>
  <c r="R225" i="6"/>
  <c r="S225" i="6"/>
  <c r="T225" i="6"/>
  <c r="U225" i="6"/>
  <c r="V225" i="6"/>
  <c r="M227" i="6"/>
  <c r="N227" i="6"/>
  <c r="O227" i="6"/>
  <c r="P227" i="6"/>
  <c r="Q227" i="6"/>
  <c r="R227" i="6"/>
  <c r="S227" i="6"/>
  <c r="T227" i="6"/>
  <c r="U227" i="6"/>
  <c r="V227" i="6"/>
  <c r="M228" i="6"/>
  <c r="N228" i="6"/>
  <c r="O228" i="6"/>
  <c r="P228" i="6"/>
  <c r="Q228" i="6"/>
  <c r="R228" i="6"/>
  <c r="S228" i="6"/>
  <c r="T228" i="6"/>
  <c r="U228" i="6"/>
  <c r="V228" i="6"/>
  <c r="M229" i="6"/>
  <c r="N229" i="6"/>
  <c r="O229" i="6"/>
  <c r="P229" i="6"/>
  <c r="Q229" i="6"/>
  <c r="R229" i="6"/>
  <c r="S229" i="6"/>
  <c r="T229" i="6"/>
  <c r="U229" i="6"/>
  <c r="V229" i="6"/>
  <c r="C233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M237" i="6"/>
  <c r="N237" i="6"/>
  <c r="O237" i="6"/>
  <c r="P237" i="6"/>
  <c r="Q237" i="6"/>
  <c r="R237" i="6"/>
  <c r="S237" i="6"/>
  <c r="T237" i="6"/>
  <c r="U237" i="6"/>
  <c r="V237" i="6"/>
  <c r="C239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B248" i="6"/>
  <c r="C250" i="6"/>
  <c r="D250" i="6"/>
  <c r="E250" i="6"/>
  <c r="F250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E254" i="6"/>
  <c r="J254" i="6"/>
  <c r="E255" i="6"/>
  <c r="J255" i="6"/>
  <c r="C258" i="6"/>
  <c r="D258" i="6"/>
  <c r="E258" i="6"/>
  <c r="F258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E8" i="18"/>
  <c r="G8" i="18"/>
  <c r="H8" i="18"/>
  <c r="AV8" i="18"/>
  <c r="E10" i="18"/>
  <c r="AV10" i="18"/>
  <c r="E16" i="18"/>
  <c r="G16" i="18"/>
  <c r="H16" i="18"/>
  <c r="AV16" i="18"/>
  <c r="E20" i="18"/>
  <c r="G20" i="18"/>
  <c r="H20" i="18"/>
  <c r="AV20" i="18"/>
  <c r="G22" i="18"/>
  <c r="H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T22" i="18"/>
  <c r="AU22" i="18"/>
  <c r="AV22" i="18"/>
  <c r="E23" i="18"/>
  <c r="G23" i="18"/>
  <c r="H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T23" i="18"/>
  <c r="AU23" i="18"/>
  <c r="AV23" i="18"/>
  <c r="E25" i="18"/>
  <c r="G25" i="18"/>
  <c r="H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T25" i="18"/>
  <c r="AU25" i="18"/>
  <c r="AV25" i="18"/>
  <c r="E27" i="18"/>
  <c r="AV27" i="18"/>
  <c r="E28" i="18"/>
  <c r="G28" i="18"/>
  <c r="H28" i="18"/>
  <c r="E34" i="18"/>
  <c r="G34" i="18"/>
  <c r="H34" i="18"/>
  <c r="G36" i="18"/>
  <c r="H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/>
  <c r="AD36" i="18"/>
  <c r="AE36" i="18"/>
  <c r="AF36" i="18"/>
  <c r="AG36" i="18"/>
  <c r="AH36" i="18"/>
  <c r="AI36" i="18"/>
  <c r="AJ36" i="18"/>
  <c r="AK36" i="18"/>
  <c r="AL36" i="18"/>
  <c r="AM36" i="18"/>
  <c r="AN36" i="18"/>
  <c r="AT36" i="18"/>
  <c r="AU36" i="18"/>
  <c r="E37" i="18"/>
  <c r="G37" i="18"/>
  <c r="H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AF37" i="18"/>
  <c r="AG37" i="18"/>
  <c r="AH37" i="18"/>
  <c r="AI37" i="18"/>
  <c r="AJ37" i="18"/>
  <c r="AK37" i="18"/>
  <c r="AL37" i="18"/>
  <c r="AM37" i="18"/>
  <c r="AN37" i="18"/>
  <c r="AT37" i="18"/>
  <c r="AU37" i="18"/>
  <c r="E39" i="18"/>
  <c r="G39" i="18"/>
  <c r="H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H39" i="18"/>
  <c r="AI39" i="18"/>
  <c r="AJ39" i="18"/>
  <c r="AK39" i="18"/>
  <c r="AL39" i="18"/>
  <c r="AM39" i="18"/>
  <c r="AN39" i="18"/>
  <c r="AT39" i="18"/>
  <c r="AU39" i="18"/>
  <c r="E43" i="18"/>
  <c r="F43" i="18"/>
  <c r="G43" i="18"/>
  <c r="H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AH43" i="18"/>
  <c r="AI43" i="18"/>
  <c r="AJ43" i="18"/>
  <c r="AK43" i="18"/>
  <c r="AL43" i="18"/>
  <c r="AM43" i="18"/>
  <c r="AN43" i="18"/>
  <c r="AT43" i="18"/>
  <c r="AU43" i="18"/>
  <c r="AV43" i="18"/>
  <c r="E45" i="18"/>
  <c r="F45" i="18"/>
  <c r="G45" i="18"/>
  <c r="H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F45" i="18"/>
  <c r="AG45" i="18"/>
  <c r="AH45" i="18"/>
  <c r="AI45" i="18"/>
  <c r="AJ45" i="18"/>
  <c r="AK45" i="18"/>
  <c r="AL45" i="18"/>
  <c r="AM45" i="18"/>
  <c r="AN45" i="18"/>
  <c r="AT45" i="18"/>
  <c r="AU45" i="18"/>
  <c r="D47" i="18"/>
  <c r="B60" i="18"/>
  <c r="D60" i="18"/>
  <c r="D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Z61" i="18"/>
  <c r="AA61" i="18"/>
  <c r="AB61" i="18"/>
  <c r="AC61" i="18"/>
  <c r="D62" i="18"/>
  <c r="B64" i="18"/>
  <c r="D64" i="18"/>
  <c r="D65" i="18"/>
  <c r="H65" i="18"/>
  <c r="I65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Z65" i="18"/>
  <c r="AA65" i="18"/>
  <c r="AB65" i="18"/>
  <c r="AC65" i="18"/>
  <c r="D66" i="18"/>
  <c r="B68" i="18"/>
  <c r="D68" i="18"/>
  <c r="D69" i="18"/>
  <c r="H69" i="18"/>
  <c r="I69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Z69" i="18"/>
  <c r="AA69" i="18"/>
  <c r="AB69" i="18"/>
  <c r="AC69" i="18"/>
  <c r="D70" i="18"/>
  <c r="B78" i="18"/>
  <c r="E79" i="18"/>
  <c r="G79" i="18"/>
  <c r="H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Z79" i="18"/>
  <c r="AA79" i="18"/>
  <c r="AB79" i="18"/>
  <c r="AC79" i="18"/>
  <c r="AD79" i="18"/>
  <c r="AE79" i="18"/>
  <c r="AF79" i="18"/>
  <c r="AG79" i="18"/>
  <c r="AH79" i="18"/>
  <c r="AI79" i="18"/>
  <c r="AJ79" i="18"/>
  <c r="AK79" i="18"/>
  <c r="AL79" i="18"/>
  <c r="AM79" i="18"/>
  <c r="AN79" i="18"/>
  <c r="AT79" i="18"/>
  <c r="AU79" i="18"/>
  <c r="D80" i="18"/>
  <c r="B86" i="18"/>
  <c r="E87" i="18"/>
  <c r="G87" i="18"/>
  <c r="H87" i="18"/>
  <c r="D88" i="18"/>
  <c r="E18" i="4"/>
  <c r="E19" i="4"/>
  <c r="E31" i="4"/>
  <c r="E35" i="4"/>
  <c r="E38" i="4"/>
  <c r="E42" i="4"/>
  <c r="E48" i="4"/>
  <c r="E50" i="4"/>
  <c r="E51" i="4"/>
  <c r="E53" i="4"/>
  <c r="F19" i="11"/>
  <c r="F20" i="11"/>
  <c r="F32" i="11"/>
  <c r="F36" i="11"/>
  <c r="F39" i="11"/>
  <c r="F44" i="11"/>
  <c r="F49" i="11"/>
  <c r="F51" i="11"/>
  <c r="F52" i="11"/>
  <c r="F54" i="11"/>
  <c r="F64" i="11"/>
  <c r="F67" i="11"/>
  <c r="F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Z69" i="11"/>
  <c r="F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Z70" i="11"/>
  <c r="F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Z72" i="11"/>
  <c r="F75" i="11"/>
  <c r="F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Z76" i="11"/>
  <c r="B54" i="1"/>
  <c r="C54" i="1"/>
  <c r="D54" i="1"/>
  <c r="B55" i="1"/>
  <c r="C55" i="1"/>
  <c r="D55" i="1"/>
  <c r="E11" i="8"/>
  <c r="E14" i="8"/>
  <c r="E16" i="8"/>
  <c r="E18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Y20" i="8"/>
  <c r="E21" i="8"/>
  <c r="X22" i="8"/>
  <c r="Y22" i="8"/>
  <c r="E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Y23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X24" i="8"/>
  <c r="Y24" i="8"/>
  <c r="E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Y26" i="8"/>
  <c r="E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Y28" i="8"/>
  <c r="E32" i="8"/>
  <c r="E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Y35" i="8"/>
  <c r="E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Y36" i="8"/>
  <c r="E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Y39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E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E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F19" i="13"/>
  <c r="F20" i="13"/>
  <c r="F32" i="13"/>
  <c r="F36" i="13"/>
  <c r="F39" i="13"/>
  <c r="F44" i="13"/>
  <c r="F49" i="13"/>
  <c r="F51" i="13"/>
  <c r="F52" i="13"/>
  <c r="F54" i="13"/>
  <c r="F64" i="13"/>
  <c r="F67" i="13"/>
  <c r="F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Z69" i="13"/>
  <c r="F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Z70" i="13"/>
  <c r="F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Z72" i="13"/>
  <c r="F75" i="13"/>
  <c r="F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Z76" i="13"/>
  <c r="F82" i="13"/>
  <c r="F84" i="13"/>
  <c r="F91" i="13"/>
  <c r="F19" i="14"/>
  <c r="F20" i="14"/>
  <c r="F32" i="14"/>
  <c r="F36" i="14"/>
  <c r="F39" i="14"/>
  <c r="F44" i="14"/>
  <c r="F49" i="14"/>
  <c r="F51" i="14"/>
  <c r="F52" i="14"/>
  <c r="F54" i="14"/>
  <c r="F64" i="14"/>
  <c r="F67" i="14"/>
  <c r="F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Z69" i="14"/>
  <c r="F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Z70" i="14"/>
  <c r="F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Z72" i="14"/>
  <c r="F75" i="14"/>
  <c r="F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Z76" i="14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I420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B488" authorId="0" shapeId="0">
      <text>
        <r>
          <rPr>
            <sz val="8"/>
            <color indexed="81"/>
            <rFont val="Tahoma"/>
          </rPr>
          <t>Management Fee Toggle</t>
        </r>
      </text>
    </comment>
    <comment ref="A509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I514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I420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B488" authorId="0" shapeId="0">
      <text>
        <r>
          <rPr>
            <sz val="8"/>
            <color indexed="81"/>
            <rFont val="Tahoma"/>
          </rPr>
          <t>Management Fee Toggle</t>
        </r>
      </text>
    </comment>
    <comment ref="A509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I514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</authors>
  <commentList>
    <comment ref="I420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B488" authorId="0" shapeId="0">
      <text>
        <r>
          <rPr>
            <sz val="8"/>
            <color indexed="81"/>
            <rFont val="Tahoma"/>
          </rPr>
          <t>Management Fee Toggle</t>
        </r>
      </text>
    </comment>
    <comment ref="A509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I514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I420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B488" authorId="0" shapeId="0">
      <text>
        <r>
          <rPr>
            <sz val="8"/>
            <color indexed="81"/>
            <rFont val="Tahoma"/>
          </rPr>
          <t>Management Fee Toggle</t>
        </r>
      </text>
    </comment>
    <comment ref="A509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I514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5.xml><?xml version="1.0" encoding="utf-8"?>
<comments xmlns="http://schemas.openxmlformats.org/spreadsheetml/2006/main">
  <authors>
    <author>A satisfied Microsoft Office user</author>
  </authors>
  <commentList>
    <comment ref="G7" authorId="0" shapeId="0">
      <text>
        <r>
          <rPr>
            <sz val="8"/>
            <color indexed="81"/>
            <rFont val="Tahoma"/>
          </rPr>
          <t>ect:
Average cost per turbine used due to different turbine types</t>
        </r>
      </text>
    </comment>
    <comment ref="AA7" authorId="0" shapeId="0">
      <text>
        <r>
          <rPr>
            <sz val="8"/>
            <color indexed="81"/>
            <rFont val="Tahoma"/>
          </rPr>
          <t>ect:
Average cost per turbine used due to different turbine types</t>
        </r>
      </text>
    </comment>
  </commentList>
</comments>
</file>

<file path=xl/sharedStrings.xml><?xml version="1.0" encoding="utf-8"?>
<sst xmlns="http://schemas.openxmlformats.org/spreadsheetml/2006/main" count="1163" uniqueCount="517">
  <si>
    <t>NOTES</t>
  </si>
  <si>
    <t>2. All cells with blue font and yellow shading are input cells</t>
  </si>
  <si>
    <t>3. To run custom capacity price scenarios, please input the custom prices in yellow shaded rows provided  in "Power Price Assumptions"</t>
  </si>
  <si>
    <t>4. You can run preset scenarios in the "Preset Scenarios" section below.</t>
  </si>
  <si>
    <t>5. Please direct all questions concerning the model to:</t>
  </si>
  <si>
    <t>Reda Khatim</t>
  </si>
  <si>
    <t>- CSFB</t>
  </si>
  <si>
    <t>(212) 325-9142</t>
  </si>
  <si>
    <t>Clement Lau</t>
  </si>
  <si>
    <t>- Enron</t>
  </si>
  <si>
    <t>(713) 853-9446</t>
  </si>
  <si>
    <t>Grant Zimmerman</t>
  </si>
  <si>
    <t>(713) 853-6210</t>
  </si>
  <si>
    <t>PRESET SCENARIOS</t>
  </si>
  <si>
    <t xml:space="preserve">Annual Escalator </t>
  </si>
  <si>
    <t>(include costs, revenues, and capacity prices)</t>
  </si>
  <si>
    <t>Operating Expenses</t>
  </si>
  <si>
    <t>Dispatch</t>
  </si>
  <si>
    <t>Kaiser Capacity Price Estimates</t>
  </si>
  <si>
    <t>EQUITY</t>
  </si>
  <si>
    <t>DSCR</t>
  </si>
  <si>
    <t>PARTNER'S</t>
  </si>
  <si>
    <t>FIXED PRICE PERIOD</t>
  </si>
  <si>
    <t>MARKET PRICE PERIOD</t>
  </si>
  <si>
    <t>IRR</t>
  </si>
  <si>
    <t>MIN</t>
  </si>
  <si>
    <t>AVGE</t>
  </si>
  <si>
    <t>AVG</t>
  </si>
  <si>
    <t>Sensitivity Selections:</t>
  </si>
  <si>
    <t>Choices</t>
  </si>
  <si>
    <t>Annual Escalator (%)</t>
  </si>
  <si>
    <t>Increase in Operating Expense (%)</t>
  </si>
  <si>
    <t>Kaiser Price Options</t>
  </si>
  <si>
    <t>Base</t>
  </si>
  <si>
    <t>Low</t>
  </si>
  <si>
    <t>Customize</t>
  </si>
  <si>
    <t>Chosen</t>
  </si>
  <si>
    <t>ASSUMPTIONS &amp; SUMMARY OUTPUT</t>
  </si>
  <si>
    <t>SOURCES &amp; USES:</t>
  </si>
  <si>
    <t>TECHNICAL ASSUMPTIONS:</t>
  </si>
  <si>
    <t>1999 PROJECTS</t>
  </si>
  <si>
    <t>2000 PROJECTS</t>
  </si>
  <si>
    <t>Sources of Funds</t>
  </si>
  <si>
    <t>%</t>
  </si>
  <si>
    <t>000 $</t>
  </si>
  <si>
    <t>Uses of Funds 1999</t>
  </si>
  <si>
    <t xml:space="preserve">Total Equity </t>
  </si>
  <si>
    <t>1999 Uses</t>
  </si>
  <si>
    <t>Brownsville</t>
  </si>
  <si>
    <t>Caledonia</t>
  </si>
  <si>
    <t>New Albany</t>
  </si>
  <si>
    <t>Calvert</t>
  </si>
  <si>
    <t>Wheatland</t>
  </si>
  <si>
    <t>Wilton</t>
  </si>
  <si>
    <t>Bond Proceeds</t>
  </si>
  <si>
    <t>2000 Uses</t>
  </si>
  <si>
    <t>Nominal Capacity (MW)</t>
  </si>
  <si>
    <t>Degradation Factor</t>
  </si>
  <si>
    <t>Total Sources</t>
  </si>
  <si>
    <t>Transactions Costs</t>
  </si>
  <si>
    <t>Number of Turbines</t>
  </si>
  <si>
    <t>Heat Rate Btu/ kWh</t>
  </si>
  <si>
    <t>Equity Partner's Share</t>
  </si>
  <si>
    <t xml:space="preserve"> Total Uses</t>
  </si>
  <si>
    <t>Permitted Hours</t>
  </si>
  <si>
    <t>Enron's Share</t>
  </si>
  <si>
    <t>Annual Operating Hours</t>
  </si>
  <si>
    <t>Annual Generation (MWh)</t>
  </si>
  <si>
    <t>CAPITAL MARKET DEBT ASSUMPTIONS:</t>
  </si>
  <si>
    <t>Initial Spare Parts (000$)</t>
  </si>
  <si>
    <t>Tranche 1</t>
  </si>
  <si>
    <t>Tranche 2</t>
  </si>
  <si>
    <t>Tranche 3</t>
  </si>
  <si>
    <t>Total</t>
  </si>
  <si>
    <t>Number of Starts per year</t>
  </si>
  <si>
    <t>Summary</t>
  </si>
  <si>
    <t>Evaporative Cooler (MW) (only from 6/1/2000 onwards)</t>
  </si>
  <si>
    <t>Amount ('000 $)</t>
  </si>
  <si>
    <t>Term (yrs)</t>
  </si>
  <si>
    <t>PPA &amp; MARKET PRICE ASSUMPTIONS:</t>
  </si>
  <si>
    <t>Final Maturity</t>
  </si>
  <si>
    <t>Average Life (yrs)</t>
  </si>
  <si>
    <t>PPA Period</t>
  </si>
  <si>
    <t>Demand Charge ($/kW-m)</t>
  </si>
  <si>
    <t>Energy Charge ($/MWh)</t>
  </si>
  <si>
    <t>Treasury Rate (%)</t>
  </si>
  <si>
    <t>Block Charge ($/start/turbine)</t>
  </si>
  <si>
    <t>Spread (%)</t>
  </si>
  <si>
    <t>Contractual Capacity</t>
  </si>
  <si>
    <t>All In Coupon Rate (%)</t>
  </si>
  <si>
    <t>Debt Service Reserve LOC Fee</t>
  </si>
  <si>
    <t>Market Period</t>
  </si>
  <si>
    <t>Interest Income Rate</t>
  </si>
  <si>
    <t>Degraded Capacity (used during market price period)</t>
  </si>
  <si>
    <t>Annual Degraded Generation (MWh)</t>
  </si>
  <si>
    <t>Capacity Factor for Market Period Energy Margins</t>
  </si>
  <si>
    <t>DEPRECIATION ASSUMPTIONS:</t>
  </si>
  <si>
    <t>Market Period Energy Margin ($/MWh)</t>
  </si>
  <si>
    <t>Initial Basis (000 $)</t>
  </si>
  <si>
    <t>Year</t>
  </si>
  <si>
    <t>Method</t>
  </si>
  <si>
    <t>Residual (%)</t>
  </si>
  <si>
    <t>End of Fixed Price Period</t>
  </si>
  <si>
    <t>Federal &amp; State Tax Depreciation</t>
  </si>
  <si>
    <t>Annual Escalator (Variable Rate Only)</t>
  </si>
  <si>
    <t xml:space="preserve">EPC Costs </t>
  </si>
  <si>
    <t>MACRS</t>
  </si>
  <si>
    <t xml:space="preserve">Transaction Costs </t>
  </si>
  <si>
    <t>SL</t>
  </si>
  <si>
    <t>TAX ASSUMPTIONS:</t>
  </si>
  <si>
    <t>Book Depreciation</t>
  </si>
  <si>
    <t>Federal Income Tax Rate</t>
  </si>
  <si>
    <t>State Income Tax Rate</t>
  </si>
  <si>
    <t>Franchise Tax Rate</t>
  </si>
  <si>
    <t>Gross Receipt Tax Rate</t>
  </si>
  <si>
    <t>N/A</t>
  </si>
  <si>
    <t>SUMMARY OUTPUT:</t>
  </si>
  <si>
    <t>OPERATING COSTS ASSUMPTIONS:</t>
  </si>
  <si>
    <t>Variable O&amp;M ($/MWh)</t>
  </si>
  <si>
    <t>Min</t>
  </si>
  <si>
    <t>Avg.</t>
  </si>
  <si>
    <t>Marketing Fee ($/kW -m in 2003 $)</t>
  </si>
  <si>
    <t>CPI Escalator</t>
  </si>
  <si>
    <t>1999 Projects</t>
  </si>
  <si>
    <t>2000 Projects</t>
  </si>
  <si>
    <t>1999 &amp; 2000 Projects</t>
  </si>
  <si>
    <t>Average Heat Rate (average) (Btu/kWh)</t>
  </si>
  <si>
    <t>Escalated Costs (1999 $):</t>
  </si>
  <si>
    <t>Fixed O&amp;M</t>
  </si>
  <si>
    <t>Total Nominal Capacity for 1999 &amp; 2000 Projects (MW)</t>
  </si>
  <si>
    <t>Variable O&amp;M</t>
  </si>
  <si>
    <t>Major Maintenance &amp; Ongoing Capex</t>
  </si>
  <si>
    <t>Total Cost per MW (000 $)</t>
  </si>
  <si>
    <t>Insurance</t>
  </si>
  <si>
    <t xml:space="preserve">SG&amp;A </t>
  </si>
  <si>
    <t>Utilities, Start Power</t>
  </si>
  <si>
    <t>Admin Fees</t>
  </si>
  <si>
    <t>O&amp;M Fees</t>
  </si>
  <si>
    <t>Non-Escalated Costs (1999 $):</t>
  </si>
  <si>
    <t>Property Taxes &amp; Other (4yr Avg.)</t>
  </si>
  <si>
    <t>EGC EBITDA (000 $)</t>
  </si>
  <si>
    <t>EGC Net Income (000 $)</t>
  </si>
  <si>
    <t>EGC Pre-Tax Cashflow (000 $)</t>
  </si>
  <si>
    <t>EGC After-Tax Cashflow (000 $)</t>
  </si>
  <si>
    <t>POWER PRICE ASSUMPTIONS</t>
  </si>
  <si>
    <t>Kaiser Capacity Price Escalator</t>
  </si>
  <si>
    <t>TVA Capacity Curves:</t>
  </si>
  <si>
    <t>(for Caledonia, New Albany, Brownsville and Calvert City)</t>
  </si>
  <si>
    <t>1998 $</t>
  </si>
  <si>
    <t>Kaiser Base ($/kw-year)</t>
  </si>
  <si>
    <t>Kaiser Low ($/kw-year)</t>
  </si>
  <si>
    <t>Nominal $</t>
  </si>
  <si>
    <t>Kaiser Base ($/kw-year )</t>
  </si>
  <si>
    <t>Kaiser Base ($/kW-month)</t>
  </si>
  <si>
    <t>Kaiser Low ($/kW-month)</t>
  </si>
  <si>
    <t>Custom</t>
  </si>
  <si>
    <t>PPA Fixed Price ($/kW-month)</t>
  </si>
  <si>
    <t>Kaiser Scenario after 2003</t>
  </si>
  <si>
    <t>ComEd Capacity Curves:</t>
  </si>
  <si>
    <t>(for Wilton Center)</t>
  </si>
  <si>
    <t>Debt Service Reserve LOC Fee (Nominal $)</t>
  </si>
  <si>
    <t>Southern ECAR Capacity Curves:</t>
  </si>
  <si>
    <t>(for Wheatland)</t>
  </si>
  <si>
    <t>EGC INCOME STATEMENT</t>
  </si>
  <si>
    <t>('000 $)</t>
  </si>
  <si>
    <t>Revenue</t>
  </si>
  <si>
    <t>PPA Period:</t>
  </si>
  <si>
    <t>Demand Payment</t>
  </si>
  <si>
    <t>Energy Payment</t>
  </si>
  <si>
    <t>Block Payment</t>
  </si>
  <si>
    <t>Market Period:</t>
  </si>
  <si>
    <t xml:space="preserve">Variable Revenue </t>
  </si>
  <si>
    <t>Energy Margin</t>
  </si>
  <si>
    <t>Interest Income</t>
  </si>
  <si>
    <t>Total Revenue</t>
  </si>
  <si>
    <t>Expense</t>
  </si>
  <si>
    <t xml:space="preserve">Fuel </t>
  </si>
  <si>
    <t xml:space="preserve">Variable O&amp;M </t>
  </si>
  <si>
    <t>Utility Start Power</t>
  </si>
  <si>
    <r>
      <t xml:space="preserve">Property, Other Tax </t>
    </r>
    <r>
      <rPr>
        <vertAlign val="superscript"/>
        <sz val="10"/>
        <rFont val="Times New Roman"/>
        <family val="1"/>
      </rPr>
      <t>(1)</t>
    </r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</si>
  <si>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</si>
  <si>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</si>
  <si>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</si>
  <si>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</si>
  <si>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</si>
  <si>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</si>
  <si>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</si>
  <si>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</si>
  <si>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</si>
  <si>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</si>
  <si>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</si>
  <si>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Net Income</t>
  </si>
  <si>
    <t>Capital Expenditures</t>
  </si>
  <si>
    <t>Debt Service</t>
  </si>
  <si>
    <t>Pre Tax Cash Flow</t>
  </si>
  <si>
    <t xml:space="preserve">  EGC's State Tax Benefit / (Expense)</t>
  </si>
  <si>
    <t xml:space="preserve">  EGC's Federal Tax Benefit / (Expense)</t>
  </si>
  <si>
    <t>After Tax Cash Flow</t>
  </si>
  <si>
    <t>Equity Partner Net Income</t>
  </si>
  <si>
    <t>Equity Partner Distributable Cash</t>
  </si>
  <si>
    <t>EQUITY PARTNER'S CASHFLOW</t>
  </si>
  <si>
    <t xml:space="preserve"> Equity Partner's State Taxes Benefit (Expense)</t>
  </si>
  <si>
    <t xml:space="preserve"> Equity Partner's Federal Taxes Benefit (Expense)</t>
  </si>
  <si>
    <t>50% Equity on 12/99, 50% on 3/00</t>
  </si>
  <si>
    <t>Distributable After Tax Cash to Equity Partner</t>
  </si>
  <si>
    <t>Equity Contributions from Equity Partner</t>
  </si>
  <si>
    <t>Equity Partner's Cashflow Stream</t>
  </si>
  <si>
    <t>Actual IRR</t>
  </si>
  <si>
    <t>Required Equity Investment from Equity Partner</t>
  </si>
  <si>
    <t>Equity Partner's Cashflow with 5x EBITDA Residual Value</t>
  </si>
  <si>
    <t>CF</t>
  </si>
  <si>
    <t>5x EBITDA Terminal Value</t>
  </si>
  <si>
    <t>Net CF</t>
  </si>
  <si>
    <t>Equity Partner's After-Tax IRR w/ 5x EBITDA Residual (20 yr.)</t>
  </si>
  <si>
    <t>Equity Partner's Cashflow with 50% Project Price Residual Value</t>
  </si>
  <si>
    <t>50% Total Cost Terminal Value</t>
  </si>
  <si>
    <t xml:space="preserve">Equity Partner's After-Tax IRR w/ 50% Total Cost Residual (20 yrs) </t>
  </si>
  <si>
    <t>IRR Calculation</t>
  </si>
  <si>
    <t>Equity Partner's Contribution discounted @</t>
  </si>
  <si>
    <t>Equity Partner's Cashflow with No Residual Value</t>
  </si>
  <si>
    <t xml:space="preserve">   IRR</t>
  </si>
  <si>
    <t>Spread</t>
  </si>
  <si>
    <t xml:space="preserve">Spread </t>
  </si>
  <si>
    <t>All In Coupon Rate</t>
  </si>
  <si>
    <t>Maturity Tranche 1</t>
  </si>
  <si>
    <t>Maturity Tranche 2</t>
  </si>
  <si>
    <t>Average Life Tranche 1</t>
  </si>
  <si>
    <t>Average Life Tranche 2</t>
  </si>
  <si>
    <t>Total amount ($ '000)</t>
  </si>
  <si>
    <t>EGC SENIOR DEBT</t>
  </si>
  <si>
    <t>Annual Amortization Tranche 1</t>
  </si>
  <si>
    <t>Annual Amortization Tranche 2</t>
  </si>
  <si>
    <t>Annual Amortization Tranche 3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</si>
  <si>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</si>
  <si>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</si>
  <si>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</si>
  <si>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</si>
  <si>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</si>
  <si>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DSCR Fixed Price PPA Period</t>
  </si>
  <si>
    <t>NA</t>
  </si>
  <si>
    <t xml:space="preserve">DSCR Market Price Period </t>
  </si>
  <si>
    <t>EGC DEPRECIATION SCHEDULE</t>
  </si>
  <si>
    <t>1999 PPA Fixed Price (Months)</t>
  </si>
  <si>
    <t>1999 PPA Market Price (Months)</t>
  </si>
  <si>
    <t>2000 PPA Fixed Price (Months)</t>
  </si>
  <si>
    <t>2000 PPA Market Price (Months)</t>
  </si>
  <si>
    <t>15 Year MACRS Table</t>
  </si>
  <si>
    <t>Half-Year Convention</t>
  </si>
  <si>
    <t>US FEDERAL TAX DEPRECIATION &amp; AMORTIZATION</t>
  </si>
  <si>
    <t>Depr. %</t>
  </si>
  <si>
    <t>Years</t>
  </si>
  <si>
    <t>Total Hard Costs, Capitalized Interests, and Contingency- MACRS</t>
  </si>
  <si>
    <t>Transaction Costs</t>
  </si>
  <si>
    <t>Total Hard Costs and Capitalized Interests (Land not included)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</si>
  <si>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</si>
  <si>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</si>
  <si>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</si>
  <si>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</si>
  <si>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</si>
  <si>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Total Hard Costs, Capitalized Interests, and Contingency- SL</t>
  </si>
  <si>
    <t>Ending Book Value of Assets</t>
  </si>
  <si>
    <t>Total Ending Book Value</t>
  </si>
  <si>
    <t>EGC TAXES</t>
  </si>
  <si>
    <t>STATE TAXES</t>
  </si>
  <si>
    <t>State Income Taxes</t>
  </si>
  <si>
    <t xml:space="preserve">   Pretax Book Income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</si>
  <si>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</si>
  <si>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</si>
  <si>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</si>
  <si>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Weighted Average State Income Tax Rate</t>
  </si>
  <si>
    <t xml:space="preserve">   Current State Income Tax Expense (Benefit)</t>
  </si>
  <si>
    <t xml:space="preserve">   Beginning NOL's</t>
  </si>
  <si>
    <t xml:space="preserve">   New NOL's</t>
  </si>
  <si>
    <t xml:space="preserve">   Expired NOL's</t>
  </si>
  <si>
    <t xml:space="preserve">   NOL Utilization</t>
  </si>
  <si>
    <t xml:space="preserve">   Ending NOL's</t>
  </si>
  <si>
    <t>TOTAL STATE TAXES</t>
  </si>
  <si>
    <r>
      <t>Plus: Supplemental Tax</t>
    </r>
    <r>
      <rPr>
        <b/>
        <vertAlign val="superscript"/>
        <sz val="10"/>
        <rFont val="Times New Roman"/>
        <family val="1"/>
      </rPr>
      <t>(1)</t>
    </r>
  </si>
  <si>
    <t xml:space="preserve">        Total State Taxes Utilizing NOLs</t>
  </si>
  <si>
    <t>FEDERAL TAXES</t>
  </si>
  <si>
    <t xml:space="preserve">   Less: Federal Tax Depreciation</t>
  </si>
  <si>
    <t xml:space="preserve">   Less: State Taxes</t>
  </si>
  <si>
    <t xml:space="preserve">   Taxable Income</t>
  </si>
  <si>
    <t xml:space="preserve">   Federal Tax Rate</t>
  </si>
  <si>
    <t xml:space="preserve">   Federal Tax Expense/ (Benefit)</t>
  </si>
  <si>
    <t xml:space="preserve">   NOL Carryforward</t>
  </si>
  <si>
    <t xml:space="preserve">   Total Federal Cash Taxes Payable/(Benefit)</t>
  </si>
  <si>
    <t>Utility Start Up Power</t>
  </si>
  <si>
    <t>Property, Other Taxes</t>
  </si>
  <si>
    <t>Debt Service L/C Fee</t>
  </si>
  <si>
    <t>Brownsville Net Income</t>
  </si>
  <si>
    <t>CASH FLOW BROWNSVILLE</t>
  </si>
  <si>
    <t>Investor Interest</t>
  </si>
  <si>
    <t>Investor Net Income</t>
  </si>
  <si>
    <t>Investor Distributable Cash</t>
  </si>
  <si>
    <t>Demand Revenue</t>
  </si>
  <si>
    <t>Caledonia Net Income</t>
  </si>
  <si>
    <t>CASH FLOW CALEDONIA</t>
  </si>
  <si>
    <t>New Albany Net Income</t>
  </si>
  <si>
    <t>CASH FLOW  NEW ALBANY</t>
  </si>
  <si>
    <t>Calvert Net Income</t>
  </si>
  <si>
    <t>CASH FLOW CALVERT</t>
  </si>
  <si>
    <t>INCOME STATEMENT - WHEATLAND</t>
  </si>
  <si>
    <t>Wheatland Net Income</t>
  </si>
  <si>
    <t>CASH FLOW - WHEATLAND</t>
  </si>
  <si>
    <t>INCOME/ GROSS RECEIPTS TAX - WHEATLAND (SPECIFIC TO WHEATLAND ONLY)</t>
  </si>
  <si>
    <t>Adjusted Gross Income Tax</t>
  </si>
  <si>
    <t xml:space="preserve">   Book Income</t>
  </si>
  <si>
    <t xml:space="preserve">   Adjusted Gross Income Rate</t>
  </si>
  <si>
    <t xml:space="preserve">   State Adjusted Gross Income Tax</t>
  </si>
  <si>
    <t>State Gross Receipts Taxes</t>
  </si>
  <si>
    <t xml:space="preserve">   Gross Receipts on non TVA hours ONLY</t>
  </si>
  <si>
    <t xml:space="preserve">   Gross Receipts Tax Rate</t>
  </si>
  <si>
    <t xml:space="preserve">   Gross Receipts Tax Liability</t>
  </si>
  <si>
    <t xml:space="preserve">   Greater of Adjusted or Gross Receipts</t>
  </si>
  <si>
    <t>Wilton Net Income</t>
  </si>
  <si>
    <t>CASH FLOW WILTON</t>
  </si>
  <si>
    <t>EGC BLOCK CHARGE MATRIX</t>
  </si>
  <si>
    <t>EGC START COST MATRIX</t>
  </si>
  <si>
    <t xml:space="preserve">Start Charge Matrix </t>
  </si>
  <si>
    <t>Starts/ yr</t>
  </si>
  <si>
    <t>Unit Cost per Start (1999 $)</t>
  </si>
  <si>
    <t>Major Maintenance Charge per Turbine per Start ($)</t>
  </si>
  <si>
    <t>Major Maintenance Charge ($000)</t>
  </si>
  <si>
    <t>Unit Cost per Start ($)</t>
  </si>
  <si>
    <t>Major Maintenance Cost per Turbine per Start ($)</t>
  </si>
  <si>
    <t>Total Major Maintenance Cost (1999 $)</t>
  </si>
  <si>
    <t>501D5A</t>
  </si>
  <si>
    <t>GE7EA,GE7B</t>
  </si>
  <si>
    <t>501D5</t>
  </si>
  <si>
    <t>501F, 501FD</t>
  </si>
  <si>
    <t>ALLOCATION</t>
  </si>
  <si>
    <t>Project</t>
  </si>
  <si>
    <t>Capacity (MW)</t>
  </si>
  <si>
    <t xml:space="preserve">   Sub Total</t>
  </si>
  <si>
    <t>Land as a Percentage of Total Project Cost (%)</t>
  </si>
  <si>
    <t>1999 Land/ Total 1999 Cost</t>
  </si>
  <si>
    <t>2000 Land/ Total 2000 Cost</t>
  </si>
  <si>
    <t>Variable O&amp;M (1998$/MWh)</t>
  </si>
  <si>
    <t>Heat Rate (BTU/kWh)</t>
  </si>
  <si>
    <t xml:space="preserve">FUEL </t>
  </si>
  <si>
    <t>(de-escalate at 3% to 1998 $, and using nominal MW)</t>
  </si>
  <si>
    <r>
      <t>Fixed O&amp;M (1998$/ kWyr)</t>
    </r>
    <r>
      <rPr>
        <b/>
        <vertAlign val="superscript"/>
        <sz val="9"/>
        <rFont val="Times New Roman"/>
        <family val="1"/>
      </rPr>
      <t>*</t>
    </r>
  </si>
  <si>
    <t>* Include Fixed O&amp;M, Insurance, SG&amp;A, Property Tax, Admin Fees, O&amp;M Fees, and Utilities Start Power</t>
  </si>
  <si>
    <t>* If include Major Maintenance, the average Fixed O&amp;M (1998$/ kWyr) would be $8.39/ kWyr</t>
  </si>
  <si>
    <r>
      <t>Fixed O&amp;M (1998$/ kWyr)</t>
    </r>
    <r>
      <rPr>
        <b/>
        <vertAlign val="superscript"/>
        <sz val="9"/>
        <rFont val="Times New Roman"/>
        <family val="1"/>
      </rPr>
      <t>**</t>
    </r>
  </si>
  <si>
    <r>
      <t>Variable O&amp;M (1998$/MWh)</t>
    </r>
    <r>
      <rPr>
        <b/>
        <vertAlign val="superscript"/>
        <sz val="9"/>
        <rFont val="Times New Roman"/>
        <family val="1"/>
      </rPr>
      <t>**</t>
    </r>
  </si>
  <si>
    <t>Capital Costs (1998$/kW-m)</t>
  </si>
  <si>
    <t>INCOME STATEMENT - BROWNSVILLE</t>
  </si>
  <si>
    <t>INCOME STATEMENT - CALEDONIA</t>
  </si>
  <si>
    <t>INCOME STATEMENT - NEW ALBANY</t>
  </si>
  <si>
    <t>INCOME STATEMENT - CALVERT</t>
  </si>
  <si>
    <t>INCOME STATEMENT - WILTON</t>
  </si>
  <si>
    <t>Less Interest Payments</t>
  </si>
  <si>
    <t>Less Principal Payments</t>
  </si>
  <si>
    <t>Cash Interest Expense</t>
  </si>
  <si>
    <t>Accrued Interest Expense</t>
  </si>
  <si>
    <t>Tranch 1 Principal</t>
  </si>
  <si>
    <t>Tranche 2 Principal</t>
  </si>
  <si>
    <t>Tranche 3 Principal</t>
  </si>
  <si>
    <t>Average Life</t>
  </si>
  <si>
    <r>
      <t xml:space="preserve">Equity Partner's IRR w After-Tax Cashflow &amp; w/o Residual Value (20 yrs) </t>
    </r>
    <r>
      <rPr>
        <vertAlign val="superscript"/>
        <sz val="12"/>
        <rFont val="Times New Roman"/>
        <family val="1"/>
      </rPr>
      <t>(1)</t>
    </r>
  </si>
  <si>
    <r>
      <t xml:space="preserve">Equity Partner's IRR w After-Tax Cashflow &amp; 5x EBITDA Residual Value (20 yrs) </t>
    </r>
    <r>
      <rPr>
        <vertAlign val="superscript"/>
        <sz val="12"/>
        <rFont val="Times New Roman"/>
        <family val="1"/>
      </rPr>
      <t>(1)</t>
    </r>
  </si>
  <si>
    <r>
      <t xml:space="preserve">Equity Partner's IRR w After -Tax Cashflow &amp; 25% Before-Tax Total Cost Residual Value (20 yrs) </t>
    </r>
    <r>
      <rPr>
        <vertAlign val="superscript"/>
        <sz val="12"/>
        <rFont val="Times New Roman"/>
        <family val="1"/>
      </rPr>
      <t>(1)</t>
    </r>
  </si>
  <si>
    <t>Total Cash Interest Expense</t>
  </si>
  <si>
    <t>Total Accrued Interest Expense</t>
  </si>
  <si>
    <t>Tranche 1 Cash Debt Service</t>
  </si>
  <si>
    <t>Tranche 2  Cash Debt Service</t>
  </si>
  <si>
    <t>Tranche 3 Cash Debt Service</t>
  </si>
  <si>
    <t>Interest Accrued</t>
  </si>
  <si>
    <t>Principal Accrued</t>
  </si>
  <si>
    <t>Accrued Principal</t>
  </si>
  <si>
    <t>Total Accrued Principal</t>
  </si>
  <si>
    <t>Cash Principal Payments</t>
  </si>
  <si>
    <t>Accrued DS Reserve For 1999</t>
  </si>
  <si>
    <t>Jan. 31</t>
  </si>
  <si>
    <t>Jul. 31</t>
  </si>
  <si>
    <t>Dec. 31</t>
  </si>
  <si>
    <t>Enron's Undertaking For LOC Fee</t>
  </si>
  <si>
    <t>11 Months</t>
  </si>
  <si>
    <t>Plus Capitalized Interest</t>
  </si>
  <si>
    <t>Capitalized Interest</t>
  </si>
  <si>
    <t xml:space="preserve"> State Cash Taxes Benefit (Expense)</t>
  </si>
  <si>
    <t xml:space="preserve"> Federal Cash Taxes Benefit (Expense)</t>
  </si>
  <si>
    <t>Accrual</t>
  </si>
  <si>
    <t>Cost Allocation Among Projects</t>
  </si>
  <si>
    <t>Debt Allocation Among Projects</t>
  </si>
  <si>
    <t>Debt Allocation Within the 1999 &amp; 2000 Projects</t>
  </si>
  <si>
    <t xml:space="preserve">State Tax </t>
  </si>
  <si>
    <t>3 Months</t>
  </si>
  <si>
    <t>Cash</t>
  </si>
  <si>
    <t>Current (Semi-Annual)</t>
  </si>
  <si>
    <t>Current (Annual)</t>
  </si>
  <si>
    <t>Unhide Sub Debt, 1999 Columns</t>
  </si>
  <si>
    <t>Mark Bernstein</t>
  </si>
  <si>
    <t>(713) 853-7516</t>
  </si>
  <si>
    <t xml:space="preserve">Debt Issued </t>
  </si>
  <si>
    <r>
      <t xml:space="preserve">Interest Expense </t>
    </r>
    <r>
      <rPr>
        <vertAlign val="superscript"/>
        <sz val="10"/>
        <rFont val="Times New Roman"/>
        <family val="1"/>
      </rPr>
      <t>(2)</t>
    </r>
  </si>
  <si>
    <t>(2) Interest Expense for 1999 and 2000 is shown net of capitalized interest associated with the 2000 facilities.</t>
  </si>
  <si>
    <t>(1) This line item includes property tax, franchise tax and gross receipts tax.</t>
  </si>
  <si>
    <t>Average DSCR (Market Price Period) (2003-2019)</t>
  </si>
  <si>
    <t>Minimum DSCR (Market Price Period) (2003-2019)</t>
  </si>
  <si>
    <t>Enron's Undertaking</t>
  </si>
  <si>
    <t>EGC CASH FLOW</t>
  </si>
  <si>
    <t>Fixed Price Period (2000 - 2002)</t>
  </si>
  <si>
    <t>Market Price Period (2003 - 2019)</t>
  </si>
  <si>
    <t>Average DSCR (Fixed Price Period) (2000-2002)</t>
  </si>
  <si>
    <t>Minimum DSCR (Fixed Price Period) (2000-2002)</t>
  </si>
  <si>
    <t>Net Pre Tax Cash Flow</t>
  </si>
  <si>
    <t>Repayment of Enron's Undertaking</t>
  </si>
  <si>
    <t xml:space="preserve">    fron 6/2003 onward</t>
  </si>
  <si>
    <t xml:space="preserve">    from 6/1/2000 to 5/31/2003</t>
  </si>
  <si>
    <t>Equity Contr.</t>
  </si>
  <si>
    <t>Days to EOY 2/15</t>
  </si>
  <si>
    <t>Days to EOY 8/15</t>
  </si>
  <si>
    <t>Semiannual CF compounded to End of Year</t>
  </si>
  <si>
    <t xml:space="preserve">     Less Capitalized Interest</t>
  </si>
  <si>
    <t>USING XIRR</t>
  </si>
  <si>
    <t>ANNUAL CASH FLOW AND IRR</t>
  </si>
  <si>
    <t>SEMIANNUAL CASH FLOW AND IRR</t>
  </si>
  <si>
    <t xml:space="preserve">      Less Enron Undertaking</t>
  </si>
  <si>
    <t xml:space="preserve">  In order to calculate the IRR correctly you must change these cells to the respective values in cells D62, D66, and D70 and then recalculate.</t>
  </si>
  <si>
    <t>1.  Please note that in the "IRR" page, cells B60, B64, and B68 must be updated by hand each time you run a scenario on this page.</t>
  </si>
  <si>
    <t>Prop Taxes Updated for Bvll GR tax and Wheat Tax</t>
  </si>
  <si>
    <t>Semi-annual Distributions</t>
  </si>
  <si>
    <t>No XIRRs</t>
  </si>
  <si>
    <t>3 year Treasury (as of April 26)</t>
  </si>
  <si>
    <t>8 year Treasury (as of April 26)</t>
  </si>
  <si>
    <t>30 year Treasury (as of April 26)</t>
  </si>
  <si>
    <t>Equity Closed</t>
  </si>
  <si>
    <t xml:space="preserve">    from 1/1/2000 till 5/31/2000 only</t>
  </si>
  <si>
    <t xml:space="preserve">* Includes 2/3 Major Maintenance to Fixed O&amp;M, 1/3 Major Maintenance to Variable O&amp;M  </t>
  </si>
  <si>
    <t>Interest Income from Enron</t>
  </si>
  <si>
    <t>Retained Cash Flow</t>
  </si>
  <si>
    <t xml:space="preserve">       Less Retained Cash Flow</t>
  </si>
  <si>
    <t>Market period MIN and AVG coverage to the left do not include 8/15/03.</t>
  </si>
  <si>
    <t>Property Tax Update (Semi-Annual)</t>
  </si>
  <si>
    <t>Property Tax Update (Annual)</t>
  </si>
  <si>
    <t>Resize Equity (Semi-Annual)</t>
  </si>
  <si>
    <t>Resize Equity (Annual)</t>
  </si>
  <si>
    <t>Increase Mkt Period Var Costs for ISO (Semi-Annual)</t>
  </si>
  <si>
    <t>Increase Mkt Period Var Costs for ISO (Annual)</t>
  </si>
  <si>
    <t>Re amortize for 2.09 covg 2/15/04 (Semi-Annual)</t>
  </si>
  <si>
    <t>Re amortize for 2.09 covg 2/15/04 (Annual)</t>
  </si>
  <si>
    <t>Take Debt to 750 total (Semi-Annual)</t>
  </si>
  <si>
    <t>Take Debt to 750 total (Annual)</t>
  </si>
  <si>
    <t>Equity at $457.3MM (Semi-Annual)</t>
  </si>
  <si>
    <t>Equity at $457.3 MM (Annual)</t>
  </si>
  <si>
    <t>Equity at $525 MM (Semi-Annual)</t>
  </si>
  <si>
    <t>Equity at $525 MM (Annual)</t>
  </si>
  <si>
    <t>Taking Debt Down $2MM and getting 2/04 up to 2.0 (Semi-Annual)</t>
  </si>
  <si>
    <t>Taking Debt Down $2MM and getting 2/04 up to 2.0 (Annual)</t>
  </si>
  <si>
    <t>Adding Capitalized Interest to the Sources (Semi-Annual)</t>
  </si>
  <si>
    <t>Adding Capitalized Interest to the Sources (Annual)</t>
  </si>
  <si>
    <t>IRR Model OctStart4 (Semi-Annual)</t>
  </si>
  <si>
    <t>IRR Model OctStart4 Current (Annual)</t>
  </si>
  <si>
    <t>Allocate Enron Undertakings to 1999 Projects (Semi-Annual)</t>
  </si>
  <si>
    <t>Allocate Enron Undertakings to 1999 Projects (Annual)</t>
  </si>
  <si>
    <t>Semi-Annual EBITDA Alloc for 7/1 Start at CC/ Wheat (Semi-Annual)</t>
  </si>
  <si>
    <t>Semi-Annual EBITDA Alloc for 7/1 Start at CC/ Wheat (Annual)</t>
  </si>
  <si>
    <t>Start Tranche 1 Amort 2/15/00 (Semi-Annual)</t>
  </si>
  <si>
    <t>Start Tranche 1 Amort 2/15/00 (Annual)</t>
  </si>
  <si>
    <t>Fix Cap Int and Add 2/15/00 Tax to IRR (Semi-Annual)</t>
  </si>
  <si>
    <t>Fix Cap Int and Add 2/15/00 Tax to IRR (Annual)</t>
  </si>
  <si>
    <t>Add DSLOC to 99 and Start CC and Wheat 7/1 (Semi-Annual)</t>
  </si>
  <si>
    <t>Add DSLOC to 99 and Start CC and Wheat 7/1 (Annual)</t>
  </si>
  <si>
    <t>Fix Depreciation Book and Tax (IS and CF, IRR) (Semi-Annual)</t>
  </si>
  <si>
    <t>Fix Depreciation Book and Tax (IS and CF, IRR) (Annual)</t>
  </si>
  <si>
    <t>August Debt (Semi-Annual)</t>
  </si>
  <si>
    <t>August Debt (Annual)</t>
  </si>
  <si>
    <t>D&amp;E at 525 and 775 with old rates (Semi-Annual)</t>
  </si>
  <si>
    <t>D&amp;E at 525 and 775 with old rates (Annual)</t>
  </si>
  <si>
    <t>Operating Months in the 1st yr.*</t>
  </si>
  <si>
    <t>*Operations for 1999 projects not included in EGC results until 1/1/2000.</t>
  </si>
  <si>
    <t>Use 7/20 Rates at Old Covgs (Semi-Annual)</t>
  </si>
  <si>
    <t>Use 7/20 Rates at Old Covgs (Annual)</t>
  </si>
  <si>
    <t>Average Life Tranche 3</t>
  </si>
  <si>
    <t>Misc Changes Include New Debt Amortization Schedules (Semi-Annual)</t>
  </si>
  <si>
    <t>Misc Changes Include New Debt Amortization Schedules (Annual)</t>
  </si>
  <si>
    <t>Property, Other Taxes, &amp; Tax Benefits</t>
  </si>
  <si>
    <t>Debt Assumptions and PPA Start Date</t>
  </si>
  <si>
    <t>Capitalized Interest Calculation</t>
  </si>
  <si>
    <t>Residual Value Calculation</t>
  </si>
  <si>
    <t>No Change</t>
  </si>
  <si>
    <t>Zero Dispatch Scenario</t>
  </si>
  <si>
    <t>Links For ICF Low Case For Wheatland</t>
  </si>
  <si>
    <t>Base Model Sent to People</t>
  </si>
  <si>
    <t>Remove Wheatland Supplemental Tax Double Counting</t>
  </si>
  <si>
    <t>Changes To Brownsville Gross Receipts Tax</t>
  </si>
  <si>
    <t>Latest ISO MWs in the Market Period</t>
  </si>
  <si>
    <t>Change Weighted State Tax Calculation</t>
  </si>
  <si>
    <t>Changes to the Debt &amp; IRR Page, Semi-Annual Distributions</t>
  </si>
  <si>
    <t>Change Debt Start Date, PPA, Transfer, etc. to 10/1/99</t>
  </si>
  <si>
    <t>Changed Capitalized Interest Calculation</t>
  </si>
  <si>
    <t>Remove Undertakings and Interest Income for 1999 but add ECT Loan with No Repayment</t>
  </si>
  <si>
    <t>Resize Debt &amp; Equity to fit Old DSCR (with minor adjustment), and 12.08% Equity Returns (Based On Semi-Annual Distributions)</t>
  </si>
  <si>
    <t>Update Rates as of 7-20-99</t>
  </si>
  <si>
    <t>Base Model Sent to All Equity Investors in April</t>
  </si>
  <si>
    <t>Change # of Months for Wilton &amp; Calvert (Annual)</t>
  </si>
  <si>
    <t>Change # of Months for Wilton &amp; Calvert (Semi-Annual)</t>
  </si>
  <si>
    <t>Switch Allocation Between Wheatland &amp; Wilton (Semi-Annual)</t>
  </si>
  <si>
    <t>Switch Allocation Between Wheatland &amp; Wilton (Annual)</t>
  </si>
  <si>
    <t>Remove 1 month Depr for Wheatland &amp; Wilton (Semi-Annual)</t>
  </si>
  <si>
    <t>Remove 1 month Depr for Wheatland &amp; Wilton (Annual)</t>
  </si>
  <si>
    <t>Calvert and Wheatland start 7/1, Wilton 6/1</t>
  </si>
  <si>
    <t>Coverage</t>
  </si>
  <si>
    <t xml:space="preserve">      Less Interest Income</t>
  </si>
  <si>
    <t xml:space="preserve">      Less ECT's Undertakings</t>
  </si>
  <si>
    <t xml:space="preserve">      Less Capitalized Interest</t>
  </si>
  <si>
    <t>Average DSCR (Fixed Price Period) (2000-2003)</t>
  </si>
  <si>
    <t>Average DSCR (Market Price Period) (2004-2019)</t>
  </si>
  <si>
    <t>Minimum DSCR (Fixed Price Period) (2000-2003)</t>
  </si>
  <si>
    <t>Minimum DSCR (Market Price Period) (2004-2019)</t>
  </si>
  <si>
    <t>Debt has New Int Rts. 8/23 Spreads 7/20</t>
  </si>
  <si>
    <t>Maximum DSR Amount (12mths) (000 $)</t>
  </si>
  <si>
    <t>50%Equity0830-Oct PPA, 12MDSCR-730Debt.xls</t>
  </si>
  <si>
    <t>Pretax IRR USING XIRR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</si>
</sst>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5" formatCode="#,##0.000_);[Red]\(#,##0.000\)"/>
    <numFmt numFmtId="212" formatCode="0.00\x"/>
    <numFmt numFmtId="221" formatCode="#,##0.0"/>
    <numFmt numFmtId="250" formatCode="0.0%;\-0.0%;\ &quot;-&quot;_%;@_%"/>
    <numFmt numFmtId="251" formatCode="_(* #,##0.00000_);_(* \(#,##0.00000\);_(* &quot;-&quot;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86" formatCode="mmmm\-yy"/>
    <numFmt numFmtId="311" formatCode="yyyy"/>
    <numFmt numFmtId="313" formatCode="mmmm\ d\,\ yyyy"/>
    <numFmt numFmtId="316" formatCode="0.0000\x_);\(0.0000\x\)"/>
  </numFmts>
  <fonts count="86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b/>
      <i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b/>
      <u/>
      <sz val="12"/>
      <color indexed="8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i/>
      <sz val="10"/>
      <color indexed="10"/>
      <name val="Times New Roman"/>
      <family val="1"/>
    </font>
    <font>
      <i/>
      <u/>
      <sz val="10"/>
      <name val="Times New Roman"/>
      <family val="1"/>
    </font>
    <font>
      <u/>
      <sz val="10"/>
      <name val="Arial"/>
      <family val="2"/>
    </font>
    <font>
      <sz val="12"/>
      <name val="Arial"/>
    </font>
    <font>
      <b/>
      <i/>
      <sz val="10"/>
      <color indexed="10"/>
      <name val="Times New Roman"/>
      <family val="1"/>
    </font>
    <font>
      <sz val="10"/>
      <name val="Times New Roman"/>
    </font>
    <font>
      <sz val="12"/>
      <color indexed="8"/>
      <name val="Arial MT"/>
    </font>
    <font>
      <b/>
      <u/>
      <sz val="10"/>
      <name val="Arial"/>
      <family val="2"/>
    </font>
    <font>
      <sz val="12"/>
      <color indexed="12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i/>
      <sz val="10"/>
      <name val="Times New Roman"/>
    </font>
    <font>
      <b/>
      <i/>
      <sz val="12"/>
      <name val="Times New Roman"/>
      <family val="1"/>
    </font>
    <font>
      <b/>
      <sz val="11"/>
      <name val="Times New Roman"/>
      <family val="1"/>
    </font>
    <font>
      <i/>
      <u/>
      <sz val="10"/>
      <color indexed="10"/>
      <name val="Times New Roman"/>
      <family val="1"/>
    </font>
    <font>
      <b/>
      <sz val="7"/>
      <name val="Times New Roman"/>
      <family val="1"/>
    </font>
    <font>
      <i/>
      <sz val="10"/>
      <name val="Arial"/>
      <family val="2"/>
    </font>
    <font>
      <b/>
      <sz val="10"/>
      <color indexed="10"/>
      <name val="Arial"/>
      <family val="2"/>
    </font>
    <font>
      <u/>
      <sz val="8"/>
      <name val="Times New Roman"/>
      <family val="1"/>
    </font>
    <font>
      <u val="singleAccounting"/>
      <sz val="8"/>
      <name val="Times New Roman"/>
      <family val="1"/>
    </font>
    <font>
      <b/>
      <sz val="20"/>
      <name val="Times New Roman"/>
      <family val="1"/>
    </font>
    <font>
      <u/>
      <sz val="10"/>
      <color indexed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u/>
      <sz val="12"/>
      <color indexed="10"/>
      <name val="Times New Roman"/>
      <family val="1"/>
    </font>
    <font>
      <sz val="12"/>
      <color indexed="8"/>
      <name val="Times New Roman"/>
      <family val="1"/>
    </font>
    <font>
      <i/>
      <sz val="12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i/>
      <u/>
      <sz val="12"/>
      <name val="Times New Roman"/>
      <family val="1"/>
    </font>
    <font>
      <b/>
      <sz val="10"/>
      <color indexed="20"/>
      <name val="Arial"/>
      <family val="2"/>
    </font>
    <font>
      <vertAlign val="superscript"/>
      <sz val="12"/>
      <name val="Times New Roman"/>
      <family val="1"/>
    </font>
    <font>
      <vertAlign val="superscript"/>
      <sz val="10"/>
      <name val="Times New Roman"/>
      <family val="1"/>
    </font>
    <font>
      <b/>
      <vertAlign val="superscript"/>
      <sz val="10"/>
      <name val="Times New Roman"/>
      <family val="1"/>
    </font>
    <font>
      <sz val="8"/>
      <name val="Arial"/>
      <family val="2"/>
    </font>
    <font>
      <i/>
      <sz val="10"/>
      <color indexed="9"/>
      <name val="Times New Roman"/>
      <family val="1"/>
    </font>
    <font>
      <u/>
      <sz val="10"/>
      <name val="Arial"/>
    </font>
    <font>
      <sz val="10"/>
      <color indexed="8"/>
      <name val="Arial"/>
    </font>
    <font>
      <sz val="12"/>
      <color indexed="8"/>
      <name val="Times New Roman"/>
    </font>
    <font>
      <sz val="10"/>
      <color indexed="8"/>
      <name val="Times New Roman"/>
    </font>
    <font>
      <sz val="12"/>
      <name val="Times New Roman"/>
    </font>
    <font>
      <b/>
      <sz val="12"/>
      <color indexed="8"/>
      <name val="Times New Roman"/>
      <family val="1"/>
    </font>
    <font>
      <b/>
      <sz val="10"/>
      <name val="Arial"/>
    </font>
    <font>
      <b/>
      <sz val="10"/>
      <color indexed="12"/>
      <name val="Times New Roman"/>
    </font>
    <font>
      <sz val="8"/>
      <color indexed="81"/>
      <name val="Tahoma"/>
    </font>
    <font>
      <b/>
      <vertAlign val="superscript"/>
      <sz val="9"/>
      <name val="Times New Roman"/>
      <family val="1"/>
    </font>
    <font>
      <b/>
      <i/>
      <u/>
      <sz val="10"/>
      <name val="Arial"/>
      <family val="2"/>
    </font>
    <font>
      <b/>
      <u/>
      <sz val="10"/>
      <color indexed="10"/>
      <name val="Arial"/>
      <family val="2"/>
    </font>
    <font>
      <b/>
      <sz val="18"/>
      <color indexed="10"/>
      <name val="Times New Roman"/>
      <family val="1"/>
    </font>
    <font>
      <b/>
      <sz val="10"/>
      <color indexed="61"/>
      <name val="Times New Roman"/>
      <family val="1"/>
    </font>
    <font>
      <sz val="10"/>
      <name val="Arial"/>
    </font>
    <font>
      <b/>
      <sz val="10"/>
      <color indexed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37" fontId="7" fillId="0" borderId="0" applyBorder="0" applyAlignment="0" applyProtection="0">
      <alignment horizontal="center"/>
    </xf>
    <xf numFmtId="0" fontId="1" fillId="0" borderId="0"/>
    <xf numFmtId="0" fontId="37" fillId="0" borderId="0"/>
    <xf numFmtId="0" fontId="3" fillId="0" borderId="0"/>
    <xf numFmtId="9" fontId="1" fillId="0" borderId="0" applyFont="0" applyFill="0" applyBorder="0" applyAlignment="0" applyProtection="0"/>
  </cellStyleXfs>
  <cellXfs count="892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43" fontId="2" fillId="0" borderId="0" xfId="1" applyFont="1" applyFill="1" applyAlignment="1">
      <alignment horizontal="left"/>
    </xf>
    <xf numFmtId="43" fontId="3" fillId="0" borderId="0" xfId="1" applyFont="1" applyFill="1" applyAlignment="1">
      <alignment horizontal="left"/>
    </xf>
    <xf numFmtId="43" fontId="2" fillId="0" borderId="0" xfId="1" applyFont="1" applyFill="1"/>
    <xf numFmtId="43" fontId="5" fillId="0" borderId="0" xfId="1" applyFont="1" applyFill="1" applyAlignment="1">
      <alignment horizontal="left"/>
    </xf>
    <xf numFmtId="168" fontId="2" fillId="0" borderId="0" xfId="1" applyNumberFormat="1" applyFont="1" applyFill="1"/>
    <xf numFmtId="6" fontId="0" fillId="0" borderId="0" xfId="0" applyNumberFormat="1"/>
    <xf numFmtId="0" fontId="1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1" fillId="0" borderId="0" xfId="4" applyFont="1" applyAlignment="1"/>
    <xf numFmtId="14" fontId="12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2" applyNumberFormat="1" applyFont="1"/>
    <xf numFmtId="165" fontId="3" fillId="0" borderId="0" xfId="2" applyNumberFormat="1" applyFont="1" applyBorder="1" applyProtection="1"/>
    <xf numFmtId="165" fontId="3" fillId="0" borderId="0" xfId="2" applyNumberFormat="1" applyFont="1" applyProtection="1"/>
    <xf numFmtId="0" fontId="3" fillId="0" borderId="0" xfId="0" applyFont="1" applyBorder="1" applyProtection="1"/>
    <xf numFmtId="166" fontId="3" fillId="0" borderId="0" xfId="1" applyNumberFormat="1" applyFont="1"/>
    <xf numFmtId="166" fontId="3" fillId="0" borderId="0" xfId="1" applyNumberFormat="1" applyFont="1" applyBorder="1" applyProtection="1"/>
    <xf numFmtId="166" fontId="11" fillId="0" borderId="0" xfId="1" applyNumberFormat="1" applyFont="1"/>
    <xf numFmtId="37" fontId="3" fillId="0" borderId="0" xfId="0" applyNumberFormat="1" applyFont="1" applyBorder="1" applyProtection="1"/>
    <xf numFmtId="10" fontId="3" fillId="0" borderId="0" xfId="0" applyNumberFormat="1" applyFont="1" applyFill="1" applyBorder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13" fillId="0" borderId="0" xfId="0" applyFont="1" applyBorder="1" applyAlignment="1" applyProtection="1">
      <alignment horizontal="left"/>
    </xf>
    <xf numFmtId="166" fontId="3" fillId="0" borderId="0" xfId="1" applyNumberFormat="1" applyFont="1" applyBorder="1"/>
    <xf numFmtId="0" fontId="16" fillId="0" borderId="0" xfId="0" applyFont="1" applyBorder="1" applyProtection="1">
      <protection locked="0"/>
    </xf>
    <xf numFmtId="0" fontId="18" fillId="0" borderId="0" xfId="0" applyFont="1"/>
    <xf numFmtId="0" fontId="20" fillId="0" borderId="0" xfId="0" applyFont="1"/>
    <xf numFmtId="37" fontId="20" fillId="0" borderId="0" xfId="4" applyFont="1" applyAlignment="1"/>
    <xf numFmtId="0" fontId="12" fillId="0" borderId="0" xfId="0" applyFont="1" applyBorder="1"/>
    <xf numFmtId="169" fontId="21" fillId="0" borderId="0" xfId="0" applyNumberFormat="1" applyFont="1" applyProtection="1"/>
    <xf numFmtId="169" fontId="20" fillId="0" borderId="0" xfId="0" applyNumberFormat="1" applyFont="1" applyProtection="1"/>
    <xf numFmtId="0" fontId="10" fillId="0" borderId="0" xfId="0" applyFont="1"/>
    <xf numFmtId="0" fontId="2" fillId="0" borderId="0" xfId="0" applyFont="1" applyAlignment="1" applyProtection="1">
      <alignment horizontal="left"/>
      <protection locked="0"/>
    </xf>
    <xf numFmtId="169" fontId="22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>
      <protection locked="0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8" fillId="0" borderId="0" xfId="0" applyNumberFormat="1" applyFont="1" applyProtection="1"/>
    <xf numFmtId="10" fontId="3" fillId="0" borderId="0" xfId="8" applyNumberFormat="1" applyFont="1" applyProtection="1"/>
    <xf numFmtId="171" fontId="3" fillId="0" borderId="0" xfId="0" applyNumberFormat="1" applyFont="1" applyProtection="1"/>
    <xf numFmtId="165" fontId="18" fillId="0" borderId="0" xfId="2" applyNumberFormat="1" applyFont="1" applyProtection="1"/>
    <xf numFmtId="165" fontId="3" fillId="0" borderId="0" xfId="0" applyNumberFormat="1" applyFont="1"/>
    <xf numFmtId="165" fontId="18" fillId="0" borderId="0" xfId="2" applyNumberFormat="1" applyFont="1"/>
    <xf numFmtId="10" fontId="3" fillId="0" borderId="0" xfId="0" applyNumberFormat="1" applyFont="1"/>
    <xf numFmtId="0" fontId="18" fillId="0" borderId="0" xfId="0" applyFont="1" applyAlignment="1">
      <alignment horizontal="center"/>
    </xf>
    <xf numFmtId="9" fontId="18" fillId="3" borderId="0" xfId="8" applyFont="1" applyFill="1" applyProtection="1"/>
    <xf numFmtId="0" fontId="18" fillId="0" borderId="0" xfId="0" applyFont="1" applyProtection="1"/>
    <xf numFmtId="172" fontId="18" fillId="0" borderId="0" xfId="0" applyNumberFormat="1" applyFont="1" applyProtection="1"/>
    <xf numFmtId="0" fontId="23" fillId="4" borderId="0" xfId="3" applyFont="1" applyFill="1" applyBorder="1"/>
    <xf numFmtId="0" fontId="3" fillId="4" borderId="0" xfId="0" applyFont="1" applyFill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" fontId="3" fillId="0" borderId="0" xfId="0" applyNumberFormat="1" applyFont="1"/>
    <xf numFmtId="0" fontId="3" fillId="0" borderId="1" xfId="0" applyFont="1" applyBorder="1"/>
    <xf numFmtId="0" fontId="2" fillId="0" borderId="0" xfId="0" applyFont="1" applyBorder="1"/>
    <xf numFmtId="166" fontId="2" fillId="0" borderId="0" xfId="1" applyNumberFormat="1" applyFont="1"/>
    <xf numFmtId="166" fontId="2" fillId="0" borderId="0" xfId="1" applyNumberFormat="1" applyFont="1" applyBorder="1" applyProtection="1"/>
    <xf numFmtId="0" fontId="3" fillId="0" borderId="0" xfId="0" applyFont="1" applyAlignment="1">
      <alignment horizontal="left"/>
    </xf>
    <xf numFmtId="0" fontId="29" fillId="0" borderId="0" xfId="0" applyFont="1"/>
    <xf numFmtId="0" fontId="30" fillId="0" borderId="0" xfId="0" applyFont="1" applyBorder="1"/>
    <xf numFmtId="0" fontId="31" fillId="0" borderId="0" xfId="0" applyFont="1"/>
    <xf numFmtId="0" fontId="3" fillId="0" borderId="0" xfId="0" applyFont="1" applyFill="1" applyAlignment="1">
      <alignment horizontal="center"/>
    </xf>
    <xf numFmtId="10" fontId="32" fillId="0" borderId="0" xfId="0" applyNumberFormat="1" applyFont="1"/>
    <xf numFmtId="10" fontId="12" fillId="0" borderId="0" xfId="0" applyNumberFormat="1" applyFont="1" applyAlignment="1">
      <alignment horizontal="center"/>
    </xf>
    <xf numFmtId="3" fontId="18" fillId="0" borderId="0" xfId="0" applyNumberFormat="1" applyFont="1"/>
    <xf numFmtId="0" fontId="12" fillId="0" borderId="0" xfId="0" applyFont="1"/>
    <xf numFmtId="3" fontId="3" fillId="0" borderId="0" xfId="0" applyNumberFormat="1" applyFont="1"/>
    <xf numFmtId="3" fontId="2" fillId="5" borderId="0" xfId="0" applyNumberFormat="1" applyFont="1" applyFill="1"/>
    <xf numFmtId="3" fontId="12" fillId="0" borderId="0" xfId="0" applyNumberFormat="1" applyFont="1"/>
    <xf numFmtId="3" fontId="31" fillId="0" borderId="0" xfId="0" applyNumberFormat="1" applyFont="1"/>
    <xf numFmtId="3" fontId="2" fillId="0" borderId="0" xfId="0" applyNumberFormat="1" applyFont="1"/>
    <xf numFmtId="0" fontId="19" fillId="0" borderId="0" xfId="0" applyFont="1"/>
    <xf numFmtId="0" fontId="19" fillId="0" borderId="6" xfId="0" applyFont="1" applyBorder="1"/>
    <xf numFmtId="0" fontId="19" fillId="0" borderId="0" xfId="0" applyFont="1" applyBorder="1"/>
    <xf numFmtId="179" fontId="19" fillId="0" borderId="0" xfId="0" applyNumberFormat="1" applyFont="1" applyBorder="1" applyAlignment="1">
      <alignment horizontal="center"/>
    </xf>
    <xf numFmtId="0" fontId="19" fillId="0" borderId="7" xfId="0" applyFont="1" applyBorder="1"/>
    <xf numFmtId="179" fontId="19" fillId="0" borderId="8" xfId="0" applyNumberFormat="1" applyFont="1" applyBorder="1"/>
    <xf numFmtId="6" fontId="19" fillId="0" borderId="0" xfId="0" applyNumberFormat="1" applyFont="1"/>
    <xf numFmtId="0" fontId="15" fillId="0" borderId="0" xfId="0" applyFont="1"/>
    <xf numFmtId="2" fontId="19" fillId="0" borderId="8" xfId="0" applyNumberFormat="1" applyFont="1" applyBorder="1" applyAlignment="1">
      <alignment horizontal="center"/>
    </xf>
    <xf numFmtId="0" fontId="29" fillId="0" borderId="9" xfId="0" applyFont="1" applyBorder="1"/>
    <xf numFmtId="0" fontId="19" fillId="0" borderId="10" xfId="0" applyFont="1" applyBorder="1"/>
    <xf numFmtId="4" fontId="2" fillId="0" borderId="11" xfId="0" applyNumberFormat="1" applyFont="1" applyBorder="1" applyAlignment="1">
      <alignment horizontal="center"/>
    </xf>
    <xf numFmtId="0" fontId="29" fillId="0" borderId="6" xfId="0" applyFont="1" applyBorder="1"/>
    <xf numFmtId="0" fontId="2" fillId="0" borderId="0" xfId="0" applyFont="1" applyFill="1" applyAlignment="1"/>
    <xf numFmtId="37" fontId="2" fillId="0" borderId="0" xfId="0" applyNumberFormat="1" applyFont="1" applyFill="1"/>
    <xf numFmtId="3" fontId="33" fillId="0" borderId="0" xfId="0" applyNumberFormat="1" applyFont="1"/>
    <xf numFmtId="0" fontId="10" fillId="0" borderId="0" xfId="0" applyFont="1" applyFill="1"/>
    <xf numFmtId="0" fontId="35" fillId="0" borderId="0" xfId="0" applyFont="1"/>
    <xf numFmtId="43" fontId="10" fillId="0" borderId="0" xfId="1" applyFont="1" applyFill="1"/>
    <xf numFmtId="0" fontId="10" fillId="0" borderId="7" xfId="0" applyFont="1" applyBorder="1" applyAlignment="1">
      <alignment horizontal="centerContinuous"/>
    </xf>
    <xf numFmtId="0" fontId="10" fillId="0" borderId="9" xfId="0" applyFont="1" applyBorder="1" applyAlignment="1">
      <alignment horizontal="centerContinuous"/>
    </xf>
    <xf numFmtId="0" fontId="10" fillId="0" borderId="8" xfId="0" applyFont="1" applyBorder="1" applyAlignment="1">
      <alignment horizontal="centerContinuous"/>
    </xf>
    <xf numFmtId="0" fontId="3" fillId="0" borderId="1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73" fontId="3" fillId="5" borderId="13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173" fontId="2" fillId="0" borderId="11" xfId="0" applyNumberFormat="1" applyFont="1" applyBorder="1" applyAlignment="1">
      <alignment horizontal="center"/>
    </xf>
    <xf numFmtId="0" fontId="3" fillId="0" borderId="9" xfId="0" applyFont="1" applyBorder="1"/>
    <xf numFmtId="0" fontId="2" fillId="0" borderId="9" xfId="0" applyFont="1" applyFill="1" applyBorder="1"/>
    <xf numFmtId="0" fontId="3" fillId="0" borderId="6" xfId="0" applyFont="1" applyBorder="1"/>
    <xf numFmtId="179" fontId="19" fillId="0" borderId="11" xfId="0" applyNumberFormat="1" applyFont="1" applyBorder="1"/>
    <xf numFmtId="166" fontId="17" fillId="0" borderId="0" xfId="1" applyNumberFormat="1" applyFont="1"/>
    <xf numFmtId="9" fontId="15" fillId="6" borderId="0" xfId="0" applyNumberFormat="1" applyFont="1" applyFill="1" applyAlignment="1">
      <alignment horizontal="center"/>
    </xf>
    <xf numFmtId="38" fontId="3" fillId="0" borderId="0" xfId="1" applyNumberFormat="1" applyFont="1"/>
    <xf numFmtId="6" fontId="3" fillId="0" borderId="0" xfId="0" applyNumberFormat="1" applyFont="1"/>
    <xf numFmtId="0" fontId="8" fillId="4" borderId="0" xfId="0" applyFont="1" applyFill="1"/>
    <xf numFmtId="0" fontId="9" fillId="4" borderId="0" xfId="3" applyFont="1" applyFill="1" applyBorder="1"/>
    <xf numFmtId="0" fontId="2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37" fontId="2" fillId="5" borderId="16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8" fillId="0" borderId="0" xfId="0" applyFont="1" applyFill="1"/>
    <xf numFmtId="0" fontId="2" fillId="0" borderId="15" xfId="0" applyFont="1" applyBorder="1" applyAlignment="1">
      <alignment horizontal="left"/>
    </xf>
    <xf numFmtId="0" fontId="30" fillId="0" borderId="0" xfId="0" applyFont="1" applyFill="1" applyBorder="1"/>
    <xf numFmtId="166" fontId="3" fillId="0" borderId="0" xfId="1" applyNumberFormat="1" applyFont="1" applyFill="1"/>
    <xf numFmtId="0" fontId="0" fillId="0" borderId="0" xfId="0" applyBorder="1"/>
    <xf numFmtId="0" fontId="6" fillId="0" borderId="0" xfId="0" applyFont="1"/>
    <xf numFmtId="0" fontId="2" fillId="0" borderId="0" xfId="0" applyFont="1" applyFill="1" applyBorder="1"/>
    <xf numFmtId="0" fontId="41" fillId="0" borderId="0" xfId="0" applyFont="1" applyFill="1" applyBorder="1"/>
    <xf numFmtId="0" fontId="42" fillId="0" borderId="0" xfId="0" applyFont="1" applyFill="1" applyBorder="1"/>
    <xf numFmtId="166" fontId="20" fillId="0" borderId="0" xfId="1" applyNumberFormat="1" applyFont="1" applyFill="1" applyBorder="1"/>
    <xf numFmtId="166" fontId="3" fillId="0" borderId="0" xfId="1" applyNumberFormat="1" applyFont="1" applyFill="1" applyBorder="1"/>
    <xf numFmtId="166" fontId="4" fillId="0" borderId="0" xfId="0" applyNumberFormat="1" applyFont="1" applyFill="1"/>
    <xf numFmtId="166" fontId="4" fillId="0" borderId="0" xfId="1" applyNumberFormat="1" applyFont="1" applyFill="1"/>
    <xf numFmtId="166" fontId="4" fillId="0" borderId="0" xfId="1" applyNumberFormat="1" applyFont="1" applyFill="1" applyBorder="1"/>
    <xf numFmtId="0" fontId="4" fillId="0" borderId="0" xfId="0" applyFont="1" applyFill="1" applyBorder="1"/>
    <xf numFmtId="6" fontId="17" fillId="0" borderId="0" xfId="0" applyNumberFormat="1" applyFont="1" applyFill="1"/>
    <xf numFmtId="0" fontId="3" fillId="0" borderId="0" xfId="0" applyFont="1" applyFill="1" applyBorder="1" applyAlignment="1">
      <alignment horizontal="center"/>
    </xf>
    <xf numFmtId="10" fontId="15" fillId="6" borderId="0" xfId="8" applyNumberFormat="1" applyFont="1" applyFill="1" applyAlignment="1">
      <alignment horizontal="center"/>
    </xf>
    <xf numFmtId="0" fontId="10" fillId="0" borderId="0" xfId="0" applyFont="1" applyFill="1" applyBorder="1"/>
    <xf numFmtId="9" fontId="3" fillId="0" borderId="0" xfId="0" applyNumberFormat="1" applyFont="1" applyFill="1"/>
    <xf numFmtId="9" fontId="15" fillId="6" borderId="0" xfId="0" applyNumberFormat="1" applyFont="1" applyFill="1"/>
    <xf numFmtId="166" fontId="2" fillId="0" borderId="0" xfId="1" applyNumberFormat="1" applyFont="1" applyFill="1" applyBorder="1"/>
    <xf numFmtId="166" fontId="14" fillId="0" borderId="0" xfId="1" applyNumberFormat="1" applyFont="1" applyFill="1"/>
    <xf numFmtId="38" fontId="2" fillId="0" borderId="0" xfId="1" applyNumberFormat="1" applyFont="1" applyFill="1"/>
    <xf numFmtId="38" fontId="3" fillId="0" borderId="0" xfId="1" applyNumberFormat="1" applyFont="1" applyFill="1"/>
    <xf numFmtId="168" fontId="3" fillId="0" borderId="0" xfId="1" applyNumberFormat="1" applyFont="1" applyFill="1"/>
    <xf numFmtId="43" fontId="3" fillId="0" borderId="0" xfId="1" applyFont="1" applyFill="1" applyBorder="1"/>
    <xf numFmtId="0" fontId="31" fillId="0" borderId="0" xfId="0" applyFont="1" applyFill="1" applyBorder="1" applyAlignment="1">
      <alignment horizontal="center"/>
    </xf>
    <xf numFmtId="0" fontId="43" fillId="0" borderId="0" xfId="0" applyFont="1" applyFill="1" applyBorder="1"/>
    <xf numFmtId="17" fontId="2" fillId="0" borderId="0" xfId="0" applyNumberFormat="1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37" fontId="3" fillId="0" borderId="0" xfId="0" applyNumberFormat="1" applyFont="1" applyFill="1" applyBorder="1"/>
    <xf numFmtId="37" fontId="2" fillId="0" borderId="0" xfId="0" applyNumberFormat="1" applyFont="1" applyFill="1" applyBorder="1"/>
    <xf numFmtId="0" fontId="45" fillId="0" borderId="0" xfId="0" applyFont="1" applyFill="1" applyBorder="1"/>
    <xf numFmtId="37" fontId="31" fillId="0" borderId="0" xfId="0" applyNumberFormat="1" applyFont="1" applyFill="1" applyBorder="1"/>
    <xf numFmtId="43" fontId="46" fillId="0" borderId="0" xfId="1" applyFont="1" applyFill="1" applyBorder="1"/>
    <xf numFmtId="9" fontId="46" fillId="0" borderId="0" xfId="8" applyFont="1" applyFill="1" applyBorder="1"/>
    <xf numFmtId="0" fontId="37" fillId="0" borderId="0" xfId="0" applyFont="1" applyFill="1" applyBorder="1"/>
    <xf numFmtId="37" fontId="37" fillId="0" borderId="0" xfId="0" applyNumberFormat="1" applyFont="1" applyFill="1" applyBorder="1"/>
    <xf numFmtId="43" fontId="2" fillId="0" borderId="0" xfId="1" applyFont="1" applyFill="1" applyBorder="1" applyAlignment="1">
      <alignment horizontal="left"/>
    </xf>
    <xf numFmtId="43" fontId="3" fillId="0" borderId="0" xfId="1" applyFont="1" applyFill="1" applyBorder="1" applyAlignment="1">
      <alignment horizontal="left"/>
    </xf>
    <xf numFmtId="43" fontId="2" fillId="0" borderId="0" xfId="1" applyFont="1" applyFill="1" applyBorder="1"/>
    <xf numFmtId="43" fontId="5" fillId="0" borderId="0" xfId="1" applyFont="1" applyFill="1" applyBorder="1" applyAlignment="1">
      <alignment horizontal="left"/>
    </xf>
    <xf numFmtId="43" fontId="20" fillId="0" borderId="0" xfId="1" applyFont="1" applyFill="1" applyBorder="1" applyAlignment="1">
      <alignment horizontal="left"/>
    </xf>
    <xf numFmtId="168" fontId="3" fillId="0" borderId="0" xfId="1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9" fontId="2" fillId="0" borderId="0" xfId="8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41" fontId="3" fillId="0" borderId="0" xfId="0" applyNumberFormat="1" applyFont="1" applyFill="1" applyBorder="1"/>
    <xf numFmtId="10" fontId="3" fillId="0" borderId="0" xfId="0" applyNumberFormat="1" applyFont="1" applyFill="1" applyBorder="1" applyAlignment="1">
      <alignment horizontal="right"/>
    </xf>
    <xf numFmtId="9" fontId="2" fillId="0" borderId="0" xfId="8" applyFont="1" applyFill="1" applyBorder="1"/>
    <xf numFmtId="9" fontId="2" fillId="0" borderId="0" xfId="0" applyNumberFormat="1" applyFont="1" applyFill="1" applyBorder="1"/>
    <xf numFmtId="0" fontId="19" fillId="0" borderId="0" xfId="7" applyFont="1" applyFill="1" applyBorder="1" applyAlignment="1" applyProtection="1">
      <alignment horizontal="left"/>
    </xf>
    <xf numFmtId="0" fontId="19" fillId="0" borderId="0" xfId="7" applyFont="1" applyFill="1" applyBorder="1" applyAlignment="1">
      <alignment horizontal="center"/>
    </xf>
    <xf numFmtId="38" fontId="3" fillId="0" borderId="0" xfId="0" applyNumberFormat="1" applyFont="1" applyFill="1" applyBorder="1"/>
    <xf numFmtId="9" fontId="3" fillId="0" borderId="0" xfId="0" applyNumberFormat="1" applyFont="1" applyFill="1" applyBorder="1"/>
    <xf numFmtId="40" fontId="3" fillId="0" borderId="0" xfId="0" applyNumberFormat="1" applyFont="1" applyFill="1" applyBorder="1"/>
    <xf numFmtId="190" fontId="16" fillId="0" borderId="0" xfId="0" applyNumberFormat="1" applyFont="1" applyFill="1" applyBorder="1"/>
    <xf numFmtId="0" fontId="20" fillId="0" borderId="0" xfId="7" applyFont="1" applyFill="1" applyBorder="1" applyAlignment="1" applyProtection="1">
      <alignment horizontal="left"/>
    </xf>
    <xf numFmtId="190" fontId="3" fillId="0" borderId="0" xfId="0" applyNumberFormat="1" applyFont="1" applyFill="1" applyBorder="1"/>
    <xf numFmtId="172" fontId="20" fillId="0" borderId="0" xfId="0" applyNumberFormat="1" applyFont="1" applyFill="1" applyBorder="1" applyProtection="1"/>
    <xf numFmtId="166" fontId="16" fillId="0" borderId="0" xfId="1" applyNumberFormat="1" applyFont="1" applyFill="1" applyBorder="1"/>
    <xf numFmtId="166" fontId="3" fillId="0" borderId="0" xfId="0" applyNumberFormat="1" applyFont="1" applyFill="1" applyBorder="1"/>
    <xf numFmtId="41" fontId="16" fillId="0" borderId="0" xfId="0" applyNumberFormat="1" applyFont="1" applyFill="1" applyBorder="1"/>
    <xf numFmtId="41" fontId="2" fillId="0" borderId="0" xfId="0" applyNumberFormat="1" applyFont="1" applyFill="1" applyBorder="1"/>
    <xf numFmtId="41" fontId="20" fillId="0" borderId="0" xfId="0" applyNumberFormat="1" applyFont="1" applyFill="1" applyBorder="1"/>
    <xf numFmtId="0" fontId="16" fillId="0" borderId="0" xfId="0" applyFont="1" applyFill="1" applyBorder="1"/>
    <xf numFmtId="37" fontId="16" fillId="0" borderId="0" xfId="0" applyNumberFormat="1" applyFont="1" applyFill="1" applyBorder="1"/>
    <xf numFmtId="10" fontId="16" fillId="0" borderId="0" xfId="0" applyNumberFormat="1" applyFont="1" applyFill="1" applyBorder="1"/>
    <xf numFmtId="0" fontId="8" fillId="0" borderId="0" xfId="5" applyFont="1" applyFill="1" applyBorder="1"/>
    <xf numFmtId="0" fontId="2" fillId="0" borderId="0" xfId="5" applyFont="1" applyFill="1" applyBorder="1"/>
    <xf numFmtId="0" fontId="3" fillId="0" borderId="0" xfId="5" applyFont="1" applyFill="1" applyBorder="1"/>
    <xf numFmtId="0" fontId="2" fillId="0" borderId="0" xfId="5" applyFont="1" applyFill="1" applyBorder="1" applyAlignment="1">
      <alignment horizontal="center"/>
    </xf>
    <xf numFmtId="0" fontId="2" fillId="0" borderId="0" xfId="6" applyFont="1" applyFill="1" applyBorder="1"/>
    <xf numFmtId="0" fontId="3" fillId="0" borderId="0" xfId="6" applyFont="1" applyFill="1" applyBorder="1"/>
    <xf numFmtId="164" fontId="2" fillId="0" borderId="0" xfId="8" applyNumberFormat="1" applyFont="1" applyFill="1" applyBorder="1"/>
    <xf numFmtId="0" fontId="2" fillId="0" borderId="0" xfId="5" applyFont="1" applyFill="1" applyBorder="1" applyAlignment="1">
      <alignment horizontal="left"/>
    </xf>
    <xf numFmtId="41" fontId="3" fillId="0" borderId="0" xfId="5" applyNumberFormat="1" applyFont="1" applyFill="1" applyBorder="1"/>
    <xf numFmtId="0" fontId="3" fillId="0" borderId="0" xfId="5" applyFont="1" applyFill="1" applyBorder="1" applyAlignment="1">
      <alignment horizontal="left"/>
    </xf>
    <xf numFmtId="166" fontId="42" fillId="0" borderId="0" xfId="1" applyNumberFormat="1" applyFont="1" applyFill="1" applyBorder="1" applyAlignment="1">
      <alignment horizontal="left"/>
    </xf>
    <xf numFmtId="168" fontId="3" fillId="0" borderId="0" xfId="1" applyNumberFormat="1" applyFont="1" applyFill="1" applyBorder="1" applyAlignment="1">
      <alignment horizontal="left"/>
    </xf>
    <xf numFmtId="37" fontId="3" fillId="0" borderId="0" xfId="5" applyNumberFormat="1" applyFont="1" applyFill="1" applyBorder="1" applyProtection="1"/>
    <xf numFmtId="37" fontId="42" fillId="0" borderId="0" xfId="5" applyNumberFormat="1" applyFont="1" applyFill="1" applyBorder="1" applyProtection="1"/>
    <xf numFmtId="10" fontId="3" fillId="0" borderId="0" xfId="8" applyNumberFormat="1" applyFont="1" applyFill="1" applyBorder="1"/>
    <xf numFmtId="9" fontId="3" fillId="0" borderId="0" xfId="5" applyNumberFormat="1" applyFont="1" applyFill="1" applyBorder="1"/>
    <xf numFmtId="43" fontId="4" fillId="0" borderId="0" xfId="1" applyFont="1" applyFill="1" applyBorder="1" applyAlignment="1">
      <alignment horizontal="left"/>
    </xf>
    <xf numFmtId="0" fontId="4" fillId="0" borderId="0" xfId="5" applyFont="1" applyFill="1" applyBorder="1" applyAlignment="1">
      <alignment horizontal="left"/>
    </xf>
    <xf numFmtId="0" fontId="4" fillId="0" borderId="0" xfId="5" applyFont="1" applyFill="1" applyBorder="1"/>
    <xf numFmtId="0" fontId="20" fillId="0" borderId="0" xfId="5" applyFont="1" applyFill="1" applyBorder="1" applyAlignment="1">
      <alignment horizontal="left"/>
    </xf>
    <xf numFmtId="43" fontId="47" fillId="0" borderId="0" xfId="1" applyFont="1" applyFill="1" applyBorder="1"/>
    <xf numFmtId="0" fontId="47" fillId="0" borderId="0" xfId="5" applyFont="1" applyFill="1" applyBorder="1"/>
    <xf numFmtId="10" fontId="3" fillId="0" borderId="0" xfId="5" applyNumberFormat="1" applyFont="1" applyFill="1" applyBorder="1"/>
    <xf numFmtId="0" fontId="2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166" fontId="2" fillId="0" borderId="0" xfId="1" applyNumberFormat="1" applyFont="1" applyFill="1"/>
    <xf numFmtId="38" fontId="17" fillId="0" borderId="0" xfId="0" applyNumberFormat="1" applyFont="1" applyFill="1"/>
    <xf numFmtId="0" fontId="0" fillId="0" borderId="6" xfId="0" applyBorder="1"/>
    <xf numFmtId="37" fontId="0" fillId="0" borderId="0" xfId="0" applyNumberFormat="1"/>
    <xf numFmtId="10" fontId="49" fillId="0" borderId="0" xfId="8" applyNumberFormat="1" applyFont="1"/>
    <xf numFmtId="187" fontId="0" fillId="0" borderId="0" xfId="0" applyNumberFormat="1"/>
    <xf numFmtId="0" fontId="19" fillId="0" borderId="9" xfId="0" applyFont="1" applyBorder="1"/>
    <xf numFmtId="38" fontId="3" fillId="0" borderId="0" xfId="2" applyNumberFormat="1" applyFont="1" applyBorder="1" applyProtection="1"/>
    <xf numFmtId="38" fontId="3" fillId="0" borderId="0" xfId="0" applyNumberFormat="1" applyFont="1"/>
    <xf numFmtId="166" fontId="3" fillId="0" borderId="0" xfId="0" applyNumberFormat="1" applyFont="1"/>
    <xf numFmtId="0" fontId="29" fillId="0" borderId="0" xfId="0" applyFont="1" applyFill="1"/>
    <xf numFmtId="0" fontId="29" fillId="0" borderId="0" xfId="0" applyFont="1" applyFill="1" applyBorder="1"/>
    <xf numFmtId="171" fontId="3" fillId="0" borderId="0" xfId="0" applyNumberFormat="1" applyFont="1" applyFill="1" applyProtection="1"/>
    <xf numFmtId="10" fontId="18" fillId="0" borderId="0" xfId="0" applyNumberFormat="1" applyFont="1" applyFill="1" applyProtection="1"/>
    <xf numFmtId="10" fontId="3" fillId="0" borderId="0" xfId="8" applyNumberFormat="1" applyFont="1" applyFill="1" applyProtection="1"/>
    <xf numFmtId="0" fontId="11" fillId="0" borderId="0" xfId="0" applyFont="1" applyFill="1"/>
    <xf numFmtId="38" fontId="0" fillId="0" borderId="0" xfId="0" applyNumberFormat="1"/>
    <xf numFmtId="38" fontId="27" fillId="0" borderId="0" xfId="0" applyNumberFormat="1" applyFont="1"/>
    <xf numFmtId="38" fontId="34" fillId="0" borderId="0" xfId="0" applyNumberFormat="1" applyFont="1"/>
    <xf numFmtId="38" fontId="6" fillId="0" borderId="0" xfId="0" applyNumberFormat="1" applyFont="1"/>
    <xf numFmtId="38" fontId="28" fillId="0" borderId="0" xfId="0" applyNumberFormat="1" applyFont="1"/>
    <xf numFmtId="38" fontId="3" fillId="0" borderId="0" xfId="2" applyNumberFormat="1" applyFont="1" applyFill="1"/>
    <xf numFmtId="38" fontId="18" fillId="0" borderId="0" xfId="2" applyNumberFormat="1" applyFont="1" applyProtection="1"/>
    <xf numFmtId="38" fontId="3" fillId="0" borderId="0" xfId="2" applyNumberFormat="1" applyFont="1"/>
    <xf numFmtId="38" fontId="14" fillId="0" borderId="0" xfId="2" applyNumberFormat="1" applyFont="1" applyFill="1" applyProtection="1"/>
    <xf numFmtId="38" fontId="14" fillId="0" borderId="0" xfId="2" applyNumberFormat="1" applyFont="1" applyProtection="1"/>
    <xf numFmtId="38" fontId="3" fillId="0" borderId="0" xfId="0" applyNumberFormat="1" applyFont="1" applyFill="1"/>
    <xf numFmtId="38" fontId="3" fillId="0" borderId="6" xfId="1" applyNumberFormat="1" applyFont="1" applyFill="1" applyBorder="1"/>
    <xf numFmtId="38" fontId="3" fillId="0" borderId="0" xfId="1" applyNumberFormat="1" applyFont="1" applyFill="1" applyBorder="1"/>
    <xf numFmtId="38" fontId="4" fillId="0" borderId="0" xfId="0" applyNumberFormat="1" applyFont="1" applyFill="1"/>
    <xf numFmtId="38" fontId="4" fillId="0" borderId="0" xfId="1" applyNumberFormat="1" applyFont="1" applyFill="1"/>
    <xf numFmtId="38" fontId="4" fillId="0" borderId="0" xfId="1" applyNumberFormat="1" applyFont="1" applyFill="1" applyBorder="1"/>
    <xf numFmtId="38" fontId="2" fillId="0" borderId="0" xfId="0" applyNumberFormat="1" applyFont="1" applyFill="1"/>
    <xf numFmtId="38" fontId="2" fillId="0" borderId="0" xfId="0" applyNumberFormat="1" applyFont="1" applyFill="1" applyBorder="1"/>
    <xf numFmtId="38" fontId="10" fillId="0" borderId="0" xfId="0" applyNumberFormat="1" applyFont="1" applyFill="1"/>
    <xf numFmtId="38" fontId="17" fillId="0" borderId="0" xfId="1" applyNumberFormat="1" applyFont="1" applyFill="1"/>
    <xf numFmtId="38" fontId="2" fillId="0" borderId="0" xfId="1" applyNumberFormat="1" applyFont="1" applyFill="1" applyBorder="1"/>
    <xf numFmtId="38" fontId="10" fillId="0" borderId="0" xfId="1" applyNumberFormat="1" applyFont="1" applyFill="1"/>
    <xf numFmtId="37" fontId="11" fillId="0" borderId="0" xfId="4" applyFont="1" applyAlignment="1">
      <alignment horizontal="right"/>
    </xf>
    <xf numFmtId="166" fontId="11" fillId="0" borderId="0" xfId="1" applyNumberFormat="1" applyFont="1" applyProtection="1"/>
    <xf numFmtId="0" fontId="11" fillId="0" borderId="0" xfId="0" applyFont="1" applyFill="1" applyBorder="1"/>
    <xf numFmtId="37" fontId="11" fillId="0" borderId="0" xfId="4" applyFont="1" applyFill="1" applyBorder="1" applyAlignment="1"/>
    <xf numFmtId="1" fontId="3" fillId="0" borderId="0" xfId="0" applyNumberFormat="1" applyFont="1" applyFill="1"/>
    <xf numFmtId="166" fontId="3" fillId="0" borderId="4" xfId="1" applyNumberFormat="1" applyFont="1" applyFill="1" applyBorder="1"/>
    <xf numFmtId="0" fontId="52" fillId="0" borderId="0" xfId="0" applyFont="1"/>
    <xf numFmtId="0" fontId="3" fillId="0" borderId="17" xfId="0" applyFont="1" applyBorder="1"/>
    <xf numFmtId="10" fontId="3" fillId="0" borderId="0" xfId="8" applyNumberFormat="1" applyFont="1"/>
    <xf numFmtId="164" fontId="3" fillId="0" borderId="0" xfId="0" applyNumberFormat="1" applyFont="1"/>
    <xf numFmtId="0" fontId="39" fillId="0" borderId="0" xfId="0" applyFont="1"/>
    <xf numFmtId="40" fontId="4" fillId="0" borderId="0" xfId="1" applyNumberFormat="1" applyFont="1" applyFill="1"/>
    <xf numFmtId="166" fontId="53" fillId="0" borderId="0" xfId="1" applyNumberFormat="1" applyFont="1"/>
    <xf numFmtId="166" fontId="3" fillId="0" borderId="0" xfId="0" applyNumberFormat="1" applyFont="1" applyFill="1"/>
    <xf numFmtId="0" fontId="31" fillId="0" borderId="0" xfId="0" applyFont="1" applyFill="1" applyBorder="1"/>
    <xf numFmtId="38" fontId="3" fillId="0" borderId="0" xfId="0" applyNumberFormat="1" applyFont="1" applyBorder="1"/>
    <xf numFmtId="38" fontId="54" fillId="0" borderId="0" xfId="0" applyNumberFormat="1" applyFont="1"/>
    <xf numFmtId="0" fontId="54" fillId="0" borderId="0" xfId="0" applyFont="1"/>
    <xf numFmtId="0" fontId="12" fillId="0" borderId="5" xfId="0" applyFont="1" applyBorder="1"/>
    <xf numFmtId="38" fontId="3" fillId="0" borderId="6" xfId="0" applyNumberFormat="1" applyFont="1" applyBorder="1"/>
    <xf numFmtId="43" fontId="3" fillId="0" borderId="0" xfId="1" applyFont="1" applyBorder="1"/>
    <xf numFmtId="0" fontId="2" fillId="0" borderId="2" xfId="0" applyFont="1" applyBorder="1"/>
    <xf numFmtId="40" fontId="3" fillId="0" borderId="0" xfId="0" applyNumberFormat="1" applyFont="1" applyBorder="1"/>
    <xf numFmtId="37" fontId="2" fillId="5" borderId="0" xfId="0" applyNumberFormat="1" applyFont="1" applyFill="1" applyBorder="1" applyAlignment="1">
      <alignment horizontal="center"/>
    </xf>
    <xf numFmtId="190" fontId="3" fillId="0" borderId="0" xfId="0" applyNumberFormat="1" applyFont="1"/>
    <xf numFmtId="43" fontId="3" fillId="0" borderId="0" xfId="1" applyFont="1"/>
    <xf numFmtId="179" fontId="36" fillId="0" borderId="0" xfId="0" applyNumberFormat="1" applyFont="1" applyBorder="1" applyAlignment="1">
      <alignment horizontal="right"/>
    </xf>
    <xf numFmtId="0" fontId="8" fillId="0" borderId="0" xfId="0" applyFont="1"/>
    <xf numFmtId="38" fontId="0" fillId="0" borderId="0" xfId="0" applyNumberFormat="1" applyFill="1"/>
    <xf numFmtId="38" fontId="27" fillId="0" borderId="0" xfId="0" applyNumberFormat="1" applyFont="1" applyFill="1"/>
    <xf numFmtId="0" fontId="0" fillId="0" borderId="0" xfId="0" applyFill="1" applyBorder="1"/>
    <xf numFmtId="38" fontId="0" fillId="0" borderId="0" xfId="0" applyNumberFormat="1" applyFill="1" applyBorder="1"/>
    <xf numFmtId="38" fontId="27" fillId="0" borderId="0" xfId="0" applyNumberFormat="1" applyFont="1" applyFill="1" applyBorder="1"/>
    <xf numFmtId="38" fontId="34" fillId="0" borderId="0" xfId="0" applyNumberFormat="1" applyFont="1" applyFill="1" applyBorder="1"/>
    <xf numFmtId="38" fontId="54" fillId="0" borderId="0" xfId="0" applyNumberFormat="1" applyFont="1" applyFill="1" applyBorder="1"/>
    <xf numFmtId="38" fontId="6" fillId="0" borderId="0" xfId="0" applyNumberFormat="1" applyFont="1" applyFill="1" applyBorder="1"/>
    <xf numFmtId="38" fontId="28" fillId="0" borderId="0" xfId="0" applyNumberFormat="1" applyFont="1" applyFill="1" applyBorder="1"/>
    <xf numFmtId="14" fontId="31" fillId="0" borderId="0" xfId="0" applyNumberFormat="1" applyFont="1" applyFill="1" applyBorder="1" applyAlignment="1">
      <alignment horizontal="center"/>
    </xf>
    <xf numFmtId="166" fontId="17" fillId="0" borderId="0" xfId="1" applyNumberFormat="1" applyFont="1" applyFill="1" applyBorder="1"/>
    <xf numFmtId="166" fontId="2" fillId="0" borderId="0" xfId="0" applyNumberFormat="1" applyFont="1" applyFill="1" applyBorder="1"/>
    <xf numFmtId="166" fontId="29" fillId="0" borderId="0" xfId="1" applyNumberFormat="1" applyFont="1" applyFill="1" applyBorder="1"/>
    <xf numFmtId="0" fontId="15" fillId="0" borderId="0" xfId="0" applyFont="1" applyFill="1" applyBorder="1"/>
    <xf numFmtId="10" fontId="3" fillId="0" borderId="0" xfId="0" applyNumberFormat="1" applyFont="1" applyFill="1" applyBorder="1" applyAlignment="1">
      <alignment horizontal="center"/>
    </xf>
    <xf numFmtId="10" fontId="3" fillId="0" borderId="0" xfId="8" applyNumberFormat="1" applyFont="1" applyFill="1" applyBorder="1" applyAlignment="1">
      <alignment horizontal="center"/>
    </xf>
    <xf numFmtId="3" fontId="3" fillId="0" borderId="0" xfId="0" applyNumberFormat="1" applyFont="1" applyFill="1" applyBorder="1"/>
    <xf numFmtId="40" fontId="31" fillId="0" borderId="0" xfId="0" applyNumberFormat="1" applyFont="1" applyFill="1" applyBorder="1"/>
    <xf numFmtId="3" fontId="31" fillId="0" borderId="0" xfId="0" applyNumberFormat="1" applyFont="1" applyFill="1" applyBorder="1"/>
    <xf numFmtId="3" fontId="2" fillId="0" borderId="0" xfId="0" applyNumberFormat="1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166" fontId="11" fillId="0" borderId="0" xfId="1" applyNumberFormat="1" applyFont="1" applyFill="1" applyBorder="1"/>
    <xf numFmtId="37" fontId="11" fillId="0" borderId="0" xfId="4" applyFont="1" applyFill="1" applyAlignment="1"/>
    <xf numFmtId="37" fontId="11" fillId="0" borderId="0" xfId="4" applyFont="1" applyFill="1" applyAlignment="1">
      <alignment horizontal="right"/>
    </xf>
    <xf numFmtId="166" fontId="11" fillId="0" borderId="0" xfId="1" applyNumberFormat="1" applyFont="1" applyFill="1" applyBorder="1" applyProtection="1"/>
    <xf numFmtId="166" fontId="26" fillId="0" borderId="0" xfId="1" applyNumberFormat="1" applyFont="1" applyFill="1" applyBorder="1" applyProtection="1"/>
    <xf numFmtId="166" fontId="50" fillId="0" borderId="0" xfId="1" applyNumberFormat="1" applyFont="1" applyFill="1" applyBorder="1"/>
    <xf numFmtId="166" fontId="51" fillId="0" borderId="0" xfId="1" applyNumberFormat="1" applyFont="1" applyFill="1" applyBorder="1"/>
    <xf numFmtId="10" fontId="50" fillId="0" borderId="0" xfId="1" applyNumberFormat="1" applyFont="1" applyFill="1" applyBorder="1"/>
    <xf numFmtId="166" fontId="50" fillId="0" borderId="0" xfId="1" applyNumberFormat="1" applyFont="1" applyFill="1" applyBorder="1" applyProtection="1"/>
    <xf numFmtId="166" fontId="51" fillId="0" borderId="0" xfId="1" applyNumberFormat="1" applyFont="1" applyFill="1" applyBorder="1" applyProtection="1"/>
    <xf numFmtId="9" fontId="11" fillId="0" borderId="0" xfId="1" applyNumberFormat="1" applyFont="1" applyFill="1" applyBorder="1"/>
    <xf numFmtId="166" fontId="26" fillId="0" borderId="0" xfId="1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9" fontId="3" fillId="0" borderId="0" xfId="0" applyNumberFormat="1" applyFont="1" applyBorder="1"/>
    <xf numFmtId="0" fontId="10" fillId="0" borderId="0" xfId="0" applyFont="1" applyBorder="1" applyAlignment="1">
      <alignment horizontal="left"/>
    </xf>
    <xf numFmtId="0" fontId="24" fillId="0" borderId="18" xfId="0" applyFont="1" applyFill="1" applyBorder="1"/>
    <xf numFmtId="0" fontId="24" fillId="0" borderId="18" xfId="0" applyFont="1" applyFill="1" applyBorder="1" applyAlignment="1" applyProtection="1">
      <alignment horizontal="left"/>
    </xf>
    <xf numFmtId="0" fontId="25" fillId="0" borderId="18" xfId="0" applyFont="1" applyFill="1" applyBorder="1" applyAlignment="1" applyProtection="1">
      <alignment horizontal="left"/>
    </xf>
    <xf numFmtId="0" fontId="5" fillId="0" borderId="2" xfId="0" applyFont="1" applyFill="1" applyBorder="1"/>
    <xf numFmtId="4" fontId="0" fillId="0" borderId="0" xfId="0" applyNumberFormat="1" applyFill="1" applyBorder="1"/>
    <xf numFmtId="221" fontId="0" fillId="0" borderId="0" xfId="0" applyNumberFormat="1" applyFill="1" applyBorder="1"/>
    <xf numFmtId="0" fontId="55" fillId="0" borderId="5" xfId="0" applyFont="1" applyBorder="1" applyAlignment="1" applyProtection="1">
      <alignment horizontal="left"/>
    </xf>
    <xf numFmtId="0" fontId="55" fillId="0" borderId="0" xfId="0" applyFont="1" applyBorder="1" applyAlignment="1">
      <alignment horizontal="center"/>
    </xf>
    <xf numFmtId="0" fontId="29" fillId="0" borderId="0" xfId="0" applyFont="1" applyBorder="1"/>
    <xf numFmtId="0" fontId="55" fillId="0" borderId="0" xfId="0" applyFont="1" applyBorder="1" applyAlignment="1" applyProtection="1">
      <alignment horizontal="left"/>
    </xf>
    <xf numFmtId="0" fontId="29" fillId="0" borderId="5" xfId="0" applyFont="1" applyBorder="1" applyAlignment="1" applyProtection="1">
      <alignment horizontal="left"/>
    </xf>
    <xf numFmtId="10" fontId="56" fillId="0" borderId="0" xfId="0" applyNumberFormat="1" applyFont="1" applyBorder="1" applyAlignment="1" applyProtection="1">
      <alignment horizontal="center"/>
    </xf>
    <xf numFmtId="0" fontId="29" fillId="0" borderId="0" xfId="0" applyFont="1" applyBorder="1" applyAlignment="1" applyProtection="1">
      <alignment horizontal="left"/>
    </xf>
    <xf numFmtId="10" fontId="56" fillId="0" borderId="0" xfId="8" applyNumberFormat="1" applyFont="1" applyBorder="1" applyAlignment="1">
      <alignment horizontal="center"/>
    </xf>
    <xf numFmtId="38" fontId="29" fillId="0" borderId="0" xfId="1" applyNumberFormat="1" applyFont="1" applyBorder="1"/>
    <xf numFmtId="10" fontId="58" fillId="0" borderId="0" xfId="8" applyNumberFormat="1" applyFont="1" applyBorder="1" applyAlignment="1">
      <alignment horizontal="center"/>
    </xf>
    <xf numFmtId="10" fontId="29" fillId="0" borderId="5" xfId="0" applyNumberFormat="1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10" fontId="55" fillId="0" borderId="5" xfId="0" applyNumberFormat="1" applyFont="1" applyBorder="1" applyAlignment="1">
      <alignment horizontal="left"/>
    </xf>
    <xf numFmtId="10" fontId="58" fillId="0" borderId="0" xfId="0" applyNumberFormat="1" applyFont="1" applyBorder="1" applyAlignment="1" applyProtection="1">
      <alignment horizontal="center"/>
    </xf>
    <xf numFmtId="38" fontId="55" fillId="0" borderId="0" xfId="1" applyNumberFormat="1" applyFont="1" applyBorder="1"/>
    <xf numFmtId="0" fontId="29" fillId="0" borderId="5" xfId="0" applyFont="1" applyBorder="1"/>
    <xf numFmtId="0" fontId="29" fillId="0" borderId="4" xfId="0" applyFont="1" applyBorder="1"/>
    <xf numFmtId="0" fontId="29" fillId="0" borderId="19" xfId="0" applyFont="1" applyBorder="1"/>
    <xf numFmtId="0" fontId="29" fillId="0" borderId="1" xfId="0" applyFont="1" applyBorder="1"/>
    <xf numFmtId="0" fontId="55" fillId="0" borderId="5" xfId="0" applyFont="1" applyBorder="1"/>
    <xf numFmtId="0" fontId="29" fillId="0" borderId="5" xfId="0" applyFont="1" applyBorder="1" applyAlignment="1">
      <alignment horizontal="left"/>
    </xf>
    <xf numFmtId="37" fontId="29" fillId="0" borderId="0" xfId="0" applyNumberFormat="1" applyFont="1" applyFill="1" applyBorder="1" applyAlignment="1">
      <alignment horizontal="center"/>
    </xf>
    <xf numFmtId="2" fontId="59" fillId="0" borderId="0" xfId="0" applyNumberFormat="1" applyFont="1" applyBorder="1" applyAlignment="1">
      <alignment horizontal="center"/>
    </xf>
    <xf numFmtId="0" fontId="59" fillId="0" borderId="5" xfId="0" applyFont="1" applyBorder="1"/>
    <xf numFmtId="173" fontId="29" fillId="0" borderId="0" xfId="0" applyNumberFormat="1" applyFont="1" applyFill="1" applyBorder="1" applyAlignment="1">
      <alignment horizontal="center"/>
    </xf>
    <xf numFmtId="173" fontId="55" fillId="0" borderId="0" xfId="0" applyNumberFormat="1" applyFont="1" applyFill="1" applyBorder="1" applyAlignment="1">
      <alignment horizontal="center"/>
    </xf>
    <xf numFmtId="173" fontId="29" fillId="0" borderId="0" xfId="0" applyNumberFormat="1" applyFont="1" applyBorder="1" applyAlignment="1">
      <alignment horizontal="center"/>
    </xf>
    <xf numFmtId="0" fontId="55" fillId="0" borderId="0" xfId="0" applyFont="1" applyBorder="1"/>
    <xf numFmtId="212" fontId="29" fillId="0" borderId="0" xfId="1" applyNumberFormat="1" applyFont="1" applyBorder="1" applyAlignment="1">
      <alignment horizontal="center"/>
    </xf>
    <xf numFmtId="38" fontId="29" fillId="0" borderId="0" xfId="0" applyNumberFormat="1" applyFont="1" applyBorder="1"/>
    <xf numFmtId="38" fontId="29" fillId="0" borderId="0" xfId="0" applyNumberFormat="1" applyFont="1" applyBorder="1" applyAlignment="1">
      <alignment horizontal="center"/>
    </xf>
    <xf numFmtId="38" fontId="29" fillId="0" borderId="1" xfId="0" applyNumberFormat="1" applyFont="1" applyBorder="1" applyAlignment="1">
      <alignment horizontal="center"/>
    </xf>
    <xf numFmtId="0" fontId="29" fillId="0" borderId="2" xfId="0" applyFont="1" applyFill="1" applyBorder="1"/>
    <xf numFmtId="0" fontId="24" fillId="0" borderId="2" xfId="0" applyFont="1" applyFill="1" applyBorder="1" applyAlignment="1">
      <alignment horizontal="centerContinuous"/>
    </xf>
    <xf numFmtId="0" fontId="24" fillId="0" borderId="3" xfId="0" applyFont="1" applyFill="1" applyBorder="1" applyAlignment="1">
      <alignment horizontal="centerContinuous"/>
    </xf>
    <xf numFmtId="0" fontId="29" fillId="0" borderId="4" xfId="0" applyFont="1" applyFill="1" applyBorder="1"/>
    <xf numFmtId="0" fontId="55" fillId="0" borderId="5" xfId="0" applyFont="1" applyFill="1" applyBorder="1"/>
    <xf numFmtId="10" fontId="57" fillId="0" borderId="0" xfId="0" applyNumberFormat="1" applyFont="1" applyFill="1" applyBorder="1"/>
    <xf numFmtId="0" fontId="29" fillId="0" borderId="5" xfId="0" applyFont="1" applyFill="1" applyBorder="1"/>
    <xf numFmtId="10" fontId="10" fillId="0" borderId="0" xfId="8" applyNumberFormat="1" applyFont="1" applyFill="1" applyBorder="1" applyAlignment="1">
      <alignment horizontal="center"/>
    </xf>
    <xf numFmtId="10" fontId="57" fillId="0" borderId="0" xfId="8" applyNumberFormat="1" applyFont="1" applyFill="1" applyBorder="1" applyAlignment="1">
      <alignment horizontal="center"/>
    </xf>
    <xf numFmtId="10" fontId="57" fillId="0" borderId="4" xfId="8" applyNumberFormat="1" applyFont="1" applyFill="1" applyBorder="1" applyAlignment="1">
      <alignment horizontal="center"/>
    </xf>
    <xf numFmtId="0" fontId="29" fillId="0" borderId="19" xfId="0" applyFont="1" applyFill="1" applyBorder="1"/>
    <xf numFmtId="0" fontId="57" fillId="3" borderId="0" xfId="0" applyFont="1" applyFill="1" applyBorder="1"/>
    <xf numFmtId="0" fontId="60" fillId="0" borderId="0" xfId="0" applyFont="1" applyBorder="1"/>
    <xf numFmtId="10" fontId="10" fillId="0" borderId="4" xfId="8" applyNumberFormat="1" applyFont="1" applyFill="1" applyBorder="1"/>
    <xf numFmtId="0" fontId="10" fillId="0" borderId="5" xfId="0" applyFont="1" applyBorder="1"/>
    <xf numFmtId="38" fontId="59" fillId="0" borderId="0" xfId="0" applyNumberFormat="1" applyFont="1" applyFill="1" applyBorder="1"/>
    <xf numFmtId="0" fontId="29" fillId="0" borderId="2" xfId="0" applyFont="1" applyBorder="1"/>
    <xf numFmtId="0" fontId="29" fillId="0" borderId="3" xfId="0" applyFont="1" applyBorder="1"/>
    <xf numFmtId="0" fontId="57" fillId="3" borderId="4" xfId="0" applyFont="1" applyFill="1" applyBorder="1"/>
    <xf numFmtId="10" fontId="57" fillId="3" borderId="0" xfId="0" applyNumberFormat="1" applyFont="1" applyFill="1" applyBorder="1"/>
    <xf numFmtId="10" fontId="57" fillId="3" borderId="4" xfId="0" applyNumberFormat="1" applyFont="1" applyFill="1" applyBorder="1"/>
    <xf numFmtId="0" fontId="24" fillId="0" borderId="2" xfId="0" applyFont="1" applyBorder="1" applyAlignment="1">
      <alignment horizontal="centerContinuous"/>
    </xf>
    <xf numFmtId="0" fontId="24" fillId="0" borderId="3" xfId="0" applyFont="1" applyBorder="1" applyAlignment="1">
      <alignment horizontal="centerContinuous"/>
    </xf>
    <xf numFmtId="0" fontId="44" fillId="4" borderId="0" xfId="0" applyFont="1" applyFill="1" applyBorder="1" applyAlignment="1">
      <alignment horizontal="center"/>
    </xf>
    <xf numFmtId="0" fontId="44" fillId="4" borderId="4" xfId="0" applyFont="1" applyFill="1" applyBorder="1" applyAlignment="1">
      <alignment horizontal="center"/>
    </xf>
    <xf numFmtId="38" fontId="57" fillId="3" borderId="0" xfId="0" applyNumberFormat="1" applyFont="1" applyFill="1" applyBorder="1"/>
    <xf numFmtId="38" fontId="57" fillId="3" borderId="4" xfId="0" applyNumberFormat="1" applyFont="1" applyFill="1" applyBorder="1"/>
    <xf numFmtId="10" fontId="57" fillId="3" borderId="0" xfId="8" applyNumberFormat="1" applyFont="1" applyFill="1" applyBorder="1"/>
    <xf numFmtId="10" fontId="57" fillId="3" borderId="4" xfId="8" applyNumberFormat="1" applyFont="1" applyFill="1" applyBorder="1"/>
    <xf numFmtId="10" fontId="57" fillId="3" borderId="1" xfId="8" applyNumberFormat="1" applyFont="1" applyFill="1" applyBorder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Continuous"/>
    </xf>
    <xf numFmtId="0" fontId="29" fillId="0" borderId="0" xfId="0" applyFont="1" applyAlignment="1">
      <alignment horizontal="centerContinuous"/>
    </xf>
    <xf numFmtId="0" fontId="29" fillId="0" borderId="20" xfId="0" applyFont="1" applyBorder="1" applyAlignment="1">
      <alignment horizontal="center"/>
    </xf>
    <xf numFmtId="0" fontId="29" fillId="0" borderId="21" xfId="0" applyFont="1" applyBorder="1" applyAlignment="1">
      <alignment horizontal="centerContinuous"/>
    </xf>
    <xf numFmtId="0" fontId="29" fillId="0" borderId="22" xfId="0" applyFont="1" applyBorder="1" applyAlignment="1">
      <alignment horizontal="centerContinuous"/>
    </xf>
    <xf numFmtId="0" fontId="10" fillId="0" borderId="18" xfId="0" applyFont="1" applyBorder="1" applyAlignment="1">
      <alignment horizontal="centerContinuous"/>
    </xf>
    <xf numFmtId="0" fontId="29" fillId="0" borderId="2" xfId="0" applyFont="1" applyBorder="1" applyAlignment="1">
      <alignment horizontal="centerContinuous"/>
    </xf>
    <xf numFmtId="0" fontId="29" fillId="0" borderId="3" xfId="0" applyFont="1" applyBorder="1" applyAlignment="1">
      <alignment horizontal="centerContinuous"/>
    </xf>
    <xf numFmtId="0" fontId="10" fillId="0" borderId="23" xfId="0" applyFont="1" applyBorder="1" applyAlignment="1">
      <alignment horizontal="centerContinuous"/>
    </xf>
    <xf numFmtId="0" fontId="29" fillId="0" borderId="24" xfId="0" applyFont="1" applyBorder="1"/>
    <xf numFmtId="0" fontId="29" fillId="0" borderId="25" xfId="0" applyFont="1" applyBorder="1" applyAlignment="1">
      <alignment horizontal="centerContinuous"/>
    </xf>
    <xf numFmtId="0" fontId="29" fillId="0" borderId="26" xfId="0" applyFont="1" applyBorder="1" applyAlignment="1">
      <alignment horizontal="centerContinuous"/>
    </xf>
    <xf numFmtId="0" fontId="29" fillId="0" borderId="27" xfId="0" applyFont="1" applyBorder="1" applyAlignment="1">
      <alignment horizontal="centerContinuous"/>
    </xf>
    <xf numFmtId="0" fontId="29" fillId="0" borderId="28" xfId="0" applyFont="1" applyBorder="1" applyAlignment="1">
      <alignment horizontal="center"/>
    </xf>
    <xf numFmtId="0" fontId="29" fillId="0" borderId="29" xfId="0" applyFont="1" applyBorder="1" applyAlignment="1">
      <alignment horizontal="center"/>
    </xf>
    <xf numFmtId="0" fontId="29" fillId="0" borderId="30" xfId="0" applyFont="1" applyBorder="1" applyAlignment="1">
      <alignment horizontal="center"/>
    </xf>
    <xf numFmtId="3" fontId="29" fillId="0" borderId="5" xfId="0" applyNumberFormat="1" applyFont="1" applyBorder="1"/>
    <xf numFmtId="3" fontId="29" fillId="0" borderId="0" xfId="0" applyNumberFormat="1" applyFont="1" applyBorder="1"/>
    <xf numFmtId="3" fontId="29" fillId="0" borderId="4" xfId="0" applyNumberFormat="1" applyFont="1" applyBorder="1"/>
    <xf numFmtId="3" fontId="29" fillId="0" borderId="19" xfId="0" applyNumberFormat="1" applyFont="1" applyBorder="1"/>
    <xf numFmtId="3" fontId="29" fillId="0" borderId="1" xfId="0" applyNumberFormat="1" applyFont="1" applyBorder="1"/>
    <xf numFmtId="3" fontId="29" fillId="0" borderId="17" xfId="0" applyNumberFormat="1" applyFont="1" applyBorder="1"/>
    <xf numFmtId="4" fontId="29" fillId="0" borderId="0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left"/>
    </xf>
    <xf numFmtId="0" fontId="3" fillId="0" borderId="8" xfId="0" applyFont="1" applyBorder="1"/>
    <xf numFmtId="0" fontId="3" fillId="0" borderId="13" xfId="0" applyFont="1" applyBorder="1"/>
    <xf numFmtId="9" fontId="57" fillId="3" borderId="0" xfId="0" applyNumberFormat="1" applyFont="1" applyFill="1" applyBorder="1" applyAlignment="1">
      <alignment horizontal="center"/>
    </xf>
    <xf numFmtId="38" fontId="27" fillId="0" borderId="6" xfId="0" applyNumberFormat="1" applyFont="1" applyBorder="1"/>
    <xf numFmtId="166" fontId="12" fillId="0" borderId="0" xfId="1" applyNumberFormat="1" applyFont="1" applyFill="1" applyBorder="1"/>
    <xf numFmtId="38" fontId="2" fillId="0" borderId="0" xfId="0" applyNumberFormat="1" applyFont="1"/>
    <xf numFmtId="166" fontId="3" fillId="0" borderId="6" xfId="1" applyNumberFormat="1" applyFont="1" applyBorder="1"/>
    <xf numFmtId="38" fontId="3" fillId="0" borderId="6" xfId="1" applyNumberFormat="1" applyFont="1" applyBorder="1"/>
    <xf numFmtId="3" fontId="29" fillId="0" borderId="5" xfId="0" applyNumberFormat="1" applyFont="1" applyFill="1" applyBorder="1"/>
    <xf numFmtId="3" fontId="29" fillId="0" borderId="0" xfId="0" applyNumberFormat="1" applyFont="1" applyFill="1" applyBorder="1"/>
    <xf numFmtId="3" fontId="29" fillId="0" borderId="4" xfId="0" applyNumberFormat="1" applyFont="1" applyFill="1" applyBorder="1"/>
    <xf numFmtId="3" fontId="29" fillId="0" borderId="19" xfId="0" applyNumberFormat="1" applyFont="1" applyFill="1" applyBorder="1"/>
    <xf numFmtId="3" fontId="29" fillId="0" borderId="1" xfId="0" applyNumberFormat="1" applyFont="1" applyFill="1" applyBorder="1"/>
    <xf numFmtId="3" fontId="29" fillId="0" borderId="17" xfId="0" applyNumberFormat="1" applyFont="1" applyFill="1" applyBorder="1"/>
    <xf numFmtId="6" fontId="55" fillId="0" borderId="0" xfId="0" quotePrefix="1" applyNumberFormat="1" applyFont="1" applyBorder="1" applyAlignment="1">
      <alignment horizontal="center"/>
    </xf>
    <xf numFmtId="0" fontId="55" fillId="0" borderId="4" xfId="0" quotePrefix="1" applyFont="1" applyBorder="1" applyAlignment="1">
      <alignment horizontal="center"/>
    </xf>
    <xf numFmtId="0" fontId="61" fillId="0" borderId="0" xfId="0" applyFont="1"/>
    <xf numFmtId="0" fontId="62" fillId="0" borderId="0" xfId="0" applyFont="1"/>
    <xf numFmtId="0" fontId="29" fillId="0" borderId="23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29" fillId="0" borderId="31" xfId="0" applyFont="1" applyBorder="1" applyAlignment="1">
      <alignment horizontal="center"/>
    </xf>
    <xf numFmtId="0" fontId="29" fillId="0" borderId="32" xfId="0" applyFont="1" applyBorder="1" applyAlignment="1">
      <alignment horizontal="center"/>
    </xf>
    <xf numFmtId="0" fontId="29" fillId="0" borderId="33" xfId="0" applyFont="1" applyBorder="1" applyAlignment="1">
      <alignment horizontal="center"/>
    </xf>
    <xf numFmtId="43" fontId="3" fillId="0" borderId="0" xfId="1" applyFont="1" applyFill="1"/>
    <xf numFmtId="9" fontId="3" fillId="0" borderId="34" xfId="0" applyNumberFormat="1" applyFont="1" applyBorder="1"/>
    <xf numFmtId="10" fontId="57" fillId="3" borderId="0" xfId="0" applyNumberFormat="1" applyFont="1" applyFill="1" applyBorder="1" applyAlignment="1">
      <alignment horizontal="center"/>
    </xf>
    <xf numFmtId="10" fontId="57" fillId="3" borderId="1" xfId="0" applyNumberFormat="1" applyFont="1" applyFill="1" applyBorder="1" applyAlignment="1">
      <alignment horizontal="center"/>
    </xf>
    <xf numFmtId="7" fontId="29" fillId="0" borderId="0" xfId="1" applyNumberFormat="1" applyFont="1" applyBorder="1"/>
    <xf numFmtId="44" fontId="29" fillId="0" borderId="0" xfId="2" applyFont="1" applyFill="1" applyBorder="1"/>
    <xf numFmtId="0" fontId="10" fillId="4" borderId="0" xfId="3" applyFont="1" applyFill="1" applyBorder="1"/>
    <xf numFmtId="0" fontId="29" fillId="4" borderId="0" xfId="0" applyFont="1" applyFill="1"/>
    <xf numFmtId="0" fontId="40" fillId="0" borderId="0" xfId="0" applyFont="1" applyBorder="1"/>
    <xf numFmtId="2" fontId="29" fillId="0" borderId="0" xfId="0" applyNumberFormat="1" applyFont="1" applyBorder="1"/>
    <xf numFmtId="43" fontId="29" fillId="0" borderId="0" xfId="0" applyNumberFormat="1" applyFont="1" applyBorder="1"/>
    <xf numFmtId="0" fontId="29" fillId="0" borderId="0" xfId="0" applyFont="1" applyBorder="1" applyAlignment="1">
      <alignment horizontal="right"/>
    </xf>
    <xf numFmtId="0" fontId="24" fillId="0" borderId="0" xfId="1" applyNumberFormat="1" applyFont="1" applyBorder="1" applyAlignment="1">
      <alignment horizontal="right"/>
    </xf>
    <xf numFmtId="2" fontId="57" fillId="0" borderId="0" xfId="1" applyNumberFormat="1" applyFont="1" applyFill="1" applyBorder="1" applyAlignment="1">
      <alignment horizontal="right"/>
    </xf>
    <xf numFmtId="43" fontId="29" fillId="0" borderId="0" xfId="1" applyNumberFormat="1" applyFont="1" applyBorder="1" applyAlignment="1">
      <alignment horizontal="right"/>
    </xf>
    <xf numFmtId="44" fontId="29" fillId="0" borderId="0" xfId="2" applyFont="1" applyBorder="1" applyAlignment="1">
      <alignment horizontal="right"/>
    </xf>
    <xf numFmtId="44" fontId="29" fillId="0" borderId="0" xfId="2" applyFont="1" applyAlignment="1">
      <alignment horizontal="right"/>
    </xf>
    <xf numFmtId="9" fontId="57" fillId="0" borderId="0" xfId="0" applyNumberFormat="1" applyFont="1" applyBorder="1"/>
    <xf numFmtId="40" fontId="29" fillId="0" borderId="0" xfId="1" applyNumberFormat="1" applyFont="1" applyFill="1" applyBorder="1" applyAlignment="1">
      <alignment horizontal="right"/>
    </xf>
    <xf numFmtId="40" fontId="29" fillId="0" borderId="0" xfId="1" applyNumberFormat="1" applyFont="1" applyBorder="1" applyAlignment="1">
      <alignment horizontal="right"/>
    </xf>
    <xf numFmtId="40" fontId="55" fillId="0" borderId="0" xfId="1" applyNumberFormat="1" applyFont="1" applyBorder="1" applyAlignment="1">
      <alignment horizontal="right"/>
    </xf>
    <xf numFmtId="0" fontId="10" fillId="0" borderId="0" xfId="0" applyFont="1" applyBorder="1"/>
    <xf numFmtId="40" fontId="29" fillId="7" borderId="0" xfId="1" applyNumberFormat="1" applyFont="1" applyFill="1" applyBorder="1" applyAlignment="1">
      <alignment horizontal="right"/>
    </xf>
    <xf numFmtId="1" fontId="57" fillId="0" borderId="0" xfId="1" applyNumberFormat="1" applyFont="1" applyFill="1" applyBorder="1" applyAlignment="1">
      <alignment horizontal="right"/>
    </xf>
    <xf numFmtId="43" fontId="55" fillId="0" borderId="0" xfId="1" applyNumberFormat="1" applyFont="1" applyBorder="1" applyAlignment="1">
      <alignment horizontal="right"/>
    </xf>
    <xf numFmtId="7" fontId="29" fillId="0" borderId="0" xfId="1" applyNumberFormat="1" applyFont="1" applyBorder="1" applyAlignment="1">
      <alignment horizontal="right"/>
    </xf>
    <xf numFmtId="43" fontId="29" fillId="0" borderId="0" xfId="1" applyFont="1" applyBorder="1" applyAlignment="1">
      <alignment horizontal="right"/>
    </xf>
    <xf numFmtId="7" fontId="29" fillId="0" borderId="0" xfId="0" applyNumberFormat="1" applyFont="1" applyBorder="1"/>
    <xf numFmtId="7" fontId="55" fillId="0" borderId="0" xfId="2" applyNumberFormat="1" applyFont="1" applyBorder="1"/>
    <xf numFmtId="166" fontId="26" fillId="0" borderId="0" xfId="1" applyNumberFormat="1" applyFont="1" applyFill="1" applyBorder="1"/>
    <xf numFmtId="38" fontId="3" fillId="0" borderId="0" xfId="2" applyNumberFormat="1" applyFont="1" applyFill="1" applyBorder="1" applyProtection="1"/>
    <xf numFmtId="9" fontId="18" fillId="0" borderId="0" xfId="8" applyFont="1" applyFill="1" applyProtection="1"/>
    <xf numFmtId="0" fontId="29" fillId="0" borderId="31" xfId="0" applyFont="1" applyBorder="1" applyAlignment="1">
      <alignment horizontal="right"/>
    </xf>
    <xf numFmtId="0" fontId="29" fillId="0" borderId="32" xfId="0" applyFont="1" applyBorder="1" applyAlignment="1">
      <alignment horizontal="right"/>
    </xf>
    <xf numFmtId="0" fontId="29" fillId="0" borderId="33" xfId="0" applyFont="1" applyBorder="1" applyAlignment="1">
      <alignment horizontal="right"/>
    </xf>
    <xf numFmtId="40" fontId="57" fillId="3" borderId="0" xfId="0" applyNumberFormat="1" applyFont="1" applyFill="1" applyBorder="1"/>
    <xf numFmtId="10" fontId="57" fillId="3" borderId="17" xfId="8" applyNumberFormat="1" applyFont="1" applyFill="1" applyBorder="1"/>
    <xf numFmtId="166" fontId="2" fillId="0" borderId="6" xfId="1" applyNumberFormat="1" applyFont="1" applyBorder="1"/>
    <xf numFmtId="43" fontId="10" fillId="0" borderId="0" xfId="1" applyFont="1" applyFill="1" applyAlignment="1">
      <alignment horizontal="left"/>
    </xf>
    <xf numFmtId="38" fontId="14" fillId="0" borderId="0" xfId="1" applyNumberFormat="1" applyFont="1" applyFill="1"/>
    <xf numFmtId="0" fontId="29" fillId="0" borderId="5" xfId="0" applyFont="1" applyBorder="1" applyAlignment="1">
      <alignment horizontal="center"/>
    </xf>
    <xf numFmtId="3" fontId="29" fillId="0" borderId="5" xfId="0" applyNumberFormat="1" applyFont="1" applyBorder="1" applyAlignment="1">
      <alignment horizontal="center"/>
    </xf>
    <xf numFmtId="3" fontId="29" fillId="0" borderId="5" xfId="0" applyNumberFormat="1" applyFont="1" applyFill="1" applyBorder="1" applyAlignment="1">
      <alignment horizontal="center"/>
    </xf>
    <xf numFmtId="3" fontId="29" fillId="0" borderId="19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Continuous"/>
    </xf>
    <xf numFmtId="0" fontId="2" fillId="0" borderId="0" xfId="0" applyNumberFormat="1" applyFont="1" applyFill="1" applyBorder="1" applyAlignment="1">
      <alignment horizontal="left"/>
    </xf>
    <xf numFmtId="9" fontId="57" fillId="0" borderId="0" xfId="8" applyFont="1" applyFill="1" applyBorder="1" applyAlignment="1">
      <alignment horizontal="right"/>
    </xf>
    <xf numFmtId="37" fontId="3" fillId="0" borderId="0" xfId="4" applyFont="1" applyBorder="1" applyAlignment="1"/>
    <xf numFmtId="37" fontId="2" fillId="0" borderId="0" xfId="4" applyFont="1" applyBorder="1" applyAlignment="1"/>
    <xf numFmtId="0" fontId="12" fillId="0" borderId="0" xfId="0" applyFont="1" applyBorder="1" applyAlignment="1" applyProtection="1">
      <alignment horizontal="left"/>
    </xf>
    <xf numFmtId="166" fontId="3" fillId="0" borderId="0" xfId="1" applyNumberFormat="1" applyFont="1" applyBorder="1" applyAlignment="1" applyProtection="1">
      <alignment horizontal="left"/>
    </xf>
    <xf numFmtId="166" fontId="17" fillId="0" borderId="0" xfId="1" applyNumberFormat="1" applyFont="1" applyBorder="1"/>
    <xf numFmtId="0" fontId="2" fillId="0" borderId="0" xfId="0" applyFont="1" applyBorder="1" applyAlignment="1" applyProtection="1">
      <alignment horizontal="left"/>
    </xf>
    <xf numFmtId="165" fontId="3" fillId="0" borderId="0" xfId="2" applyNumberFormat="1" applyFont="1" applyBorder="1"/>
    <xf numFmtId="166" fontId="14" fillId="0" borderId="0" xfId="1" applyNumberFormat="1" applyFont="1" applyBorder="1"/>
    <xf numFmtId="10" fontId="17" fillId="0" borderId="0" xfId="1" applyNumberFormat="1" applyFont="1" applyBorder="1"/>
    <xf numFmtId="165" fontId="3" fillId="0" borderId="0" xfId="2" applyNumberFormat="1" applyFont="1" applyBorder="1" applyAlignment="1" applyProtection="1">
      <alignment horizontal="center"/>
    </xf>
    <xf numFmtId="166" fontId="16" fillId="0" borderId="0" xfId="1" applyNumberFormat="1" applyFont="1" applyBorder="1" applyProtection="1"/>
    <xf numFmtId="166" fontId="17" fillId="0" borderId="0" xfId="1" applyNumberFormat="1" applyFont="1" applyBorder="1" applyProtection="1"/>
    <xf numFmtId="166" fontId="2" fillId="0" borderId="0" xfId="1" applyNumberFormat="1" applyFont="1" applyBorder="1"/>
    <xf numFmtId="166" fontId="14" fillId="0" borderId="0" xfId="1" applyNumberFormat="1" applyFont="1" applyBorder="1" applyProtection="1"/>
    <xf numFmtId="9" fontId="3" fillId="0" borderId="0" xfId="1" applyNumberFormat="1" applyFont="1" applyBorder="1"/>
    <xf numFmtId="166" fontId="2" fillId="0" borderId="0" xfId="1" quotePrefix="1" applyNumberFormat="1" applyFont="1" applyBorder="1" applyProtection="1"/>
    <xf numFmtId="0" fontId="24" fillId="0" borderId="0" xfId="0" applyFont="1" applyBorder="1"/>
    <xf numFmtId="37" fontId="29" fillId="0" borderId="1" xfId="0" applyNumberFormat="1" applyFont="1" applyBorder="1"/>
    <xf numFmtId="0" fontId="24" fillId="0" borderId="0" xfId="0" applyFont="1" applyBorder="1" applyAlignment="1" applyProtection="1">
      <alignment horizontal="left"/>
    </xf>
    <xf numFmtId="0" fontId="63" fillId="0" borderId="0" xfId="0" applyFont="1" applyBorder="1"/>
    <xf numFmtId="43" fontId="55" fillId="0" borderId="0" xfId="1" applyFont="1" applyBorder="1" applyAlignment="1">
      <alignment horizontal="right"/>
    </xf>
    <xf numFmtId="1" fontId="57" fillId="3" borderId="34" xfId="1" applyNumberFormat="1" applyFont="1" applyFill="1" applyBorder="1" applyAlignment="1">
      <alignment horizontal="right"/>
    </xf>
    <xf numFmtId="9" fontId="57" fillId="0" borderId="1" xfId="0" applyNumberFormat="1" applyFont="1" applyFill="1" applyBorder="1" applyAlignment="1">
      <alignment horizontal="center"/>
    </xf>
    <xf numFmtId="10" fontId="31" fillId="0" borderId="0" xfId="8" applyNumberFormat="1" applyFont="1"/>
    <xf numFmtId="0" fontId="17" fillId="0" borderId="0" xfId="0" applyFont="1"/>
    <xf numFmtId="38" fontId="64" fillId="0" borderId="0" xfId="0" applyNumberFormat="1" applyFont="1"/>
    <xf numFmtId="1" fontId="57" fillId="0" borderId="0" xfId="0" applyNumberFormat="1" applyFont="1" applyFill="1" applyBorder="1"/>
    <xf numFmtId="38" fontId="57" fillId="0" borderId="0" xfId="0" applyNumberFormat="1" applyFont="1" applyFill="1" applyBorder="1"/>
    <xf numFmtId="10" fontId="57" fillId="3" borderId="1" xfId="8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10" fontId="57" fillId="3" borderId="17" xfId="8" applyNumberFormat="1" applyFont="1" applyFill="1" applyBorder="1" applyAlignment="1">
      <alignment horizontal="right"/>
    </xf>
    <xf numFmtId="0" fontId="2" fillId="0" borderId="4" xfId="0" applyFont="1" applyBorder="1"/>
    <xf numFmtId="40" fontId="3" fillId="0" borderId="4" xfId="0" applyNumberFormat="1" applyFont="1" applyBorder="1"/>
    <xf numFmtId="43" fontId="57" fillId="0" borderId="0" xfId="1" applyFont="1" applyFill="1" applyBorder="1" applyAlignment="1">
      <alignment horizontal="center"/>
    </xf>
    <xf numFmtId="0" fontId="24" fillId="0" borderId="5" xfId="0" applyFont="1" applyFill="1" applyBorder="1"/>
    <xf numFmtId="286" fontId="57" fillId="3" borderId="0" xfId="0" applyNumberFormat="1" applyFont="1" applyFill="1" applyBorder="1"/>
    <xf numFmtId="0" fontId="10" fillId="0" borderId="0" xfId="0" applyFont="1" applyBorder="1" applyAlignment="1" applyProtection="1">
      <alignment horizontal="left"/>
    </xf>
    <xf numFmtId="166" fontId="3" fillId="0" borderId="0" xfId="1" applyNumberFormat="1" applyFont="1" applyFill="1" applyBorder="1" applyProtection="1"/>
    <xf numFmtId="166" fontId="2" fillId="0" borderId="14" xfId="1" applyNumberFormat="1" applyFont="1" applyBorder="1"/>
    <xf numFmtId="166" fontId="2" fillId="0" borderId="15" xfId="1" applyNumberFormat="1" applyFont="1" applyBorder="1"/>
    <xf numFmtId="166" fontId="2" fillId="0" borderId="16" xfId="1" applyNumberFormat="1" applyFont="1" applyBorder="1"/>
    <xf numFmtId="0" fontId="2" fillId="0" borderId="14" xfId="0" applyFont="1" applyBorder="1"/>
    <xf numFmtId="166" fontId="3" fillId="0" borderId="15" xfId="1" applyNumberFormat="1" applyFont="1" applyBorder="1" applyProtection="1"/>
    <xf numFmtId="166" fontId="3" fillId="0" borderId="16" xfId="1" applyNumberFormat="1" applyFont="1" applyBorder="1" applyProtection="1"/>
    <xf numFmtId="0" fontId="68" fillId="0" borderId="0" xfId="0" applyFont="1"/>
    <xf numFmtId="166" fontId="3" fillId="0" borderId="14" xfId="1" applyNumberFormat="1" applyFont="1" applyBorder="1" applyProtection="1"/>
    <xf numFmtId="0" fontId="69" fillId="0" borderId="0" xfId="0" applyFont="1" applyBorder="1" applyAlignment="1">
      <alignment horizontal="center"/>
    </xf>
    <xf numFmtId="37" fontId="42" fillId="0" borderId="0" xfId="4" applyFont="1" applyBorder="1" applyAlignment="1"/>
    <xf numFmtId="37" fontId="42" fillId="0" borderId="0" xfId="4" applyFont="1" applyBorder="1" applyAlignment="1">
      <alignment horizontal="right"/>
    </xf>
    <xf numFmtId="0" fontId="11" fillId="0" borderId="0" xfId="0" applyFont="1" applyBorder="1"/>
    <xf numFmtId="0" fontId="15" fillId="0" borderId="0" xfId="0" applyFont="1" applyBorder="1"/>
    <xf numFmtId="0" fontId="31" fillId="0" borderId="0" xfId="0" applyFont="1" applyBorder="1"/>
    <xf numFmtId="0" fontId="2" fillId="0" borderId="0" xfId="0" applyFont="1" applyBorder="1" applyAlignment="1">
      <alignment horizontal="center"/>
    </xf>
    <xf numFmtId="165" fontId="11" fillId="0" borderId="0" xfId="2" applyNumberFormat="1" applyFont="1" applyBorder="1" applyProtection="1"/>
    <xf numFmtId="0" fontId="26" fillId="0" borderId="0" xfId="0" applyFont="1" applyBorder="1"/>
    <xf numFmtId="0" fontId="11" fillId="0" borderId="0" xfId="0" applyFont="1" applyBorder="1" applyAlignment="1" applyProtection="1">
      <alignment horizontal="left"/>
    </xf>
    <xf numFmtId="10" fontId="17" fillId="0" borderId="0" xfId="8" applyNumberFormat="1" applyFont="1" applyBorder="1"/>
    <xf numFmtId="313" fontId="29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9" fontId="29" fillId="0" borderId="0" xfId="0" applyNumberFormat="1" applyFont="1" applyFill="1" applyBorder="1" applyAlignment="1">
      <alignment horizontal="center"/>
    </xf>
    <xf numFmtId="173" fontId="29" fillId="0" borderId="0" xfId="8" applyNumberFormat="1" applyFont="1" applyFill="1" applyBorder="1" applyAlignment="1">
      <alignment horizontal="center"/>
    </xf>
    <xf numFmtId="173" fontId="55" fillId="0" borderId="0" xfId="8" applyNumberFormat="1" applyFont="1" applyFill="1" applyBorder="1" applyAlignment="1">
      <alignment horizontal="center"/>
    </xf>
    <xf numFmtId="173" fontId="3" fillId="0" borderId="0" xfId="0" applyNumberFormat="1" applyFont="1" applyBorder="1" applyAlignment="1">
      <alignment horizontal="center"/>
    </xf>
    <xf numFmtId="0" fontId="20" fillId="0" borderId="1" xfId="0" applyFont="1" applyBorder="1"/>
    <xf numFmtId="0" fontId="20" fillId="0" borderId="0" xfId="0" applyFont="1" applyBorder="1"/>
    <xf numFmtId="38" fontId="57" fillId="3" borderId="0" xfId="1" applyNumberFormat="1" applyFont="1" applyFill="1" applyBorder="1" applyAlignment="1" applyProtection="1">
      <alignment horizontal="center"/>
    </xf>
    <xf numFmtId="38" fontId="29" fillId="0" borderId="0" xfId="1" applyNumberFormat="1" applyFont="1" applyBorder="1" applyAlignment="1">
      <alignment horizontal="center"/>
    </xf>
    <xf numFmtId="38" fontId="24" fillId="0" borderId="0" xfId="1" applyNumberFormat="1" applyFont="1" applyBorder="1" applyAlignment="1" applyProtection="1">
      <alignment horizontal="center"/>
    </xf>
    <xf numFmtId="38" fontId="55" fillId="0" borderId="0" xfId="1" applyNumberFormat="1" applyFont="1" applyBorder="1" applyAlignment="1">
      <alignment horizontal="center"/>
    </xf>
    <xf numFmtId="38" fontId="29" fillId="0" borderId="0" xfId="1" applyNumberFormat="1" applyFont="1" applyFill="1" applyBorder="1" applyAlignment="1" applyProtection="1">
      <alignment horizontal="center"/>
    </xf>
    <xf numFmtId="38" fontId="29" fillId="0" borderId="1" xfId="1" applyNumberFormat="1" applyFont="1" applyFill="1" applyBorder="1" applyAlignment="1" applyProtection="1">
      <alignment horizontal="center"/>
    </xf>
    <xf numFmtId="38" fontId="29" fillId="0" borderId="4" xfId="1" applyNumberFormat="1" applyFont="1" applyBorder="1" applyAlignment="1">
      <alignment horizontal="center"/>
    </xf>
    <xf numFmtId="38" fontId="57" fillId="3" borderId="0" xfId="0" applyNumberFormat="1" applyFont="1" applyFill="1" applyBorder="1" applyAlignment="1">
      <alignment horizontal="center"/>
    </xf>
    <xf numFmtId="10" fontId="29" fillId="0" borderId="0" xfId="0" applyNumberFormat="1" applyFont="1" applyBorder="1" applyAlignment="1">
      <alignment horizontal="center"/>
    </xf>
    <xf numFmtId="0" fontId="59" fillId="0" borderId="5" xfId="0" applyFont="1" applyFill="1" applyBorder="1" applyAlignment="1" applyProtection="1">
      <alignment horizontal="left"/>
    </xf>
    <xf numFmtId="0" fontId="17" fillId="0" borderId="13" xfId="0" applyFont="1" applyBorder="1"/>
    <xf numFmtId="190" fontId="18" fillId="0" borderId="0" xfId="0" applyNumberFormat="1" applyFont="1"/>
    <xf numFmtId="3" fontId="29" fillId="3" borderId="5" xfId="0" applyNumberFormat="1" applyFont="1" applyFill="1" applyBorder="1"/>
    <xf numFmtId="3" fontId="29" fillId="3" borderId="0" xfId="0" applyNumberFormat="1" applyFont="1" applyFill="1" applyBorder="1"/>
    <xf numFmtId="3" fontId="29" fillId="3" borderId="4" xfId="0" applyNumberFormat="1" applyFont="1" applyFill="1" applyBorder="1"/>
    <xf numFmtId="166" fontId="29" fillId="0" borderId="0" xfId="1" applyNumberFormat="1" applyFont="1"/>
    <xf numFmtId="0" fontId="17" fillId="0" borderId="0" xfId="0" applyFont="1" applyFill="1"/>
    <xf numFmtId="38" fontId="0" fillId="0" borderId="6" xfId="0" applyNumberFormat="1" applyBorder="1"/>
    <xf numFmtId="179" fontId="19" fillId="0" borderId="6" xfId="0" applyNumberFormat="1" applyFont="1" applyBorder="1" applyAlignment="1">
      <alignment horizontal="right"/>
    </xf>
    <xf numFmtId="10" fontId="3" fillId="5" borderId="0" xfId="0" applyNumberFormat="1" applyFont="1" applyFill="1" applyAlignment="1">
      <alignment horizontal="right"/>
    </xf>
    <xf numFmtId="10" fontId="3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10" fontId="3" fillId="5" borderId="0" xfId="8" applyNumberFormat="1" applyFont="1" applyFill="1" applyAlignment="1">
      <alignment horizontal="right"/>
    </xf>
    <xf numFmtId="10" fontId="3" fillId="0" borderId="0" xfId="8" applyNumberFormat="1" applyFont="1" applyFill="1" applyAlignment="1">
      <alignment horizontal="right"/>
    </xf>
    <xf numFmtId="0" fontId="2" fillId="0" borderId="1" xfId="0" applyFont="1" applyFill="1" applyBorder="1" applyAlignment="1">
      <alignment horizontal="right"/>
    </xf>
    <xf numFmtId="10" fontId="57" fillId="3" borderId="1" xfId="0" applyNumberFormat="1" applyFont="1" applyFill="1" applyBorder="1"/>
    <xf numFmtId="0" fontId="55" fillId="0" borderId="0" xfId="0" applyFont="1" applyFill="1" applyBorder="1" applyAlignment="1">
      <alignment horizontal="center"/>
    </xf>
    <xf numFmtId="9" fontId="29" fillId="0" borderId="0" xfId="8" applyFont="1" applyBorder="1" applyAlignment="1">
      <alignment horizontal="center"/>
    </xf>
    <xf numFmtId="9" fontId="24" fillId="0" borderId="0" xfId="8" applyFont="1" applyFill="1" applyBorder="1" applyAlignment="1">
      <alignment horizontal="center"/>
    </xf>
    <xf numFmtId="9" fontId="29" fillId="0" borderId="0" xfId="8" applyFont="1" applyFill="1" applyBorder="1" applyAlignment="1">
      <alignment horizontal="center"/>
    </xf>
    <xf numFmtId="9" fontId="57" fillId="3" borderId="0" xfId="8" applyFont="1" applyFill="1" applyBorder="1" applyAlignment="1">
      <alignment horizontal="center"/>
    </xf>
    <xf numFmtId="9" fontId="24" fillId="0" borderId="0" xfId="0" applyNumberFormat="1" applyFont="1" applyBorder="1" applyAlignment="1" applyProtection="1">
      <alignment horizontal="center"/>
    </xf>
    <xf numFmtId="43" fontId="57" fillId="3" borderId="0" xfId="1" applyFont="1" applyFill="1" applyBorder="1"/>
    <xf numFmtId="43" fontId="57" fillId="3" borderId="4" xfId="1" applyFont="1" applyFill="1" applyBorder="1"/>
    <xf numFmtId="40" fontId="29" fillId="0" borderId="0" xfId="0" applyNumberFormat="1" applyFont="1" applyBorder="1"/>
    <xf numFmtId="40" fontId="29" fillId="0" borderId="4" xfId="0" applyNumberFormat="1" applyFont="1" applyBorder="1"/>
    <xf numFmtId="37" fontId="3" fillId="0" borderId="0" xfId="4" applyFont="1" applyAlignment="1"/>
    <xf numFmtId="38" fontId="29" fillId="0" borderId="0" xfId="0" applyNumberFormat="1" applyFont="1" applyFill="1" applyBorder="1" applyAlignment="1">
      <alignment horizontal="center"/>
    </xf>
    <xf numFmtId="10" fontId="29" fillId="0" borderId="0" xfId="8" applyNumberFormat="1" applyFont="1" applyFill="1" applyBorder="1" applyAlignment="1">
      <alignment horizontal="center"/>
    </xf>
    <xf numFmtId="38" fontId="29" fillId="0" borderId="1" xfId="0" applyNumberFormat="1" applyFont="1" applyFill="1" applyBorder="1" applyAlignment="1">
      <alignment horizontal="center"/>
    </xf>
    <xf numFmtId="38" fontId="57" fillId="3" borderId="1" xfId="0" applyNumberFormat="1" applyFont="1" applyFill="1" applyBorder="1" applyAlignment="1">
      <alignment horizontal="center"/>
    </xf>
    <xf numFmtId="43" fontId="57" fillId="0" borderId="1" xfId="1" applyFont="1" applyFill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73" fontId="18" fillId="0" borderId="0" xfId="8" applyNumberFormat="1" applyFont="1" applyProtection="1"/>
    <xf numFmtId="205" fontId="18" fillId="0" borderId="0" xfId="2" applyNumberFormat="1" applyFont="1" applyProtection="1"/>
    <xf numFmtId="251" fontId="18" fillId="0" borderId="0" xfId="1" applyNumberFormat="1" applyFont="1" applyProtection="1"/>
    <xf numFmtId="37" fontId="70" fillId="0" borderId="0" xfId="0" applyNumberFormat="1" applyFont="1"/>
    <xf numFmtId="166" fontId="0" fillId="0" borderId="0" xfId="1" applyNumberFormat="1" applyFont="1" applyFill="1" applyBorder="1"/>
    <xf numFmtId="9" fontId="29" fillId="0" borderId="0" xfId="0" applyNumberFormat="1" applyFont="1" applyBorder="1" applyAlignment="1" applyProtection="1">
      <alignment horizontal="center"/>
    </xf>
    <xf numFmtId="9" fontId="29" fillId="0" borderId="0" xfId="0" applyNumberFormat="1" applyFont="1" applyBorder="1" applyAlignment="1">
      <alignment horizontal="center"/>
    </xf>
    <xf numFmtId="10" fontId="49" fillId="0" borderId="0" xfId="8" applyNumberFormat="1" applyFont="1" applyFill="1"/>
    <xf numFmtId="10" fontId="48" fillId="0" borderId="0" xfId="0" applyNumberFormat="1" applyFont="1" applyFill="1"/>
    <xf numFmtId="37" fontId="0" fillId="0" borderId="0" xfId="0" applyNumberFormat="1" applyFill="1"/>
    <xf numFmtId="9" fontId="29" fillId="0" borderId="1" xfId="8" applyFont="1" applyBorder="1" applyAlignment="1">
      <alignment horizontal="center"/>
    </xf>
    <xf numFmtId="173" fontId="0" fillId="0" borderId="0" xfId="0" applyNumberFormat="1"/>
    <xf numFmtId="0" fontId="23" fillId="0" borderId="0" xfId="3" applyFont="1" applyFill="1" applyBorder="1"/>
    <xf numFmtId="10" fontId="71" fillId="0" borderId="1" xfId="0" applyNumberFormat="1" applyFont="1" applyFill="1" applyBorder="1"/>
    <xf numFmtId="10" fontId="59" fillId="0" borderId="1" xfId="0" applyNumberFormat="1" applyFont="1" applyFill="1" applyBorder="1"/>
    <xf numFmtId="10" fontId="59" fillId="0" borderId="17" xfId="0" applyNumberFormat="1" applyFont="1" applyFill="1" applyBorder="1"/>
    <xf numFmtId="10" fontId="72" fillId="0" borderId="0" xfId="0" applyNumberFormat="1" applyFont="1" applyFill="1" applyBorder="1"/>
    <xf numFmtId="10" fontId="73" fillId="0" borderId="0" xfId="0" applyNumberFormat="1" applyFont="1" applyFill="1" applyBorder="1"/>
    <xf numFmtId="10" fontId="72" fillId="0" borderId="4" xfId="0" applyNumberFormat="1" applyFont="1" applyFill="1" applyBorder="1"/>
    <xf numFmtId="38" fontId="72" fillId="0" borderId="0" xfId="0" applyNumberFormat="1" applyFont="1" applyFill="1" applyBorder="1"/>
    <xf numFmtId="0" fontId="72" fillId="0" borderId="0" xfId="0" applyFont="1" applyFill="1" applyBorder="1"/>
    <xf numFmtId="38" fontId="72" fillId="0" borderId="4" xfId="0" applyNumberFormat="1" applyFont="1" applyFill="1" applyBorder="1"/>
    <xf numFmtId="38" fontId="59" fillId="0" borderId="4" xfId="0" applyNumberFormat="1" applyFont="1" applyFill="1" applyBorder="1"/>
    <xf numFmtId="10" fontId="72" fillId="0" borderId="0" xfId="8" applyNumberFormat="1" applyFont="1" applyFill="1" applyBorder="1"/>
    <xf numFmtId="10" fontId="72" fillId="0" borderId="4" xfId="8" applyNumberFormat="1" applyFont="1" applyFill="1" applyBorder="1"/>
    <xf numFmtId="166" fontId="74" fillId="0" borderId="0" xfId="1" applyNumberFormat="1" applyFont="1" applyFill="1" applyBorder="1"/>
    <xf numFmtId="38" fontId="74" fillId="0" borderId="0" xfId="0" applyNumberFormat="1" applyFont="1" applyFill="1" applyBorder="1"/>
    <xf numFmtId="38" fontId="74" fillId="0" borderId="4" xfId="0" applyNumberFormat="1" applyFont="1" applyFill="1" applyBorder="1"/>
    <xf numFmtId="166" fontId="74" fillId="0" borderId="4" xfId="1" applyNumberFormat="1" applyFont="1" applyFill="1" applyBorder="1"/>
    <xf numFmtId="38" fontId="74" fillId="0" borderId="1" xfId="0" applyNumberFormat="1" applyFont="1" applyFill="1" applyBorder="1"/>
    <xf numFmtId="166" fontId="74" fillId="0" borderId="1" xfId="1" applyNumberFormat="1" applyFont="1" applyBorder="1"/>
    <xf numFmtId="38" fontId="74" fillId="0" borderId="17" xfId="0" applyNumberFormat="1" applyFont="1" applyFill="1" applyBorder="1"/>
    <xf numFmtId="40" fontId="74" fillId="0" borderId="0" xfId="0" applyNumberFormat="1" applyFont="1" applyBorder="1"/>
    <xf numFmtId="40" fontId="37" fillId="0" borderId="0" xfId="0" applyNumberFormat="1" applyFont="1" applyBorder="1"/>
    <xf numFmtId="40" fontId="74" fillId="0" borderId="4" xfId="0" applyNumberFormat="1" applyFont="1" applyBorder="1"/>
    <xf numFmtId="40" fontId="74" fillId="0" borderId="0" xfId="0" applyNumberFormat="1" applyFont="1" applyFill="1" applyBorder="1"/>
    <xf numFmtId="38" fontId="74" fillId="0" borderId="0" xfId="0" applyNumberFormat="1" applyFont="1" applyBorder="1"/>
    <xf numFmtId="0" fontId="37" fillId="0" borderId="0" xfId="0" applyFont="1" applyBorder="1"/>
    <xf numFmtId="38" fontId="74" fillId="0" borderId="4" xfId="0" applyNumberFormat="1" applyFont="1" applyBorder="1"/>
    <xf numFmtId="10" fontId="59" fillId="0" borderId="0" xfId="0" applyNumberFormat="1" applyFont="1" applyFill="1" applyBorder="1"/>
    <xf numFmtId="10" fontId="71" fillId="0" borderId="0" xfId="0" applyNumberFormat="1" applyFont="1" applyFill="1" applyBorder="1"/>
    <xf numFmtId="10" fontId="59" fillId="0" borderId="4" xfId="0" applyNumberFormat="1" applyFont="1" applyFill="1" applyBorder="1"/>
    <xf numFmtId="0" fontId="71" fillId="0" borderId="0" xfId="0" applyFont="1" applyFill="1" applyBorder="1"/>
    <xf numFmtId="40" fontId="59" fillId="0" borderId="0" xfId="0" applyNumberFormat="1" applyFont="1" applyFill="1" applyBorder="1"/>
    <xf numFmtId="40" fontId="59" fillId="0" borderId="4" xfId="0" applyNumberFormat="1" applyFont="1" applyFill="1" applyBorder="1"/>
    <xf numFmtId="9" fontId="75" fillId="0" borderId="34" xfId="8" applyFont="1" applyFill="1" applyBorder="1" applyAlignment="1">
      <alignment horizontal="right"/>
    </xf>
    <xf numFmtId="43" fontId="29" fillId="3" borderId="0" xfId="1" applyFont="1" applyFill="1" applyBorder="1" applyAlignment="1">
      <alignment horizontal="right"/>
    </xf>
    <xf numFmtId="1" fontId="57" fillId="3" borderId="0" xfId="0" applyNumberFormat="1" applyFont="1" applyFill="1" applyBorder="1"/>
    <xf numFmtId="1" fontId="3" fillId="0" borderId="0" xfId="0" applyNumberFormat="1" applyFont="1" applyBorder="1"/>
    <xf numFmtId="1" fontId="57" fillId="3" borderId="4" xfId="0" applyNumberFormat="1" applyFont="1" applyFill="1" applyBorder="1"/>
    <xf numFmtId="1" fontId="57" fillId="3" borderId="1" xfId="0" applyNumberFormat="1" applyFont="1" applyFill="1" applyBorder="1"/>
    <xf numFmtId="1" fontId="3" fillId="0" borderId="1" xfId="0" applyNumberFormat="1" applyFont="1" applyBorder="1"/>
    <xf numFmtId="1" fontId="57" fillId="3" borderId="17" xfId="0" applyNumberFormat="1" applyFont="1" applyFill="1" applyBorder="1"/>
    <xf numFmtId="166" fontId="0" fillId="0" borderId="0" xfId="0" applyNumberFormat="1"/>
    <xf numFmtId="10" fontId="77" fillId="8" borderId="34" xfId="0" applyNumberFormat="1" applyFont="1" applyFill="1" applyBorder="1"/>
    <xf numFmtId="0" fontId="29" fillId="0" borderId="6" xfId="0" applyFont="1" applyFill="1" applyBorder="1" applyAlignment="1">
      <alignment horizontal="centerContinuous"/>
    </xf>
    <xf numFmtId="0" fontId="55" fillId="0" borderId="6" xfId="0" applyFont="1" applyFill="1" applyBorder="1" applyAlignment="1">
      <alignment horizontal="centerContinuous"/>
    </xf>
    <xf numFmtId="9" fontId="2" fillId="0" borderId="34" xfId="0" applyNumberFormat="1" applyFont="1" applyFill="1" applyBorder="1" applyAlignment="1">
      <alignment horizontal="center"/>
    </xf>
    <xf numFmtId="0" fontId="10" fillId="0" borderId="0" xfId="3" applyFont="1" applyFill="1" applyBorder="1"/>
    <xf numFmtId="0" fontId="24" fillId="0" borderId="0" xfId="0" applyFont="1" applyBorder="1" applyAlignment="1">
      <alignment horizontal="centerContinuous"/>
    </xf>
    <xf numFmtId="0" fontId="29" fillId="0" borderId="1" xfId="0" applyFont="1" applyFill="1" applyBorder="1"/>
    <xf numFmtId="10" fontId="29" fillId="0" borderId="0" xfId="8" applyNumberFormat="1" applyFont="1" applyFill="1" applyBorder="1"/>
    <xf numFmtId="40" fontId="29" fillId="0" borderId="0" xfId="0" applyNumberFormat="1" applyFont="1" applyFill="1" applyBorder="1"/>
    <xf numFmtId="1" fontId="29" fillId="0" borderId="0" xfId="0" applyNumberFormat="1" applyFont="1" applyFill="1" applyBorder="1"/>
    <xf numFmtId="43" fontId="29" fillId="0" borderId="0" xfId="1" applyFont="1" applyFill="1" applyBorder="1"/>
    <xf numFmtId="38" fontId="29" fillId="0" borderId="0" xfId="0" applyNumberFormat="1" applyFont="1" applyFill="1" applyBorder="1"/>
    <xf numFmtId="38" fontId="29" fillId="0" borderId="1" xfId="0" applyNumberFormat="1" applyFont="1" applyFill="1" applyBorder="1"/>
    <xf numFmtId="40" fontId="29" fillId="0" borderId="4" xfId="0" applyNumberFormat="1" applyFont="1" applyFill="1" applyBorder="1"/>
    <xf numFmtId="43" fontId="29" fillId="0" borderId="0" xfId="0" applyNumberFormat="1" applyFont="1" applyFill="1" applyBorder="1"/>
    <xf numFmtId="43" fontId="0" fillId="0" borderId="0" xfId="0" applyNumberFormat="1"/>
    <xf numFmtId="193" fontId="3" fillId="0" borderId="0" xfId="0" applyNumberFormat="1" applyFont="1"/>
    <xf numFmtId="43" fontId="3" fillId="0" borderId="0" xfId="1" applyNumberFormat="1" applyFont="1"/>
    <xf numFmtId="38" fontId="29" fillId="0" borderId="0" xfId="0" applyNumberFormat="1" applyFont="1"/>
    <xf numFmtId="0" fontId="60" fillId="0" borderId="5" xfId="0" applyFont="1" applyBorder="1"/>
    <xf numFmtId="166" fontId="29" fillId="0" borderId="0" xfId="0" applyNumberFormat="1" applyFont="1" applyFill="1" applyBorder="1"/>
    <xf numFmtId="43" fontId="3" fillId="0" borderId="0" xfId="0" applyNumberFormat="1" applyFont="1" applyBorder="1"/>
    <xf numFmtId="0" fontId="24" fillId="0" borderId="0" xfId="0" applyFont="1" applyBorder="1" applyAlignment="1">
      <alignment horizontal="center"/>
    </xf>
    <xf numFmtId="43" fontId="29" fillId="0" borderId="4" xfId="1" applyFont="1" applyFill="1" applyBorder="1"/>
    <xf numFmtId="166" fontId="29" fillId="0" borderId="4" xfId="0" applyNumberFormat="1" applyFont="1" applyFill="1" applyBorder="1"/>
    <xf numFmtId="38" fontId="29" fillId="0" borderId="17" xfId="0" applyNumberFormat="1" applyFont="1" applyFill="1" applyBorder="1"/>
    <xf numFmtId="166" fontId="0" fillId="0" borderId="0" xfId="1" applyNumberFormat="1" applyFont="1" applyFill="1"/>
    <xf numFmtId="38" fontId="2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Continuous"/>
    </xf>
    <xf numFmtId="9" fontId="10" fillId="0" borderId="0" xfId="8" applyFont="1" applyFill="1" applyBorder="1" applyAlignment="1">
      <alignment horizontal="left"/>
    </xf>
    <xf numFmtId="0" fontId="10" fillId="0" borderId="7" xfId="0" applyFont="1" applyBorder="1"/>
    <xf numFmtId="0" fontId="10" fillId="0" borderId="9" xfId="0" quotePrefix="1" applyFont="1" applyBorder="1"/>
    <xf numFmtId="0" fontId="10" fillId="0" borderId="9" xfId="0" applyFont="1" applyBorder="1"/>
    <xf numFmtId="0" fontId="10" fillId="0" borderId="8" xfId="0" applyFont="1" applyBorder="1"/>
    <xf numFmtId="0" fontId="10" fillId="0" borderId="12" xfId="0" applyFont="1" applyBorder="1"/>
    <xf numFmtId="0" fontId="10" fillId="0" borderId="0" xfId="0" quotePrefix="1" applyFont="1" applyBorder="1"/>
    <xf numFmtId="0" fontId="10" fillId="0" borderId="13" xfId="0" applyFont="1" applyBorder="1"/>
    <xf numFmtId="0" fontId="10" fillId="0" borderId="10" xfId="0" applyFont="1" applyBorder="1"/>
    <xf numFmtId="0" fontId="10" fillId="0" borderId="6" xfId="0" quotePrefix="1" applyFont="1" applyBorder="1"/>
    <xf numFmtId="0" fontId="10" fillId="0" borderId="6" xfId="0" applyFont="1" applyBorder="1"/>
    <xf numFmtId="0" fontId="10" fillId="0" borderId="11" xfId="0" applyFont="1" applyBorder="1"/>
    <xf numFmtId="0" fontId="3" fillId="8" borderId="0" xfId="0" applyFont="1" applyFill="1"/>
    <xf numFmtId="0" fontId="10" fillId="8" borderId="0" xfId="0" applyFont="1" applyFill="1"/>
    <xf numFmtId="0" fontId="29" fillId="0" borderId="2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Continuous"/>
    </xf>
    <xf numFmtId="0" fontId="29" fillId="0" borderId="35" xfId="0" applyFont="1" applyBorder="1"/>
    <xf numFmtId="0" fontId="29" fillId="0" borderId="6" xfId="0" applyFont="1" applyBorder="1" applyAlignment="1">
      <alignment horizontal="center"/>
    </xf>
    <xf numFmtId="10" fontId="29" fillId="0" borderId="0" xfId="0" applyNumberFormat="1" applyFont="1" applyBorder="1"/>
    <xf numFmtId="0" fontId="10" fillId="0" borderId="18" xfId="0" applyFont="1" applyBorder="1"/>
    <xf numFmtId="0" fontId="55" fillId="0" borderId="5" xfId="0" applyFont="1" applyBorder="1" applyAlignment="1">
      <alignment horizontal="center"/>
    </xf>
    <xf numFmtId="0" fontId="55" fillId="0" borderId="4" xfId="0" applyFont="1" applyBorder="1"/>
    <xf numFmtId="166" fontId="29" fillId="0" borderId="0" xfId="1" applyNumberFormat="1" applyFont="1" applyBorder="1"/>
    <xf numFmtId="164" fontId="29" fillId="0" borderId="0" xfId="0" applyNumberFormat="1" applyFont="1" applyBorder="1"/>
    <xf numFmtId="9" fontId="29" fillId="0" borderId="0" xfId="0" applyNumberFormat="1" applyFont="1" applyBorder="1"/>
    <xf numFmtId="0" fontId="29" fillId="0" borderId="4" xfId="0" applyFont="1" applyBorder="1" applyAlignment="1">
      <alignment horizontal="right"/>
    </xf>
    <xf numFmtId="0" fontId="29" fillId="0" borderId="19" xfId="0" applyFont="1" applyBorder="1" applyAlignment="1">
      <alignment horizontal="center"/>
    </xf>
    <xf numFmtId="9" fontId="29" fillId="0" borderId="1" xfId="8" applyFont="1" applyBorder="1"/>
    <xf numFmtId="164" fontId="29" fillId="0" borderId="1" xfId="8" applyNumberFormat="1" applyFont="1" applyBorder="1"/>
    <xf numFmtId="166" fontId="29" fillId="0" borderId="1" xfId="1" applyNumberFormat="1" applyFont="1" applyBorder="1"/>
    <xf numFmtId="166" fontId="29" fillId="0" borderId="17" xfId="1" applyNumberFormat="1" applyFont="1" applyBorder="1" applyAlignment="1">
      <alignment horizontal="right"/>
    </xf>
    <xf numFmtId="168" fontId="3" fillId="0" borderId="0" xfId="1" applyNumberFormat="1" applyFont="1"/>
    <xf numFmtId="3" fontId="2" fillId="0" borderId="0" xfId="0" applyNumberFormat="1" applyFont="1" applyFill="1"/>
    <xf numFmtId="3" fontId="3" fillId="0" borderId="0" xfId="0" applyNumberFormat="1" applyFont="1" applyFill="1"/>
    <xf numFmtId="179" fontId="19" fillId="0" borderId="9" xfId="0" applyNumberFormat="1" applyFont="1" applyBorder="1" applyAlignment="1">
      <alignment horizontal="right"/>
    </xf>
    <xf numFmtId="179" fontId="19" fillId="0" borderId="8" xfId="0" applyNumberFormat="1" applyFont="1" applyBorder="1" applyAlignment="1">
      <alignment horizontal="right"/>
    </xf>
    <xf numFmtId="0" fontId="80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10" fontId="0" fillId="0" borderId="0" xfId="8" applyNumberFormat="1" applyFont="1" applyAlignment="1">
      <alignment horizontal="center"/>
    </xf>
    <xf numFmtId="14" fontId="3" fillId="0" borderId="0" xfId="0" applyNumberFormat="1" applyFont="1"/>
    <xf numFmtId="3" fontId="3" fillId="0" borderId="0" xfId="0" applyNumberFormat="1" applyFont="1" applyBorder="1"/>
    <xf numFmtId="3" fontId="2" fillId="5" borderId="0" xfId="0" applyNumberFormat="1" applyFont="1" applyFill="1" applyBorder="1"/>
    <xf numFmtId="10" fontId="0" fillId="0" borderId="0" xfId="8" applyNumberFormat="1" applyFont="1"/>
    <xf numFmtId="179" fontId="19" fillId="0" borderId="11" xfId="0" applyNumberFormat="1" applyFont="1" applyBorder="1" applyAlignment="1">
      <alignment horizontal="right"/>
    </xf>
    <xf numFmtId="38" fontId="33" fillId="0" borderId="0" xfId="0" applyNumberFormat="1" applyFont="1" applyBorder="1"/>
    <xf numFmtId="14" fontId="2" fillId="0" borderId="0" xfId="0" applyNumberFormat="1" applyFont="1" applyAlignment="1">
      <alignment horizontal="center"/>
    </xf>
    <xf numFmtId="10" fontId="31" fillId="0" borderId="0" xfId="8" quotePrefix="1" applyNumberFormat="1" applyFont="1"/>
    <xf numFmtId="38" fontId="3" fillId="0" borderId="9" xfId="0" applyNumberFormat="1" applyFont="1" applyBorder="1"/>
    <xf numFmtId="2" fontId="3" fillId="0" borderId="6" xfId="0" applyNumberFormat="1" applyFont="1" applyBorder="1"/>
    <xf numFmtId="0" fontId="0" fillId="0" borderId="0" xfId="0" applyAlignment="1">
      <alignment horizontal="center"/>
    </xf>
    <xf numFmtId="10" fontId="0" fillId="0" borderId="0" xfId="0" applyNumberFormat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37" fontId="34" fillId="0" borderId="0" xfId="0" applyNumberFormat="1" applyFont="1"/>
    <xf numFmtId="37" fontId="27" fillId="0" borderId="0" xfId="0" applyNumberFormat="1" applyFont="1"/>
    <xf numFmtId="37" fontId="6" fillId="0" borderId="36" xfId="0" applyNumberFormat="1" applyFont="1" applyBorder="1"/>
    <xf numFmtId="0" fontId="0" fillId="0" borderId="36" xfId="0" applyBorder="1"/>
    <xf numFmtId="0" fontId="27" fillId="0" borderId="0" xfId="0" applyFont="1"/>
    <xf numFmtId="10" fontId="27" fillId="0" borderId="0" xfId="8" applyNumberFormat="1" applyFont="1" applyAlignment="1">
      <alignment horizontal="right"/>
    </xf>
    <xf numFmtId="10" fontId="34" fillId="0" borderId="0" xfId="8" applyNumberFormat="1" applyFont="1" applyAlignment="1">
      <alignment horizontal="right"/>
    </xf>
    <xf numFmtId="0" fontId="27" fillId="0" borderId="0" xfId="0" applyFont="1" applyFill="1"/>
    <xf numFmtId="0" fontId="27" fillId="0" borderId="36" xfId="0" applyFont="1" applyBorder="1"/>
    <xf numFmtId="10" fontId="6" fillId="0" borderId="36" xfId="8" applyNumberFormat="1" applyFont="1" applyBorder="1" applyAlignment="1">
      <alignment horizontal="right"/>
    </xf>
    <xf numFmtId="10" fontId="49" fillId="0" borderId="36" xfId="8" applyNumberFormat="1" applyFont="1" applyFill="1" applyBorder="1"/>
    <xf numFmtId="10" fontId="81" fillId="0" borderId="0" xfId="8" applyNumberFormat="1" applyFont="1"/>
    <xf numFmtId="10" fontId="34" fillId="0" borderId="0" xfId="0" applyNumberFormat="1" applyFont="1"/>
    <xf numFmtId="10" fontId="6" fillId="0" borderId="36" xfId="8" applyNumberFormat="1" applyFont="1" applyBorder="1"/>
    <xf numFmtId="0" fontId="76" fillId="0" borderId="6" xfId="0" applyFont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3" fillId="3" borderId="0" xfId="1" applyNumberFormat="1" applyFont="1" applyFill="1"/>
    <xf numFmtId="166" fontId="3" fillId="3" borderId="0" xfId="1" applyNumberFormat="1" applyFont="1" applyFill="1"/>
    <xf numFmtId="166" fontId="2" fillId="3" borderId="0" xfId="1" applyNumberFormat="1" applyFont="1" applyFill="1"/>
    <xf numFmtId="38" fontId="2" fillId="3" borderId="0" xfId="0" applyNumberFormat="1" applyFont="1" applyFill="1"/>
    <xf numFmtId="38" fontId="3" fillId="3" borderId="6" xfId="1" applyNumberFormat="1" applyFont="1" applyFill="1" applyBorder="1"/>
    <xf numFmtId="166" fontId="17" fillId="3" borderId="0" xfId="1" applyNumberFormat="1" applyFont="1" applyFill="1"/>
    <xf numFmtId="14" fontId="2" fillId="0" borderId="0" xfId="0" applyNumberFormat="1" applyFont="1" applyFill="1" applyAlignment="1">
      <alignment horizontal="center"/>
    </xf>
    <xf numFmtId="38" fontId="3" fillId="0" borderId="9" xfId="0" applyNumberFormat="1" applyFont="1" applyFill="1" applyBorder="1"/>
    <xf numFmtId="38" fontId="3" fillId="0" borderId="6" xfId="0" applyNumberFormat="1" applyFont="1" applyFill="1" applyBorder="1"/>
    <xf numFmtId="2" fontId="3" fillId="0" borderId="6" xfId="0" applyNumberFormat="1" applyFont="1" applyFill="1" applyBorder="1"/>
    <xf numFmtId="14" fontId="3" fillId="0" borderId="0" xfId="0" applyNumberFormat="1" applyFont="1" applyFill="1"/>
    <xf numFmtId="166" fontId="3" fillId="3" borderId="0" xfId="1" applyNumberFormat="1" applyFont="1" applyFill="1" applyBorder="1"/>
    <xf numFmtId="166" fontId="3" fillId="3" borderId="9" xfId="1" applyNumberFormat="1" applyFont="1" applyFill="1" applyBorder="1"/>
    <xf numFmtId="166" fontId="3" fillId="3" borderId="6" xfId="1" applyNumberFormat="1" applyFont="1" applyFill="1" applyBorder="1"/>
    <xf numFmtId="173" fontId="3" fillId="0" borderId="0" xfId="0" applyNumberFormat="1" applyFont="1"/>
    <xf numFmtId="0" fontId="42" fillId="0" borderId="0" xfId="0" applyFont="1"/>
    <xf numFmtId="0" fontId="82" fillId="0" borderId="0" xfId="0" applyFont="1"/>
    <xf numFmtId="166" fontId="57" fillId="3" borderId="0" xfId="1" applyNumberFormat="1" applyFont="1" applyFill="1" applyBorder="1"/>
    <xf numFmtId="0" fontId="29" fillId="0" borderId="37" xfId="0" applyFont="1" applyBorder="1" applyAlignment="1">
      <alignment horizontal="center"/>
    </xf>
    <xf numFmtId="0" fontId="23" fillId="0" borderId="18" xfId="0" applyFont="1" applyFill="1" applyBorder="1" applyAlignment="1">
      <alignment horizontal="left"/>
    </xf>
    <xf numFmtId="0" fontId="10" fillId="0" borderId="5" xfId="0" applyFont="1" applyFill="1" applyBorder="1"/>
    <xf numFmtId="10" fontId="10" fillId="0" borderId="0" xfId="0" applyNumberFormat="1" applyFont="1" applyFill="1" applyBorder="1"/>
    <xf numFmtId="179" fontId="10" fillId="0" borderId="0" xfId="1" applyNumberFormat="1" applyFont="1" applyFill="1" applyBorder="1"/>
    <xf numFmtId="179" fontId="10" fillId="0" borderId="4" xfId="1" applyNumberFormat="1" applyFont="1" applyFill="1" applyBorder="1"/>
    <xf numFmtId="0" fontId="10" fillId="0" borderId="19" xfId="0" applyFont="1" applyFill="1" applyBorder="1"/>
    <xf numFmtId="10" fontId="10" fillId="0" borderId="1" xfId="0" applyNumberFormat="1" applyFont="1" applyFill="1" applyBorder="1"/>
    <xf numFmtId="179" fontId="10" fillId="0" borderId="1" xfId="1" applyNumberFormat="1" applyFont="1" applyFill="1" applyBorder="1"/>
    <xf numFmtId="179" fontId="10" fillId="0" borderId="17" xfId="1" applyNumberFormat="1" applyFont="1" applyFill="1" applyBorder="1"/>
    <xf numFmtId="0" fontId="24" fillId="0" borderId="1" xfId="0" applyFont="1" applyBorder="1"/>
    <xf numFmtId="38" fontId="24" fillId="0" borderId="17" xfId="1" applyNumberFormat="1" applyFont="1" applyBorder="1" applyAlignment="1">
      <alignment horizontal="center"/>
    </xf>
    <xf numFmtId="38" fontId="29" fillId="0" borderId="4" xfId="0" applyNumberFormat="1" applyFont="1" applyBorder="1" applyAlignment="1">
      <alignment horizontal="center"/>
    </xf>
    <xf numFmtId="164" fontId="29" fillId="0" borderId="0" xfId="0" applyNumberFormat="1" applyFont="1" applyBorder="1" applyAlignment="1">
      <alignment horizontal="center"/>
    </xf>
    <xf numFmtId="164" fontId="29" fillId="0" borderId="0" xfId="8" applyNumberFormat="1" applyFont="1" applyBorder="1" applyAlignment="1">
      <alignment horizontal="center"/>
    </xf>
    <xf numFmtId="9" fontId="24" fillId="0" borderId="1" xfId="0" applyNumberFormat="1" applyFont="1" applyBorder="1" applyAlignment="1">
      <alignment horizontal="center"/>
    </xf>
    <xf numFmtId="0" fontId="75" fillId="0" borderId="2" xfId="0" applyFont="1" applyFill="1" applyBorder="1" applyAlignment="1" applyProtection="1">
      <alignment horizontal="right"/>
    </xf>
    <xf numFmtId="38" fontId="3" fillId="0" borderId="0" xfId="1" applyNumberFormat="1" applyFont="1" applyBorder="1"/>
    <xf numFmtId="3" fontId="83" fillId="0" borderId="0" xfId="0" applyNumberFormat="1" applyFont="1"/>
    <xf numFmtId="0" fontId="84" fillId="0" borderId="0" xfId="0" applyFont="1"/>
    <xf numFmtId="3" fontId="68" fillId="0" borderId="0" xfId="0" applyNumberFormat="1" applyFont="1"/>
    <xf numFmtId="8" fontId="3" fillId="0" borderId="0" xfId="0" applyNumberFormat="1" applyFont="1"/>
    <xf numFmtId="166" fontId="85" fillId="3" borderId="0" xfId="1" applyNumberFormat="1" applyFont="1" applyFill="1"/>
    <xf numFmtId="38" fontId="2" fillId="0" borderId="0" xfId="0" applyNumberFormat="1" applyFont="1" applyFill="1" applyBorder="1" applyAlignment="1">
      <alignment horizontal="right"/>
    </xf>
    <xf numFmtId="38" fontId="3" fillId="0" borderId="0" xfId="0" applyNumberFormat="1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38" fontId="3" fillId="0" borderId="6" xfId="0" applyNumberFormat="1" applyFont="1" applyFill="1" applyBorder="1" applyAlignment="1">
      <alignment horizontal="right"/>
    </xf>
    <xf numFmtId="0" fontId="25" fillId="0" borderId="5" xfId="0" applyFont="1" applyFill="1" applyBorder="1" applyAlignment="1" applyProtection="1">
      <alignment horizontal="left"/>
    </xf>
    <xf numFmtId="0" fontId="75" fillId="0" borderId="0" xfId="0" applyFont="1" applyFill="1" applyBorder="1" applyAlignment="1" applyProtection="1">
      <alignment horizontal="right"/>
    </xf>
    <xf numFmtId="313" fontId="57" fillId="3" borderId="2" xfId="0" applyNumberFormat="1" applyFont="1" applyFill="1" applyBorder="1" applyAlignment="1" applyProtection="1">
      <alignment horizontal="right"/>
    </xf>
    <xf numFmtId="313" fontId="57" fillId="3" borderId="0" xfId="0" applyNumberFormat="1" applyFont="1" applyFill="1" applyBorder="1" applyAlignment="1" applyProtection="1">
      <alignment horizontal="right"/>
    </xf>
    <xf numFmtId="0" fontId="2" fillId="0" borderId="7" xfId="0" applyFont="1" applyBorder="1" applyAlignment="1"/>
    <xf numFmtId="0" fontId="3" fillId="0" borderId="12" xfId="0" applyFont="1" applyBorder="1"/>
    <xf numFmtId="164" fontId="3" fillId="0" borderId="13" xfId="8" applyNumberFormat="1" applyFont="1" applyBorder="1"/>
    <xf numFmtId="164" fontId="17" fillId="0" borderId="13" xfId="8" applyNumberFormat="1" applyFont="1" applyBorder="1"/>
    <xf numFmtId="166" fontId="11" fillId="0" borderId="10" xfId="1" applyNumberFormat="1" applyFont="1" applyBorder="1"/>
    <xf numFmtId="164" fontId="3" fillId="0" borderId="11" xfId="8" applyNumberFormat="1" applyFont="1" applyBorder="1"/>
    <xf numFmtId="311" fontId="2" fillId="0" borderId="1" xfId="0" applyNumberFormat="1" applyFont="1" applyFill="1" applyBorder="1" applyAlignment="1">
      <alignment horizontal="right"/>
    </xf>
    <xf numFmtId="38" fontId="17" fillId="0" borderId="0" xfId="0" applyNumberFormat="1" applyFont="1" applyBorder="1"/>
    <xf numFmtId="10" fontId="29" fillId="0" borderId="0" xfId="0" applyNumberFormat="1" applyFont="1" applyFill="1" applyBorder="1"/>
    <xf numFmtId="179" fontId="29" fillId="0" borderId="0" xfId="1" applyNumberFormat="1" applyFont="1" applyFill="1" applyBorder="1"/>
    <xf numFmtId="10" fontId="29" fillId="0" borderId="1" xfId="0" applyNumberFormat="1" applyFont="1" applyFill="1" applyBorder="1"/>
    <xf numFmtId="179" fontId="29" fillId="0" borderId="1" xfId="1" applyNumberFormat="1" applyFont="1" applyFill="1" applyBorder="1"/>
    <xf numFmtId="179" fontId="29" fillId="0" borderId="17" xfId="1" applyNumberFormat="1" applyFont="1" applyFill="1" applyBorder="1"/>
    <xf numFmtId="179" fontId="29" fillId="0" borderId="4" xfId="1" applyNumberFormat="1" applyFont="1" applyFill="1" applyBorder="1"/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center"/>
    </xf>
    <xf numFmtId="10" fontId="29" fillId="0" borderId="5" xfId="0" applyNumberFormat="1" applyFont="1" applyFill="1" applyBorder="1"/>
    <xf numFmtId="0" fontId="3" fillId="0" borderId="4" xfId="0" applyFont="1" applyFill="1" applyBorder="1"/>
    <xf numFmtId="0" fontId="29" fillId="0" borderId="18" xfId="0" applyFont="1" applyFill="1" applyBorder="1"/>
    <xf numFmtId="10" fontId="29" fillId="0" borderId="2" xfId="0" applyNumberFormat="1" applyFont="1" applyFill="1" applyBorder="1"/>
    <xf numFmtId="179" fontId="29" fillId="0" borderId="2" xfId="1" applyNumberFormat="1" applyFont="1" applyFill="1" applyBorder="1"/>
    <xf numFmtId="179" fontId="29" fillId="0" borderId="3" xfId="1" applyNumberFormat="1" applyFont="1" applyFill="1" applyBorder="1"/>
    <xf numFmtId="0" fontId="29" fillId="0" borderId="35" xfId="0" applyFont="1" applyFill="1" applyBorder="1"/>
    <xf numFmtId="10" fontId="29" fillId="0" borderId="6" xfId="0" applyNumberFormat="1" applyFont="1" applyFill="1" applyBorder="1"/>
    <xf numFmtId="179" fontId="29" fillId="0" borderId="6" xfId="1" applyNumberFormat="1" applyFont="1" applyFill="1" applyBorder="1"/>
    <xf numFmtId="179" fontId="29" fillId="0" borderId="37" xfId="1" applyNumberFormat="1" applyFont="1" applyFill="1" applyBorder="1"/>
    <xf numFmtId="10" fontId="0" fillId="0" borderId="0" xfId="8" applyNumberFormat="1" applyFont="1" applyFill="1"/>
    <xf numFmtId="0" fontId="0" fillId="0" borderId="7" xfId="0" applyBorder="1"/>
    <xf numFmtId="14" fontId="0" fillId="0" borderId="9" xfId="0" applyNumberFormat="1" applyBorder="1"/>
    <xf numFmtId="14" fontId="0" fillId="0" borderId="8" xfId="0" applyNumberFormat="1" applyBorder="1"/>
    <xf numFmtId="3" fontId="2" fillId="7" borderId="10" xfId="0" applyNumberFormat="1" applyFont="1" applyFill="1" applyBorder="1"/>
    <xf numFmtId="38" fontId="17" fillId="7" borderId="6" xfId="0" applyNumberFormat="1" applyFont="1" applyFill="1" applyBorder="1"/>
    <xf numFmtId="38" fontId="17" fillId="7" borderId="11" xfId="0" applyNumberFormat="1" applyFont="1" applyFill="1" applyBorder="1"/>
    <xf numFmtId="0" fontId="3" fillId="0" borderId="7" xfId="0" applyFont="1" applyBorder="1"/>
    <xf numFmtId="14" fontId="3" fillId="0" borderId="9" xfId="0" applyNumberFormat="1" applyFont="1" applyBorder="1"/>
    <xf numFmtId="14" fontId="3" fillId="0" borderId="8" xfId="0" applyNumberFormat="1" applyFont="1" applyBorder="1"/>
    <xf numFmtId="0" fontId="2" fillId="9" borderId="0" xfId="0" applyFont="1" applyFill="1"/>
    <xf numFmtId="0" fontId="3" fillId="9" borderId="0" xfId="0" applyFont="1" applyFill="1"/>
    <xf numFmtId="38" fontId="2" fillId="9" borderId="0" xfId="0" applyNumberFormat="1" applyFont="1" applyFill="1"/>
    <xf numFmtId="14" fontId="3" fillId="9" borderId="0" xfId="0" applyNumberFormat="1" applyFont="1" applyFill="1"/>
    <xf numFmtId="14" fontId="2" fillId="9" borderId="0" xfId="0" applyNumberFormat="1" applyFont="1" applyFill="1"/>
    <xf numFmtId="168" fontId="2" fillId="9" borderId="0" xfId="1" applyNumberFormat="1" applyFont="1" applyFill="1"/>
    <xf numFmtId="3" fontId="3" fillId="9" borderId="0" xfId="0" applyNumberFormat="1" applyFont="1" applyFill="1"/>
    <xf numFmtId="3" fontId="2" fillId="9" borderId="0" xfId="0" applyNumberFormat="1" applyFont="1" applyFill="1"/>
    <xf numFmtId="43" fontId="3" fillId="9" borderId="0" xfId="1" applyFont="1" applyFill="1"/>
    <xf numFmtId="0" fontId="0" fillId="9" borderId="0" xfId="0" applyFill="1"/>
    <xf numFmtId="0" fontId="76" fillId="9" borderId="0" xfId="0" applyFont="1" applyFill="1"/>
    <xf numFmtId="0" fontId="2" fillId="8" borderId="0" xfId="0" applyFont="1" applyFill="1"/>
    <xf numFmtId="43" fontId="2" fillId="8" borderId="0" xfId="1" applyNumberFormat="1" applyFont="1" applyFill="1"/>
    <xf numFmtId="0" fontId="2" fillId="10" borderId="0" xfId="0" applyFont="1" applyFill="1"/>
    <xf numFmtId="166" fontId="2" fillId="10" borderId="0" xfId="1" applyNumberFormat="1" applyFont="1" applyFill="1"/>
    <xf numFmtId="0" fontId="3" fillId="10" borderId="0" xfId="0" applyFont="1" applyFill="1"/>
    <xf numFmtId="43" fontId="2" fillId="0" borderId="0" xfId="1" applyNumberFormat="1" applyFont="1" applyFill="1"/>
    <xf numFmtId="166" fontId="2" fillId="3" borderId="18" xfId="1" applyNumberFormat="1" applyFont="1" applyFill="1" applyBorder="1"/>
    <xf numFmtId="166" fontId="2" fillId="3" borderId="2" xfId="1" applyNumberFormat="1" applyFont="1" applyFill="1" applyBorder="1"/>
    <xf numFmtId="166" fontId="2" fillId="3" borderId="3" xfId="1" applyNumberFormat="1" applyFont="1" applyFill="1" applyBorder="1"/>
    <xf numFmtId="3" fontId="2" fillId="11" borderId="5" xfId="0" applyNumberFormat="1" applyFont="1" applyFill="1" applyBorder="1"/>
    <xf numFmtId="3" fontId="2" fillId="11" borderId="0" xfId="0" applyNumberFormat="1" applyFont="1" applyFill="1" applyBorder="1"/>
    <xf numFmtId="3" fontId="2" fillId="11" borderId="4" xfId="0" applyNumberFormat="1" applyFont="1" applyFill="1" applyBorder="1"/>
    <xf numFmtId="179" fontId="2" fillId="8" borderId="19" xfId="0" applyNumberFormat="1" applyFont="1" applyFill="1" applyBorder="1"/>
    <xf numFmtId="179" fontId="2" fillId="8" borderId="1" xfId="0" applyNumberFormat="1" applyFont="1" applyFill="1" applyBorder="1"/>
    <xf numFmtId="0" fontId="2" fillId="8" borderId="17" xfId="0" applyFont="1" applyFill="1" applyBorder="1"/>
    <xf numFmtId="179" fontId="2" fillId="0" borderId="19" xfId="0" applyNumberFormat="1" applyFont="1" applyFill="1" applyBorder="1"/>
    <xf numFmtId="179" fontId="2" fillId="0" borderId="1" xfId="0" applyNumberFormat="1" applyFont="1" applyFill="1" applyBorder="1"/>
    <xf numFmtId="0" fontId="2" fillId="0" borderId="17" xfId="0" applyFont="1" applyFill="1" applyBorder="1"/>
    <xf numFmtId="3" fontId="3" fillId="12" borderId="0" xfId="0" applyNumberFormat="1" applyFont="1" applyFill="1"/>
    <xf numFmtId="3" fontId="3" fillId="11" borderId="0" xfId="0" applyNumberFormat="1" applyFont="1" applyFill="1"/>
    <xf numFmtId="3" fontId="3" fillId="12" borderId="0" xfId="0" applyNumberFormat="1" applyFont="1" applyFill="1" applyBorder="1"/>
    <xf numFmtId="166" fontId="3" fillId="12" borderId="0" xfId="1" applyNumberFormat="1" applyFont="1" applyFill="1"/>
    <xf numFmtId="3" fontId="3" fillId="13" borderId="0" xfId="0" applyNumberFormat="1" applyFont="1" applyFill="1" applyBorder="1"/>
    <xf numFmtId="3" fontId="3" fillId="13" borderId="0" xfId="0" applyNumberFormat="1" applyFont="1" applyFill="1"/>
    <xf numFmtId="3" fontId="3" fillId="8" borderId="0" xfId="0" applyNumberFormat="1" applyFont="1" applyFill="1"/>
    <xf numFmtId="38" fontId="33" fillId="0" borderId="0" xfId="0" applyNumberFormat="1" applyFont="1"/>
    <xf numFmtId="179" fontId="0" fillId="0" borderId="0" xfId="0" applyNumberFormat="1"/>
    <xf numFmtId="3" fontId="2" fillId="8" borderId="0" xfId="0" applyNumberFormat="1" applyFont="1" applyFill="1"/>
    <xf numFmtId="179" fontId="19" fillId="8" borderId="6" xfId="0" applyNumberFormat="1" applyFont="1" applyFill="1" applyBorder="1" applyAlignment="1">
      <alignment horizontal="right"/>
    </xf>
    <xf numFmtId="10" fontId="41" fillId="0" borderId="0" xfId="8" applyNumberFormat="1" applyFont="1" applyFill="1"/>
    <xf numFmtId="38" fontId="41" fillId="0" borderId="0" xfId="0" applyNumberFormat="1" applyFont="1" applyFill="1"/>
    <xf numFmtId="3" fontId="18" fillId="8" borderId="0" xfId="0" applyNumberFormat="1" applyFont="1" applyFill="1"/>
    <xf numFmtId="316" fontId="19" fillId="0" borderId="6" xfId="0" applyNumberFormat="1" applyFont="1" applyBorder="1" applyAlignment="1">
      <alignment horizontal="right"/>
    </xf>
    <xf numFmtId="194" fontId="2" fillId="8" borderId="0" xfId="1" applyNumberFormat="1" applyFont="1" applyFill="1"/>
    <xf numFmtId="173" fontId="3" fillId="0" borderId="0" xfId="8" applyNumberFormat="1" applyFont="1" applyAlignment="1">
      <alignment horizontal="right"/>
    </xf>
  </cellXfs>
  <cellStyles count="9">
    <cellStyle name="Comma" xfId="1" builtinId="3"/>
    <cellStyle name="Currency" xfId="2" builtinId="4"/>
    <cellStyle name="Normal" xfId="0" builtinId="0"/>
    <cellStyle name="Normal_cf0402_ndf" xfId="3"/>
    <cellStyle name="Normal_Curve_Economics" xfId="4"/>
    <cellStyle name="Normal_IPP Summary" xfId="5"/>
    <cellStyle name="Normal_Summary" xfId="6"/>
    <cellStyle name="Normal_Yuma CE Strategic" xfId="7"/>
    <cellStyle name="Percent" xfId="8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22" fmlaLink="$B$40" fmlaRange="$B$42:$B$45" noThreeD="1" sel="3" val="0"/>
</file>

<file path=xl/ctrlProps/ctrlProp2.xml><?xml version="1.0" encoding="utf-8"?>
<formControlPr xmlns="http://schemas.microsoft.com/office/spreadsheetml/2009/9/main" objectType="Drop" dropStyle="combo" dx="22" fmlaLink="$C$40" fmlaRange="$C$42:$C$43" noThreeD="1" sel="1" val="0"/>
</file>

<file path=xl/ctrlProps/ctrlProp3.xml><?xml version="1.0" encoding="utf-8"?>
<formControlPr xmlns="http://schemas.microsoft.com/office/spreadsheetml/2009/9/main" objectType="Drop" dropLines="2" dropStyle="combo" dx="22" fmlaLink="$D$40" fmlaRange="$D$42:$D$43" noThreeD="1" sel="2" val="0"/>
</file>

<file path=xl/ctrlProps/ctrlProp4.xml><?xml version="1.0" encoding="utf-8"?>
<formControlPr xmlns="http://schemas.microsoft.com/office/spreadsheetml/2009/9/main" objectType="Drop" dropLines="3" dropStyle="combo" dx="22" fmlaLink="$F$40" fmlaRange="$F$42:$F$44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47625</xdr:rowOff>
        </xdr:from>
        <xdr:to>
          <xdr:col>1</xdr:col>
          <xdr:colOff>1552575</xdr:colOff>
          <xdr:row>29</xdr:row>
          <xdr:rowOff>47625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9525</xdr:rowOff>
        </xdr:from>
        <xdr:to>
          <xdr:col>1</xdr:col>
          <xdr:colOff>1543050</xdr:colOff>
          <xdr:row>32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190500</xdr:rowOff>
        </xdr:from>
        <xdr:to>
          <xdr:col>1</xdr:col>
          <xdr:colOff>1543050</xdr:colOff>
          <xdr:row>34</xdr:row>
          <xdr:rowOff>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34</xdr:row>
          <xdr:rowOff>180975</xdr:rowOff>
        </xdr:from>
        <xdr:to>
          <xdr:col>1</xdr:col>
          <xdr:colOff>1543050</xdr:colOff>
          <xdr:row>35</xdr:row>
          <xdr:rowOff>190500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GenSvcs/Genco/Financing/Control/Equity%20Model%200428/Current/DebtScenario/DebtCoverage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t Scenarios"/>
      <sheetName val="Assumptions"/>
      <sheetName val="Power Price Assumption"/>
      <sheetName val="IS"/>
      <sheetName val="CF"/>
      <sheetName val="IRR"/>
      <sheetName val="Exposure"/>
      <sheetName val="Debt"/>
      <sheetName val="InterestIncome"/>
      <sheetName val="Depreciation"/>
      <sheetName val="Tax"/>
      <sheetName val="Brownsville"/>
      <sheetName val="Caledonia"/>
      <sheetName val="New Albany"/>
      <sheetName val="Calvert"/>
      <sheetName val="Wheatland"/>
      <sheetName val="Wilton"/>
      <sheetName val="EGC Start Charge Matrix"/>
      <sheetName val="Allocation"/>
    </sheetNames>
    <sheetDataSet>
      <sheetData sheetId="0"/>
      <sheetData sheetId="1">
        <row r="32">
          <cell r="B32">
            <v>0.02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26"/>
  <sheetViews>
    <sheetView topLeftCell="A18" zoomScale="75" workbookViewId="0">
      <selection activeCell="I21" sqref="I21"/>
    </sheetView>
  </sheetViews>
  <sheetFormatPr defaultRowHeight="12.75"/>
  <cols>
    <col min="1" max="1" width="74.5703125" style="22" customWidth="1"/>
    <col min="2" max="2" width="25" style="22" customWidth="1"/>
    <col min="3" max="3" width="24" style="22" customWidth="1"/>
    <col min="4" max="4" width="10.85546875" style="22" customWidth="1"/>
    <col min="5" max="5" width="6.140625" style="22" customWidth="1"/>
    <col min="6" max="6" width="23.42578125" style="22" customWidth="1"/>
    <col min="7" max="7" width="11.5703125" style="22" bestFit="1" customWidth="1"/>
    <col min="8" max="8" width="17.85546875" style="22" bestFit="1" customWidth="1"/>
    <col min="9" max="15" width="9.140625" style="22"/>
    <col min="16" max="16" width="23.140625" style="22" customWidth="1"/>
    <col min="17" max="17" width="38.5703125" style="22" customWidth="1"/>
    <col min="18" max="18" width="11.5703125" style="22" customWidth="1"/>
    <col min="19" max="19" width="22.7109375" style="22" customWidth="1"/>
    <col min="20" max="16384" width="9.140625" style="22"/>
  </cols>
  <sheetData>
    <row r="1" spans="1:12" ht="20.25">
      <c r="A1" s="65" t="s">
        <v>0</v>
      </c>
    </row>
    <row r="2" spans="1:12" ht="20.25">
      <c r="A2" s="65" t="s">
        <v>515</v>
      </c>
    </row>
    <row r="3" spans="1:12" ht="20.25">
      <c r="A3" s="65" t="s">
        <v>504</v>
      </c>
    </row>
    <row r="4" spans="1:12" ht="20.25">
      <c r="A4" s="65" t="s">
        <v>513</v>
      </c>
    </row>
    <row r="5" spans="1:12" ht="20.25">
      <c r="A5" s="65" t="s">
        <v>423</v>
      </c>
    </row>
    <row r="6" spans="1:12" ht="20.25">
      <c r="A6" s="65" t="s">
        <v>424</v>
      </c>
    </row>
    <row r="7" spans="1:12" ht="20.25">
      <c r="A7" s="65" t="s">
        <v>425</v>
      </c>
    </row>
    <row r="8" spans="1:12" ht="20.25">
      <c r="A8" s="65"/>
    </row>
    <row r="9" spans="1:12" ht="20.25">
      <c r="A9" s="65"/>
    </row>
    <row r="10" spans="1:12" ht="20.25">
      <c r="A10" s="65"/>
    </row>
    <row r="11" spans="1:12" ht="20.25">
      <c r="A11" s="65"/>
    </row>
    <row r="13" spans="1:12" ht="15.75">
      <c r="A13" s="47" t="s">
        <v>422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1:12" ht="15.75">
      <c r="A14" s="47" t="s">
        <v>421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1:12" ht="15.75">
      <c r="A15" s="47" t="s">
        <v>1</v>
      </c>
      <c r="B15" s="47"/>
      <c r="C15" s="47"/>
      <c r="D15" s="47"/>
      <c r="E15" s="47"/>
      <c r="F15" s="47"/>
      <c r="G15" s="47"/>
      <c r="H15" s="47"/>
      <c r="I15" s="47"/>
      <c r="J15" s="77"/>
      <c r="K15" s="77"/>
      <c r="L15" s="77"/>
    </row>
    <row r="16" spans="1:12" ht="15.75">
      <c r="A16" s="47" t="s">
        <v>2</v>
      </c>
      <c r="B16" s="47"/>
      <c r="C16" s="47"/>
      <c r="D16" s="47"/>
      <c r="E16" s="47"/>
      <c r="F16" s="47"/>
      <c r="G16" s="47"/>
      <c r="H16" s="47"/>
      <c r="I16" s="47"/>
      <c r="J16" s="77"/>
      <c r="K16" s="77"/>
      <c r="L16" s="77"/>
    </row>
    <row r="17" spans="1:24" ht="15.75">
      <c r="A17" s="47" t="s">
        <v>3</v>
      </c>
      <c r="B17" s="47"/>
      <c r="C17" s="47"/>
      <c r="D17" s="47"/>
      <c r="E17" s="47"/>
      <c r="F17" s="47"/>
      <c r="G17" s="47"/>
      <c r="H17" s="47"/>
      <c r="I17" s="47"/>
      <c r="J17" s="77"/>
      <c r="K17" s="77"/>
      <c r="L17" s="77"/>
    </row>
    <row r="18" spans="1:24" ht="15.75">
      <c r="A18" s="47" t="s">
        <v>4</v>
      </c>
      <c r="B18" s="47"/>
      <c r="C18" s="47"/>
      <c r="D18" s="47"/>
      <c r="E18" s="47"/>
      <c r="F18" s="47"/>
      <c r="G18" s="47"/>
      <c r="H18" s="47"/>
      <c r="I18" s="47"/>
      <c r="J18" s="77"/>
      <c r="K18" s="77"/>
      <c r="L18" s="77"/>
    </row>
    <row r="19" spans="1:24" ht="15.75">
      <c r="A19" s="47"/>
      <c r="B19" s="47"/>
      <c r="C19" s="47"/>
      <c r="D19" s="47"/>
      <c r="E19" s="47"/>
      <c r="F19" s="47"/>
      <c r="G19" s="47"/>
      <c r="H19" s="47"/>
      <c r="I19" s="47"/>
      <c r="J19" s="77"/>
      <c r="K19" s="77"/>
      <c r="L19" s="77"/>
    </row>
    <row r="20" spans="1:24" ht="15.75">
      <c r="A20" s="47"/>
      <c r="B20" s="687" t="s">
        <v>394</v>
      </c>
      <c r="C20" s="688" t="s">
        <v>9</v>
      </c>
      <c r="D20" s="689" t="s">
        <v>395</v>
      </c>
      <c r="E20" s="689"/>
      <c r="F20" s="690"/>
      <c r="G20" s="47"/>
      <c r="H20" s="47"/>
      <c r="I20" s="47"/>
      <c r="J20" s="77"/>
      <c r="K20" s="77"/>
      <c r="L20" s="77"/>
    </row>
    <row r="21" spans="1:24" ht="15.75">
      <c r="A21" s="47"/>
      <c r="B21" s="691" t="s">
        <v>5</v>
      </c>
      <c r="C21" s="692" t="s">
        <v>6</v>
      </c>
      <c r="D21" s="692" t="s">
        <v>7</v>
      </c>
      <c r="E21" s="468"/>
      <c r="F21" s="693"/>
      <c r="G21" s="47"/>
      <c r="H21" s="47"/>
      <c r="I21" s="47"/>
      <c r="J21" s="77"/>
      <c r="K21" s="77"/>
      <c r="L21" s="77"/>
    </row>
    <row r="22" spans="1:24" ht="15.75">
      <c r="A22" s="47"/>
      <c r="B22" s="691" t="s">
        <v>8</v>
      </c>
      <c r="C22" s="692" t="s">
        <v>9</v>
      </c>
      <c r="D22" s="692" t="s">
        <v>10</v>
      </c>
      <c r="E22" s="468"/>
      <c r="F22" s="693"/>
      <c r="G22" s="47"/>
      <c r="H22" s="47"/>
      <c r="I22" s="47"/>
      <c r="J22" s="77"/>
      <c r="K22" s="77"/>
      <c r="L22" s="77"/>
    </row>
    <row r="23" spans="1:24" ht="15.75">
      <c r="A23" s="47"/>
      <c r="B23" s="694" t="s">
        <v>11</v>
      </c>
      <c r="C23" s="695" t="s">
        <v>9</v>
      </c>
      <c r="D23" s="695" t="s">
        <v>12</v>
      </c>
      <c r="E23" s="696"/>
      <c r="F23" s="697"/>
      <c r="G23" s="47"/>
      <c r="H23" s="47"/>
      <c r="I23" s="47"/>
      <c r="J23" s="77"/>
      <c r="K23" s="77"/>
      <c r="L23" s="77"/>
    </row>
    <row r="24" spans="1:24" ht="15.75">
      <c r="A24" s="47"/>
      <c r="B24" s="468"/>
      <c r="C24" s="692"/>
      <c r="D24" s="692"/>
      <c r="E24" s="468"/>
      <c r="F24" s="468"/>
      <c r="G24" s="47"/>
      <c r="H24" s="47"/>
      <c r="I24" s="47"/>
      <c r="J24" s="77"/>
      <c r="K24" s="77"/>
      <c r="L24" s="77"/>
    </row>
    <row r="25" spans="1:24" ht="15.75">
      <c r="A25" s="47"/>
      <c r="B25" s="468"/>
      <c r="C25" s="692"/>
      <c r="D25" s="692"/>
      <c r="E25" s="468"/>
      <c r="F25" s="468"/>
      <c r="G25" s="47"/>
      <c r="H25" s="47"/>
      <c r="I25" s="47"/>
      <c r="J25" s="77"/>
      <c r="K25" s="77"/>
      <c r="L25" s="77"/>
    </row>
    <row r="26" spans="1:24" ht="18.75">
      <c r="A26" s="292"/>
      <c r="B26" s="292"/>
      <c r="C26" s="292"/>
      <c r="D26" s="292"/>
      <c r="E26" s="292"/>
      <c r="F26" s="292"/>
      <c r="G26" s="292"/>
      <c r="H26" s="292"/>
      <c r="I26" s="292"/>
    </row>
    <row r="27" spans="1:24" ht="20.25">
      <c r="A27" s="65" t="s">
        <v>13</v>
      </c>
      <c r="B27" s="615"/>
      <c r="C27" s="615"/>
      <c r="D27" s="615"/>
      <c r="E27" s="615"/>
    </row>
    <row r="28" spans="1:24" ht="15.75">
      <c r="A28" s="698"/>
      <c r="B28" s="698"/>
      <c r="C28" s="698"/>
      <c r="D28" s="698"/>
      <c r="T28" s="77"/>
      <c r="U28" s="77"/>
    </row>
    <row r="29" spans="1:24" ht="15.75">
      <c r="A29" s="699" t="s">
        <v>14</v>
      </c>
      <c r="B29" s="699"/>
      <c r="C29" s="699"/>
      <c r="D29" s="699"/>
      <c r="E29" s="47"/>
      <c r="F29" s="77"/>
      <c r="G29" s="77"/>
      <c r="H29" s="77"/>
      <c r="I29" s="77"/>
      <c r="J29" s="77"/>
      <c r="K29" s="77"/>
      <c r="L29" s="77"/>
      <c r="M29" s="77"/>
      <c r="N29" s="77"/>
      <c r="T29" s="77"/>
      <c r="U29" s="77"/>
      <c r="V29" s="77"/>
      <c r="W29" s="77"/>
      <c r="X29" s="77"/>
    </row>
    <row r="30" spans="1:24" ht="15.75">
      <c r="A30" s="698" t="s">
        <v>15</v>
      </c>
      <c r="B30" s="699"/>
      <c r="C30" s="699"/>
      <c r="D30" s="699"/>
      <c r="E30" s="47"/>
      <c r="F30" s="77"/>
      <c r="G30" s="77"/>
      <c r="H30" s="77"/>
      <c r="I30" s="77"/>
      <c r="J30" s="77"/>
      <c r="K30" s="77"/>
      <c r="L30" s="77"/>
      <c r="M30" s="77"/>
      <c r="N30" s="77"/>
      <c r="T30" s="77"/>
      <c r="U30" s="77"/>
      <c r="V30" s="77"/>
      <c r="W30" s="77"/>
      <c r="X30" s="77"/>
    </row>
    <row r="31" spans="1:24" ht="15.75">
      <c r="A31" s="699"/>
      <c r="B31" s="699"/>
      <c r="C31" s="699"/>
      <c r="D31" s="699"/>
      <c r="E31" s="47"/>
      <c r="F31" s="77"/>
      <c r="G31" s="77"/>
      <c r="H31" s="77"/>
      <c r="I31" s="77"/>
      <c r="J31" s="77"/>
      <c r="K31" s="77"/>
      <c r="L31" s="77"/>
      <c r="M31" s="77"/>
      <c r="N31" s="77"/>
      <c r="T31" s="77"/>
      <c r="U31" s="77"/>
      <c r="V31" s="77"/>
      <c r="W31" s="77"/>
      <c r="X31" s="77"/>
    </row>
    <row r="32" spans="1:24" ht="15.75">
      <c r="A32" s="699" t="s">
        <v>16</v>
      </c>
      <c r="B32" s="699"/>
      <c r="C32" s="699"/>
      <c r="D32" s="699"/>
      <c r="E32" s="47"/>
      <c r="F32" s="77"/>
      <c r="G32" s="77"/>
      <c r="H32" s="77"/>
      <c r="I32" s="77"/>
      <c r="J32" s="77"/>
      <c r="K32" s="77"/>
      <c r="L32" s="77"/>
      <c r="M32" s="77"/>
      <c r="N32" s="77"/>
      <c r="T32" s="77"/>
      <c r="U32" s="77"/>
      <c r="V32" s="77"/>
      <c r="W32" s="77"/>
      <c r="X32" s="77"/>
    </row>
    <row r="33" spans="1:24" ht="15.75">
      <c r="A33" s="699"/>
      <c r="B33" s="699"/>
      <c r="C33" s="699"/>
      <c r="D33" s="699"/>
      <c r="E33" s="47"/>
      <c r="F33" s="77"/>
      <c r="G33" s="77"/>
      <c r="H33" s="77"/>
      <c r="I33" s="77"/>
      <c r="J33" s="77"/>
      <c r="K33" s="77"/>
      <c r="L33" s="77"/>
      <c r="M33" s="77"/>
      <c r="N33" s="77"/>
      <c r="T33" s="77"/>
      <c r="U33" s="77"/>
      <c r="V33" s="77"/>
      <c r="W33" s="77"/>
      <c r="X33" s="77"/>
    </row>
    <row r="34" spans="1:24" ht="15.75">
      <c r="A34" s="699" t="s">
        <v>17</v>
      </c>
      <c r="B34" s="699"/>
      <c r="C34" s="699"/>
      <c r="D34" s="699"/>
      <c r="E34" s="47"/>
      <c r="F34" s="77"/>
      <c r="G34" s="77"/>
      <c r="H34" s="77"/>
      <c r="I34" s="77"/>
      <c r="J34" s="77"/>
      <c r="K34" s="77"/>
      <c r="L34" s="77"/>
      <c r="M34" s="77"/>
      <c r="N34" s="77"/>
      <c r="T34" s="77"/>
      <c r="U34" s="77"/>
      <c r="V34" s="77"/>
      <c r="W34" s="77"/>
      <c r="X34" s="77"/>
    </row>
    <row r="35" spans="1:24" ht="15.75">
      <c r="A35" s="699"/>
      <c r="B35" s="699"/>
      <c r="C35" s="699"/>
      <c r="D35" s="699"/>
      <c r="E35" s="47"/>
      <c r="F35" s="77"/>
      <c r="G35" s="77"/>
      <c r="H35" s="77"/>
      <c r="I35" s="77"/>
      <c r="J35" s="77"/>
      <c r="K35" s="77"/>
      <c r="L35" s="77"/>
      <c r="M35" s="77"/>
      <c r="N35" s="77"/>
      <c r="T35" s="77"/>
      <c r="U35" s="77"/>
      <c r="V35" s="77"/>
      <c r="W35" s="77"/>
      <c r="X35" s="77"/>
    </row>
    <row r="36" spans="1:24" ht="15.75">
      <c r="A36" s="699" t="s">
        <v>18</v>
      </c>
      <c r="B36" s="699"/>
      <c r="C36" s="699"/>
      <c r="D36" s="699"/>
      <c r="E36" s="47"/>
      <c r="F36" s="77"/>
      <c r="G36" s="77"/>
      <c r="H36" s="77"/>
      <c r="I36" s="77"/>
      <c r="J36" s="77"/>
      <c r="K36" s="77"/>
      <c r="L36" s="77"/>
      <c r="M36" s="77"/>
      <c r="N36" s="77"/>
      <c r="T36" s="77"/>
      <c r="U36" s="77"/>
      <c r="V36" s="77"/>
      <c r="W36" s="77"/>
      <c r="X36" s="77"/>
    </row>
    <row r="37" spans="1:24" ht="15.75" hidden="1">
      <c r="A37" s="706" t="s">
        <v>28</v>
      </c>
      <c r="B37" s="67"/>
      <c r="C37" s="384"/>
      <c r="D37" s="384"/>
      <c r="E37" s="384"/>
      <c r="F37" s="385"/>
      <c r="G37" s="77"/>
      <c r="H37"/>
      <c r="I37"/>
      <c r="J37"/>
      <c r="K3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</row>
    <row r="38" spans="1:24" ht="15.75" hidden="1">
      <c r="A38" s="351"/>
      <c r="B38" s="338"/>
      <c r="C38" s="338"/>
      <c r="D38" s="338"/>
      <c r="E38" s="338"/>
      <c r="F38" s="352"/>
      <c r="G38" s="77"/>
      <c r="H38"/>
      <c r="I38"/>
      <c r="J38"/>
      <c r="K38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</row>
    <row r="39" spans="1:24" ht="15.75" hidden="1">
      <c r="A39" s="707" t="s">
        <v>29</v>
      </c>
      <c r="B39" s="363" t="s">
        <v>30</v>
      </c>
      <c r="C39" s="363" t="s">
        <v>31</v>
      </c>
      <c r="D39" s="363" t="s">
        <v>17</v>
      </c>
      <c r="E39" s="363"/>
      <c r="F39" s="708" t="s">
        <v>32</v>
      </c>
      <c r="G39" s="77"/>
      <c r="H39"/>
      <c r="I39"/>
      <c r="J39"/>
      <c r="K39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</row>
    <row r="40" spans="1:24" ht="15.75" hidden="1">
      <c r="A40" s="351"/>
      <c r="B40" s="338">
        <v>3</v>
      </c>
      <c r="C40" s="709">
        <v>1</v>
      </c>
      <c r="D40" s="338">
        <v>2</v>
      </c>
      <c r="E40" s="338"/>
      <c r="F40" s="352">
        <v>1</v>
      </c>
      <c r="G40" s="77"/>
      <c r="H40"/>
      <c r="I40"/>
      <c r="J40"/>
      <c r="K40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</row>
    <row r="41" spans="1:24" ht="15.75" hidden="1">
      <c r="A41" s="351"/>
      <c r="B41" s="338"/>
      <c r="C41" s="709"/>
      <c r="D41" s="338"/>
      <c r="E41" s="338"/>
      <c r="F41" s="352"/>
      <c r="G41" s="77"/>
      <c r="H41"/>
      <c r="I41"/>
      <c r="J41"/>
      <c r="K41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</row>
    <row r="42" spans="1:24" ht="15.75" hidden="1">
      <c r="A42" s="351">
        <v>1</v>
      </c>
      <c r="B42" s="710">
        <v>0</v>
      </c>
      <c r="C42" s="711">
        <v>1</v>
      </c>
      <c r="D42" s="338">
        <v>0</v>
      </c>
      <c r="E42" s="338"/>
      <c r="F42" s="712" t="s">
        <v>33</v>
      </c>
      <c r="G42" s="77"/>
      <c r="H42"/>
      <c r="I42"/>
      <c r="J42"/>
      <c r="K42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</row>
    <row r="43" spans="1:24" ht="15.75" hidden="1">
      <c r="A43" s="351">
        <v>2</v>
      </c>
      <c r="B43" s="710">
        <v>1.4999999999999999E-2</v>
      </c>
      <c r="C43" s="711">
        <v>1.1000000000000001</v>
      </c>
      <c r="D43" s="338">
        <v>120</v>
      </c>
      <c r="E43" s="338"/>
      <c r="F43" s="712" t="s">
        <v>34</v>
      </c>
      <c r="G43" s="77"/>
      <c r="H43"/>
      <c r="I43"/>
      <c r="J43"/>
      <c r="K43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</row>
    <row r="44" spans="1:24" ht="15.75" hidden="1">
      <c r="A44" s="351">
        <v>3</v>
      </c>
      <c r="B44" s="710">
        <v>0.03</v>
      </c>
      <c r="C44" s="338"/>
      <c r="D44" s="338"/>
      <c r="E44" s="338"/>
      <c r="F44" s="712" t="s">
        <v>35</v>
      </c>
      <c r="G44" s="77"/>
      <c r="H44"/>
      <c r="I44"/>
      <c r="J44"/>
      <c r="K44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</row>
    <row r="45" spans="1:24" ht="15.75" hidden="1">
      <c r="A45" s="351">
        <v>4</v>
      </c>
      <c r="B45" s="710">
        <v>4.4999999999999998E-2</v>
      </c>
      <c r="C45" s="338"/>
      <c r="D45" s="338"/>
      <c r="E45" s="338"/>
      <c r="F45" s="712"/>
      <c r="G45" s="77"/>
      <c r="H45"/>
      <c r="I45"/>
      <c r="J45"/>
      <c r="K45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</row>
    <row r="46" spans="1:24" ht="16.5" hidden="1" thickBot="1">
      <c r="A46" s="713" t="s">
        <v>36</v>
      </c>
      <c r="B46" s="714">
        <f>INDEX(B42:B45,B40)</f>
        <v>0.03</v>
      </c>
      <c r="C46" s="715">
        <f>INDEX(C42:C45,C40)</f>
        <v>1</v>
      </c>
      <c r="D46" s="716">
        <f>INDEX(D42:D45,D40)</f>
        <v>120</v>
      </c>
      <c r="E46" s="716"/>
      <c r="F46" s="717" t="str">
        <f>INDEX(F42:F45,F40)</f>
        <v>Base</v>
      </c>
      <c r="G46" s="77"/>
      <c r="H46"/>
      <c r="I46"/>
      <c r="J46"/>
      <c r="K46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</row>
    <row r="47" spans="1:24" ht="15.75">
      <c r="A47" s="237"/>
      <c r="B47" s="237"/>
      <c r="C47" s="237"/>
      <c r="D47" s="237"/>
      <c r="E47" s="77"/>
      <c r="F47" s="77"/>
      <c r="G47" s="77"/>
      <c r="H47" s="77"/>
      <c r="I47" s="77"/>
      <c r="J47" s="77"/>
      <c r="K47" s="77"/>
      <c r="L47" s="77"/>
      <c r="M47" s="77"/>
      <c r="N47" s="77"/>
      <c r="T47" s="77"/>
      <c r="U47" s="77"/>
      <c r="V47" s="77"/>
      <c r="W47" s="77"/>
      <c r="X47" s="77"/>
    </row>
    <row r="48" spans="1:24" ht="15.75">
      <c r="A48" s="237"/>
      <c r="B48" s="237"/>
      <c r="C48" s="237"/>
      <c r="D48" s="237"/>
      <c r="E48" s="77"/>
      <c r="F48" s="77"/>
      <c r="G48" s="77"/>
      <c r="H48" s="77"/>
      <c r="I48" s="77"/>
      <c r="J48" s="77"/>
      <c r="K48" s="77"/>
      <c r="L48" s="77"/>
      <c r="M48" s="77"/>
      <c r="N48" s="77"/>
      <c r="T48" s="77"/>
      <c r="U48" s="77"/>
      <c r="V48" s="77"/>
      <c r="W48" s="77"/>
      <c r="X48" s="77"/>
    </row>
    <row r="49" spans="1:24" ht="15.75">
      <c r="A49" s="237"/>
      <c r="B49" s="237"/>
      <c r="C49" s="237"/>
      <c r="D49" s="237"/>
      <c r="E49" s="77"/>
      <c r="F49" s="77"/>
      <c r="G49" s="77"/>
      <c r="H49" s="77"/>
      <c r="I49" s="77"/>
      <c r="J49" s="77"/>
      <c r="K49" s="77"/>
      <c r="L49" s="77"/>
      <c r="M49" s="77"/>
      <c r="N49" s="77"/>
      <c r="T49" s="77"/>
      <c r="U49" s="77"/>
      <c r="V49" s="77"/>
      <c r="W49" s="77"/>
      <c r="X49" s="77"/>
    </row>
    <row r="50" spans="1:24" ht="16.5" thickBot="1">
      <c r="A50" s="237"/>
      <c r="B50" s="237"/>
      <c r="C50" s="237"/>
      <c r="D50" s="237"/>
      <c r="E50" s="77"/>
      <c r="F50" s="77"/>
      <c r="G50" s="77"/>
      <c r="H50" s="77"/>
      <c r="I50" s="77"/>
      <c r="J50" s="77"/>
      <c r="K50" s="77"/>
      <c r="L50" s="77"/>
      <c r="M50" s="77"/>
      <c r="N50" s="77"/>
      <c r="T50" s="77"/>
      <c r="U50" s="77"/>
      <c r="V50" s="77"/>
      <c r="W50" s="77"/>
      <c r="X50" s="77"/>
    </row>
    <row r="51" spans="1:24" ht="21" thickBot="1">
      <c r="A51" s="779"/>
      <c r="B51" s="700" t="s">
        <v>19</v>
      </c>
      <c r="C51" s="402" t="s">
        <v>20</v>
      </c>
      <c r="D51" s="402"/>
      <c r="E51" s="402"/>
      <c r="F51" s="402"/>
      <c r="G51" s="403"/>
      <c r="H51"/>
      <c r="I51"/>
      <c r="J51"/>
      <c r="K51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</row>
    <row r="52" spans="1:24" ht="16.5" thickBot="1">
      <c r="A52" s="351"/>
      <c r="B52" s="701" t="s">
        <v>21</v>
      </c>
      <c r="C52" s="402" t="s">
        <v>22</v>
      </c>
      <c r="D52" s="402"/>
      <c r="E52" s="702"/>
      <c r="F52" s="402" t="s">
        <v>23</v>
      </c>
      <c r="G52" s="403"/>
      <c r="H52"/>
      <c r="I52"/>
      <c r="J52"/>
      <c r="K52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</row>
    <row r="53" spans="1:24" ht="15.75">
      <c r="A53" s="703"/>
      <c r="B53" s="704" t="s">
        <v>24</v>
      </c>
      <c r="C53" s="704" t="s">
        <v>25</v>
      </c>
      <c r="D53" s="704" t="s">
        <v>26</v>
      </c>
      <c r="E53" s="704"/>
      <c r="F53" s="704" t="s">
        <v>25</v>
      </c>
      <c r="G53" s="778" t="s">
        <v>27</v>
      </c>
      <c r="H53"/>
      <c r="I53"/>
      <c r="J53"/>
      <c r="K53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</row>
    <row r="54" spans="1:24" ht="15.75">
      <c r="A54" s="780" t="s">
        <v>391</v>
      </c>
      <c r="B54" s="781">
        <f ca="1">IRR!D62</f>
        <v>0.13196115254562835</v>
      </c>
      <c r="C54" s="782">
        <f ca="1">MIN(IRR!G28:L28)</f>
        <v>1.2371897936990499</v>
      </c>
      <c r="D54" s="782">
        <f ca="1">AVERAGE(IRR!G28:L28)</f>
        <v>1.2850778033623753</v>
      </c>
      <c r="E54" s="782"/>
      <c r="F54" s="782">
        <f>MIN(IRR!N28:AS28)</f>
        <v>2.099798051581875</v>
      </c>
      <c r="G54" s="783">
        <f>AVERAGE(IRR!M28:AS28)</f>
        <v>2.9577092904493831</v>
      </c>
      <c r="H54" t="s">
        <v>435</v>
      </c>
      <c r="I54"/>
      <c r="J54"/>
      <c r="K54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</row>
    <row r="55" spans="1:24" ht="16.5" thickBot="1">
      <c r="A55" s="784" t="s">
        <v>392</v>
      </c>
      <c r="B55" s="785">
        <f ca="1">CF!D79</f>
        <v>0.13618937635681183</v>
      </c>
      <c r="C55" s="786">
        <f ca="1">Debt!E119</f>
        <v>1.2973496787206888</v>
      </c>
      <c r="D55" s="786">
        <f ca="1">Debt!E118</f>
        <v>1.4022581715863047</v>
      </c>
      <c r="E55" s="786"/>
      <c r="F55" s="786">
        <f>Debt!J119</f>
        <v>2.2470859462830464</v>
      </c>
      <c r="G55" s="787">
        <f>Debt!J118</f>
        <v>2.9248253795339072</v>
      </c>
      <c r="H55"/>
      <c r="I55"/>
      <c r="J55"/>
      <c r="K55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</row>
    <row r="56" spans="1:24" ht="15.75">
      <c r="A56"/>
      <c r="B56"/>
      <c r="C56"/>
      <c r="D56"/>
      <c r="E56"/>
      <c r="F56"/>
      <c r="G56"/>
      <c r="H56"/>
      <c r="I56"/>
      <c r="J56"/>
      <c r="K56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</row>
    <row r="57" spans="1:24" ht="16.5" thickBot="1">
      <c r="A57"/>
      <c r="B57"/>
      <c r="C57"/>
      <c r="D57"/>
      <c r="E57"/>
      <c r="F57"/>
      <c r="G57"/>
      <c r="H57"/>
      <c r="I57"/>
      <c r="J57"/>
      <c r="K5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</row>
    <row r="58" spans="1:24" ht="15.75">
      <c r="A58" s="828" t="s">
        <v>502</v>
      </c>
      <c r="B58" s="829">
        <v>0.13232949332415878</v>
      </c>
      <c r="C58" s="830">
        <v>1.2464012319935738</v>
      </c>
      <c r="D58" s="830">
        <v>1.2940561939339235</v>
      </c>
      <c r="E58" s="830"/>
      <c r="F58" s="830">
        <v>2.0646021559674326</v>
      </c>
      <c r="G58" s="831">
        <v>2.879205848230455</v>
      </c>
      <c r="H58"/>
      <c r="I58"/>
      <c r="J58"/>
      <c r="K58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</row>
    <row r="59" spans="1:24" ht="16.5" thickBot="1">
      <c r="A59" s="832" t="s">
        <v>503</v>
      </c>
      <c r="B59" s="833">
        <v>0.13658368101242421</v>
      </c>
      <c r="C59" s="834">
        <v>1.3030656768255426</v>
      </c>
      <c r="D59" s="834">
        <v>1.4068446844101548</v>
      </c>
      <c r="E59" s="834"/>
      <c r="F59" s="834">
        <v>2.2181412002507113</v>
      </c>
      <c r="G59" s="835">
        <v>2.8956388153297334</v>
      </c>
      <c r="H59"/>
      <c r="I59"/>
      <c r="J59"/>
      <c r="K59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</row>
    <row r="60" spans="1:24" ht="15.75">
      <c r="A60" s="828" t="s">
        <v>500</v>
      </c>
      <c r="B60" s="829">
        <v>0.13232949332415878</v>
      </c>
      <c r="C60" s="830">
        <v>1.2464012319935738</v>
      </c>
      <c r="D60" s="830">
        <v>1.2940561939339235</v>
      </c>
      <c r="E60" s="830"/>
      <c r="F60" s="830">
        <v>2.0646021559674326</v>
      </c>
      <c r="G60" s="831">
        <v>2.879205848230455</v>
      </c>
      <c r="H60"/>
      <c r="I60"/>
      <c r="J60"/>
      <c r="K60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</row>
    <row r="61" spans="1:24" ht="15.75">
      <c r="A61" s="832" t="s">
        <v>501</v>
      </c>
      <c r="B61" s="833">
        <v>0.13658368101242421</v>
      </c>
      <c r="C61" s="834">
        <v>1.3030656768255426</v>
      </c>
      <c r="D61" s="834">
        <v>1.4068446844101548</v>
      </c>
      <c r="E61" s="834"/>
      <c r="F61" s="834">
        <v>2.2181412002507113</v>
      </c>
      <c r="G61" s="835">
        <v>2.8956388153297334</v>
      </c>
      <c r="H61"/>
      <c r="I61"/>
      <c r="J61"/>
      <c r="K61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</row>
    <row r="62" spans="1:24" ht="15.75">
      <c r="A62" s="374" t="s">
        <v>499</v>
      </c>
      <c r="B62" s="818">
        <v>0.13245818061860221</v>
      </c>
      <c r="C62" s="819">
        <v>1.2604588169864372</v>
      </c>
      <c r="D62" s="819">
        <v>1.2963852744765421</v>
      </c>
      <c r="E62" s="819"/>
      <c r="F62" s="819">
        <v>2.0646021559674326</v>
      </c>
      <c r="G62" s="823">
        <v>2.879205848230455</v>
      </c>
      <c r="H62"/>
      <c r="I62"/>
      <c r="J62"/>
      <c r="K62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</row>
    <row r="63" spans="1:24" ht="15.75">
      <c r="A63" s="832" t="s">
        <v>498</v>
      </c>
      <c r="B63" s="833">
        <v>0.13671974613346927</v>
      </c>
      <c r="C63" s="834">
        <v>1.3030656768255426</v>
      </c>
      <c r="D63" s="834">
        <v>1.4120075801446399</v>
      </c>
      <c r="E63" s="834"/>
      <c r="F63" s="834">
        <v>2.2181412002507113</v>
      </c>
      <c r="G63" s="835">
        <v>2.8956388153297334</v>
      </c>
      <c r="H63"/>
      <c r="I63"/>
      <c r="J63"/>
      <c r="K63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</row>
    <row r="64" spans="1:24" ht="15.75">
      <c r="A64" s="374" t="s">
        <v>477</v>
      </c>
      <c r="B64" s="818">
        <v>0.13202457872933371</v>
      </c>
      <c r="C64" s="819">
        <v>1.2355094427879594</v>
      </c>
      <c r="D64" s="819">
        <v>1.2859543564625955</v>
      </c>
      <c r="E64" s="819"/>
      <c r="F64" s="819">
        <v>2.0646021559674326</v>
      </c>
      <c r="G64" s="823">
        <v>2.879205848230455</v>
      </c>
      <c r="H64"/>
      <c r="I64"/>
      <c r="J64"/>
      <c r="K64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</row>
    <row r="65" spans="1:24" ht="15.75">
      <c r="A65" s="832" t="s">
        <v>478</v>
      </c>
      <c r="B65" s="833">
        <v>0.13631015414192557</v>
      </c>
      <c r="C65" s="834">
        <v>1.3030656768255426</v>
      </c>
      <c r="D65" s="834">
        <v>1.3974104787325905</v>
      </c>
      <c r="E65" s="834"/>
      <c r="F65" s="834">
        <v>2.2181412002507113</v>
      </c>
      <c r="G65" s="835">
        <v>2.8956388153297334</v>
      </c>
      <c r="H65"/>
      <c r="I65"/>
      <c r="J65"/>
      <c r="K65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</row>
    <row r="66" spans="1:24" ht="15.75">
      <c r="A66" s="374" t="s">
        <v>474</v>
      </c>
      <c r="B66" s="818">
        <v>0.13172310914753629</v>
      </c>
      <c r="C66" s="819">
        <v>1.2564373055539411</v>
      </c>
      <c r="D66" s="819">
        <v>1.3069745790147984</v>
      </c>
      <c r="E66" s="819"/>
      <c r="F66" s="819">
        <v>2.0898101959177295</v>
      </c>
      <c r="G66" s="823">
        <v>3.0270584056528631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</row>
    <row r="67" spans="1:24" ht="15.75">
      <c r="A67" s="832" t="s">
        <v>475</v>
      </c>
      <c r="B67" s="833">
        <v>0.13565564507056163</v>
      </c>
      <c r="C67" s="834">
        <v>1.3139651606936185</v>
      </c>
      <c r="D67" s="834">
        <v>1.4133574415843657</v>
      </c>
      <c r="E67" s="834"/>
      <c r="F67" s="834">
        <v>2.2464547718006811</v>
      </c>
      <c r="G67" s="835">
        <v>3.04071161670009</v>
      </c>
      <c r="H67"/>
      <c r="I67"/>
      <c r="J67"/>
      <c r="K6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</row>
    <row r="68" spans="1:24" ht="15.75">
      <c r="A68" s="374" t="s">
        <v>456</v>
      </c>
      <c r="B68" s="818">
        <v>0.1358401985589599</v>
      </c>
      <c r="C68" s="819">
        <v>1.2408758731339176</v>
      </c>
      <c r="D68" s="819">
        <v>1.2990966125251393</v>
      </c>
      <c r="E68" s="819"/>
      <c r="F68" s="819">
        <v>2.3762787433197117</v>
      </c>
      <c r="G68" s="823">
        <v>3.2749394314718843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</row>
    <row r="69" spans="1:24" ht="15.75">
      <c r="A69" s="832" t="s">
        <v>457</v>
      </c>
      <c r="B69" s="833">
        <v>0.13959337757556034</v>
      </c>
      <c r="C69" s="834">
        <v>1.3103479729468777</v>
      </c>
      <c r="D69" s="834">
        <v>1.4049517624149868</v>
      </c>
      <c r="E69" s="834"/>
      <c r="F69" s="834">
        <v>2.4457218877997122</v>
      </c>
      <c r="G69" s="835">
        <v>3.2924967504666354</v>
      </c>
      <c r="H69"/>
      <c r="I69"/>
      <c r="J69"/>
      <c r="K69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</row>
    <row r="70" spans="1:24" ht="15.75">
      <c r="A70" s="374" t="s">
        <v>458</v>
      </c>
      <c r="B70" s="818">
        <v>0.1358401985589599</v>
      </c>
      <c r="C70" s="819">
        <v>1.2408758731339176</v>
      </c>
      <c r="D70" s="819">
        <v>1.2990966125251393</v>
      </c>
      <c r="E70" s="819"/>
      <c r="F70" s="819">
        <v>2.3762787433197117</v>
      </c>
      <c r="G70" s="823">
        <v>3.2749394314718843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</row>
    <row r="71" spans="1:24" ht="15.75">
      <c r="A71" s="832" t="s">
        <v>459</v>
      </c>
      <c r="B71" s="833">
        <v>0.13959337757556034</v>
      </c>
      <c r="C71" s="834">
        <v>1.3103479729468777</v>
      </c>
      <c r="D71" s="834">
        <v>1.4049517624149868</v>
      </c>
      <c r="E71" s="834"/>
      <c r="F71" s="834">
        <v>2.4457218877997122</v>
      </c>
      <c r="G71" s="835">
        <v>3.2924967504666354</v>
      </c>
      <c r="H71"/>
      <c r="I71"/>
      <c r="J71"/>
      <c r="K71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</row>
    <row r="72" spans="1:24" ht="15.75">
      <c r="A72" s="374" t="s">
        <v>460</v>
      </c>
      <c r="B72" s="818">
        <v>0.13588105838289588</v>
      </c>
      <c r="C72" s="819">
        <v>1.2066232860126855</v>
      </c>
      <c r="D72" s="819">
        <v>1.3051027533445734</v>
      </c>
      <c r="E72" s="819"/>
      <c r="F72" s="819">
        <v>2.3762787433197117</v>
      </c>
      <c r="G72" s="823">
        <v>3.2749394314718843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</row>
    <row r="73" spans="1:24" ht="15.75">
      <c r="A73" s="832" t="s">
        <v>461</v>
      </c>
      <c r="B73" s="833">
        <v>0.13952908248092571</v>
      </c>
      <c r="C73" s="834">
        <v>1.3103479729468777</v>
      </c>
      <c r="D73" s="834">
        <v>1.4049671684619625</v>
      </c>
      <c r="E73" s="834"/>
      <c r="F73" s="834">
        <v>2.4457218877997122</v>
      </c>
      <c r="G73" s="835">
        <v>3.2924967504666354</v>
      </c>
      <c r="H73"/>
      <c r="I73"/>
      <c r="J73"/>
      <c r="K73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</row>
    <row r="74" spans="1:24" ht="15.75">
      <c r="A74" s="374" t="s">
        <v>462</v>
      </c>
      <c r="B74" s="818">
        <v>0.13588105838289588</v>
      </c>
      <c r="C74" s="819">
        <v>1.2066232860126855</v>
      </c>
      <c r="D74" s="819">
        <v>1.3051027533445734</v>
      </c>
      <c r="E74" s="819"/>
      <c r="F74" s="819">
        <v>2.3762787433197117</v>
      </c>
      <c r="G74" s="823">
        <v>3.2749394314718843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 spans="1:24" ht="15.75">
      <c r="A75" s="832" t="s">
        <v>463</v>
      </c>
      <c r="B75" s="833">
        <v>0.13952908248092571</v>
      </c>
      <c r="C75" s="834">
        <v>1.3103479729468777</v>
      </c>
      <c r="D75" s="834">
        <v>1.4049671684619625</v>
      </c>
      <c r="E75" s="834"/>
      <c r="F75" s="834">
        <v>2.4457218877997122</v>
      </c>
      <c r="G75" s="835">
        <v>3.2924967504666354</v>
      </c>
      <c r="H75"/>
      <c r="I75"/>
      <c r="J75"/>
      <c r="K75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 spans="1:24" ht="15.75">
      <c r="A76" s="374" t="s">
        <v>464</v>
      </c>
      <c r="B76" s="818">
        <v>0.13557171233344545</v>
      </c>
      <c r="C76" s="819">
        <v>1.2066232860126855</v>
      </c>
      <c r="D76" s="819">
        <v>1.290999192481938</v>
      </c>
      <c r="E76" s="819"/>
      <c r="F76" s="819">
        <v>2.3762787433197117</v>
      </c>
      <c r="G76" s="823">
        <v>3.2749394314718843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spans="1:24" ht="15.75">
      <c r="A77" s="832" t="s">
        <v>465</v>
      </c>
      <c r="B77" s="833">
        <v>0.13921819840994332</v>
      </c>
      <c r="C77" s="834">
        <v>1.3103479729468777</v>
      </c>
      <c r="D77" s="834">
        <v>1.3756839481122871</v>
      </c>
      <c r="E77" s="834"/>
      <c r="F77" s="834">
        <v>2.4457218877997122</v>
      </c>
      <c r="G77" s="835">
        <v>3.2924967504666354</v>
      </c>
      <c r="H77"/>
      <c r="I77"/>
      <c r="J77"/>
      <c r="K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 spans="1:24" ht="15.75">
      <c r="A78" s="374" t="s">
        <v>466</v>
      </c>
      <c r="B78" s="818">
        <v>0.13649251718594679</v>
      </c>
      <c r="C78" s="819">
        <v>1.2964365643742406</v>
      </c>
      <c r="D78" s="819">
        <v>1.315534341940817</v>
      </c>
      <c r="E78" s="819"/>
      <c r="F78" s="819">
        <v>2.3779294242516782</v>
      </c>
      <c r="G78" s="823">
        <v>3.2750369515279867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 spans="1:24" ht="15.75">
      <c r="A79" s="832" t="s">
        <v>467</v>
      </c>
      <c r="B79" s="833">
        <v>0.14021136670450371</v>
      </c>
      <c r="C79" s="834">
        <v>1.3103479729468777</v>
      </c>
      <c r="D79" s="834">
        <v>1.4094078137478216</v>
      </c>
      <c r="E79" s="834"/>
      <c r="F79" s="834">
        <v>2.4457218877997122</v>
      </c>
      <c r="G79" s="835">
        <v>3.2926802113779221</v>
      </c>
      <c r="H79"/>
      <c r="I79"/>
      <c r="J79"/>
      <c r="K79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</row>
    <row r="80" spans="1:24" ht="15.75">
      <c r="A80" s="374" t="s">
        <v>468</v>
      </c>
      <c r="B80" s="818">
        <v>0.1380915824532484</v>
      </c>
      <c r="C80" s="819">
        <v>1.2964365643742406</v>
      </c>
      <c r="D80" s="819">
        <v>1.315534341940817</v>
      </c>
      <c r="E80" s="819"/>
      <c r="F80" s="819">
        <v>2.3779294242516782</v>
      </c>
      <c r="G80" s="823">
        <v>3.2750369515279867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</row>
    <row r="81" spans="1:24" ht="15.75">
      <c r="A81" s="832" t="s">
        <v>469</v>
      </c>
      <c r="B81" s="833">
        <v>0.14186438220787509</v>
      </c>
      <c r="C81" s="834">
        <v>1.3103479729468777</v>
      </c>
      <c r="D81" s="834">
        <v>1.4094078137478216</v>
      </c>
      <c r="E81" s="834"/>
      <c r="F81" s="834">
        <v>2.4457218877997122</v>
      </c>
      <c r="G81" s="835">
        <v>3.2926802113779221</v>
      </c>
      <c r="H81"/>
      <c r="I81"/>
      <c r="J81"/>
      <c r="K81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 spans="1:24" ht="15.75">
      <c r="A82" s="374" t="s">
        <v>468</v>
      </c>
      <c r="B82" s="818">
        <v>0.13931259833881371</v>
      </c>
      <c r="C82" s="819">
        <v>1.2964365643742406</v>
      </c>
      <c r="D82" s="819">
        <v>1.315534341940817</v>
      </c>
      <c r="E82" s="819"/>
      <c r="F82" s="819">
        <v>2.3779294242516782</v>
      </c>
      <c r="G82" s="823">
        <v>3.2750369515279867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spans="1:24" ht="15.75">
      <c r="A83" s="832" t="s">
        <v>469</v>
      </c>
      <c r="B83" s="833">
        <v>0.14315266005846064</v>
      </c>
      <c r="C83" s="834">
        <v>1.3103479729468777</v>
      </c>
      <c r="D83" s="834">
        <v>1.4094050509407221</v>
      </c>
      <c r="E83" s="834"/>
      <c r="F83" s="834">
        <v>2.4457218877997122</v>
      </c>
      <c r="G83" s="835">
        <v>3.2926802113779221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</row>
    <row r="84" spans="1:24" ht="15.75">
      <c r="A84" s="374" t="s">
        <v>470</v>
      </c>
      <c r="B84" s="818">
        <v>0.13808883531402558</v>
      </c>
      <c r="C84" s="819">
        <v>1.2964365643742406</v>
      </c>
      <c r="D84" s="819">
        <v>1.315534341940817</v>
      </c>
      <c r="E84" s="819"/>
      <c r="F84" s="819">
        <v>2.3779294242516782</v>
      </c>
      <c r="G84" s="823">
        <v>3.2750369515279867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</row>
    <row r="85" spans="1:24" ht="15.75">
      <c r="A85" s="832" t="s">
        <v>471</v>
      </c>
      <c r="B85" s="833">
        <v>0.14265785385203072</v>
      </c>
      <c r="C85" s="834">
        <v>1.3103479729468777</v>
      </c>
      <c r="D85" s="834">
        <v>1.3705886404293264</v>
      </c>
      <c r="E85" s="834"/>
      <c r="F85" s="834">
        <v>2.4457218877997122</v>
      </c>
      <c r="G85" s="835">
        <v>3.2926802113779221</v>
      </c>
      <c r="H85"/>
      <c r="I85"/>
      <c r="J85"/>
      <c r="K85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</row>
    <row r="86" spans="1:24" ht="15.75">
      <c r="A86" s="374" t="s">
        <v>436</v>
      </c>
      <c r="B86" s="818">
        <v>0.15000614543248042</v>
      </c>
      <c r="C86" s="819">
        <v>1.3013742908713872</v>
      </c>
      <c r="D86" s="819">
        <v>1.3211505025583208</v>
      </c>
      <c r="E86" s="819"/>
      <c r="F86" s="819">
        <v>2.0856063448674056</v>
      </c>
      <c r="G86" s="823">
        <v>3.0143537817339134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</row>
    <row r="87" spans="1:24" ht="15.75">
      <c r="A87" s="832" t="s">
        <v>437</v>
      </c>
      <c r="B87" s="833">
        <v>0.15560593250255927</v>
      </c>
      <c r="C87" s="834">
        <v>1.3139652878569008</v>
      </c>
      <c r="D87" s="834">
        <v>1.4129946771719293</v>
      </c>
      <c r="E87" s="834"/>
      <c r="F87" s="834">
        <v>2.2380813987846491</v>
      </c>
      <c r="G87" s="835">
        <v>3.0278710374689375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</row>
    <row r="88" spans="1:24" ht="15.75">
      <c r="A88" s="374" t="s">
        <v>438</v>
      </c>
      <c r="B88" s="818">
        <v>0.15000614543248042</v>
      </c>
      <c r="C88" s="819">
        <v>1.3013742908713872</v>
      </c>
      <c r="D88" s="819">
        <v>1.3211505025583208</v>
      </c>
      <c r="E88" s="819"/>
      <c r="F88" s="819">
        <v>2.0856063448674056</v>
      </c>
      <c r="G88" s="823">
        <v>3.0143537817339134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</row>
    <row r="89" spans="1:24" ht="15.75">
      <c r="A89" s="832" t="s">
        <v>439</v>
      </c>
      <c r="B89" s="833">
        <v>0.15560593250255927</v>
      </c>
      <c r="C89" s="834">
        <v>1.3139652878569008</v>
      </c>
      <c r="D89" s="834">
        <v>1.4129946771719293</v>
      </c>
      <c r="E89" s="834"/>
      <c r="F89" s="834">
        <v>2.2380813987846491</v>
      </c>
      <c r="G89" s="835">
        <v>3.0278710374689375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</row>
    <row r="90" spans="1:24" ht="15.75">
      <c r="A90" s="374" t="s">
        <v>440</v>
      </c>
      <c r="B90" s="818">
        <v>0.14910522103309634</v>
      </c>
      <c r="C90" s="819">
        <v>1.3035793610927031</v>
      </c>
      <c r="D90" s="819">
        <v>1.32177295735958</v>
      </c>
      <c r="E90" s="819"/>
      <c r="F90" s="819">
        <v>1.6457832962002885</v>
      </c>
      <c r="G90" s="823">
        <v>3.0165813336823395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 spans="1:24" ht="15.75">
      <c r="A91" s="832" t="s">
        <v>441</v>
      </c>
      <c r="B91" s="833">
        <v>0.15503206777888431</v>
      </c>
      <c r="C91" s="834">
        <v>1.313955822521935</v>
      </c>
      <c r="D91" s="834">
        <v>1.4138102288130121</v>
      </c>
      <c r="E91" s="834"/>
      <c r="F91" s="834">
        <v>2.2397275688954119</v>
      </c>
      <c r="G91" s="835">
        <v>3.0300917386349284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</row>
    <row r="92" spans="1:24" ht="15.75">
      <c r="A92" s="374" t="s">
        <v>438</v>
      </c>
      <c r="B92" s="818">
        <v>0.14997929930686948</v>
      </c>
      <c r="C92" s="819">
        <v>1.3035793610927031</v>
      </c>
      <c r="D92" s="819">
        <v>1.3219475877019287</v>
      </c>
      <c r="E92" s="819"/>
      <c r="F92" s="819">
        <v>1.6519270838611071</v>
      </c>
      <c r="G92" s="823">
        <v>3.0332638301105139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</row>
    <row r="93" spans="1:24" ht="15.75">
      <c r="A93" s="832" t="s">
        <v>439</v>
      </c>
      <c r="B93" s="833">
        <v>0.15590038692461874</v>
      </c>
      <c r="C93" s="834">
        <v>1.313955822521935</v>
      </c>
      <c r="D93" s="834">
        <v>1.4138102288130121</v>
      </c>
      <c r="E93" s="834"/>
      <c r="F93" s="834">
        <v>2.2506140871316425</v>
      </c>
      <c r="G93" s="835">
        <v>3.0470003845735416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</row>
    <row r="94" spans="1:24" ht="15.75">
      <c r="A94" s="374" t="s">
        <v>442</v>
      </c>
      <c r="B94" s="818">
        <v>0.15011939406394958</v>
      </c>
      <c r="C94" s="819">
        <v>1.3026170313223251</v>
      </c>
      <c r="D94" s="819">
        <v>1.3209676666967838</v>
      </c>
      <c r="E94" s="819"/>
      <c r="F94" s="819">
        <v>1.6486843515559371</v>
      </c>
      <c r="G94" s="823">
        <v>3.0320682199852422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</row>
    <row r="95" spans="1:24" ht="15.75">
      <c r="A95" s="832" t="s">
        <v>443</v>
      </c>
      <c r="B95" s="833">
        <v>0.15605261270428328</v>
      </c>
      <c r="C95" s="834">
        <v>1.3129833097718511</v>
      </c>
      <c r="D95" s="834">
        <v>1.4132362141497141</v>
      </c>
      <c r="E95" s="834"/>
      <c r="F95" s="834">
        <v>2.2466184934586315</v>
      </c>
      <c r="G95" s="835">
        <v>3.0454523067718342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</row>
    <row r="96" spans="1:24" ht="15.75">
      <c r="A96" s="374" t="s">
        <v>444</v>
      </c>
      <c r="B96" s="818">
        <v>0.15010430216789244</v>
      </c>
      <c r="C96" s="819">
        <v>1.3035793610927031</v>
      </c>
      <c r="D96" s="819">
        <v>1.3219475877019287</v>
      </c>
      <c r="E96" s="819"/>
      <c r="F96" s="819">
        <v>1.6519270838611071</v>
      </c>
      <c r="G96" s="823">
        <v>3.0336142918199336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</row>
    <row r="97" spans="1:24" ht="15.75">
      <c r="A97" s="832" t="s">
        <v>445</v>
      </c>
      <c r="B97" s="833">
        <v>0.1560621108878156</v>
      </c>
      <c r="C97" s="834">
        <v>1.313955822521935</v>
      </c>
      <c r="D97" s="834">
        <v>1.4138102288130121</v>
      </c>
      <c r="E97" s="834"/>
      <c r="F97" s="834">
        <v>2.2506140871316425</v>
      </c>
      <c r="G97" s="835">
        <v>3.0471410915520503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</row>
    <row r="98" spans="1:24" ht="15.75">
      <c r="A98" s="374" t="s">
        <v>446</v>
      </c>
      <c r="B98" s="818">
        <v>0.14999396204948429</v>
      </c>
      <c r="C98" s="819">
        <v>1.3026170313223251</v>
      </c>
      <c r="D98" s="819">
        <v>1.3209676666967838</v>
      </c>
      <c r="E98" s="819"/>
      <c r="F98" s="819">
        <v>1.6486843515559371</v>
      </c>
      <c r="G98" s="823">
        <v>3.0320682199852422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</row>
    <row r="99" spans="1:24" ht="15.75">
      <c r="A99" s="832" t="s">
        <v>447</v>
      </c>
      <c r="B99" s="833">
        <v>0.15595171030730834</v>
      </c>
      <c r="C99" s="834">
        <v>1.3129833097718511</v>
      </c>
      <c r="D99" s="834">
        <v>1.4132362141497141</v>
      </c>
      <c r="E99" s="834"/>
      <c r="F99" s="834">
        <v>2.2466184934586315</v>
      </c>
      <c r="G99" s="835">
        <v>3.0454523067718342</v>
      </c>
    </row>
    <row r="100" spans="1:24" ht="15.75">
      <c r="A100" s="374" t="s">
        <v>448</v>
      </c>
      <c r="B100" s="818">
        <v>0.13296330571174619</v>
      </c>
      <c r="C100" s="819">
        <v>1.3026170313223251</v>
      </c>
      <c r="D100" s="819">
        <v>1.3209676666967838</v>
      </c>
      <c r="E100" s="819"/>
      <c r="F100" s="819">
        <v>1.6486843515559371</v>
      </c>
      <c r="G100" s="823">
        <v>3.0320682199852422</v>
      </c>
    </row>
    <row r="101" spans="1:24" ht="15.75">
      <c r="A101" s="832" t="s">
        <v>449</v>
      </c>
      <c r="B101" s="833">
        <v>0.13755844843471984</v>
      </c>
      <c r="C101" s="834">
        <v>1.3129833097718511</v>
      </c>
      <c r="D101" s="834">
        <v>1.4128139224644107</v>
      </c>
      <c r="E101" s="834"/>
      <c r="F101" s="834">
        <v>2.2466184934586315</v>
      </c>
      <c r="G101" s="835">
        <v>3.0454523067718342</v>
      </c>
    </row>
    <row r="102" spans="1:24" ht="15.75">
      <c r="A102" s="374" t="s">
        <v>450</v>
      </c>
      <c r="B102" s="818">
        <v>0.12010421156883239</v>
      </c>
      <c r="C102" s="819">
        <v>1.3026170313223251</v>
      </c>
      <c r="D102" s="819">
        <v>1.3209676666967838</v>
      </c>
      <c r="E102" s="819"/>
      <c r="F102" s="819">
        <v>1.6486843515559371</v>
      </c>
      <c r="G102" s="823">
        <v>3.0282696007601864</v>
      </c>
    </row>
    <row r="103" spans="1:24" ht="15.75">
      <c r="A103" s="832" t="s">
        <v>451</v>
      </c>
      <c r="B103" s="833">
        <v>0.12378846450907924</v>
      </c>
      <c r="C103" s="834">
        <v>1.3129833097718511</v>
      </c>
      <c r="D103" s="834">
        <v>1.4132362141497141</v>
      </c>
      <c r="E103" s="834"/>
      <c r="F103" s="834">
        <v>2.2555467041185837</v>
      </c>
      <c r="G103" s="835">
        <v>3.0417696799233509</v>
      </c>
    </row>
    <row r="104" spans="1:24" ht="15.75">
      <c r="A104" s="374" t="s">
        <v>452</v>
      </c>
      <c r="B104" s="818">
        <v>0.11967359185218809</v>
      </c>
      <c r="C104" s="819">
        <v>1.3001239852553375</v>
      </c>
      <c r="D104" s="819">
        <v>1.3184290868457718</v>
      </c>
      <c r="E104" s="819"/>
      <c r="F104" s="819">
        <v>1.6403206024993324</v>
      </c>
      <c r="G104" s="823">
        <v>3.0286928501713359</v>
      </c>
    </row>
    <row r="105" spans="1:24" ht="15.75">
      <c r="A105" s="832" t="s">
        <v>453</v>
      </c>
      <c r="B105" s="833">
        <v>0.12340413431380218</v>
      </c>
      <c r="C105" s="834">
        <v>1.0624099072566211</v>
      </c>
      <c r="D105" s="834">
        <v>1.3232704114755061</v>
      </c>
      <c r="E105" s="834"/>
      <c r="F105" s="834">
        <v>2.2492014423104889</v>
      </c>
      <c r="G105" s="835">
        <v>3.0911957537522077</v>
      </c>
    </row>
    <row r="106" spans="1:24" ht="15.75">
      <c r="A106" s="374" t="s">
        <v>454</v>
      </c>
      <c r="B106" s="818">
        <v>0.12080112099647519</v>
      </c>
      <c r="C106" s="819">
        <v>1.3001239852553375</v>
      </c>
      <c r="D106" s="819">
        <v>1.3184290868457718</v>
      </c>
      <c r="E106" s="819"/>
      <c r="F106" s="819">
        <v>1.6403206024993324</v>
      </c>
      <c r="G106" s="823">
        <v>3.0286928501713359</v>
      </c>
    </row>
    <row r="107" spans="1:24" ht="16.5" thickBot="1">
      <c r="A107" s="378" t="s">
        <v>455</v>
      </c>
      <c r="B107" s="820">
        <v>0.12454309829586768</v>
      </c>
      <c r="C107" s="821">
        <v>1.0624099072566211</v>
      </c>
      <c r="D107" s="821">
        <v>1.3232704114755061</v>
      </c>
      <c r="E107" s="821"/>
      <c r="F107" s="821">
        <v>2.2492014423104889</v>
      </c>
      <c r="G107" s="822">
        <v>3.0911957537522077</v>
      </c>
    </row>
    <row r="108" spans="1:24" ht="15.75">
      <c r="A108" s="374" t="s">
        <v>496</v>
      </c>
      <c r="B108" s="781"/>
      <c r="C108" s="782"/>
      <c r="D108" s="782"/>
      <c r="E108" s="782"/>
      <c r="F108" s="782"/>
      <c r="G108" s="783"/>
    </row>
    <row r="109" spans="1:24" ht="15.75">
      <c r="A109" s="374" t="s">
        <v>495</v>
      </c>
      <c r="B109" s="781"/>
      <c r="C109" s="782"/>
      <c r="D109" s="782"/>
      <c r="E109" s="782"/>
      <c r="F109" s="782"/>
      <c r="G109" s="783"/>
    </row>
    <row r="110" spans="1:24" ht="15.75">
      <c r="A110" s="374" t="s">
        <v>494</v>
      </c>
      <c r="B110" s="781"/>
      <c r="C110" s="782"/>
      <c r="D110" s="782"/>
      <c r="E110" s="782"/>
      <c r="F110" s="782"/>
      <c r="G110" s="783"/>
    </row>
    <row r="111" spans="1:24" ht="15.75">
      <c r="A111" s="374" t="s">
        <v>493</v>
      </c>
      <c r="B111" s="8"/>
      <c r="C111" s="8"/>
      <c r="D111" s="8"/>
      <c r="E111" s="8"/>
      <c r="F111" s="8"/>
      <c r="G111" s="827"/>
    </row>
    <row r="112" spans="1:24" ht="15.75">
      <c r="A112" s="374" t="s">
        <v>492</v>
      </c>
      <c r="B112" s="818"/>
      <c r="C112" s="819"/>
      <c r="D112" s="8"/>
      <c r="E112" s="8"/>
      <c r="F112" s="8"/>
      <c r="G112" s="827"/>
    </row>
    <row r="113" spans="1:7" ht="15.75">
      <c r="A113" s="374" t="s">
        <v>491</v>
      </c>
      <c r="B113" s="818">
        <v>0.15854821955842494</v>
      </c>
      <c r="C113" s="819">
        <v>1.0359644567258741</v>
      </c>
      <c r="D113" s="819">
        <v>1.3199310407782459</v>
      </c>
      <c r="E113" s="819"/>
      <c r="F113" s="819">
        <v>2.4752807799428456</v>
      </c>
      <c r="G113" s="823">
        <v>3.3972814377272433</v>
      </c>
    </row>
    <row r="114" spans="1:7" ht="15.75">
      <c r="A114" s="374" t="s">
        <v>490</v>
      </c>
      <c r="B114" s="818">
        <v>0.13281783747181047</v>
      </c>
      <c r="C114" s="819">
        <v>1.2512551354112831</v>
      </c>
      <c r="D114" s="819">
        <v>1.3071131768290567</v>
      </c>
      <c r="E114" s="819"/>
      <c r="F114" s="819">
        <v>2.4840358300266807</v>
      </c>
      <c r="G114" s="823">
        <v>3.4062056382963952</v>
      </c>
    </row>
    <row r="115" spans="1:7" ht="15.75">
      <c r="A115" s="374" t="s">
        <v>489</v>
      </c>
      <c r="B115" s="818">
        <v>0.13271820097398807</v>
      </c>
      <c r="C115" s="819">
        <v>1.2512551354112831</v>
      </c>
      <c r="D115" s="819">
        <v>1.3071131768290567</v>
      </c>
      <c r="E115" s="819"/>
      <c r="F115" s="819">
        <v>2.4840358300266807</v>
      </c>
      <c r="G115" s="823">
        <v>3.4062056382963952</v>
      </c>
    </row>
    <row r="116" spans="1:7" ht="15.75">
      <c r="A116" s="374" t="s">
        <v>488</v>
      </c>
      <c r="B116" s="818">
        <v>0.11886232572810111</v>
      </c>
      <c r="C116" s="819">
        <v>1.2512551354112831</v>
      </c>
      <c r="D116" s="819">
        <v>1.3070976640813092</v>
      </c>
      <c r="E116" s="819"/>
      <c r="F116" s="819">
        <v>2.2585036675025831</v>
      </c>
      <c r="G116" s="823">
        <v>3.093460520403911</v>
      </c>
    </row>
    <row r="117" spans="1:7" ht="15.75">
      <c r="A117" s="374" t="s">
        <v>487</v>
      </c>
      <c r="B117" s="818">
        <v>0.11866457696269304</v>
      </c>
      <c r="C117" s="819">
        <v>1.2452752440007659</v>
      </c>
      <c r="D117" s="819">
        <v>1.3026162466542652</v>
      </c>
      <c r="E117" s="819"/>
      <c r="F117" s="819">
        <v>2.2585036675025831</v>
      </c>
      <c r="G117" s="823">
        <v>3.093460520403911</v>
      </c>
    </row>
    <row r="118" spans="1:7" ht="15.75">
      <c r="A118" s="780" t="s">
        <v>486</v>
      </c>
      <c r="B118" s="781">
        <v>0.11766315018865459</v>
      </c>
      <c r="C118" s="782">
        <v>1.2452752440007659</v>
      </c>
      <c r="D118" s="782">
        <v>1.3026162466542652</v>
      </c>
      <c r="E118" s="782"/>
      <c r="F118" s="782">
        <v>2.2585036675025831</v>
      </c>
      <c r="G118" s="783">
        <v>3.093460520403911</v>
      </c>
    </row>
    <row r="119" spans="1:7" ht="15.75">
      <c r="A119" s="374" t="s">
        <v>482</v>
      </c>
      <c r="B119" s="824" t="s">
        <v>483</v>
      </c>
      <c r="C119" s="825"/>
      <c r="D119" s="8"/>
      <c r="E119" s="8"/>
      <c r="F119" s="8"/>
      <c r="G119" s="827"/>
    </row>
    <row r="120" spans="1:7" ht="15.75">
      <c r="A120" s="374" t="s">
        <v>484</v>
      </c>
      <c r="B120" s="824" t="s">
        <v>483</v>
      </c>
      <c r="C120" s="825"/>
      <c r="D120" s="8"/>
      <c r="E120" s="8"/>
      <c r="F120" s="8"/>
      <c r="G120" s="827"/>
    </row>
    <row r="121" spans="1:7" ht="15.75">
      <c r="A121" s="374" t="s">
        <v>485</v>
      </c>
      <c r="B121" s="824" t="s">
        <v>483</v>
      </c>
      <c r="C121" s="825"/>
      <c r="D121" s="8"/>
      <c r="E121" s="8"/>
      <c r="F121" s="8"/>
      <c r="G121" s="827"/>
    </row>
    <row r="122" spans="1:7" ht="15.75">
      <c r="A122" s="374" t="s">
        <v>481</v>
      </c>
      <c r="B122" s="818">
        <v>0.11767071101266176</v>
      </c>
      <c r="C122" s="8"/>
      <c r="D122" s="8"/>
      <c r="E122" s="8"/>
      <c r="F122" s="8"/>
      <c r="G122" s="827"/>
    </row>
    <row r="123" spans="1:7" ht="15.75">
      <c r="A123" s="374" t="s">
        <v>480</v>
      </c>
      <c r="B123" s="818">
        <v>0.11862345989811715</v>
      </c>
      <c r="C123" s="8"/>
      <c r="D123" s="8"/>
      <c r="E123" s="8"/>
      <c r="F123" s="8"/>
      <c r="G123" s="827"/>
    </row>
    <row r="124" spans="1:7" ht="15.75">
      <c r="A124" s="374" t="s">
        <v>479</v>
      </c>
      <c r="B124" s="818">
        <v>0.12191575624055002</v>
      </c>
      <c r="C124" s="825"/>
      <c r="D124" s="8"/>
      <c r="E124" s="8"/>
      <c r="F124" s="8"/>
      <c r="G124" s="827"/>
    </row>
    <row r="125" spans="1:7" ht="15.75">
      <c r="A125" s="826" t="s">
        <v>180</v>
      </c>
      <c r="B125" s="818">
        <v>0.121128456216045</v>
      </c>
      <c r="C125" s="825"/>
      <c r="D125" s="825"/>
      <c r="E125" s="825"/>
      <c r="F125" s="8"/>
      <c r="G125" s="827"/>
    </row>
    <row r="126" spans="1:7" ht="16.5" thickBot="1">
      <c r="A126" s="784" t="s">
        <v>497</v>
      </c>
      <c r="B126" s="785">
        <v>0.1208</v>
      </c>
      <c r="C126" s="786">
        <v>1.3026759788846314</v>
      </c>
      <c r="D126" s="786">
        <v>1.3105435755627599</v>
      </c>
      <c r="E126" s="786"/>
      <c r="F126" s="786">
        <v>2.2492014423104889</v>
      </c>
      <c r="G126" s="787">
        <v>3.0884057415922563</v>
      </c>
    </row>
  </sheetData>
  <pageMargins left="0.75" right="0.75" top="1" bottom="1" header="0.5" footer="0.5"/>
  <pageSetup scale="51" orientation="landscape" r:id="rId1"/>
  <headerFooter alignWithMargins="0">
    <oddHeader>&amp;A</oddHeader>
    <oddFooter>&amp;L&amp;T, &amp;D&amp;C&amp;F&amp;RPage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1</xdr:col>
                    <xdr:colOff>0</xdr:colOff>
                    <xdr:row>28</xdr:row>
                    <xdr:rowOff>47625</xdr:rowOff>
                  </from>
                  <to>
                    <xdr:col>1</xdr:col>
                    <xdr:colOff>1552575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Fill="0" autoLine="0" autoPict="0">
                <anchor moveWithCells="1">
                  <from>
                    <xdr:col>1</xdr:col>
                    <xdr:colOff>0</xdr:colOff>
                    <xdr:row>31</xdr:row>
                    <xdr:rowOff>9525</xdr:rowOff>
                  </from>
                  <to>
                    <xdr:col>1</xdr:col>
                    <xdr:colOff>1543050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Drop Down 6">
              <controlPr defaultSize="0" autoFill="0" autoLine="0" autoPict="0">
                <anchor moveWithCells="1">
                  <from>
                    <xdr:col>1</xdr:col>
                    <xdr:colOff>0</xdr:colOff>
                    <xdr:row>32</xdr:row>
                    <xdr:rowOff>190500</xdr:rowOff>
                  </from>
                  <to>
                    <xdr:col>1</xdr:col>
                    <xdr:colOff>1543050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Drop Down 7">
              <controlPr defaultSize="0" autoFill="0" autoLine="0" autoPict="0">
                <anchor moveWithCells="1">
                  <from>
                    <xdr:col>1</xdr:col>
                    <xdr:colOff>9525</xdr:colOff>
                    <xdr:row>34</xdr:row>
                    <xdr:rowOff>180975</xdr:rowOff>
                  </from>
                  <to>
                    <xdr:col>1</xdr:col>
                    <xdr:colOff>1543050</xdr:colOff>
                    <xdr:row>35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777"/>
  <sheetViews>
    <sheetView zoomScale="75" workbookViewId="0">
      <selection activeCell="I26" sqref="I26"/>
    </sheetView>
  </sheetViews>
  <sheetFormatPr defaultRowHeight="12.75" outlineLevelRow="1" outlineLevelCol="1"/>
  <cols>
    <col min="1" max="1" width="53.42578125" style="7" customWidth="1"/>
    <col min="2" max="4" width="8.42578125" style="7" customWidth="1"/>
    <col min="5" max="5" width="9.28515625" style="7" customWidth="1" outlineLevel="1"/>
    <col min="6" max="6" width="10.140625" style="7" customWidth="1" outlineLevel="1"/>
    <col min="7" max="8" width="10.7109375" style="7" customWidth="1" outlineLevel="1"/>
    <col min="9" max="26" width="10.7109375" style="7" customWidth="1"/>
    <col min="27" max="16384" width="9.140625" style="8"/>
  </cols>
  <sheetData>
    <row r="1" spans="1:60">
      <c r="F1" s="7">
        <v>12</v>
      </c>
    </row>
    <row r="2" spans="1:60" ht="18.75">
      <c r="A2" s="126" t="s">
        <v>348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60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60">
      <c r="A4" s="1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</row>
    <row r="5" spans="1:60" ht="13.5" thickBot="1">
      <c r="A5" s="422" t="s">
        <v>164</v>
      </c>
      <c r="B5" s="9"/>
      <c r="C5" s="9"/>
      <c r="D5" s="9"/>
      <c r="E5" s="9">
        <v>1999</v>
      </c>
      <c r="F5" s="9">
        <f>E5+1</f>
        <v>2000</v>
      </c>
      <c r="G5" s="9">
        <f t="shared" ref="G5:Z5" si="0">F5+1</f>
        <v>2001</v>
      </c>
      <c r="H5" s="9">
        <f t="shared" si="0"/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60">
      <c r="A6" s="3"/>
      <c r="B6" s="11"/>
      <c r="C6" s="11"/>
      <c r="D6" s="11"/>
      <c r="E6" s="11"/>
      <c r="F6" s="11"/>
      <c r="G6" s="11"/>
      <c r="H6" s="11"/>
      <c r="I6" s="684"/>
      <c r="J6" s="684"/>
      <c r="K6" s="684"/>
      <c r="L6" s="684"/>
      <c r="M6" s="684"/>
      <c r="N6" s="684"/>
      <c r="O6" s="684"/>
      <c r="P6" s="684"/>
      <c r="Q6" s="684"/>
      <c r="R6" s="684"/>
      <c r="S6" s="684"/>
      <c r="T6" s="684"/>
      <c r="U6" s="684"/>
      <c r="V6" s="684"/>
      <c r="W6" s="684"/>
      <c r="X6" s="684"/>
      <c r="Y6" s="684"/>
      <c r="Z6" s="684"/>
    </row>
    <row r="7" spans="1:60">
      <c r="A7" s="3"/>
      <c r="B7" s="10"/>
      <c r="C7" s="10"/>
      <c r="D7" s="683"/>
      <c r="E7" s="683"/>
      <c r="F7" s="683"/>
      <c r="G7" s="683"/>
      <c r="H7" s="683"/>
      <c r="I7" s="683"/>
      <c r="J7" s="683"/>
      <c r="K7" s="683"/>
      <c r="L7" s="683"/>
      <c r="M7" s="683"/>
      <c r="N7" s="683"/>
      <c r="O7" s="683"/>
      <c r="P7" s="683"/>
      <c r="Q7" s="683"/>
      <c r="R7" s="683"/>
      <c r="S7" s="683"/>
      <c r="T7" s="683"/>
      <c r="U7" s="683"/>
      <c r="V7" s="683"/>
      <c r="W7" s="683"/>
      <c r="X7" s="683"/>
      <c r="Y7" s="683"/>
      <c r="Z7" s="683"/>
    </row>
    <row r="8" spans="1:60">
      <c r="A8" s="1" t="s">
        <v>165</v>
      </c>
      <c r="B8" s="12"/>
      <c r="C8" s="12"/>
      <c r="D8" s="685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60">
      <c r="A9" s="575" t="s">
        <v>166</v>
      </c>
      <c r="B9" s="12"/>
      <c r="C9" s="12"/>
      <c r="D9" s="12"/>
      <c r="E9" s="12"/>
      <c r="F9" s="12"/>
      <c r="H9" s="8"/>
      <c r="I9" s="278"/>
      <c r="J9" s="278"/>
      <c r="K9" s="278"/>
      <c r="L9" s="278"/>
      <c r="M9" s="278"/>
      <c r="N9" s="278"/>
      <c r="O9" s="278"/>
      <c r="P9" s="278"/>
      <c r="Q9" s="278"/>
      <c r="R9" s="278"/>
      <c r="S9" s="278"/>
      <c r="T9" s="278"/>
      <c r="U9" s="278"/>
      <c r="V9" s="278"/>
      <c r="W9" s="278"/>
      <c r="X9" s="278"/>
      <c r="Y9" s="278"/>
      <c r="Z9" s="278"/>
      <c r="AA9" s="140"/>
      <c r="AB9" s="140"/>
      <c r="AC9" s="140"/>
    </row>
    <row r="10" spans="1:60">
      <c r="A10" s="4" t="s">
        <v>167</v>
      </c>
      <c r="B10" s="12"/>
      <c r="C10" s="12"/>
      <c r="D10" s="253"/>
      <c r="E10" s="253">
        <f>Assumptions!$L$29*Assumptions!L53*'Power Price Assumption'!E23</f>
        <v>0</v>
      </c>
      <c r="F10" s="253">
        <f>Assumptions!$L$30*12*'Power Price Assumption'!F23*$F$1/12</f>
        <v>21984</v>
      </c>
      <c r="G10" s="253">
        <f>Assumptions!$L$30*12*'Power Price Assumption'!G23</f>
        <v>21984</v>
      </c>
      <c r="H10" s="253">
        <f>Assumptions!$L$30*12*'Power Price Assumption'!H23</f>
        <v>21984</v>
      </c>
      <c r="I10" s="253">
        <v>0</v>
      </c>
      <c r="J10" s="253">
        <f>Assumptions!$L$30*12*'Power Price Assumption'!J23</f>
        <v>0</v>
      </c>
      <c r="K10" s="253">
        <f>Assumptions!$L$30*12*'Power Price Assumption'!K23</f>
        <v>0</v>
      </c>
      <c r="L10" s="253">
        <f>Assumptions!$L$30*12*'Power Price Assumption'!L23</f>
        <v>0</v>
      </c>
      <c r="M10" s="253">
        <f>Assumptions!$L$30*12*'Power Price Assumption'!M23</f>
        <v>0</v>
      </c>
      <c r="N10" s="253">
        <f>Assumptions!$L$30*12*'Power Price Assumption'!N23</f>
        <v>0</v>
      </c>
      <c r="O10" s="253">
        <f>Assumptions!$L$30*12*'Power Price Assumption'!O23</f>
        <v>0</v>
      </c>
      <c r="P10" s="253">
        <f>Assumptions!$L$30*12*'Power Price Assumption'!P23</f>
        <v>0</v>
      </c>
      <c r="Q10" s="253">
        <f>Assumptions!$L$30*12*'Power Price Assumption'!Q23</f>
        <v>0</v>
      </c>
      <c r="R10" s="253">
        <f>Assumptions!$L$30*12*'Power Price Assumption'!R23</f>
        <v>0</v>
      </c>
      <c r="S10" s="253">
        <f>Assumptions!$L$30*12*'Power Price Assumption'!S23</f>
        <v>0</v>
      </c>
      <c r="T10" s="253">
        <f>Assumptions!$L$30*12*'Power Price Assumption'!T23</f>
        <v>0</v>
      </c>
      <c r="U10" s="253">
        <f>Assumptions!$L$30*12*'Power Price Assumption'!U23</f>
        <v>0</v>
      </c>
      <c r="V10" s="253">
        <f>Assumptions!$L$30*12*'Power Price Assumption'!V23</f>
        <v>0</v>
      </c>
      <c r="W10" s="253">
        <f>Assumptions!$L$30*12*'Power Price Assumption'!W23</f>
        <v>0</v>
      </c>
      <c r="X10" s="253">
        <f>Assumptions!$L$30*12*'Power Price Assumption'!X23</f>
        <v>0</v>
      </c>
      <c r="Y10" s="253">
        <f>Assumptions!$L$30*12*'Power Price Assumption'!Y23</f>
        <v>0</v>
      </c>
      <c r="Z10" s="253">
        <f>Assumptions!$L$30*12*'Power Price Assumption'!Z23</f>
        <v>0</v>
      </c>
      <c r="AA10" s="14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60">
      <c r="A11" s="4" t="s">
        <v>168</v>
      </c>
      <c r="B11" s="12"/>
      <c r="C11" s="12"/>
      <c r="D11" s="253"/>
      <c r="E11" s="253">
        <f>Assumptions!L$26*Assumptions!L$30*Assumptions!L$14/1000*Assumptions!L$53/12</f>
        <v>0</v>
      </c>
      <c r="F11" s="253">
        <f>Assumptions!L$26*Assumptions!L$30*Assumptions!L$14/1000*(1+Assumptions!$L$39)*$F$1/12</f>
        <v>797.47544000000005</v>
      </c>
      <c r="G11" s="253">
        <f>F11*(1+Assumptions!$L$39)</f>
        <v>821.39970320000009</v>
      </c>
      <c r="H11" s="253">
        <f>G11*(1+Assumptions!$L$39)</f>
        <v>846.04169429600006</v>
      </c>
      <c r="I11" s="253">
        <v>0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  <c r="R11" s="253">
        <v>0</v>
      </c>
      <c r="S11" s="253">
        <v>0</v>
      </c>
      <c r="T11" s="253">
        <v>0</v>
      </c>
      <c r="U11" s="253">
        <v>0</v>
      </c>
      <c r="V11" s="253">
        <v>0</v>
      </c>
      <c r="W11" s="253">
        <v>0</v>
      </c>
      <c r="X11" s="253">
        <v>0</v>
      </c>
      <c r="Y11" s="253">
        <v>0</v>
      </c>
      <c r="Z11" s="253">
        <v>0</v>
      </c>
      <c r="AA11" s="140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60">
      <c r="A12" s="4" t="s">
        <v>169</v>
      </c>
      <c r="B12" s="12"/>
      <c r="C12" s="12"/>
      <c r="D12" s="253"/>
      <c r="E12" s="253">
        <f>VLOOKUP(Assumptions!$L$19,'EGC Start Charge Matrix'!$A$10:$S$35,14)*Assumptions!L$53/12</f>
        <v>0</v>
      </c>
      <c r="F12" s="253">
        <f>VLOOKUP(Assumptions!$L$19,'EGC Start Charge Matrix'!$A$10:$S$35,14)*(1+Assumptions!$L$39)*$F$1/12</f>
        <v>2032.4784</v>
      </c>
      <c r="G12" s="253">
        <f>F12*(1+Assumptions!$L$39)</f>
        <v>2093.4527520000001</v>
      </c>
      <c r="H12" s="253">
        <f>G12*(1+Assumptions!$L$39)</f>
        <v>2156.2563345600001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60">
      <c r="A13" s="8"/>
      <c r="B13" s="12"/>
      <c r="C13" s="12"/>
      <c r="D13" s="12"/>
      <c r="E13" s="12"/>
      <c r="F13" s="12"/>
      <c r="H13" s="8"/>
      <c r="AA13" s="140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60">
      <c r="A14" s="575" t="s">
        <v>170</v>
      </c>
      <c r="B14" s="12"/>
      <c r="C14" s="12"/>
      <c r="D14" s="12"/>
      <c r="E14" s="12"/>
      <c r="F14" s="12"/>
      <c r="H14" s="8"/>
      <c r="AA14" s="140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60">
      <c r="A15" s="4" t="s">
        <v>167</v>
      </c>
      <c r="B15" s="12"/>
      <c r="C15" s="12"/>
      <c r="D15" s="253"/>
      <c r="E15" s="253">
        <v>0</v>
      </c>
      <c r="F15" s="253">
        <v>0</v>
      </c>
      <c r="G15" s="253">
        <v>0</v>
      </c>
      <c r="H15" s="253">
        <v>0</v>
      </c>
      <c r="I15" s="253">
        <f>IF(Assumptions!$L$19=120,Assumptions!$L$33*(1-Assumptions!$L$35)*'Power Price Assumption'!I25*(12),Assumptions!$L$33*(1-Assumptions!$L$35)*'Power Price Assumption'!I25*(12)-2/3*VLOOKUP(120,'EGC Start Charge Matrix'!$U$10:$AK$35,14)*(1+Assumptions!$L$39)^(Brownsville!I5-Brownsville!$E$5))</f>
        <v>32673.530747917819</v>
      </c>
      <c r="J15" s="253">
        <f>IF(Assumptions!$L$19=120,Assumptions!$L$33*(1-Assumptions!$L$35)*'Power Price Assumption'!J25*(12),Assumptions!$L$33*(1-Assumptions!$L$35)*'Power Price Assumption'!J25*(12)-2/3*VLOOKUP(120,'EGC Start Charge Matrix'!$U$10:$AK$35,14)*(1+Assumptions!$L$39)^(Brownsville!J5-Brownsville!$E$5))</f>
        <v>33083.334353908656</v>
      </c>
      <c r="K15" s="253">
        <f>IF(Assumptions!$L$19=120,Assumptions!$L$33*(1-Assumptions!$L$35)*'Power Price Assumption'!K25*(12),Assumptions!$L$33*(1-Assumptions!$L$35)*'Power Price Assumption'!K25*(12)-2/3*VLOOKUP(120,'EGC Start Charge Matrix'!$U$10:$AK$35,14)*(1+Assumptions!$L$39)^(Brownsville!K5-Brownsville!$E$5))</f>
        <v>33488.319998585815</v>
      </c>
      <c r="L15" s="253">
        <f>IF(Assumptions!$L$19=120,Assumptions!$L$33*(1-Assumptions!$L$35)*'Power Price Assumption'!L25*(12),Assumptions!$L$33*(1-Assumptions!$L$35)*'Power Price Assumption'!L25*(12)-2/3*VLOOKUP(120,'EGC Start Charge Matrix'!$U$10:$AK$35,14)*(1+Assumptions!$L$39)^(Brownsville!L5-Brownsville!$E$5))</f>
        <v>33887.829781025073</v>
      </c>
      <c r="M15" s="253">
        <f>IF(Assumptions!$L$19=120,Assumptions!$L$33*(1-Assumptions!$L$35)*'Power Price Assumption'!M25*(12),Assumptions!$L$33*(1-Assumptions!$L$35)*'Power Price Assumption'!M25*(12)-2/3*VLOOKUP(120,'EGC Start Charge Matrix'!$U$10:$AK$35,14)*(1+Assumptions!$L$39)^(Brownsville!M5-Brownsville!$E$5))</f>
        <v>34904.464674455827</v>
      </c>
      <c r="N15" s="253">
        <f>IF(Assumptions!$L$19=120,Assumptions!$L$33*(1-Assumptions!$L$35)*'Power Price Assumption'!N25*(12),Assumptions!$L$33*(1-Assumptions!$L$35)*'Power Price Assumption'!N25*(12)-2/3*VLOOKUP(120,'EGC Start Charge Matrix'!$U$10:$AK$35,14)*(1+Assumptions!$L$39)^(Brownsville!N5-Brownsville!$E$5))</f>
        <v>35309.605782284336</v>
      </c>
      <c r="O15" s="253">
        <f>IF(Assumptions!$L$19=120,Assumptions!$L$33*(1-Assumptions!$L$35)*'Power Price Assumption'!O25*(12),Assumptions!$L$33*(1-Assumptions!$L$35)*'Power Price Assumption'!O25*(12)-2/3*VLOOKUP(120,'EGC Start Charge Matrix'!$U$10:$AK$35,14)*(1+Assumptions!$L$39)^(Brownsville!O5-Brownsville!$E$5))</f>
        <v>36368.893955752872</v>
      </c>
      <c r="P15" s="253">
        <f>IF(Assumptions!$L$19=120,Assumptions!$L$33*(1-Assumptions!$L$35)*'Power Price Assumption'!P25*(12),Assumptions!$L$33*(1-Assumptions!$L$35)*'Power Price Assumption'!P25*(12)-2/3*VLOOKUP(120,'EGC Start Charge Matrix'!$U$10:$AK$35,14)*(1+Assumptions!$L$39)^(Brownsville!P5-Brownsville!$E$5))</f>
        <v>36778.87057852681</v>
      </c>
      <c r="Q15" s="253">
        <f>IF(Assumptions!$L$19=120,Assumptions!$L$33*(1-Assumptions!$L$35)*'Power Price Assumption'!Q25*(12),Assumptions!$L$33*(1-Assumptions!$L$35)*'Power Price Assumption'!Q25*(12)-2/3*VLOOKUP(120,'EGC Start Charge Matrix'!$U$10:$AK$35,14)*(1+Assumptions!$L$39)^(Brownsville!Q5-Brownsville!$E$5))</f>
        <v>37882.23669588261</v>
      </c>
      <c r="R15" s="253">
        <f>IF(Assumptions!$L$19=120,Assumptions!$L$33*(1-Assumptions!$L$35)*'Power Price Assumption'!R25*(12),Assumptions!$L$33*(1-Assumptions!$L$35)*'Power Price Assumption'!R25*(12)-2/3*VLOOKUP(120,'EGC Start Charge Matrix'!$U$10:$AK$35,14)*(1+Assumptions!$L$39)^(Brownsville!R5-Brownsville!$E$5))</f>
        <v>38296.135207930216</v>
      </c>
      <c r="S15" s="253">
        <f>IF(Assumptions!$L$19=120,Assumptions!$L$33*(1-Assumptions!$L$35)*'Power Price Assumption'!S25*(12),Assumptions!$L$33*(1-Assumptions!$L$35)*'Power Price Assumption'!S25*(12)-2/3*VLOOKUP(120,'EGC Start Charge Matrix'!$U$10:$AK$35,14)*(1+Assumptions!$L$39)^(Brownsville!S5-Brownsville!$E$5))</f>
        <v>38700.773617674393</v>
      </c>
      <c r="T15" s="253">
        <f>IF(Assumptions!$L$19=120,Assumptions!$L$33*(1-Assumptions!$L$35)*'Power Price Assumption'!T25*(12),Assumptions!$L$33*(1-Assumptions!$L$35)*'Power Price Assumption'!T25*(12)-2/3*VLOOKUP(120,'EGC Start Charge Matrix'!$U$10:$AK$35,14)*(1+Assumptions!$L$39)^(Brownsville!T5-Brownsville!$E$5))</f>
        <v>39095.223810316063</v>
      </c>
      <c r="U15" s="253">
        <f>IF(Assumptions!$L$19=120,Assumptions!$L$33*(1-Assumptions!$L$35)*'Power Price Assumption'!U25*(12),Assumptions!$L$33*(1-Assumptions!$L$35)*'Power Price Assumption'!U25*(12)-2/3*VLOOKUP(120,'EGC Start Charge Matrix'!$U$10:$AK$35,14)*(1+Assumptions!$L$39)^(Brownsville!U5-Brownsville!$E$5))</f>
        <v>39478.510318260334</v>
      </c>
      <c r="V15" s="253">
        <f>IF(Assumptions!$L$19=120,Assumptions!$L$33*(1-Assumptions!$L$35)*'Power Price Assumption'!V25*(12),Assumptions!$L$33*(1-Assumptions!$L$35)*'Power Price Assumption'!V25*(12)-2/3*VLOOKUP(120,'EGC Start Charge Matrix'!$U$10:$AK$35,14)*(1+Assumptions!$L$39)^(Brownsville!V5-Brownsville!$E$5))</f>
        <v>39849.608315251986</v>
      </c>
      <c r="W15" s="253">
        <f>IF(Assumptions!$L$19=120,Assumptions!$L$33*(1-Assumptions!$L$35)*'Power Price Assumption'!W25*(12),Assumptions!$L$33*(1-Assumptions!$L$35)*'Power Price Assumption'!W25*(12)-2/3*VLOOKUP(120,'EGC Start Charge Matrix'!$U$10:$AK$35,14)*(1+Assumptions!$L$39)^(Brownsville!W5-Brownsville!$E$5))</f>
        <v>40207.441532776698</v>
      </c>
      <c r="X15" s="253">
        <f>IF(Assumptions!$L$19=120,Assumptions!$L$33*(1-Assumptions!$L$35)*'Power Price Assumption'!X25*(12),Assumptions!$L$33*(1-Assumptions!$L$35)*'Power Price Assumption'!X25*(12)-2/3*VLOOKUP(120,'EGC Start Charge Matrix'!$U$10:$AK$35,14)*(1+Assumptions!$L$39)^(Brownsville!X5-Brownsville!$E$5))</f>
        <v>40550.880095869165</v>
      </c>
      <c r="Y15" s="253">
        <f>IF(Assumptions!$L$19=120,Assumptions!$L$33*(1-Assumptions!$L$35)*'Power Price Assumption'!Y25*(12),Assumptions!$L$33*(1-Assumptions!$L$35)*'Power Price Assumption'!Y25*(12)-2/3*VLOOKUP(120,'EGC Start Charge Matrix'!$U$10:$AK$35,14)*(1+Assumptions!$L$39)^(Brownsville!Y5-Brownsville!$E$5))</f>
        <v>40878.738275367672</v>
      </c>
      <c r="Z15" s="253">
        <f>IF(Assumptions!$L$19=120,Assumptions!$L$33*(1-Assumptions!$L$35)*'Power Price Assumption'!Z25*(12),Assumptions!$L$33*(1-Assumptions!$L$35)*'Power Price Assumption'!Z25*(12)-2/3*VLOOKUP(120,'EGC Start Charge Matrix'!$U$10:$AK$35,14)*(1+Assumptions!$L$39)^(Brownsville!Z5-Brownsville!$E$5))</f>
        <v>41189.77215354982</v>
      </c>
      <c r="AA15" s="140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60">
      <c r="A16" s="4" t="s">
        <v>171</v>
      </c>
      <c r="B16" s="12"/>
      <c r="C16" s="12"/>
      <c r="D16" s="253"/>
      <c r="E16" s="253">
        <v>0</v>
      </c>
      <c r="F16" s="253">
        <v>0</v>
      </c>
      <c r="G16" s="253">
        <v>0</v>
      </c>
      <c r="H16" s="253">
        <v>0</v>
      </c>
      <c r="I16" s="253">
        <f>(Assumptions!$L$26*Assumptions!$L$34/1000)*(1+Assumptions!$L$39)^(I5-$E$5)+$F$12*(1+Assumptions!$L$39)^(I5-$F$5)*1/3</f>
        <v>1667.7750623044931</v>
      </c>
      <c r="J16" s="253">
        <f>(Assumptions!$L$26*Assumptions!$L$34/1000)*(1+Assumptions!$L$39)^(J5-$E$5)+$F$12*(1+Assumptions!$L$39)^(J5-$F$5)*1/3</f>
        <v>1717.8083141736277</v>
      </c>
      <c r="K16" s="253">
        <f>J16*(1+Assumptions!$L$39)</f>
        <v>1769.3425635988365</v>
      </c>
      <c r="L16" s="253">
        <f>K16*(1+Assumptions!$L$39)</f>
        <v>1822.4228405068015</v>
      </c>
      <c r="M16" s="253">
        <f>L16*(1+Assumptions!$L$39)</f>
        <v>1877.0955257220057</v>
      </c>
      <c r="N16" s="253">
        <f>M16*(1+Assumptions!$L$39)</f>
        <v>1933.4083914936659</v>
      </c>
      <c r="O16" s="253">
        <f>N16*(1+Assumptions!$L$39)</f>
        <v>1991.410643238476</v>
      </c>
      <c r="P16" s="253">
        <f>O16*(1+Assumptions!$L$39)</f>
        <v>2051.1529625356302</v>
      </c>
      <c r="Q16" s="253">
        <f>P16*(1+Assumptions!$L$39)</f>
        <v>2112.6875514116991</v>
      </c>
      <c r="R16" s="253">
        <f>Q16*(1+Assumptions!$L$39)</f>
        <v>2176.06817795405</v>
      </c>
      <c r="S16" s="253">
        <f>R16*(1+Assumptions!$L$39)</f>
        <v>2241.3502232926717</v>
      </c>
      <c r="T16" s="253">
        <f>S16*(1+Assumptions!$L$39)</f>
        <v>2308.590729991452</v>
      </c>
      <c r="U16" s="253">
        <f>T16*(1+Assumptions!$L$39)</f>
        <v>2377.8484518911955</v>
      </c>
      <c r="V16" s="253">
        <f>U16*(1+Assumptions!$L$39)</f>
        <v>2449.1839054479315</v>
      </c>
      <c r="W16" s="253">
        <f>V16*(1+Assumptions!$L$39)</f>
        <v>2522.6594226113693</v>
      </c>
      <c r="X16" s="253">
        <f>W16*(1+Assumptions!$L$39)</f>
        <v>2598.3392052897107</v>
      </c>
      <c r="Y16" s="253">
        <f>X16*(1+Assumptions!$L$39)</f>
        <v>2676.2893814484019</v>
      </c>
      <c r="Z16" s="253">
        <f>Y16*(1+Assumptions!$L$39)</f>
        <v>2756.5780628918542</v>
      </c>
      <c r="AA16" s="140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1:60">
      <c r="A17" s="4" t="s">
        <v>172</v>
      </c>
      <c r="B17" s="12"/>
      <c r="C17" s="12"/>
      <c r="D17" s="253"/>
      <c r="E17" s="253">
        <v>0</v>
      </c>
      <c r="F17" s="253">
        <v>0</v>
      </c>
      <c r="G17" s="253">
        <v>0</v>
      </c>
      <c r="H17" s="253">
        <v>0</v>
      </c>
      <c r="I17" s="253">
        <f>Assumptions!$L$33*Assumptions!$L$35*Assumptions!$L$36/1000*Assumptions!$L$14</f>
        <v>11.698847999999998</v>
      </c>
      <c r="J17" s="253">
        <f>Assumptions!$L$33*Assumptions!$L$35*Assumptions!$L$36/1000*Assumptions!$L$14</f>
        <v>11.698847999999998</v>
      </c>
      <c r="K17" s="253">
        <f>Assumptions!$L$33*Assumptions!$L$35*Assumptions!$L$36/1000*Assumptions!$L$14</f>
        <v>11.698847999999998</v>
      </c>
      <c r="L17" s="253">
        <f>Assumptions!$L$33*Assumptions!$L$35*Assumptions!$L$36/1000*Assumptions!$L$14</f>
        <v>11.698847999999998</v>
      </c>
      <c r="M17" s="253">
        <f>Assumptions!$L$33*Assumptions!$L$35*Assumptions!$L$36/1000*Assumptions!$L$14</f>
        <v>11.698847999999998</v>
      </c>
      <c r="N17" s="253">
        <f>Assumptions!$L$33*Assumptions!$L$35*Assumptions!$L$36/1000*Assumptions!$L$14</f>
        <v>11.698847999999998</v>
      </c>
      <c r="O17" s="253">
        <f>Assumptions!$L$33*Assumptions!$L$35*Assumptions!$L$36/1000*Assumptions!$L$14</f>
        <v>11.698847999999998</v>
      </c>
      <c r="P17" s="253">
        <f>Assumptions!$L$33*Assumptions!$L$35*Assumptions!$L$36/1000*Assumptions!$L$14</f>
        <v>11.698847999999998</v>
      </c>
      <c r="Q17" s="253">
        <f>Assumptions!$L$33*Assumptions!$L$35*Assumptions!$L$36/1000*Assumptions!$L$14</f>
        <v>11.698847999999998</v>
      </c>
      <c r="R17" s="253">
        <f>Assumptions!$L$33*Assumptions!$L$35*Assumptions!$L$36/1000*Assumptions!$L$14</f>
        <v>11.698847999999998</v>
      </c>
      <c r="S17" s="253">
        <f>Assumptions!$L$33*Assumptions!$L$35*Assumptions!$L$36/1000*Assumptions!$L$14</f>
        <v>11.698847999999998</v>
      </c>
      <c r="T17" s="253">
        <f>Assumptions!$L$33*Assumptions!$L$35*Assumptions!$L$36/1000*Assumptions!$L$14</f>
        <v>11.698847999999998</v>
      </c>
      <c r="U17" s="253">
        <f>Assumptions!$L$33*Assumptions!$L$35*Assumptions!$L$36/1000*Assumptions!$L$14</f>
        <v>11.698847999999998</v>
      </c>
      <c r="V17" s="253">
        <f>Assumptions!$L$33*Assumptions!$L$35*Assumptions!$L$36/1000*Assumptions!$L$14</f>
        <v>11.698847999999998</v>
      </c>
      <c r="W17" s="253">
        <f>Assumptions!$L$33*Assumptions!$L$35*Assumptions!$L$36/1000*Assumptions!$L$14</f>
        <v>11.698847999999998</v>
      </c>
      <c r="X17" s="253">
        <f>Assumptions!$L$33*Assumptions!$L$35*Assumptions!$L$36/1000*Assumptions!$L$14</f>
        <v>11.698847999999998</v>
      </c>
      <c r="Y17" s="253">
        <f>Assumptions!$L$33*Assumptions!$L$35*Assumptions!$L$36/1000*Assumptions!$L$14</f>
        <v>11.698847999999998</v>
      </c>
      <c r="Z17" s="253">
        <f>Assumptions!$L$33*Assumptions!$L$35*Assumptions!$L$36/1000*Assumptions!$L$14</f>
        <v>11.698847999999998</v>
      </c>
      <c r="AA17" s="140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60">
      <c r="A18" s="8"/>
      <c r="B18" s="12"/>
      <c r="C18" s="12"/>
      <c r="D18" s="12"/>
      <c r="E18" s="802"/>
      <c r="F18" s="12"/>
      <c r="H18" s="8"/>
      <c r="AA18" s="140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>
      <c r="A19" s="4" t="s">
        <v>173</v>
      </c>
      <c r="B19" s="12"/>
      <c r="C19" s="12"/>
      <c r="D19"/>
      <c r="E19" s="254">
        <f>(SUM(E10:E17)-SUM(E25:E35))*Assumptions!$B$34/4*$F$1/12</f>
        <v>0</v>
      </c>
      <c r="F19" s="254">
        <f ca="1">(SUM(F10:F17)-SUM(F25:F35))*Assumptions!$B$34/4*$F$1/12</f>
        <v>242.03773781818393</v>
      </c>
      <c r="G19" s="254">
        <f>(SUM(G10:G17)-SUM(G25:G35))*Assumptions!$B$34/4</f>
        <v>241.54023280568182</v>
      </c>
      <c r="H19" s="254">
        <f>(SUM(H10:H17)-SUM(H25:H35))*Assumptions!$B$34/4</f>
        <v>240.07444355202361</v>
      </c>
      <c r="I19" s="254">
        <f>(SUM(I10:I17)-SUM(I25:I35))*Assumptions!$B$34/4</f>
        <v>349.11322875066384</v>
      </c>
      <c r="J19" s="254">
        <f>(SUM(J10:J17)-SUM(J25:J35))*Assumptions!$B$34/4</f>
        <v>352.92661718046259</v>
      </c>
      <c r="K19" s="254">
        <f>(SUM(K10:K17)-SUM(K25:K35))*Assumptions!$B$34/4</f>
        <v>356.62829386763156</v>
      </c>
      <c r="L19" s="254">
        <f>(SUM(L10:L17)-SUM(L25:L35))*Assumptions!$B$34/4</f>
        <v>360.21719412695654</v>
      </c>
      <c r="M19" s="254">
        <f>(SUM(M10:M17)-SUM(M25:M35))*Assumptions!$B$34/4</f>
        <v>371.4745002793091</v>
      </c>
      <c r="N19" s="254">
        <f>(SUM(N10:N17)-SUM(N25:N35))*Assumptions!$B$34/4</f>
        <v>375.04110637743634</v>
      </c>
      <c r="O19" s="254">
        <f>(SUM(O10:O17)-SUM(O25:O35))*Assumptions!$B$34/4</f>
        <v>386.73611222984096</v>
      </c>
      <c r="P19" s="254">
        <f>(SUM(P10:P17)-SUM(P25:P35))*Assumptions!$B$34/4</f>
        <v>390.72420132412731</v>
      </c>
      <c r="Q19" s="254">
        <f>(SUM(Q10:Q17)-SUM(Q25:Q35))*Assumptions!$B$34/4</f>
        <v>403.00834800771241</v>
      </c>
      <c r="R19" s="254">
        <f>(SUM(R10:R17)-SUM(R25:R35))*Assumptions!$B$34/4</f>
        <v>406.48935860469442</v>
      </c>
      <c r="S19" s="254">
        <f>(SUM(S10:S17)-SUM(S25:S35))*Assumptions!$B$34/4</f>
        <v>409.85436202484402</v>
      </c>
      <c r="T19" s="254">
        <f>(SUM(T10:T17)-SUM(T25:T35))*Assumptions!$B$34/4</f>
        <v>409.38212357675252</v>
      </c>
      <c r="U19" s="254">
        <f>(SUM(U10:U17)-SUM(U25:U35))*Assumptions!$B$34/4</f>
        <v>412.7988548331806</v>
      </c>
      <c r="V19" s="254">
        <f>(SUM(V10:V17)-SUM(V25:V35))*Assumptions!$B$34/4</f>
        <v>416.13886473765064</v>
      </c>
      <c r="W19" s="254">
        <f>(SUM(W10:W17)-SUM(W25:W35))*Assumptions!$B$34/4</f>
        <v>419.33704378687048</v>
      </c>
      <c r="X19" s="254">
        <f>(SUM(X10:X17)-SUM(X25:X35))*Assumptions!$B$34/4</f>
        <v>422.46488457735018</v>
      </c>
      <c r="Y19" s="254">
        <f>(SUM(Y10:Y17)-SUM(Y25:Y35))*Assumptions!$B$34/4</f>
        <v>425.32114483223933</v>
      </c>
      <c r="Z19" s="254">
        <f>(SUM(Z10:Z17)-SUM(Z25:Z35))*Assumptions!$B$34/4</f>
        <v>434.40887088279146</v>
      </c>
      <c r="AA19" s="140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60">
      <c r="A20" s="4" t="s">
        <v>174</v>
      </c>
      <c r="B20" s="12"/>
      <c r="C20" s="12"/>
      <c r="D20"/>
      <c r="E20" s="253">
        <f>SUM(E10:E19)</f>
        <v>0</v>
      </c>
      <c r="F20" s="253">
        <f t="shared" ref="F20:Z20" ca="1" si="1">SUM(F10:F19)</f>
        <v>25055.991577818182</v>
      </c>
      <c r="G20" s="253">
        <f t="shared" si="1"/>
        <v>25140.392688005682</v>
      </c>
      <c r="H20" s="253">
        <f t="shared" si="1"/>
        <v>25226.372472408024</v>
      </c>
      <c r="I20" s="253">
        <f t="shared" si="1"/>
        <v>34702.117886972977</v>
      </c>
      <c r="J20" s="253">
        <f t="shared" si="1"/>
        <v>35165.768133262747</v>
      </c>
      <c r="K20" s="253">
        <f t="shared" si="1"/>
        <v>35625.989704052285</v>
      </c>
      <c r="L20" s="253">
        <f t="shared" si="1"/>
        <v>36082.168663658827</v>
      </c>
      <c r="M20" s="253">
        <f t="shared" si="1"/>
        <v>37164.733548457138</v>
      </c>
      <c r="N20" s="253">
        <f t="shared" si="1"/>
        <v>37629.754128155437</v>
      </c>
      <c r="O20" s="253">
        <f t="shared" si="1"/>
        <v>38758.739559221191</v>
      </c>
      <c r="P20" s="253">
        <f t="shared" si="1"/>
        <v>39232.446590386564</v>
      </c>
      <c r="Q20" s="253">
        <f t="shared" si="1"/>
        <v>40409.631443302023</v>
      </c>
      <c r="R20" s="253">
        <f t="shared" si="1"/>
        <v>40890.391592488959</v>
      </c>
      <c r="S20" s="253">
        <f t="shared" si="1"/>
        <v>41363.677050991908</v>
      </c>
      <c r="T20" s="253">
        <f t="shared" si="1"/>
        <v>41824.895511884271</v>
      </c>
      <c r="U20" s="253">
        <f t="shared" si="1"/>
        <v>42280.856472984706</v>
      </c>
      <c r="V20" s="253">
        <f t="shared" si="1"/>
        <v>42726.629933437573</v>
      </c>
      <c r="W20" s="253">
        <f t="shared" si="1"/>
        <v>43161.136847174937</v>
      </c>
      <c r="X20" s="253">
        <f t="shared" si="1"/>
        <v>43583.383033736223</v>
      </c>
      <c r="Y20" s="253">
        <f t="shared" si="1"/>
        <v>43992.047649648317</v>
      </c>
      <c r="Z20" s="253">
        <f t="shared" si="1"/>
        <v>44392.457935324463</v>
      </c>
      <c r="AA20" s="14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1:60">
      <c r="A21" s="4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60" s="146" customFormat="1" ht="12" customHeight="1">
      <c r="A22" s="5"/>
      <c r="B22" s="5"/>
      <c r="C22" s="5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60">
      <c r="A23" s="1" t="s">
        <v>175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>
      <c r="A24" s="4" t="s">
        <v>176</v>
      </c>
      <c r="D24"/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60">
      <c r="A25" s="4" t="s">
        <v>128</v>
      </c>
      <c r="D25"/>
      <c r="E25" s="253">
        <f>Assumptions!L53/12*Assumptions!L56</f>
        <v>0</v>
      </c>
      <c r="F25" s="253">
        <f>Assumptions!L56*(1+Assumptions!$L$52)*$F$1/12</f>
        <v>722.49350000000004</v>
      </c>
      <c r="G25" s="253">
        <f>F25*(1+Assumptions!$L$52)</f>
        <v>744.16830500000003</v>
      </c>
      <c r="H25" s="187">
        <f>G25*(1+Assumptions!$L$52)</f>
        <v>766.49335415000007</v>
      </c>
      <c r="I25" s="253">
        <f>H25*(1+Assumptions!$L$52)</f>
        <v>789.48815477450012</v>
      </c>
      <c r="J25" s="253">
        <f>I25*(1+Assumptions!$L$52)</f>
        <v>813.17279941773518</v>
      </c>
      <c r="K25" s="253">
        <f>J25*(1+Assumptions!$L$52)</f>
        <v>837.56798340026728</v>
      </c>
      <c r="L25" s="253">
        <f>K25*(1+Assumptions!$L$52)</f>
        <v>862.69502290227535</v>
      </c>
      <c r="M25" s="253">
        <f>L25*(1+Assumptions!$L$52)</f>
        <v>888.57587358934359</v>
      </c>
      <c r="N25" s="253">
        <f>M25*(1+Assumptions!$L$52)</f>
        <v>915.23314979702388</v>
      </c>
      <c r="O25" s="253">
        <f>N25*(1+Assumptions!$L$52)</f>
        <v>942.69014429093465</v>
      </c>
      <c r="P25" s="253">
        <f>O25*(1+Assumptions!$L$52)</f>
        <v>970.97084861966277</v>
      </c>
      <c r="Q25" s="253">
        <f>P25*(1+Assumptions!$L$52)</f>
        <v>1000.0999740782527</v>
      </c>
      <c r="R25" s="253">
        <f>Q25*(1+Assumptions!$L$52)</f>
        <v>1030.1029733006003</v>
      </c>
      <c r="S25" s="253">
        <f>R25*(1+Assumptions!$L$52)</f>
        <v>1061.0060624996183</v>
      </c>
      <c r="T25" s="253">
        <f>S25*(1+Assumptions!$L$52)</f>
        <v>1092.8362443746068</v>
      </c>
      <c r="U25" s="253">
        <f>T25*(1+Assumptions!$L$52)</f>
        <v>1125.621331705845</v>
      </c>
      <c r="V25" s="253">
        <f>U25*(1+Assumptions!$L$52)</f>
        <v>1159.3899716570204</v>
      </c>
      <c r="W25" s="253">
        <f>V25*(1+Assumptions!$L$52)</f>
        <v>1194.1716708067311</v>
      </c>
      <c r="X25" s="253">
        <f>W25*(1+Assumptions!$L$52)</f>
        <v>1229.9968209309329</v>
      </c>
      <c r="Y25" s="253">
        <f>X25*(1+Assumptions!$L$52)</f>
        <v>1266.8967255588609</v>
      </c>
      <c r="Z25" s="253">
        <f>Y25*(1+Assumptions!$L$52)</f>
        <v>1304.9036273256268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60">
      <c r="A26" s="4" t="s">
        <v>177</v>
      </c>
      <c r="D26"/>
      <c r="E26" s="253">
        <f>Assumptions!L59*Assumptions!L$53/12</f>
        <v>0</v>
      </c>
      <c r="F26" s="253">
        <f>Assumptions!L59*(1+Assumptions!$L$52)*$F$1/12</f>
        <v>797.47544000000016</v>
      </c>
      <c r="G26" s="253">
        <f>F26*(1+Assumptions!$L$52)</f>
        <v>821.3997032000002</v>
      </c>
      <c r="H26" s="187">
        <f>G26*(1+Assumptions!$L$52)</f>
        <v>846.04169429600029</v>
      </c>
      <c r="I26" s="253">
        <f>Assumptions!$L$60*(1+Assumptions!$L$52)^(I5-$E$5)</f>
        <v>927.46038743889301</v>
      </c>
      <c r="J26" s="253">
        <f>Assumptions!$L$60*(1+Assumptions!$L$52)^(J5-$E$5)</f>
        <v>955.28419906205977</v>
      </c>
      <c r="K26" s="253">
        <f>J26*(1+Assumptions!$L$52)</f>
        <v>983.94272503392153</v>
      </c>
      <c r="L26" s="253">
        <f>K26*(1+Assumptions!$L$52)</f>
        <v>1013.4610067849392</v>
      </c>
      <c r="M26" s="253">
        <f>L26*(1+Assumptions!$L$52)</f>
        <v>1043.8648369884875</v>
      </c>
      <c r="N26" s="253">
        <f>M26*(1+Assumptions!$L$52)</f>
        <v>1075.1807820981421</v>
      </c>
      <c r="O26" s="253">
        <f>N26*(1+Assumptions!$L$52)</f>
        <v>1107.4362055610864</v>
      </c>
      <c r="P26" s="253">
        <f>O26*(1+Assumptions!$L$52)</f>
        <v>1140.659291727919</v>
      </c>
      <c r="Q26" s="253">
        <f>P26*(1+Assumptions!$L$52)</f>
        <v>1174.8790704797566</v>
      </c>
      <c r="R26" s="253">
        <f>Q26*(1+Assumptions!$L$52)</f>
        <v>1210.1254425941493</v>
      </c>
      <c r="S26" s="253">
        <f>R26*(1+Assumptions!$L$52)</f>
        <v>1246.4292058719739</v>
      </c>
      <c r="T26" s="253">
        <f>S26*(1+Assumptions!$L$52)</f>
        <v>1283.8220820481331</v>
      </c>
      <c r="U26" s="253">
        <f>T26*(1+Assumptions!$L$52)</f>
        <v>1322.3367445095771</v>
      </c>
      <c r="V26" s="253">
        <f>U26*(1+Assumptions!$L$52)</f>
        <v>1362.0068468448644</v>
      </c>
      <c r="W26" s="253">
        <f>V26*(1+Assumptions!$L$52)</f>
        <v>1402.8670522502105</v>
      </c>
      <c r="X26" s="253">
        <f>W26*(1+Assumptions!$L$52)</f>
        <v>1444.9530638177168</v>
      </c>
      <c r="Y26" s="253">
        <f>X26*(1+Assumptions!$L$52)</f>
        <v>1488.3016557322485</v>
      </c>
      <c r="Z26" s="253">
        <f>Y26*(1+Assumptions!$L$52)</f>
        <v>1532.950705404216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60">
      <c r="A27" s="4" t="s">
        <v>131</v>
      </c>
      <c r="D27"/>
      <c r="E27" s="253">
        <f>VLOOKUP(Assumptions!L19,'EGC Start Charge Matrix'!$U$10:$AM$35,14)*Assumptions!L$53/12</f>
        <v>0</v>
      </c>
      <c r="F27" s="253">
        <f>VLOOKUP(Assumptions!L19,'EGC Start Charge Matrix'!$U$10:$AM$35,14)*(1+Assumptions!$L$52)*$F$1/12</f>
        <v>2032.4784</v>
      </c>
      <c r="G27" s="253">
        <f>F27*(1+Assumptions!$L$52)</f>
        <v>2093.4527520000001</v>
      </c>
      <c r="H27" s="253">
        <f>G27*(1+Assumptions!$L$52)</f>
        <v>2156.2563345600001</v>
      </c>
      <c r="I27" s="253">
        <f>H27*(1+Assumptions!$L$52)</f>
        <v>2220.9440245968003</v>
      </c>
      <c r="J27" s="253">
        <f>I27*(1+Assumptions!$L$52)</f>
        <v>2287.5723453347046</v>
      </c>
      <c r="K27" s="253">
        <f>J27*(1+Assumptions!$L$52)</f>
        <v>2356.199515694746</v>
      </c>
      <c r="L27" s="253">
        <f>K27*(1+Assumptions!$L$52)</f>
        <v>2426.8855011655883</v>
      </c>
      <c r="M27" s="253">
        <f>L27*(1+Assumptions!$L$52)</f>
        <v>2499.6920662005559</v>
      </c>
      <c r="N27" s="253">
        <f>M27*(1+Assumptions!$L$52)</f>
        <v>2574.6828281865728</v>
      </c>
      <c r="O27" s="253">
        <f>N27*(1+Assumptions!$L$52)</f>
        <v>2651.92331303217</v>
      </c>
      <c r="P27" s="253">
        <f>O27*(1+Assumptions!$L$52)</f>
        <v>2731.4810124231353</v>
      </c>
      <c r="Q27" s="253">
        <f>P27*(1+Assumptions!$L$52)</f>
        <v>2813.4254427958294</v>
      </c>
      <c r="R27" s="253">
        <f>Q27*(1+Assumptions!$L$52)</f>
        <v>2897.8282060797046</v>
      </c>
      <c r="S27" s="253">
        <f>R27*(1+Assumptions!$L$52)</f>
        <v>2984.7630522620957</v>
      </c>
      <c r="T27" s="253">
        <f>S27*(1+Assumptions!$L$52)</f>
        <v>3074.3059438299588</v>
      </c>
      <c r="U27" s="253">
        <f>T27*(1+Assumptions!$L$52)</f>
        <v>3166.5351221448577</v>
      </c>
      <c r="V27" s="253">
        <f>U27*(1+Assumptions!$L$52)</f>
        <v>3261.5311758092034</v>
      </c>
      <c r="W27" s="253">
        <f>V27*(1+Assumptions!$L$52)</f>
        <v>3359.3771110834796</v>
      </c>
      <c r="X27" s="253">
        <f>W27*(1+Assumptions!$L$52)</f>
        <v>3460.158424415984</v>
      </c>
      <c r="Y27" s="253">
        <f>X27*(1+Assumptions!$L$52)</f>
        <v>3563.9631771484637</v>
      </c>
      <c r="Z27" s="253">
        <f>Y27*(1+Assumptions!$L$52)</f>
        <v>3670.8820724629177</v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60">
      <c r="A28" s="4" t="s">
        <v>133</v>
      </c>
      <c r="D28"/>
      <c r="E28" s="253">
        <f>Assumptions!L53/12*Assumptions!L62</f>
        <v>0</v>
      </c>
      <c r="F28" s="253">
        <f>Assumptions!L62*(1+Assumptions!$L$52)*$F$1/12</f>
        <v>230.47280000000001</v>
      </c>
      <c r="G28" s="253">
        <f>F28*(1+Assumptions!$L$52)</f>
        <v>237.38698400000001</v>
      </c>
      <c r="H28" s="187">
        <f>G28*(1+Assumptions!$L$52)</f>
        <v>244.50859352000001</v>
      </c>
      <c r="I28" s="253">
        <f>H28*(1+Assumptions!$L$52)</f>
        <v>251.84385132560001</v>
      </c>
      <c r="J28" s="253">
        <f>I28*(1+Assumptions!$L$52)</f>
        <v>259.39916686536804</v>
      </c>
      <c r="K28" s="253">
        <f>J28*(1+Assumptions!$L$52)</f>
        <v>267.18114187132909</v>
      </c>
      <c r="L28" s="253">
        <f>K28*(1+Assumptions!$L$52)</f>
        <v>275.19657612746897</v>
      </c>
      <c r="M28" s="253">
        <f>L28*(1+Assumptions!$L$52)</f>
        <v>283.45247341129306</v>
      </c>
      <c r="N28" s="253">
        <f>M28*(1+Assumptions!$L$52)</f>
        <v>291.95604761363188</v>
      </c>
      <c r="O28" s="253">
        <f>N28*(1+Assumptions!$L$52)</f>
        <v>300.71472904204086</v>
      </c>
      <c r="P28" s="253">
        <f>O28*(1+Assumptions!$L$52)</f>
        <v>309.73617091330209</v>
      </c>
      <c r="Q28" s="253">
        <f>P28*(1+Assumptions!$L$52)</f>
        <v>319.02825604070114</v>
      </c>
      <c r="R28" s="253">
        <f>Q28*(1+Assumptions!$L$52)</f>
        <v>328.59910372192218</v>
      </c>
      <c r="S28" s="253">
        <f>R28*(1+Assumptions!$L$52)</f>
        <v>338.45707683357983</v>
      </c>
      <c r="T28" s="253">
        <f>S28*(1+Assumptions!$L$52)</f>
        <v>348.61078913858722</v>
      </c>
      <c r="U28" s="253">
        <f>T28*(1+Assumptions!$L$52)</f>
        <v>359.06911281274483</v>
      </c>
      <c r="V28" s="253">
        <f>U28*(1+Assumptions!$L$52)</f>
        <v>369.84118619712717</v>
      </c>
      <c r="W28" s="253">
        <f>V28*(1+Assumptions!$L$52)</f>
        <v>380.936421783041</v>
      </c>
      <c r="X28" s="253">
        <f>W28*(1+Assumptions!$L$52)</f>
        <v>392.36451443653226</v>
      </c>
      <c r="Y28" s="253">
        <f>X28*(1+Assumptions!$L$52)</f>
        <v>404.13544986962825</v>
      </c>
      <c r="Z28" s="253">
        <f>Y28*(1+Assumptions!$L$52)</f>
        <v>416.25951336571711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60">
      <c r="A29" s="4" t="s">
        <v>134</v>
      </c>
      <c r="D29"/>
      <c r="E29" s="253">
        <f>Assumptions!L53/12*Assumptions!L63</f>
        <v>0</v>
      </c>
      <c r="F29" s="253">
        <f>Assumptions!L63*(1+Assumptions!$L$52)*$F$1/12</f>
        <v>353.24468000000002</v>
      </c>
      <c r="G29" s="253">
        <f>F29*(1+Assumptions!$L$52)</f>
        <v>363.84202040000002</v>
      </c>
      <c r="H29" s="187">
        <f>G29*(1+Assumptions!$L$52)</f>
        <v>374.75728101200002</v>
      </c>
      <c r="I29" s="253">
        <f>H29*(1+Assumptions!$L$52)</f>
        <v>385.99999944236004</v>
      </c>
      <c r="J29" s="253">
        <f>I29*(1+Assumptions!$L$52)</f>
        <v>397.57999942563083</v>
      </c>
      <c r="K29" s="253">
        <f>J29*(1+Assumptions!$L$52)</f>
        <v>409.50739940839975</v>
      </c>
      <c r="L29" s="253">
        <f>K29*(1+Assumptions!$L$52)</f>
        <v>421.79262139065173</v>
      </c>
      <c r="M29" s="253">
        <f>L29*(1+Assumptions!$L$52)</f>
        <v>434.44640003237129</v>
      </c>
      <c r="N29" s="253">
        <f>M29*(1+Assumptions!$L$52)</f>
        <v>447.47979203334245</v>
      </c>
      <c r="O29" s="253">
        <f>N29*(1+Assumptions!$L$52)</f>
        <v>460.90418579434271</v>
      </c>
      <c r="P29" s="253">
        <f>O29*(1+Assumptions!$L$52)</f>
        <v>474.73131136817301</v>
      </c>
      <c r="Q29" s="253">
        <f>P29*(1+Assumptions!$L$52)</f>
        <v>488.97325070921823</v>
      </c>
      <c r="R29" s="253">
        <f>Q29*(1+Assumptions!$L$52)</f>
        <v>503.64244823049478</v>
      </c>
      <c r="S29" s="253">
        <f>R29*(1+Assumptions!$L$52)</f>
        <v>518.75172167740959</v>
      </c>
      <c r="T29" s="253">
        <f>S29*(1+Assumptions!$L$52)</f>
        <v>534.31427332773194</v>
      </c>
      <c r="U29" s="253">
        <f>T29*(1+Assumptions!$L$52)</f>
        <v>550.34370152756389</v>
      </c>
      <c r="V29" s="253">
        <f>U29*(1+Assumptions!$L$52)</f>
        <v>566.85401257339083</v>
      </c>
      <c r="W29" s="253">
        <f>V29*(1+Assumptions!$L$52)</f>
        <v>583.85963295059253</v>
      </c>
      <c r="X29" s="253">
        <f>W29*(1+Assumptions!$L$52)</f>
        <v>601.37542193911031</v>
      </c>
      <c r="Y29" s="253">
        <f>X29*(1+Assumptions!$L$52)</f>
        <v>619.41668459728362</v>
      </c>
      <c r="Z29" s="253">
        <f>Y29*(1+Assumptions!$L$52)</f>
        <v>637.9991851352022</v>
      </c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60">
      <c r="A30" s="4" t="s">
        <v>287</v>
      </c>
      <c r="D30"/>
      <c r="E30" s="253">
        <f>+Assumptions!L64*Assumptions!L53/12</f>
        <v>0</v>
      </c>
      <c r="F30" s="253">
        <f>+Assumptions!L64*(1+Assumptions!$L$52)*$F$1/12</f>
        <v>95.745709999999988</v>
      </c>
      <c r="G30" s="253">
        <f>F30*(1+Assumptions!$L$52)</f>
        <v>98.618081299999986</v>
      </c>
      <c r="H30" s="253">
        <f>G30*(1+Assumptions!$L$52)</f>
        <v>101.57662373899998</v>
      </c>
      <c r="I30" s="253">
        <f>H30*(1+Assumptions!$L$52)</f>
        <v>104.62392245116999</v>
      </c>
      <c r="J30" s="253">
        <f>I30*(1+Assumptions!$L$52)</f>
        <v>107.76264012470509</v>
      </c>
      <c r="K30" s="253">
        <f>J30*(1+Assumptions!$L$52)</f>
        <v>110.99551932844624</v>
      </c>
      <c r="L30" s="253">
        <f>K30*(1+Assumptions!$L$52)</f>
        <v>114.32538490829963</v>
      </c>
      <c r="M30" s="253">
        <f>L30*(1+Assumptions!$L$52)</f>
        <v>117.75514645554861</v>
      </c>
      <c r="N30" s="253">
        <f>M30*(1+Assumptions!$L$52)</f>
        <v>121.28780084921507</v>
      </c>
      <c r="O30" s="253">
        <f>N30*(1+Assumptions!$L$52)</f>
        <v>124.92643487469152</v>
      </c>
      <c r="P30" s="253">
        <f>O30*(1+Assumptions!$L$52)</f>
        <v>128.67422792093228</v>
      </c>
      <c r="Q30" s="253">
        <f>P30*(1+Assumptions!$L$52)</f>
        <v>132.53445475856026</v>
      </c>
      <c r="R30" s="253">
        <f>Q30*(1+Assumptions!$L$52)</f>
        <v>136.51048840131708</v>
      </c>
      <c r="S30" s="253">
        <f>R30*(1+Assumptions!$L$52)</f>
        <v>140.6058030533566</v>
      </c>
      <c r="T30" s="253">
        <f>S30*(1+Assumptions!$L$52)</f>
        <v>144.8239771449573</v>
      </c>
      <c r="U30" s="253">
        <f>T30*(1+Assumptions!$L$52)</f>
        <v>149.16869645930603</v>
      </c>
      <c r="V30" s="253">
        <f>U30*(1+Assumptions!$L$52)</f>
        <v>153.64375735308522</v>
      </c>
      <c r="W30" s="253">
        <f>V30*(1+Assumptions!$L$52)</f>
        <v>158.25307007367778</v>
      </c>
      <c r="X30" s="253">
        <f>W30*(1+Assumptions!$L$52)</f>
        <v>163.00066217588812</v>
      </c>
      <c r="Y30" s="253">
        <f>X30*(1+Assumptions!$L$52)</f>
        <v>167.89068204116478</v>
      </c>
      <c r="Z30" s="253">
        <f>Y30*(1+Assumptions!$L$52)</f>
        <v>172.92740250239973</v>
      </c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1:60">
      <c r="A31" s="4" t="s">
        <v>288</v>
      </c>
      <c r="D31"/>
      <c r="E31" s="253">
        <f>0.5*312.773898109074*Assumptions!L$53/12</f>
        <v>0</v>
      </c>
      <c r="F31" s="253">
        <v>401.07184007499995</v>
      </c>
      <c r="G31" s="253">
        <v>540.36292012499996</v>
      </c>
      <c r="H31" s="187">
        <v>604.65400017499996</v>
      </c>
      <c r="I31" s="253">
        <v>643.94508022499997</v>
      </c>
      <c r="J31" s="253">
        <v>633.91217527499998</v>
      </c>
      <c r="K31" s="253">
        <v>624.555285325</v>
      </c>
      <c r="L31" s="253">
        <v>615.19839537500002</v>
      </c>
      <c r="M31" s="253">
        <v>605.84150542499992</v>
      </c>
      <c r="N31" s="253">
        <v>596.48461547499994</v>
      </c>
      <c r="O31" s="253">
        <v>587.12772552499996</v>
      </c>
      <c r="P31" s="253">
        <v>577.77083557499998</v>
      </c>
      <c r="Q31" s="253">
        <v>568.413945625</v>
      </c>
      <c r="R31" s="253">
        <v>559.0570556749999</v>
      </c>
      <c r="S31" s="253">
        <v>549.70016572499992</v>
      </c>
      <c r="T31" s="253">
        <v>832.67973634923089</v>
      </c>
      <c r="U31" s="253">
        <v>786.16218779506835</v>
      </c>
      <c r="V31" s="253">
        <v>739.64463924090569</v>
      </c>
      <c r="W31" s="253">
        <v>693.12709068674326</v>
      </c>
      <c r="X31" s="253">
        <v>646.60954213258071</v>
      </c>
      <c r="Y31" s="253">
        <v>600.14904089091829</v>
      </c>
      <c r="Z31" s="253">
        <v>0</v>
      </c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0">
      <c r="A32" s="4" t="s">
        <v>289</v>
      </c>
      <c r="D32"/>
      <c r="E32" s="253">
        <v>0</v>
      </c>
      <c r="F32" s="253">
        <f ca="1">Allocation!$I$7*IS!E31*7/12+Allocation!$K$7*IS!E31*5/12</f>
        <v>448.72061056024955</v>
      </c>
      <c r="G32" s="253">
        <f>Allocation!$I$7*IS!F31</f>
        <v>296.09427579311864</v>
      </c>
      <c r="H32" s="253">
        <f>Allocation!$I$7*IS!G31</f>
        <v>294.33661064695565</v>
      </c>
      <c r="I32" s="253">
        <f>Allocation!$I$7*IS!H31</f>
        <v>286.71166374187544</v>
      </c>
      <c r="J32" s="253">
        <f>Allocation!$I$7*IS!I31</f>
        <v>286.71166374187544</v>
      </c>
      <c r="K32" s="253">
        <f>Allocation!$I$7*IS!J31</f>
        <v>286.71166374187544</v>
      </c>
      <c r="L32" s="253">
        <f>Allocation!$I$7*IS!K31</f>
        <v>286.71166374187544</v>
      </c>
      <c r="M32" s="253">
        <f>Allocation!$I$7*IS!L31</f>
        <v>286.71166374187544</v>
      </c>
      <c r="N32" s="253">
        <f>Allocation!$I$7*IS!M31</f>
        <v>286.71166374187544</v>
      </c>
      <c r="O32" s="253">
        <f>Allocation!$I$7*IS!N31</f>
        <v>286.71166374187544</v>
      </c>
      <c r="P32" s="253">
        <f>Allocation!$I$7*IS!O31</f>
        <v>249.96211583993815</v>
      </c>
      <c r="Q32" s="253">
        <f>Allocation!$I$7*IS!P31</f>
        <v>238.80637738347656</v>
      </c>
      <c r="R32" s="253">
        <f>Allocation!$I$7*IS!Q31</f>
        <v>238.19951021480534</v>
      </c>
      <c r="S32" s="253">
        <f>Allocation!$I$7*IS!R31</f>
        <v>233.25167224707229</v>
      </c>
      <c r="T32" s="253">
        <f>Allocation!$I$7*IS!S31</f>
        <v>228.26622014039413</v>
      </c>
      <c r="U32" s="253">
        <f>Allocation!$I$7*IS!T31</f>
        <v>225.86957165398908</v>
      </c>
      <c r="V32" s="253">
        <f>Allocation!$I$7*IS!U31</f>
        <v>212.65625423750109</v>
      </c>
      <c r="W32" s="253">
        <f>Allocation!$I$7*IS!V31</f>
        <v>192.61578365593334</v>
      </c>
      <c r="X32" s="253">
        <f>Allocation!$I$7*IS!W31</f>
        <v>158.75161195965552</v>
      </c>
      <c r="Y32" s="253">
        <f>Allocation!$I$7*IS!X31</f>
        <v>125.76866160102659</v>
      </c>
      <c r="Z32" s="253">
        <f>Allocation!$I$7*IS!Y31</f>
        <v>125.76866160102659</v>
      </c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60">
      <c r="A33" s="4" t="s">
        <v>180</v>
      </c>
      <c r="D33"/>
      <c r="E33" s="253">
        <v>0</v>
      </c>
      <c r="F33" s="253">
        <v>0</v>
      </c>
      <c r="G33" s="253">
        <v>0</v>
      </c>
      <c r="H33" s="253">
        <v>0</v>
      </c>
      <c r="I33" s="135">
        <f>Assumptions!$L$50*Assumptions!$L$33*12</f>
        <v>409.45967999999999</v>
      </c>
      <c r="J33" s="135">
        <f>Assumptions!$L$50*Assumptions!$L$33*12*(1+Assumptions!L52)</f>
        <v>421.74347039999998</v>
      </c>
      <c r="K33" s="135">
        <f>J33*(1+Assumptions!$L$52)</f>
        <v>434.395774512</v>
      </c>
      <c r="L33" s="135">
        <f>K33*(1+Assumptions!$L$52)</f>
        <v>447.42764774736003</v>
      </c>
      <c r="M33" s="135">
        <f>L33*(1+Assumptions!$L$52)</f>
        <v>460.85047717978085</v>
      </c>
      <c r="N33" s="135">
        <f>M33*(1+Assumptions!$L$52)</f>
        <v>474.67599149517429</v>
      </c>
      <c r="O33" s="135">
        <f>N33*(1+Assumptions!$L$52)</f>
        <v>488.91627124002952</v>
      </c>
      <c r="P33" s="135">
        <f>O33*(1+Assumptions!$L$52)</f>
        <v>503.58375937723042</v>
      </c>
      <c r="Q33" s="135">
        <f>P33*(1+Assumptions!$L$52)</f>
        <v>518.69127215854735</v>
      </c>
      <c r="R33" s="135">
        <f>Q33*(1+Assumptions!$L$52)</f>
        <v>534.25201032330381</v>
      </c>
      <c r="S33" s="135">
        <f>R33*(1+Assumptions!$L$52)</f>
        <v>550.27957063300289</v>
      </c>
      <c r="T33" s="135">
        <f>S33*(1+Assumptions!$L$52)</f>
        <v>566.78795775199296</v>
      </c>
      <c r="U33" s="135">
        <f>T33*(1+Assumptions!$L$52)</f>
        <v>583.79159648455277</v>
      </c>
      <c r="V33" s="135">
        <f>U33*(1+Assumptions!$L$52)</f>
        <v>601.30534437908932</v>
      </c>
      <c r="W33" s="135">
        <f>V33*(1+Assumptions!$L$52)</f>
        <v>619.34450471046205</v>
      </c>
      <c r="X33" s="135">
        <f>W33*(1+Assumptions!$L$52)</f>
        <v>637.92483985177591</v>
      </c>
      <c r="Y33" s="135">
        <f>X33*(1+Assumptions!$L$52)</f>
        <v>657.06258504732921</v>
      </c>
      <c r="Z33" s="135">
        <f>Y33*(1+Assumptions!$L$52)</f>
        <v>676.7744625987491</v>
      </c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60">
      <c r="A34" s="4" t="s">
        <v>181</v>
      </c>
      <c r="D34"/>
      <c r="E34" s="253">
        <f>Assumptions!L53/12*Assumptions!L65</f>
        <v>0</v>
      </c>
      <c r="F34" s="253">
        <f>Assumptions!L65*(1+Assumptions!$L$52)*$F$1/12</f>
        <v>163.23183391003462</v>
      </c>
      <c r="G34" s="253">
        <f>F34*(1+Assumptions!$L$52)</f>
        <v>168.12878892733568</v>
      </c>
      <c r="H34" s="187">
        <f>G34*(1+Assumptions!$L$52)</f>
        <v>173.17265259515574</v>
      </c>
      <c r="I34" s="253">
        <f>H34*(1+Assumptions!$L$52)</f>
        <v>178.36783217301041</v>
      </c>
      <c r="J34" s="253">
        <f>I34*(1+Assumptions!$L$52)</f>
        <v>183.71886713820072</v>
      </c>
      <c r="K34" s="253">
        <f>J34*(1+Assumptions!$L$52)</f>
        <v>189.23043315234673</v>
      </c>
      <c r="L34" s="253">
        <f>K34*(1+Assumptions!$L$52)</f>
        <v>194.90734614691715</v>
      </c>
      <c r="M34" s="253">
        <f>L34*(1+Assumptions!$L$52)</f>
        <v>200.75456653132466</v>
      </c>
      <c r="N34" s="253">
        <f>M34*(1+Assumptions!$L$52)</f>
        <v>206.77720352726439</v>
      </c>
      <c r="O34" s="253">
        <f>N34*(1+Assumptions!$L$52)</f>
        <v>212.98051963308234</v>
      </c>
      <c r="P34" s="253">
        <f>O34*(1+Assumptions!$L$52)</f>
        <v>219.36993522207482</v>
      </c>
      <c r="Q34" s="253">
        <f>P34*(1+Assumptions!$L$52)</f>
        <v>225.95103327873707</v>
      </c>
      <c r="R34" s="253">
        <f>Q34*(1+Assumptions!$L$52)</f>
        <v>232.7295642770992</v>
      </c>
      <c r="S34" s="253">
        <f>R34*(1+Assumptions!$L$52)</f>
        <v>239.71145120541217</v>
      </c>
      <c r="T34" s="253">
        <f>S34*(1+Assumptions!$L$52)</f>
        <v>246.90279474157455</v>
      </c>
      <c r="U34" s="253">
        <f>T34*(1+Assumptions!$L$52)</f>
        <v>254.30987858382179</v>
      </c>
      <c r="V34" s="253">
        <f>U34*(1+Assumptions!$L$52)</f>
        <v>261.93917494133643</v>
      </c>
      <c r="W34" s="253">
        <f>V34*(1+Assumptions!$L$52)</f>
        <v>269.79735018957655</v>
      </c>
      <c r="X34" s="253">
        <f>W34*(1+Assumptions!$L$52)</f>
        <v>277.89127069526387</v>
      </c>
      <c r="Y34" s="253">
        <f>X34*(1+Assumptions!$L$52)</f>
        <v>286.22800881612181</v>
      </c>
      <c r="Z34" s="253">
        <f>Y34*(1+Assumptions!$L$52)</f>
        <v>294.81484908060548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60">
      <c r="A35" s="4" t="s">
        <v>182</v>
      </c>
      <c r="B35" s="8"/>
      <c r="C35" s="8"/>
      <c r="D35"/>
      <c r="E35" s="254">
        <f>Assumptions!L53/12*Assumptions!L66</f>
        <v>0</v>
      </c>
      <c r="F35" s="254">
        <f>Assumptions!L66*(1+Assumptions!$L$52)*$F$1/12</f>
        <v>206</v>
      </c>
      <c r="G35" s="254">
        <f>F35*(1+Assumptions!$L$52)</f>
        <v>212.18</v>
      </c>
      <c r="H35" s="254">
        <f>G35*(1+Assumptions!$L$52)</f>
        <v>218.5454</v>
      </c>
      <c r="I35" s="254">
        <f>H35*(1+Assumptions!$L$52)</f>
        <v>225.10176200000001</v>
      </c>
      <c r="J35" s="254">
        <f>I35*(1+Assumptions!$L$52)</f>
        <v>231.85481486</v>
      </c>
      <c r="K35" s="254">
        <f>J35*(1+Assumptions!$L$52)</f>
        <v>238.81045930580001</v>
      </c>
      <c r="L35" s="254">
        <f>K35*(1+Assumptions!$L$52)</f>
        <v>245.974773084974</v>
      </c>
      <c r="M35" s="254">
        <f>L35*(1+Assumptions!$L$52)</f>
        <v>253.35401627752324</v>
      </c>
      <c r="N35" s="254">
        <f>M35*(1+Assumptions!$L$52)</f>
        <v>260.95463676584893</v>
      </c>
      <c r="O35" s="254">
        <f>N35*(1+Assumptions!$L$52)</f>
        <v>268.78327586882443</v>
      </c>
      <c r="P35" s="254">
        <f>O35*(1+Assumptions!$L$52)</f>
        <v>276.8467741448892</v>
      </c>
      <c r="Q35" s="254">
        <f>P35*(1+Assumptions!$L$52)</f>
        <v>285.15217736923586</v>
      </c>
      <c r="R35" s="254">
        <f>Q35*(1+Assumptions!$L$52)</f>
        <v>293.70674269031292</v>
      </c>
      <c r="S35" s="254">
        <f>R35*(1+Assumptions!$L$52)</f>
        <v>302.5179449710223</v>
      </c>
      <c r="T35" s="254">
        <f>S35*(1+Assumptions!$L$52)</f>
        <v>311.59348332015298</v>
      </c>
      <c r="U35" s="254">
        <f>T35*(1+Assumptions!$L$52)</f>
        <v>320.94128781975758</v>
      </c>
      <c r="V35" s="254">
        <f>U35*(1+Assumptions!$L$52)</f>
        <v>330.5695264543503</v>
      </c>
      <c r="W35" s="254">
        <f>V35*(1+Assumptions!$L$52)</f>
        <v>340.48661224798082</v>
      </c>
      <c r="X35" s="254">
        <f>W35*(1+Assumptions!$L$52)</f>
        <v>350.70121061542022</v>
      </c>
      <c r="Y35" s="254">
        <f>X35*(1+Assumptions!$L$52)</f>
        <v>361.22224693388284</v>
      </c>
      <c r="Z35" s="254">
        <f>Y35*(1+Assumptions!$L$52)</f>
        <v>372.05891434189931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60">
      <c r="A36" s="4" t="s">
        <v>183</v>
      </c>
      <c r="B36" s="8"/>
      <c r="C36" s="8"/>
      <c r="D36" s="253"/>
      <c r="E36" s="253">
        <f>SUM(E24:E35)</f>
        <v>0</v>
      </c>
      <c r="F36" s="253">
        <f t="shared" ref="F36:Z36" ca="1" si="2">SUM(F24:F35)</f>
        <v>5450.934814545285</v>
      </c>
      <c r="G36" s="253">
        <f t="shared" si="2"/>
        <v>5575.6338307454553</v>
      </c>
      <c r="H36" s="187">
        <f t="shared" si="2"/>
        <v>5780.3425446941119</v>
      </c>
      <c r="I36" s="253">
        <f t="shared" si="2"/>
        <v>6423.9463581692098</v>
      </c>
      <c r="J36" s="253">
        <f t="shared" si="2"/>
        <v>6578.712141645281</v>
      </c>
      <c r="K36" s="253">
        <f t="shared" si="2"/>
        <v>6739.0979007741307</v>
      </c>
      <c r="L36" s="253">
        <f t="shared" si="2"/>
        <v>6904.5759393753497</v>
      </c>
      <c r="M36" s="253">
        <f t="shared" si="2"/>
        <v>7075.2990258331047</v>
      </c>
      <c r="N36" s="253">
        <f t="shared" si="2"/>
        <v>7251.4245115830918</v>
      </c>
      <c r="O36" s="253">
        <f t="shared" si="2"/>
        <v>7433.1144686040789</v>
      </c>
      <c r="P36" s="253">
        <f t="shared" si="2"/>
        <v>7583.7862831322564</v>
      </c>
      <c r="Q36" s="253">
        <f t="shared" si="2"/>
        <v>7765.9552546773148</v>
      </c>
      <c r="R36" s="253">
        <f t="shared" si="2"/>
        <v>7964.75354550871</v>
      </c>
      <c r="S36" s="253">
        <f t="shared" si="2"/>
        <v>8165.4737269795442</v>
      </c>
      <c r="T36" s="253">
        <f t="shared" si="2"/>
        <v>8664.9435021673198</v>
      </c>
      <c r="U36" s="253">
        <f t="shared" si="2"/>
        <v>8844.1492314970837</v>
      </c>
      <c r="V36" s="253">
        <f t="shared" si="2"/>
        <v>9019.3818896878747</v>
      </c>
      <c r="W36" s="253">
        <f t="shared" si="2"/>
        <v>9194.8363004384282</v>
      </c>
      <c r="X36" s="253">
        <f t="shared" si="2"/>
        <v>9363.7273829708611</v>
      </c>
      <c r="Y36" s="253">
        <f t="shared" si="2"/>
        <v>9541.03491823693</v>
      </c>
      <c r="Z36" s="253">
        <f t="shared" si="2"/>
        <v>9205.3393938183617</v>
      </c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60" s="146" customFormat="1">
      <c r="A37" s="6"/>
      <c r="B37" s="143"/>
      <c r="C37" s="143"/>
      <c r="D37" s="256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60" s="146" customFormat="1" ht="6.75" customHeight="1">
      <c r="A38" s="6"/>
      <c r="B38" s="5"/>
      <c r="C38" s="5"/>
      <c r="D38" s="256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60" s="138" customFormat="1">
      <c r="A39" s="1" t="s">
        <v>184</v>
      </c>
      <c r="B39" s="1"/>
      <c r="C39" s="1"/>
      <c r="D39" s="259"/>
      <c r="E39" s="259">
        <f t="shared" ref="E39:Z39" si="3">E20-E36</f>
        <v>0</v>
      </c>
      <c r="F39" s="259">
        <f t="shared" ca="1" si="3"/>
        <v>19605.056763272896</v>
      </c>
      <c r="G39" s="259">
        <f t="shared" si="3"/>
        <v>19564.758857260225</v>
      </c>
      <c r="H39" s="260">
        <f t="shared" si="3"/>
        <v>19446.029927713913</v>
      </c>
      <c r="I39" s="259">
        <f t="shared" si="3"/>
        <v>28278.171528803767</v>
      </c>
      <c r="J39" s="259">
        <f t="shared" si="3"/>
        <v>28587.055991617468</v>
      </c>
      <c r="K39" s="259">
        <f t="shared" si="3"/>
        <v>28886.891803278155</v>
      </c>
      <c r="L39" s="259">
        <f t="shared" si="3"/>
        <v>29177.592724283477</v>
      </c>
      <c r="M39" s="259">
        <f t="shared" si="3"/>
        <v>30089.434522624033</v>
      </c>
      <c r="N39" s="259">
        <f t="shared" si="3"/>
        <v>30378.329616572344</v>
      </c>
      <c r="O39" s="259">
        <f t="shared" si="3"/>
        <v>31325.625090617112</v>
      </c>
      <c r="P39" s="259">
        <f t="shared" si="3"/>
        <v>31648.660307254308</v>
      </c>
      <c r="Q39" s="259">
        <f t="shared" si="3"/>
        <v>32643.676188624708</v>
      </c>
      <c r="R39" s="259">
        <f t="shared" si="3"/>
        <v>32925.638046980246</v>
      </c>
      <c r="S39" s="259">
        <f t="shared" si="3"/>
        <v>33198.203324012364</v>
      </c>
      <c r="T39" s="259">
        <f t="shared" si="3"/>
        <v>33159.952009716952</v>
      </c>
      <c r="U39" s="259">
        <f t="shared" si="3"/>
        <v>33436.707241487624</v>
      </c>
      <c r="V39" s="259">
        <f t="shared" si="3"/>
        <v>33707.2480437497</v>
      </c>
      <c r="W39" s="259">
        <f t="shared" si="3"/>
        <v>33966.300546736507</v>
      </c>
      <c r="X39" s="259">
        <f t="shared" si="3"/>
        <v>34219.655650765359</v>
      </c>
      <c r="Y39" s="259">
        <f t="shared" si="3"/>
        <v>34451.012731411385</v>
      </c>
      <c r="Z39" s="259">
        <f t="shared" si="3"/>
        <v>35187.118541506105</v>
      </c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60" s="138" customFormat="1">
      <c r="A40" s="1"/>
      <c r="B40" s="1"/>
      <c r="C40" s="1"/>
      <c r="D40" s="259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60">
      <c r="A41" s="4" t="s">
        <v>185</v>
      </c>
      <c r="D41" s="253"/>
      <c r="E41" s="253">
        <f>Allocation!$G$7/Allocation!$G$10*IS!D40</f>
        <v>0</v>
      </c>
      <c r="F41" s="253">
        <f>Allocation!$G$7*IS!E40</f>
        <v>3793.7996450286478</v>
      </c>
      <c r="G41" s="253">
        <f>Allocation!$G$7*IS!F40</f>
        <v>5214.517515952306</v>
      </c>
      <c r="H41" s="253">
        <f>Allocation!$G$7*IS!G40</f>
        <v>5214.517515952306</v>
      </c>
      <c r="I41" s="253">
        <f>Allocation!$G$7*IS!H40</f>
        <v>5214.517515952306</v>
      </c>
      <c r="J41" s="253">
        <f>Allocation!$G$7*IS!I40</f>
        <v>5214.517515952306</v>
      </c>
      <c r="K41" s="253">
        <f>Allocation!$G$7*IS!J40</f>
        <v>5214.517515952306</v>
      </c>
      <c r="L41" s="253">
        <f>Allocation!$G$7*IS!K40</f>
        <v>5214.517515952306</v>
      </c>
      <c r="M41" s="253">
        <f>Allocation!$G$7*IS!L40</f>
        <v>5214.517515952306</v>
      </c>
      <c r="N41" s="253">
        <f>Allocation!$G$7*IS!M40</f>
        <v>5214.517515952306</v>
      </c>
      <c r="O41" s="253">
        <f>Allocation!$G$7*IS!N40</f>
        <v>5214.517515952306</v>
      </c>
      <c r="P41" s="253">
        <f>Allocation!$G$7*IS!O40</f>
        <v>5214.517515952306</v>
      </c>
      <c r="Q41" s="253">
        <f>Allocation!$G$7*IS!P40</f>
        <v>5214.517515952306</v>
      </c>
      <c r="R41" s="253">
        <f>Allocation!$G$7*IS!Q40</f>
        <v>5214.517515952306</v>
      </c>
      <c r="S41" s="253">
        <f>Allocation!$G$7*IS!R40</f>
        <v>5214.517515952306</v>
      </c>
      <c r="T41" s="253">
        <f>Allocation!$G$7*IS!S40</f>
        <v>5214.517515952306</v>
      </c>
      <c r="U41" s="253">
        <f>Allocation!$G$7*IS!T40</f>
        <v>5214.517515952306</v>
      </c>
      <c r="V41" s="253">
        <f>Allocation!$G$7*IS!U40</f>
        <v>5214.517515952306</v>
      </c>
      <c r="W41" s="253">
        <f>Allocation!$G$7*IS!V40</f>
        <v>5214.517515952306</v>
      </c>
      <c r="X41" s="253">
        <f>Allocation!$G$7*IS!W40</f>
        <v>5214.517515952306</v>
      </c>
      <c r="Y41" s="253">
        <f>Allocation!$G$7*IS!X40</f>
        <v>5214.517515952306</v>
      </c>
      <c r="Z41" s="253">
        <f>Allocation!$G$7*IS!Y40</f>
        <v>5078.0584536709903</v>
      </c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60" ht="7.5" customHeight="1">
      <c r="A42" s="4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60" s="138" customFormat="1">
      <c r="A43" s="1" t="s">
        <v>186</v>
      </c>
      <c r="B43" s="1"/>
      <c r="C43" s="1"/>
      <c r="D43" s="259"/>
      <c r="E43" s="259">
        <f t="shared" ref="E43:Z43" si="4">E39-E41</f>
        <v>0</v>
      </c>
      <c r="F43" s="259">
        <f t="shared" ca="1" si="4"/>
        <v>15811.257118244248</v>
      </c>
      <c r="G43" s="259">
        <f t="shared" si="4"/>
        <v>14350.241341307919</v>
      </c>
      <c r="H43" s="259">
        <f t="shared" si="4"/>
        <v>14231.512411761607</v>
      </c>
      <c r="I43" s="259">
        <f t="shared" si="4"/>
        <v>23063.654012851461</v>
      </c>
      <c r="J43" s="259">
        <f t="shared" si="4"/>
        <v>23372.538475665162</v>
      </c>
      <c r="K43" s="259">
        <f t="shared" si="4"/>
        <v>23672.374287325849</v>
      </c>
      <c r="L43" s="259">
        <f t="shared" si="4"/>
        <v>23963.075208331171</v>
      </c>
      <c r="M43" s="259">
        <f t="shared" si="4"/>
        <v>24874.917006671727</v>
      </c>
      <c r="N43" s="259">
        <f t="shared" si="4"/>
        <v>25163.812100620038</v>
      </c>
      <c r="O43" s="259">
        <f t="shared" si="4"/>
        <v>26111.107574664806</v>
      </c>
      <c r="P43" s="259">
        <f t="shared" si="4"/>
        <v>26434.142791302002</v>
      </c>
      <c r="Q43" s="259">
        <f t="shared" si="4"/>
        <v>27429.158672672402</v>
      </c>
      <c r="R43" s="259">
        <f t="shared" si="4"/>
        <v>27711.12053102794</v>
      </c>
      <c r="S43" s="259">
        <f t="shared" si="4"/>
        <v>27983.685808060058</v>
      </c>
      <c r="T43" s="259">
        <f t="shared" si="4"/>
        <v>27945.434493764646</v>
      </c>
      <c r="U43" s="259">
        <f t="shared" si="4"/>
        <v>28222.189725535318</v>
      </c>
      <c r="V43" s="259">
        <f t="shared" si="4"/>
        <v>28492.730527797394</v>
      </c>
      <c r="W43" s="259">
        <f t="shared" si="4"/>
        <v>28751.783030784201</v>
      </c>
      <c r="X43" s="259">
        <f t="shared" si="4"/>
        <v>29005.138134813053</v>
      </c>
      <c r="Y43" s="259">
        <f t="shared" si="4"/>
        <v>29236.495215459079</v>
      </c>
      <c r="Z43" s="259">
        <f t="shared" si="4"/>
        <v>30109.060087835114</v>
      </c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60" s="138" customFormat="1">
      <c r="A44" s="1"/>
      <c r="B44" s="1"/>
      <c r="C44" s="1"/>
      <c r="D44" s="259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59"/>
      <c r="Q44" s="259"/>
      <c r="R44" s="259"/>
      <c r="S44" s="259"/>
      <c r="T44" s="259"/>
      <c r="U44" s="259"/>
      <c r="V44" s="259"/>
      <c r="W44" s="259"/>
      <c r="X44" s="259"/>
      <c r="Y44" s="259"/>
      <c r="Z44" s="259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1:60">
      <c r="A45" s="7" t="s">
        <v>187</v>
      </c>
      <c r="B45" s="755"/>
      <c r="C45" s="148"/>
      <c r="D45" s="253"/>
      <c r="E45" s="253">
        <f>Allocation!$K$7*(IS!$D$44)</f>
        <v>0</v>
      </c>
      <c r="F45" s="253">
        <f>Allocation!$I$7*(IS!$E$44-Debt!$C$136)</f>
        <v>10910.573443940213</v>
      </c>
      <c r="G45" s="253">
        <f>Allocation!$I$7*IS!F44</f>
        <v>10637.057326684901</v>
      </c>
      <c r="H45" s="253">
        <f>Allocation!$I$7*IS!G44</f>
        <v>10286.230443952712</v>
      </c>
      <c r="I45" s="253">
        <f>Allocation!$I$7*IS!H44</f>
        <v>9941.151976723153</v>
      </c>
      <c r="J45" s="253">
        <f>Allocation!$I$7*IS!I44</f>
        <v>9714.1626263370017</v>
      </c>
      <c r="K45" s="253">
        <f>Allocation!$I$7*IS!J44</f>
        <v>9331.9341945749984</v>
      </c>
      <c r="L45" s="253">
        <f>Allocation!$I$7*IS!K44</f>
        <v>8912.6482878188126</v>
      </c>
      <c r="M45" s="253">
        <f>Allocation!$I$7*IS!L44</f>
        <v>8428.2497461310777</v>
      </c>
      <c r="N45" s="253">
        <f>Allocation!$I$7*IS!M44</f>
        <v>7873.8057941381903</v>
      </c>
      <c r="O45" s="253">
        <f>Allocation!$I$7*IS!N44</f>
        <v>7200.9752331788495</v>
      </c>
      <c r="P45" s="253">
        <f>Allocation!$I$7*IS!O44</f>
        <v>6606.6490481861083</v>
      </c>
      <c r="Q45" s="253">
        <f>Allocation!$I$7*IS!P44</f>
        <v>6035.9677706766424</v>
      </c>
      <c r="R45" s="253">
        <f>Allocation!$I$7*IS!Q44</f>
        <v>5405.5126211365287</v>
      </c>
      <c r="S45" s="253">
        <f>Allocation!$I$7*IS!R44</f>
        <v>4726.2622030557941</v>
      </c>
      <c r="T45" s="253">
        <f>Allocation!$I$7*IS!S44</f>
        <v>4000.8745785866226</v>
      </c>
      <c r="U45" s="253">
        <f>Allocation!$I$7*IS!T44</f>
        <v>3215.227614420492</v>
      </c>
      <c r="V45" s="253">
        <f>Allocation!$I$7*IS!U44</f>
        <v>2396.8736389594255</v>
      </c>
      <c r="W45" s="253">
        <f>Allocation!$I$7*IS!V44</f>
        <v>1586.0073594741611</v>
      </c>
      <c r="X45" s="253">
        <f>Allocation!$I$7*IS!W44</f>
        <v>844.99406921778052</v>
      </c>
      <c r="Y45" s="253">
        <f>Allocation!$I$7*IS!X44</f>
        <v>202.85659936034514</v>
      </c>
      <c r="Z45" s="253">
        <v>0</v>
      </c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1:60" ht="6" customHeight="1">
      <c r="D46" s="253"/>
      <c r="E46" s="253"/>
      <c r="F46" s="156"/>
      <c r="G46" s="156"/>
      <c r="H46" s="255"/>
      <c r="I46" s="255"/>
      <c r="J46" s="255"/>
      <c r="K46" s="255"/>
      <c r="L46" s="255"/>
      <c r="M46" s="255"/>
      <c r="N46" s="255"/>
      <c r="O46" s="255"/>
      <c r="P46" s="255"/>
      <c r="Q46" s="255"/>
      <c r="R46" s="255"/>
      <c r="S46" s="255"/>
      <c r="T46" s="255"/>
      <c r="U46" s="255"/>
      <c r="V46" s="255"/>
      <c r="W46" s="255"/>
      <c r="X46" s="255"/>
      <c r="Y46" s="255"/>
      <c r="Z46" s="255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1:60" s="138" customFormat="1">
      <c r="A47" s="1" t="s">
        <v>188</v>
      </c>
      <c r="B47" s="259"/>
      <c r="D47" s="259"/>
      <c r="E47" s="259">
        <f t="shared" ref="E47:Z47" si="5">E43-E45</f>
        <v>0</v>
      </c>
      <c r="F47" s="259">
        <f t="shared" ca="1" si="5"/>
        <v>4900.6836743040349</v>
      </c>
      <c r="G47" s="259">
        <f t="shared" si="5"/>
        <v>3713.1840146230188</v>
      </c>
      <c r="H47" s="259">
        <f t="shared" si="5"/>
        <v>3945.2819678088945</v>
      </c>
      <c r="I47" s="259">
        <f t="shared" si="5"/>
        <v>13122.502036128308</v>
      </c>
      <c r="J47" s="259">
        <f t="shared" si="5"/>
        <v>13658.37584932816</v>
      </c>
      <c r="K47" s="259">
        <f t="shared" si="5"/>
        <v>14340.44009275085</v>
      </c>
      <c r="L47" s="259">
        <f t="shared" si="5"/>
        <v>15050.426920512358</v>
      </c>
      <c r="M47" s="259">
        <f t="shared" si="5"/>
        <v>16446.667260540649</v>
      </c>
      <c r="N47" s="259">
        <f t="shared" si="5"/>
        <v>17290.006306481846</v>
      </c>
      <c r="O47" s="259">
        <f t="shared" si="5"/>
        <v>18910.132341485958</v>
      </c>
      <c r="P47" s="259">
        <f t="shared" si="5"/>
        <v>19827.493743115894</v>
      </c>
      <c r="Q47" s="259">
        <f t="shared" si="5"/>
        <v>21393.19090199576</v>
      </c>
      <c r="R47" s="259">
        <f t="shared" si="5"/>
        <v>22305.607909891412</v>
      </c>
      <c r="S47" s="259">
        <f t="shared" si="5"/>
        <v>23257.423605004264</v>
      </c>
      <c r="T47" s="259">
        <f t="shared" si="5"/>
        <v>23944.559915178022</v>
      </c>
      <c r="U47" s="259">
        <f t="shared" si="5"/>
        <v>25006.962111114826</v>
      </c>
      <c r="V47" s="259">
        <f t="shared" si="5"/>
        <v>26095.856888837967</v>
      </c>
      <c r="W47" s="259">
        <f t="shared" si="5"/>
        <v>27165.775671310039</v>
      </c>
      <c r="X47" s="259">
        <f t="shared" si="5"/>
        <v>28160.144065595272</v>
      </c>
      <c r="Y47" s="259">
        <f t="shared" si="5"/>
        <v>29033.638616098735</v>
      </c>
      <c r="Z47" s="259">
        <f t="shared" si="5"/>
        <v>30109.060087835114</v>
      </c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1:60" s="138" customFormat="1">
      <c r="A48" s="1"/>
      <c r="B48" s="1"/>
      <c r="D48" s="259"/>
      <c r="E48" s="259"/>
      <c r="F48" s="259"/>
      <c r="G48" s="259"/>
      <c r="H48" s="259"/>
      <c r="I48" s="259"/>
      <c r="J48" s="259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59"/>
      <c r="X48" s="259"/>
      <c r="Y48" s="259"/>
      <c r="Z48" s="259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1:60">
      <c r="A49" s="4" t="s">
        <v>189</v>
      </c>
      <c r="C49" s="149">
        <f>Assumptions!L$44</f>
        <v>0.06</v>
      </c>
      <c r="D49" s="253"/>
      <c r="E49" s="253">
        <f>E47*-$C$49</f>
        <v>0</v>
      </c>
      <c r="F49" s="253">
        <f t="shared" ref="F49:Z49" ca="1" si="6">F47*-$C$49</f>
        <v>-294.04102045824209</v>
      </c>
      <c r="G49" s="253">
        <f t="shared" si="6"/>
        <v>-222.79104087738111</v>
      </c>
      <c r="H49" s="187">
        <f t="shared" si="6"/>
        <v>-236.71691806853366</v>
      </c>
      <c r="I49" s="253">
        <f t="shared" si="6"/>
        <v>-787.35012216769849</v>
      </c>
      <c r="J49" s="253">
        <f t="shared" si="6"/>
        <v>-819.50255095968953</v>
      </c>
      <c r="K49" s="253">
        <f t="shared" si="6"/>
        <v>-860.42640556505103</v>
      </c>
      <c r="L49" s="253">
        <f t="shared" si="6"/>
        <v>-903.02561523074144</v>
      </c>
      <c r="M49" s="253">
        <f t="shared" si="6"/>
        <v>-986.80003563243895</v>
      </c>
      <c r="N49" s="253">
        <f t="shared" si="6"/>
        <v>-1037.4003783889107</v>
      </c>
      <c r="O49" s="253">
        <f t="shared" si="6"/>
        <v>-1134.6079404891575</v>
      </c>
      <c r="P49" s="253">
        <f t="shared" si="6"/>
        <v>-1189.6496245869537</v>
      </c>
      <c r="Q49" s="253">
        <f t="shared" si="6"/>
        <v>-1283.5914541197455</v>
      </c>
      <c r="R49" s="253">
        <f t="shared" si="6"/>
        <v>-1338.3364745934848</v>
      </c>
      <c r="S49" s="253">
        <f t="shared" si="6"/>
        <v>-1395.4454163002558</v>
      </c>
      <c r="T49" s="253">
        <f t="shared" si="6"/>
        <v>-1436.6735949106812</v>
      </c>
      <c r="U49" s="253">
        <f t="shared" si="6"/>
        <v>-1500.4177266668896</v>
      </c>
      <c r="V49" s="253">
        <f t="shared" si="6"/>
        <v>-1565.751413330278</v>
      </c>
      <c r="W49" s="253">
        <f t="shared" si="6"/>
        <v>-1629.9465402786022</v>
      </c>
      <c r="X49" s="253">
        <f t="shared" si="6"/>
        <v>-1689.6086439357161</v>
      </c>
      <c r="Y49" s="253">
        <f t="shared" si="6"/>
        <v>-1742.018316965924</v>
      </c>
      <c r="Z49" s="253">
        <f t="shared" si="6"/>
        <v>-1806.5436052701068</v>
      </c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1:60">
      <c r="A50" s="4" t="s">
        <v>190</v>
      </c>
      <c r="C50" s="149">
        <f>Assumptions!L$43</f>
        <v>0.35</v>
      </c>
      <c r="D50" s="228"/>
      <c r="E50" s="228">
        <f>(E47+E49)*-$C$50</f>
        <v>0</v>
      </c>
      <c r="F50" s="228">
        <f t="shared" ref="F50:Z50" ca="1" si="7">(F47+F49)*-$C$50</f>
        <v>-1612.3249288460274</v>
      </c>
      <c r="G50" s="228">
        <f t="shared" si="7"/>
        <v>-1221.6375408109732</v>
      </c>
      <c r="H50" s="228">
        <f t="shared" si="7"/>
        <v>-1297.9977674091263</v>
      </c>
      <c r="I50" s="228">
        <f t="shared" si="7"/>
        <v>-4317.3031698862133</v>
      </c>
      <c r="J50" s="228">
        <f t="shared" si="7"/>
        <v>-4493.605654428965</v>
      </c>
      <c r="K50" s="228">
        <f t="shared" si="7"/>
        <v>-4718.0047905150295</v>
      </c>
      <c r="L50" s="228">
        <f t="shared" si="7"/>
        <v>-4951.5904568485657</v>
      </c>
      <c r="M50" s="228">
        <f t="shared" si="7"/>
        <v>-5410.9535287178733</v>
      </c>
      <c r="N50" s="228">
        <f t="shared" si="7"/>
        <v>-5688.4120748325267</v>
      </c>
      <c r="O50" s="228">
        <f t="shared" si="7"/>
        <v>-6221.4335403488803</v>
      </c>
      <c r="P50" s="228">
        <f t="shared" si="7"/>
        <v>-6523.245441485129</v>
      </c>
      <c r="Q50" s="228">
        <f t="shared" si="7"/>
        <v>-7038.3598067566045</v>
      </c>
      <c r="R50" s="228">
        <f t="shared" si="7"/>
        <v>-7338.5450023542744</v>
      </c>
      <c r="S50" s="228">
        <f t="shared" si="7"/>
        <v>-7651.6923660464026</v>
      </c>
      <c r="T50" s="228">
        <f t="shared" si="7"/>
        <v>-7877.760212093569</v>
      </c>
      <c r="U50" s="228">
        <f t="shared" si="7"/>
        <v>-8227.2905345567779</v>
      </c>
      <c r="V50" s="228">
        <f t="shared" si="7"/>
        <v>-8585.5369164276908</v>
      </c>
      <c r="W50" s="228">
        <f t="shared" si="7"/>
        <v>-8937.5401958610018</v>
      </c>
      <c r="X50" s="228">
        <f t="shared" si="7"/>
        <v>-9264.687397580843</v>
      </c>
      <c r="Y50" s="228">
        <f t="shared" si="7"/>
        <v>-9552.0671046964835</v>
      </c>
      <c r="Z50" s="228">
        <f t="shared" si="7"/>
        <v>-9905.8807688977522</v>
      </c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1:60" ht="6" customHeight="1">
      <c r="C51"/>
      <c r="D51" s="253"/>
      <c r="E51" s="253"/>
      <c r="F51" s="253"/>
      <c r="G51" s="253"/>
      <c r="H51" s="253"/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1:60" s="150" customFormat="1" ht="15.75">
      <c r="A52" s="106" t="s">
        <v>290</v>
      </c>
      <c r="B52" s="106"/>
      <c r="C52" s="106"/>
      <c r="D52" s="261"/>
      <c r="E52" s="261">
        <f t="shared" ref="E52:Z52" si="8">SUM(E47:E50)</f>
        <v>0</v>
      </c>
      <c r="F52" s="261">
        <f t="shared" ca="1" si="8"/>
        <v>2994.3177249997652</v>
      </c>
      <c r="G52" s="261">
        <f t="shared" si="8"/>
        <v>2268.7554329346649</v>
      </c>
      <c r="H52" s="261">
        <f t="shared" si="8"/>
        <v>2410.5672823312343</v>
      </c>
      <c r="I52" s="261">
        <f t="shared" si="8"/>
        <v>8017.8487440743966</v>
      </c>
      <c r="J52" s="261">
        <f t="shared" si="8"/>
        <v>8345.2676439395073</v>
      </c>
      <c r="K52" s="261">
        <f t="shared" si="8"/>
        <v>8762.0088966707699</v>
      </c>
      <c r="L52" s="261">
        <f t="shared" si="8"/>
        <v>9195.8108484330514</v>
      </c>
      <c r="M52" s="261">
        <f t="shared" si="8"/>
        <v>10048.913696190337</v>
      </c>
      <c r="N52" s="261">
        <f t="shared" si="8"/>
        <v>10564.193853260407</v>
      </c>
      <c r="O52" s="261">
        <f t="shared" si="8"/>
        <v>11554.090860647921</v>
      </c>
      <c r="P52" s="261">
        <f t="shared" si="8"/>
        <v>12114.598677043812</v>
      </c>
      <c r="Q52" s="261">
        <f t="shared" si="8"/>
        <v>13071.239641119409</v>
      </c>
      <c r="R52" s="261">
        <f t="shared" si="8"/>
        <v>13628.726432943653</v>
      </c>
      <c r="S52" s="261">
        <f t="shared" si="8"/>
        <v>14210.285822657606</v>
      </c>
      <c r="T52" s="261">
        <f t="shared" si="8"/>
        <v>14630.126108173772</v>
      </c>
      <c r="U52" s="261">
        <f t="shared" si="8"/>
        <v>15279.25384989116</v>
      </c>
      <c r="V52" s="261">
        <f t="shared" si="8"/>
        <v>15944.568559079997</v>
      </c>
      <c r="W52" s="261">
        <f t="shared" si="8"/>
        <v>16598.288935170436</v>
      </c>
      <c r="X52" s="261">
        <f t="shared" si="8"/>
        <v>17205.84802407871</v>
      </c>
      <c r="Y52" s="261">
        <f t="shared" si="8"/>
        <v>17739.553194436325</v>
      </c>
      <c r="Z52" s="261">
        <f t="shared" si="8"/>
        <v>18396.635713667252</v>
      </c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1:60" s="146" customFormat="1">
      <c r="A53" s="5"/>
      <c r="B53" s="143">
        <f>SUM(I53:Z53)</f>
        <v>0</v>
      </c>
      <c r="C53" s="143"/>
      <c r="D53" s="5"/>
      <c r="E53" s="5"/>
      <c r="F53" s="144"/>
      <c r="G53" s="144"/>
      <c r="H53" s="145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1:60">
      <c r="A54" s="1"/>
      <c r="F54" s="135"/>
      <c r="G54" s="135"/>
      <c r="H54" s="142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1:60">
      <c r="A55" s="1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1:60" ht="18.75">
      <c r="A56" s="132" t="s">
        <v>291</v>
      </c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60">
      <c r="A57" s="1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 spans="1:60" ht="12.75" customHeight="1">
      <c r="A58" s="1" t="s">
        <v>292</v>
      </c>
      <c r="B58" s="151"/>
      <c r="C58" s="123">
        <f>Assumptions!B13</f>
        <v>0.5</v>
      </c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 spans="1:60" ht="12.75" customHeight="1">
      <c r="A59" s="1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 spans="1:60" ht="13.5" thickBot="1">
      <c r="A60" s="422" t="s">
        <v>164</v>
      </c>
      <c r="B60" s="2"/>
      <c r="C60" s="2"/>
      <c r="D60" s="9"/>
      <c r="E60" s="9">
        <v>1999</v>
      </c>
      <c r="F60" s="9">
        <f>E60+1</f>
        <v>2000</v>
      </c>
      <c r="G60" s="9">
        <f t="shared" ref="G60:Z60" si="9">F60+1</f>
        <v>2001</v>
      </c>
      <c r="H60" s="9">
        <f t="shared" si="9"/>
        <v>2002</v>
      </c>
      <c r="I60" s="9">
        <f t="shared" si="9"/>
        <v>2003</v>
      </c>
      <c r="J60" s="9">
        <f t="shared" si="9"/>
        <v>2004</v>
      </c>
      <c r="K60" s="9">
        <f t="shared" si="9"/>
        <v>2005</v>
      </c>
      <c r="L60" s="9">
        <f t="shared" si="9"/>
        <v>2006</v>
      </c>
      <c r="M60" s="9">
        <f t="shared" si="9"/>
        <v>2007</v>
      </c>
      <c r="N60" s="9">
        <f t="shared" si="9"/>
        <v>2008</v>
      </c>
      <c r="O60" s="9">
        <f t="shared" si="9"/>
        <v>2009</v>
      </c>
      <c r="P60" s="9">
        <f t="shared" si="9"/>
        <v>2010</v>
      </c>
      <c r="Q60" s="9">
        <f t="shared" si="9"/>
        <v>2011</v>
      </c>
      <c r="R60" s="9">
        <f t="shared" si="9"/>
        <v>2012</v>
      </c>
      <c r="S60" s="9">
        <f t="shared" si="9"/>
        <v>2013</v>
      </c>
      <c r="T60" s="9">
        <f t="shared" si="9"/>
        <v>2014</v>
      </c>
      <c r="U60" s="9">
        <f t="shared" si="9"/>
        <v>2015</v>
      </c>
      <c r="V60" s="9">
        <f t="shared" si="9"/>
        <v>2016</v>
      </c>
      <c r="W60" s="9">
        <f t="shared" si="9"/>
        <v>2017</v>
      </c>
      <c r="X60" s="9">
        <f t="shared" si="9"/>
        <v>2018</v>
      </c>
      <c r="Y60" s="9">
        <f t="shared" si="9"/>
        <v>2019</v>
      </c>
      <c r="Z60" s="9">
        <f t="shared" si="9"/>
        <v>2020</v>
      </c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 spans="1:60">
      <c r="A61" s="14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 spans="1:60">
      <c r="A62" s="15" t="s">
        <v>184</v>
      </c>
      <c r="D62" s="156"/>
      <c r="E62" s="156">
        <f t="shared" ref="E62:Z62" si="10">E39</f>
        <v>0</v>
      </c>
      <c r="F62" s="156">
        <f t="shared" ca="1" si="10"/>
        <v>19605.056763272896</v>
      </c>
      <c r="G62" s="156">
        <f t="shared" si="10"/>
        <v>19564.758857260225</v>
      </c>
      <c r="H62" s="156">
        <f t="shared" si="10"/>
        <v>19446.029927713913</v>
      </c>
      <c r="I62" s="156">
        <f t="shared" si="10"/>
        <v>28278.171528803767</v>
      </c>
      <c r="J62" s="156">
        <f t="shared" si="10"/>
        <v>28587.055991617468</v>
      </c>
      <c r="K62" s="156">
        <f t="shared" si="10"/>
        <v>28886.891803278155</v>
      </c>
      <c r="L62" s="156">
        <f t="shared" si="10"/>
        <v>29177.592724283477</v>
      </c>
      <c r="M62" s="156">
        <f t="shared" si="10"/>
        <v>30089.434522624033</v>
      </c>
      <c r="N62" s="156">
        <f t="shared" si="10"/>
        <v>30378.329616572344</v>
      </c>
      <c r="O62" s="156">
        <f t="shared" si="10"/>
        <v>31325.625090617112</v>
      </c>
      <c r="P62" s="156">
        <f t="shared" si="10"/>
        <v>31648.660307254308</v>
      </c>
      <c r="Q62" s="156">
        <f t="shared" si="10"/>
        <v>32643.676188624708</v>
      </c>
      <c r="R62" s="156">
        <f t="shared" si="10"/>
        <v>32925.638046980246</v>
      </c>
      <c r="S62" s="156">
        <f t="shared" si="10"/>
        <v>33198.203324012364</v>
      </c>
      <c r="T62" s="156">
        <f t="shared" si="10"/>
        <v>33159.952009716952</v>
      </c>
      <c r="U62" s="156">
        <f t="shared" si="10"/>
        <v>33436.707241487624</v>
      </c>
      <c r="V62" s="156">
        <f t="shared" si="10"/>
        <v>33707.2480437497</v>
      </c>
      <c r="W62" s="156">
        <f t="shared" si="10"/>
        <v>33966.300546736507</v>
      </c>
      <c r="X62" s="156">
        <f t="shared" si="10"/>
        <v>34219.655650765359</v>
      </c>
      <c r="Y62" s="156">
        <f t="shared" si="10"/>
        <v>34451.012731411385</v>
      </c>
      <c r="Z62" s="156">
        <f t="shared" si="10"/>
        <v>35187.118541506105</v>
      </c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 spans="1:60">
      <c r="A63" s="15" t="s">
        <v>192</v>
      </c>
      <c r="D63" s="135"/>
      <c r="E63" s="135">
        <v>0</v>
      </c>
      <c r="F63" s="135">
        <v>0</v>
      </c>
      <c r="G63" s="135">
        <v>0</v>
      </c>
      <c r="H63" s="135">
        <v>0</v>
      </c>
      <c r="I63" s="135">
        <v>0</v>
      </c>
      <c r="J63" s="135">
        <v>0</v>
      </c>
      <c r="K63" s="135">
        <v>0</v>
      </c>
      <c r="L63" s="135">
        <v>0</v>
      </c>
      <c r="M63" s="135">
        <v>0</v>
      </c>
      <c r="N63" s="135">
        <v>0</v>
      </c>
      <c r="O63" s="135">
        <v>0</v>
      </c>
      <c r="P63" s="135">
        <v>0</v>
      </c>
      <c r="Q63" s="135">
        <v>0</v>
      </c>
      <c r="R63" s="135">
        <v>0</v>
      </c>
      <c r="S63" s="135">
        <v>0</v>
      </c>
      <c r="T63" s="135">
        <v>0</v>
      </c>
      <c r="U63" s="135">
        <v>0</v>
      </c>
      <c r="V63" s="135">
        <v>0</v>
      </c>
      <c r="W63" s="135">
        <v>0</v>
      </c>
      <c r="X63" s="135">
        <v>0</v>
      </c>
      <c r="Y63" s="135">
        <v>0</v>
      </c>
      <c r="Z63" s="135">
        <v>0</v>
      </c>
    </row>
    <row r="64" spans="1:60">
      <c r="A64" s="15" t="s">
        <v>193</v>
      </c>
      <c r="D64" s="262"/>
      <c r="E64" s="262">
        <f>Allocation!$I$7*CF!D15</f>
        <v>0</v>
      </c>
      <c r="F64" s="262">
        <f>Allocation!$K$7*(CF!E16+CF!E15)+Allocation!$I$7*(CF!G15+CF!G16-CF!G14)</f>
        <v>-11342.614148849438</v>
      </c>
      <c r="G64" s="262">
        <f>Allocation!$I$7*(CF!H16+CF!H15)</f>
        <v>-14804.713789655931</v>
      </c>
      <c r="H64" s="262">
        <f>Allocation!$I$7*(CF!I16+CF!I15)</f>
        <v>-14716.830532347783</v>
      </c>
      <c r="I64" s="262">
        <f>Allocation!$I$7*(CF!J16+CF!J15)</f>
        <v>-13083.32830054043</v>
      </c>
      <c r="J64" s="262">
        <f>Allocation!$I$7*(CF!K16+CF!K15)</f>
        <v>-13246.75296306533</v>
      </c>
      <c r="K64" s="262">
        <f>Allocation!$I$7*(CF!L16+CF!L15)</f>
        <v>-13482.331809923977</v>
      </c>
      <c r="L64" s="262">
        <f>Allocation!$I$7*(CF!M16+CF!M15)</f>
        <v>-13569.964695882169</v>
      </c>
      <c r="M64" s="262">
        <f>Allocation!$I$7*(CF!N16+CF!N15)</f>
        <v>-13877.626767810651</v>
      </c>
      <c r="N64" s="262">
        <f>Allocation!$I$7*(CF!O16+CF!O15)</f>
        <v>-14051.878580344683</v>
      </c>
      <c r="O64" s="262">
        <f>Allocation!$I$7*(CF!P16+CF!P15)</f>
        <v>-14335.583187093771</v>
      </c>
      <c r="P64" s="262">
        <f>Allocation!$I$7*(CF!Q16+CF!Q15)</f>
        <v>-12498.105791996908</v>
      </c>
      <c r="Q64" s="262">
        <f>Allocation!$I$7*(CF!R16+CF!R15)</f>
        <v>-11940.318869173827</v>
      </c>
      <c r="R64" s="262">
        <f>Allocation!$I$7*(CF!S16+CF!S15)</f>
        <v>-11909.975510740267</v>
      </c>
      <c r="S64" s="262">
        <f>Allocation!$I$7*(CF!T16+CF!T15)</f>
        <v>-11662.583612353616</v>
      </c>
      <c r="T64" s="262">
        <f>Allocation!$I$7*(CF!U16+CF!U15)</f>
        <v>-11413.311007019705</v>
      </c>
      <c r="U64" s="262">
        <f>Allocation!$I$7*(CF!V16+CF!V15)</f>
        <v>-11293.478582699454</v>
      </c>
      <c r="V64" s="262">
        <f>Allocation!$I$7*(CF!W16+CF!W15)</f>
        <v>-10632.812711875056</v>
      </c>
      <c r="W64" s="262">
        <f>Allocation!$I$7*(CF!X16+CF!X15)</f>
        <v>-9630.7891827966687</v>
      </c>
      <c r="X64" s="262">
        <f>Allocation!$I$7*(CF!Y16+CF!Y15)</f>
        <v>-7937.5805979827755</v>
      </c>
      <c r="Y64" s="262">
        <f>Allocation!$I$7*(CF!Z16+CF!Z15)</f>
        <v>-6288.4330800513289</v>
      </c>
      <c r="Z64" s="262">
        <f>Allocation!$I$7*(CF!AA16+CF!AA15)</f>
        <v>0</v>
      </c>
    </row>
    <row r="65" spans="1:26" hidden="1">
      <c r="A65" s="15"/>
      <c r="D65" s="254"/>
      <c r="E65" s="254"/>
      <c r="F65" s="254"/>
      <c r="G65" s="254"/>
      <c r="H65" s="254"/>
      <c r="I65" s="254"/>
      <c r="J65" s="254"/>
      <c r="K65" s="254"/>
      <c r="L65" s="254"/>
      <c r="M65" s="254"/>
      <c r="N65" s="254"/>
      <c r="O65" s="254"/>
      <c r="P65" s="254"/>
      <c r="Q65" s="254"/>
      <c r="R65" s="254"/>
      <c r="S65" s="254"/>
      <c r="T65" s="254"/>
      <c r="U65" s="254"/>
      <c r="V65" s="254"/>
      <c r="W65" s="254"/>
      <c r="X65" s="254"/>
      <c r="Y65" s="254"/>
      <c r="Z65" s="254"/>
    </row>
    <row r="66" spans="1:26">
      <c r="A66" s="15"/>
      <c r="D66" s="255"/>
      <c r="E66" s="255"/>
      <c r="F66" s="255"/>
      <c r="G66" s="255"/>
      <c r="H66" s="255"/>
      <c r="I66" s="255"/>
      <c r="J66" s="255"/>
      <c r="K66" s="255"/>
      <c r="L66" s="255"/>
      <c r="M66" s="255"/>
      <c r="N66" s="255"/>
      <c r="O66" s="255"/>
      <c r="P66" s="255"/>
      <c r="Q66" s="255"/>
      <c r="R66" s="255"/>
      <c r="S66" s="255"/>
      <c r="T66" s="255"/>
      <c r="U66" s="255"/>
      <c r="V66" s="255"/>
      <c r="W66" s="255"/>
      <c r="X66" s="255"/>
      <c r="Y66" s="255"/>
      <c r="Z66" s="255"/>
    </row>
    <row r="67" spans="1:26" s="138" customFormat="1">
      <c r="A67" s="14" t="s">
        <v>194</v>
      </c>
      <c r="B67" s="1"/>
      <c r="C67" s="1"/>
      <c r="D67" s="263"/>
      <c r="E67" s="263">
        <f t="shared" ref="E67:Z67" si="11">SUM(E62:E64)</f>
        <v>0</v>
      </c>
      <c r="F67" s="263">
        <f t="shared" ca="1" si="11"/>
        <v>8262.4426144234585</v>
      </c>
      <c r="G67" s="263">
        <f t="shared" si="11"/>
        <v>4760.0450676042947</v>
      </c>
      <c r="H67" s="263">
        <f t="shared" si="11"/>
        <v>4729.1993953661295</v>
      </c>
      <c r="I67" s="263">
        <f t="shared" si="11"/>
        <v>15194.843228263337</v>
      </c>
      <c r="J67" s="263">
        <f t="shared" si="11"/>
        <v>15340.303028552138</v>
      </c>
      <c r="K67" s="263">
        <f t="shared" si="11"/>
        <v>15404.559993354178</v>
      </c>
      <c r="L67" s="263">
        <f t="shared" si="11"/>
        <v>15607.628028401308</v>
      </c>
      <c r="M67" s="263">
        <f t="shared" si="11"/>
        <v>16211.807754813382</v>
      </c>
      <c r="N67" s="263">
        <f t="shared" si="11"/>
        <v>16326.451036227661</v>
      </c>
      <c r="O67" s="263">
        <f t="shared" si="11"/>
        <v>16990.041903523343</v>
      </c>
      <c r="P67" s="263">
        <f t="shared" si="11"/>
        <v>19150.554515257398</v>
      </c>
      <c r="Q67" s="263">
        <f t="shared" si="11"/>
        <v>20703.357319450879</v>
      </c>
      <c r="R67" s="263">
        <f t="shared" si="11"/>
        <v>21015.662536239979</v>
      </c>
      <c r="S67" s="263">
        <f t="shared" si="11"/>
        <v>21535.61971165875</v>
      </c>
      <c r="T67" s="263">
        <f t="shared" si="11"/>
        <v>21746.641002697244</v>
      </c>
      <c r="U67" s="263">
        <f t="shared" si="11"/>
        <v>22143.228658788168</v>
      </c>
      <c r="V67" s="263">
        <f t="shared" si="11"/>
        <v>23074.435331874643</v>
      </c>
      <c r="W67" s="263">
        <f t="shared" si="11"/>
        <v>24335.511363939841</v>
      </c>
      <c r="X67" s="263">
        <f t="shared" si="11"/>
        <v>26282.075052782584</v>
      </c>
      <c r="Y67" s="263">
        <f t="shared" si="11"/>
        <v>28162.579651360058</v>
      </c>
      <c r="Z67" s="263">
        <f t="shared" si="11"/>
        <v>35187.118541506105</v>
      </c>
    </row>
    <row r="68" spans="1:26">
      <c r="A68" s="14"/>
      <c r="D68" s="255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</row>
    <row r="69" spans="1:26">
      <c r="A69" s="15" t="s">
        <v>382</v>
      </c>
      <c r="D69" s="255"/>
      <c r="E69" s="255">
        <v>0</v>
      </c>
      <c r="F69" s="255">
        <f ca="1">Allocation!$I$7*CF!G24*7/12+Allocation!$K$7*CF!G24*5/12</f>
        <v>0</v>
      </c>
      <c r="G69" s="255">
        <f>Allocation!$I$7*CF!H24</f>
        <v>0</v>
      </c>
      <c r="H69" s="255">
        <f>Allocation!$I$7*CF!I24</f>
        <v>0</v>
      </c>
      <c r="I69" s="255">
        <f ca="1">Allocation!$I$7*CF!J24</f>
        <v>0</v>
      </c>
      <c r="J69" s="255">
        <f ca="1">Allocation!$I$7*CF!K24</f>
        <v>0</v>
      </c>
      <c r="K69" s="255">
        <f ca="1">Allocation!$I$7*CF!L24</f>
        <v>0</v>
      </c>
      <c r="L69" s="255">
        <f ca="1">Allocation!$I$7*CF!M24</f>
        <v>-618.18072549940132</v>
      </c>
      <c r="M69" s="255">
        <f ca="1">Allocation!$I$7*CF!N24</f>
        <v>-699.3609296765195</v>
      </c>
      <c r="N69" s="255">
        <f ca="1">Allocation!$I$7*CF!O24</f>
        <v>-753.238354975481</v>
      </c>
      <c r="O69" s="255">
        <f ca="1">Allocation!$I$7*CF!P24</f>
        <v>-837.90827593065649</v>
      </c>
      <c r="P69" s="255">
        <f ca="1">Allocation!$I$7*CF!Q24</f>
        <v>-882.87889336815749</v>
      </c>
      <c r="Q69" s="255">
        <f ca="1">Allocation!$I$7*CF!R24</f>
        <v>-962.18148615187818</v>
      </c>
      <c r="R69" s="255">
        <f ca="1">Allocation!$I$7*CF!S24</f>
        <v>-1021.8235604935265</v>
      </c>
      <c r="S69" s="255">
        <f ca="1">Allocation!$I$7*CF!T24</f>
        <v>-1074.8170586678757</v>
      </c>
      <c r="T69" s="255">
        <f ca="1">Allocation!$I$7*CF!U24</f>
        <v>-1135.8511690335636</v>
      </c>
      <c r="U69" s="255">
        <f ca="1">Allocation!$I$7*CF!V24</f>
        <v>-1543.7007003881463</v>
      </c>
      <c r="V69" s="255">
        <f ca="1">Allocation!$I$7*CF!W24</f>
        <v>-1953.5390912160065</v>
      </c>
      <c r="W69" s="255">
        <f>Allocation!$I$7*CF!X24</f>
        <v>-2021.0510090127559</v>
      </c>
      <c r="X69" s="255">
        <f>Allocation!$I$7*CF!Y24</f>
        <v>-2081.7299208645891</v>
      </c>
      <c r="Y69" s="255">
        <f>Allocation!$I$7*CF!Z24</f>
        <v>-2113.9972806963833</v>
      </c>
      <c r="Z69" s="255">
        <f ca="1">Allocation!$I$7*CF!AA24</f>
        <v>-2163.8513662112837</v>
      </c>
    </row>
    <row r="70" spans="1:26">
      <c r="A70" s="15" t="s">
        <v>383</v>
      </c>
      <c r="D70" s="262"/>
      <c r="E70" s="262">
        <f>Allocation!$K$7*CF!D25</f>
        <v>0</v>
      </c>
      <c r="F70" s="262">
        <f ca="1">Allocation!$I$7*(-Tax!E39)*7/12+Allocation!$K$7*(-Tax!E39)*5/12</f>
        <v>1933.9077065935126</v>
      </c>
      <c r="G70" s="262">
        <f>Allocation!$I$7*CF!H25</f>
        <v>3365.7983717900256</v>
      </c>
      <c r="H70" s="262">
        <f>Allocation!$I$7*CF!I25</f>
        <v>2639.9367626184139</v>
      </c>
      <c r="I70" s="262">
        <f ca="1">Allocation!$I$7*CF!J25</f>
        <v>-1659.742687026649</v>
      </c>
      <c r="J70" s="262">
        <f ca="1">Allocation!$I$7*CF!K25</f>
        <v>-2385.7658292127285</v>
      </c>
      <c r="K70" s="262">
        <f ca="1">Allocation!$I$7*CF!L25</f>
        <v>-3175.9466271099595</v>
      </c>
      <c r="L70" s="262">
        <f ca="1">Allocation!$I$7*CF!M25</f>
        <v>-3391.2863595419535</v>
      </c>
      <c r="M70" s="262">
        <f ca="1">Allocation!$I$7*CF!N25</f>
        <v>-3768.3081080548509</v>
      </c>
      <c r="N70" s="262">
        <f ca="1">Allocation!$I$7*CF!O25</f>
        <v>-4058.6113405918813</v>
      </c>
      <c r="O70" s="262">
        <f ca="1">Allocation!$I$7*CF!P25</f>
        <v>-4514.8312066220433</v>
      </c>
      <c r="P70" s="262">
        <f ca="1">Allocation!$I$7*CF!Q25</f>
        <v>-4757.1426299844416</v>
      </c>
      <c r="Q70" s="262">
        <f ca="1">Allocation!$I$7*CF!R25</f>
        <v>-5184.4421697441039</v>
      </c>
      <c r="R70" s="262">
        <f ca="1">Allocation!$I$7*CF!S25</f>
        <v>-5505.8065794299564</v>
      </c>
      <c r="S70" s="262">
        <f ca="1">Allocation!$I$7*CF!T25</f>
        <v>-5791.3470212401053</v>
      </c>
      <c r="T70" s="262">
        <f ca="1">Allocation!$I$7*CF!U25</f>
        <v>-6120.2120224138453</v>
      </c>
      <c r="U70" s="262">
        <f ca="1">Allocation!$I$7*CF!V25</f>
        <v>-8317.7936010426674</v>
      </c>
      <c r="V70" s="262">
        <f ca="1">Allocation!$I$7*CF!W25</f>
        <v>-10526.091585122391</v>
      </c>
      <c r="W70" s="262">
        <f>Allocation!$I$7*CF!X25</f>
        <v>-10889.860415247764</v>
      </c>
      <c r="X70" s="262">
        <f>Allocation!$I$7*CF!Y25</f>
        <v>-11216.811529924664</v>
      </c>
      <c r="Y70" s="262">
        <f>Allocation!$I$7*CF!Z25</f>
        <v>-11390.675050919343</v>
      </c>
      <c r="Z70" s="262">
        <f ca="1">Allocation!$I$7*CF!AA25</f>
        <v>-11659.299657604699</v>
      </c>
    </row>
    <row r="71" spans="1:26">
      <c r="A71" s="15"/>
      <c r="D71" s="262"/>
      <c r="E71" s="262"/>
      <c r="F71" s="262"/>
      <c r="G71" s="262"/>
      <c r="H71" s="262"/>
      <c r="I71" s="262"/>
      <c r="J71" s="262"/>
      <c r="K71" s="262"/>
      <c r="L71" s="262"/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</row>
    <row r="72" spans="1:26" s="150" customFormat="1" ht="15.75">
      <c r="A72" s="485" t="s">
        <v>197</v>
      </c>
      <c r="B72" s="106"/>
      <c r="C72" s="106"/>
      <c r="D72" s="264"/>
      <c r="E72" s="264">
        <f>E67+E70</f>
        <v>0</v>
      </c>
      <c r="F72" s="264">
        <f ca="1">F67+F70+F69</f>
        <v>10196.350321016971</v>
      </c>
      <c r="G72" s="264">
        <f t="shared" ref="G72:Z72" si="12">G67+G70+G69</f>
        <v>8125.8434393943207</v>
      </c>
      <c r="H72" s="264">
        <f t="shared" si="12"/>
        <v>7369.1361579845434</v>
      </c>
      <c r="I72" s="264">
        <f t="shared" ca="1" si="12"/>
        <v>13535.100541236687</v>
      </c>
      <c r="J72" s="264">
        <f t="shared" ca="1" si="12"/>
        <v>12954.537199339409</v>
      </c>
      <c r="K72" s="264">
        <f t="shared" ca="1" si="12"/>
        <v>12228.613366244219</v>
      </c>
      <c r="L72" s="264">
        <f t="shared" ca="1" si="12"/>
        <v>11598.160943359953</v>
      </c>
      <c r="M72" s="264">
        <f t="shared" ca="1" si="12"/>
        <v>11744.138717082013</v>
      </c>
      <c r="N72" s="264">
        <f t="shared" ca="1" si="12"/>
        <v>11514.601340660298</v>
      </c>
      <c r="O72" s="264">
        <f t="shared" ca="1" si="12"/>
        <v>11637.302420970644</v>
      </c>
      <c r="P72" s="264">
        <f t="shared" ca="1" si="12"/>
        <v>13510.532991904798</v>
      </c>
      <c r="Q72" s="264">
        <f t="shared" ca="1" si="12"/>
        <v>14556.733663554898</v>
      </c>
      <c r="R72" s="264">
        <f t="shared" ca="1" si="12"/>
        <v>14488.032396316496</v>
      </c>
      <c r="S72" s="264">
        <f t="shared" ca="1" si="12"/>
        <v>14669.45563175077</v>
      </c>
      <c r="T72" s="264">
        <f t="shared" ca="1" si="12"/>
        <v>14490.577811249836</v>
      </c>
      <c r="U72" s="264">
        <f t="shared" ca="1" si="12"/>
        <v>12281.734357357354</v>
      </c>
      <c r="V72" s="264">
        <f t="shared" ca="1" si="12"/>
        <v>10594.804655536245</v>
      </c>
      <c r="W72" s="264">
        <f t="shared" si="12"/>
        <v>11424.599939679321</v>
      </c>
      <c r="X72" s="264">
        <f t="shared" si="12"/>
        <v>12983.533601993331</v>
      </c>
      <c r="Y72" s="264">
        <f t="shared" si="12"/>
        <v>14657.90731974433</v>
      </c>
      <c r="Z72" s="264">
        <f t="shared" ca="1" si="12"/>
        <v>21363.967517690122</v>
      </c>
    </row>
    <row r="73" spans="1:26">
      <c r="A73" s="17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spans="1:26">
      <c r="A74" s="1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spans="1:26" ht="12.75" customHeight="1">
      <c r="A75" s="16" t="s">
        <v>293</v>
      </c>
      <c r="B75" s="151"/>
      <c r="C75" s="123">
        <f>$C$58</f>
        <v>0.5</v>
      </c>
      <c r="D75" s="155"/>
      <c r="E75" s="155">
        <f t="shared" ref="E75:Z75" si="13">$C$75*E52</f>
        <v>0</v>
      </c>
      <c r="F75" s="155">
        <f t="shared" ca="1" si="13"/>
        <v>1497.1588624998826</v>
      </c>
      <c r="G75" s="155">
        <f t="shared" si="13"/>
        <v>1134.3777164673324</v>
      </c>
      <c r="H75" s="155">
        <f t="shared" si="13"/>
        <v>1205.2836411656172</v>
      </c>
      <c r="I75" s="155">
        <f t="shared" si="13"/>
        <v>4008.9243720371983</v>
      </c>
      <c r="J75" s="155">
        <f t="shared" si="13"/>
        <v>4172.6338219697536</v>
      </c>
      <c r="K75" s="155">
        <f t="shared" si="13"/>
        <v>4381.004448335385</v>
      </c>
      <c r="L75" s="155">
        <f t="shared" si="13"/>
        <v>4597.9054242165257</v>
      </c>
      <c r="M75" s="155">
        <f t="shared" si="13"/>
        <v>5024.4568480951684</v>
      </c>
      <c r="N75" s="155">
        <f t="shared" si="13"/>
        <v>5282.0969266302036</v>
      </c>
      <c r="O75" s="155">
        <f t="shared" si="13"/>
        <v>5777.0454303239603</v>
      </c>
      <c r="P75" s="155">
        <f t="shared" si="13"/>
        <v>6057.2993385219061</v>
      </c>
      <c r="Q75" s="155">
        <f t="shared" si="13"/>
        <v>6535.6198205597047</v>
      </c>
      <c r="R75" s="155">
        <f t="shared" si="13"/>
        <v>6814.3632164718265</v>
      </c>
      <c r="S75" s="155">
        <f t="shared" si="13"/>
        <v>7105.1429113288032</v>
      </c>
      <c r="T75" s="155">
        <f t="shared" si="13"/>
        <v>7315.063054086886</v>
      </c>
      <c r="U75" s="155">
        <f t="shared" si="13"/>
        <v>7639.62692494558</v>
      </c>
      <c r="V75" s="155">
        <f t="shared" si="13"/>
        <v>7972.2842795399984</v>
      </c>
      <c r="W75" s="155">
        <f t="shared" si="13"/>
        <v>8299.1444675852181</v>
      </c>
      <c r="X75" s="155">
        <f t="shared" si="13"/>
        <v>8602.9240120393551</v>
      </c>
      <c r="Y75" s="155">
        <f t="shared" si="13"/>
        <v>8869.7765972181624</v>
      </c>
      <c r="Z75" s="155">
        <f t="shared" si="13"/>
        <v>9198.3178568336261</v>
      </c>
    </row>
    <row r="76" spans="1:26">
      <c r="A76" s="16" t="s">
        <v>294</v>
      </c>
      <c r="B76" s="151"/>
      <c r="C76" s="123">
        <f>$C$58</f>
        <v>0.5</v>
      </c>
      <c r="D76" s="155"/>
      <c r="E76" s="155">
        <f t="shared" ref="E76:Z76" si="14">$C$76*E72</f>
        <v>0</v>
      </c>
      <c r="F76" s="155">
        <f t="shared" ca="1" si="14"/>
        <v>5098.1751605084855</v>
      </c>
      <c r="G76" s="155">
        <f t="shared" si="14"/>
        <v>4062.9217196971604</v>
      </c>
      <c r="H76" s="155">
        <f t="shared" si="14"/>
        <v>3684.5680789922717</v>
      </c>
      <c r="I76" s="155">
        <f t="shared" ca="1" si="14"/>
        <v>6767.5502706183433</v>
      </c>
      <c r="J76" s="155">
        <f t="shared" ca="1" si="14"/>
        <v>6477.2685996697046</v>
      </c>
      <c r="K76" s="155">
        <f t="shared" ca="1" si="14"/>
        <v>6114.3066831221095</v>
      </c>
      <c r="L76" s="155">
        <f t="shared" ca="1" si="14"/>
        <v>5799.0804716799767</v>
      </c>
      <c r="M76" s="155">
        <f t="shared" ca="1" si="14"/>
        <v>5872.0693585410063</v>
      </c>
      <c r="N76" s="155">
        <f t="shared" ca="1" si="14"/>
        <v>5757.3006703301489</v>
      </c>
      <c r="O76" s="155">
        <f t="shared" ca="1" si="14"/>
        <v>5818.6512104853218</v>
      </c>
      <c r="P76" s="155">
        <f t="shared" ca="1" si="14"/>
        <v>6755.2664959523991</v>
      </c>
      <c r="Q76" s="155">
        <f t="shared" ca="1" si="14"/>
        <v>7278.3668317774491</v>
      </c>
      <c r="R76" s="155">
        <f t="shared" ca="1" si="14"/>
        <v>7244.0161981582478</v>
      </c>
      <c r="S76" s="155">
        <f t="shared" ca="1" si="14"/>
        <v>7334.7278158753852</v>
      </c>
      <c r="T76" s="155">
        <f t="shared" ca="1" si="14"/>
        <v>7245.2889056249178</v>
      </c>
      <c r="U76" s="155">
        <f t="shared" ca="1" si="14"/>
        <v>6140.8671786786772</v>
      </c>
      <c r="V76" s="155">
        <f t="shared" ca="1" si="14"/>
        <v>5297.4023277681226</v>
      </c>
      <c r="W76" s="155">
        <f t="shared" si="14"/>
        <v>5712.2999698396607</v>
      </c>
      <c r="X76" s="155">
        <f t="shared" si="14"/>
        <v>6491.7668009966656</v>
      </c>
      <c r="Y76" s="155">
        <f t="shared" si="14"/>
        <v>7328.9536598721652</v>
      </c>
      <c r="Z76" s="155">
        <f t="shared" ca="1" si="14"/>
        <v>10681.983758845061</v>
      </c>
    </row>
    <row r="77" spans="1:26">
      <c r="A77" s="16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>
      <c r="A78" s="157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>
      <c r="A79" s="157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>
      <c r="A80" s="157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>
      <c r="A81" s="158"/>
      <c r="B81" s="8"/>
      <c r="C81" s="8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5">
      <c r="A82" s="159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5.75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>
      <c r="A87" s="8"/>
      <c r="B87" s="8"/>
      <c r="C87" s="163"/>
      <c r="D87" s="163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4.25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4.25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5.75">
      <c r="A105" s="162"/>
      <c r="B105" s="8"/>
      <c r="C105" s="8"/>
      <c r="D105" s="8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>
      <c r="A106" s="138"/>
      <c r="B106" s="8"/>
      <c r="C106" s="166"/>
      <c r="D106" s="166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>
      <c r="A107" s="138"/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>
      <c r="A108" s="169"/>
      <c r="B108" s="169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>
      <c r="A109" s="169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>
      <c r="A110" s="169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4.25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>
      <c r="A117" s="171"/>
      <c r="B117" s="8"/>
      <c r="C117" s="8"/>
      <c r="D117" s="8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>
      <c r="A118" s="172"/>
      <c r="B118" s="8"/>
      <c r="C118" s="8"/>
      <c r="D118" s="8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>
      <c r="A119" s="172"/>
      <c r="B119" s="8"/>
      <c r="C119" s="8"/>
      <c r="D119" s="8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8.75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8.75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8.75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>
      <c r="A260" s="185"/>
    </row>
    <row r="261" spans="1:26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8.75" hidden="1" outlineLevel="1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idden="1" outlineLevel="1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idden="1" outlineLevel="1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1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hidden="1" outlineLevel="1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idden="1" outlineLevel="1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hidden="1" outlineLevel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1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hidden="1" outlineLevel="1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</row>
    <row r="322" spans="1:31" hidden="1" outlineLevel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hidden="1" outlineLevel="1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1" hidden="1" outlineLevel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hidden="1" outlineLevel="1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1" hidden="1" outlineLevel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hidden="1" outlineLevel="1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hidden="1" outlineLevel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collapsed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ht="18.75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8.75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8.75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8.75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" customHeight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8.75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idden="1" outlineLevel="1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idden="1" outlineLevel="1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1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1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1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1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1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1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1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1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1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1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1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1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1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1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1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1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1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1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1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1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1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1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1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collapsed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</sheetData>
  <pageMargins left="0.18" right="0.17" top="0.37" bottom="0.4" header="0.17" footer="0.21"/>
  <pageSetup scale="43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777"/>
  <sheetViews>
    <sheetView topLeftCell="A6" zoomScale="75" workbookViewId="0">
      <selection activeCell="I21" sqref="I21"/>
    </sheetView>
  </sheetViews>
  <sheetFormatPr defaultRowHeight="12.75" outlineLevelRow="2" outlineLevelCol="1"/>
  <cols>
    <col min="1" max="1" width="53.42578125" style="7" customWidth="1"/>
    <col min="2" max="4" width="8.42578125" style="7" customWidth="1"/>
    <col min="5" max="5" width="9.28515625" style="7" customWidth="1" outlineLevel="1"/>
    <col min="6" max="6" width="10.140625" style="7" customWidth="1" outlineLevel="1"/>
    <col min="7" max="8" width="10.7109375" style="7" customWidth="1" outlineLevel="1"/>
    <col min="9" max="26" width="10.7109375" style="7" customWidth="1"/>
    <col min="27" max="16384" width="9.140625" style="8"/>
  </cols>
  <sheetData>
    <row r="1" spans="1:30">
      <c r="F1" s="7">
        <v>12</v>
      </c>
    </row>
    <row r="2" spans="1:30" ht="18.75">
      <c r="A2" s="126" t="s">
        <v>349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30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30">
      <c r="A4" s="1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</row>
    <row r="5" spans="1:30" ht="13.5" thickBot="1">
      <c r="A5" s="422" t="s">
        <v>164</v>
      </c>
      <c r="B5" s="9"/>
      <c r="C5" s="9"/>
      <c r="D5" s="9"/>
      <c r="E5" s="9">
        <v>1999</v>
      </c>
      <c r="F5" s="9">
        <f>E5+1</f>
        <v>2000</v>
      </c>
      <c r="G5" s="9">
        <f t="shared" ref="G5:Z5" si="0">F5+1</f>
        <v>2001</v>
      </c>
      <c r="H5" s="9">
        <f t="shared" si="0"/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30">
      <c r="A6" s="3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30">
      <c r="A7" s="3"/>
      <c r="G7" s="11"/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30">
      <c r="A8" s="1" t="s">
        <v>165</v>
      </c>
      <c r="B8" s="12"/>
      <c r="C8" s="12"/>
      <c r="D8" s="685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39"/>
      <c r="AB8" s="140"/>
      <c r="AC8" s="140"/>
      <c r="AD8" s="140"/>
    </row>
    <row r="9" spans="1:30">
      <c r="A9" s="575" t="s">
        <v>166</v>
      </c>
      <c r="B9" s="12"/>
      <c r="C9" s="12"/>
      <c r="D9" s="12"/>
      <c r="E9" s="12"/>
      <c r="F9" s="12"/>
      <c r="H9" s="8"/>
      <c r="AA9" s="139"/>
      <c r="AB9" s="140"/>
      <c r="AC9" s="140"/>
      <c r="AD9" s="140"/>
    </row>
    <row r="10" spans="1:30">
      <c r="A10" s="4" t="s">
        <v>167</v>
      </c>
      <c r="D10"/>
      <c r="E10" s="253">
        <f>(Assumptions!$M$29)*Assumptions!$M$53*'Power Price Assumption'!E23</f>
        <v>0</v>
      </c>
      <c r="F10" s="253">
        <f>Assumptions!$M$29*5*'Power Price Assumption'!F23+Assumptions!$M$30*7*'Power Price Assumption'!F23</f>
        <v>21636</v>
      </c>
      <c r="G10" s="253">
        <f>Assumptions!$M$30*12*'Power Price Assumption'!G23</f>
        <v>21936</v>
      </c>
      <c r="H10" s="253">
        <f>Assumptions!$M$30*12*'Power Price Assumption'!H23</f>
        <v>21936</v>
      </c>
      <c r="I10" s="253">
        <v>0</v>
      </c>
      <c r="J10" s="253">
        <f>Assumptions!$M$30*12*'Power Price Assumption'!J23</f>
        <v>0</v>
      </c>
      <c r="K10" s="253">
        <f>Assumptions!$M$30*12*'Power Price Assumption'!K23</f>
        <v>0</v>
      </c>
      <c r="L10" s="253">
        <f>Assumptions!$M$30*12*'Power Price Assumption'!L23</f>
        <v>0</v>
      </c>
      <c r="M10" s="253">
        <f>Assumptions!$M$30*12*'Power Price Assumption'!M23</f>
        <v>0</v>
      </c>
      <c r="N10" s="253">
        <f>Assumptions!$M$30*12*'Power Price Assumption'!N23</f>
        <v>0</v>
      </c>
      <c r="O10" s="253">
        <f>Assumptions!$M$30*12*'Power Price Assumption'!O23</f>
        <v>0</v>
      </c>
      <c r="P10" s="253">
        <f>Assumptions!$M$30*12*'Power Price Assumption'!P23</f>
        <v>0</v>
      </c>
      <c r="Q10" s="253">
        <f>Assumptions!$M$30*12*'Power Price Assumption'!Q23</f>
        <v>0</v>
      </c>
      <c r="R10" s="253">
        <f>Assumptions!$M$30*12*'Power Price Assumption'!R23</f>
        <v>0</v>
      </c>
      <c r="S10" s="253">
        <f>Assumptions!$M$30*12*'Power Price Assumption'!S23</f>
        <v>0</v>
      </c>
      <c r="T10" s="253">
        <f>Assumptions!$M$30*12*'Power Price Assumption'!T23</f>
        <v>0</v>
      </c>
      <c r="U10" s="253">
        <f>Assumptions!$M$30*12*'Power Price Assumption'!U23</f>
        <v>0</v>
      </c>
      <c r="V10" s="253">
        <f>Assumptions!$M$30*12*'Power Price Assumption'!V23</f>
        <v>0</v>
      </c>
      <c r="W10" s="253">
        <f>Assumptions!$M$30*12*'Power Price Assumption'!W23</f>
        <v>0</v>
      </c>
      <c r="X10" s="253">
        <f>Assumptions!$M$30*12*'Power Price Assumption'!X23</f>
        <v>0</v>
      </c>
      <c r="Y10" s="253">
        <f>Assumptions!$M$30*12*'Power Price Assumption'!Y23</f>
        <v>0</v>
      </c>
      <c r="Z10" s="253">
        <f>Assumptions!$M$30*12*'Power Price Assumption'!Z23</f>
        <v>0</v>
      </c>
      <c r="AD10" s="141"/>
    </row>
    <row r="11" spans="1:30">
      <c r="A11" s="4" t="s">
        <v>168</v>
      </c>
      <c r="D11"/>
      <c r="E11" s="253">
        <f>Assumptions!M26*Assumptions!M$29*Assumptions!M$14/1000*Assumptions!M$53/12</f>
        <v>0</v>
      </c>
      <c r="F11" s="253">
        <f>Assumptions!M26*Assumptions!M$29*Assumptions!M$14/1000*5/12*(1+Assumptions!$M$39)^(5/12)+Assumptions!M26*Assumptions!M$30*Assumptions!M$14/1000*7/12*(1+Assumptions!$M$39)^(Caledonia!F5-Caledonia!E5)</f>
        <v>492.44653163176542</v>
      </c>
      <c r="G11" s="253">
        <f>Assumptions!M26*Assumptions!M$30*Assumptions!M$14/1000*(1+Assumptions!M52)^(Caledonia!G5-Caledonia!E5)</f>
        <v>517.87003021719465</v>
      </c>
      <c r="H11" s="253">
        <f>G11*(1+Assumptions!$M$39)</f>
        <v>533.40613112371045</v>
      </c>
      <c r="I11" s="253">
        <v>0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  <c r="R11" s="253">
        <v>0</v>
      </c>
      <c r="S11" s="253">
        <v>0</v>
      </c>
      <c r="T11" s="253">
        <v>0</v>
      </c>
      <c r="U11" s="253">
        <v>0</v>
      </c>
      <c r="V11" s="253">
        <v>0</v>
      </c>
      <c r="W11" s="253">
        <v>0</v>
      </c>
      <c r="X11" s="253">
        <v>0</v>
      </c>
      <c r="Y11" s="253">
        <v>0</v>
      </c>
      <c r="Z11" s="253">
        <v>0</v>
      </c>
      <c r="AD11" s="141"/>
    </row>
    <row r="12" spans="1:30">
      <c r="A12" s="4" t="s">
        <v>169</v>
      </c>
      <c r="D12"/>
      <c r="E12" s="253">
        <f>VLOOKUP(Assumptions!$M$19,'EGC Start Charge Matrix'!$A$10:$S$35,15)*Assumptions!M$53/12</f>
        <v>0</v>
      </c>
      <c r="F12" s="253">
        <f>VLOOKUP(Assumptions!$M$19,'EGC Start Charge Matrix'!$A$10:$S$35,15)*(1+Assumptions!$M$39)*$F$1/12</f>
        <v>1389.7583999999999</v>
      </c>
      <c r="G12" s="253">
        <f>F12*(1+Assumptions!$M$39)</f>
        <v>1431.4511519999999</v>
      </c>
      <c r="H12" s="253">
        <f>G12*(1+Assumptions!$M$39)</f>
        <v>1474.3946865599999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D12" s="141"/>
    </row>
    <row r="13" spans="1:30">
      <c r="A13" s="8"/>
      <c r="B13" s="8"/>
      <c r="C13" s="8"/>
      <c r="D13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D13" s="141"/>
    </row>
    <row r="14" spans="1:30">
      <c r="A14" s="575" t="s">
        <v>170</v>
      </c>
      <c r="B14" s="143"/>
      <c r="C14" s="143"/>
      <c r="D14"/>
      <c r="E14" s="256"/>
      <c r="F14" s="257"/>
      <c r="G14" s="257"/>
      <c r="H14" s="258"/>
      <c r="I14" s="257"/>
      <c r="J14" s="257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257"/>
      <c r="V14" s="257"/>
      <c r="W14" s="257"/>
      <c r="X14" s="257"/>
      <c r="Y14" s="257"/>
      <c r="Z14" s="257"/>
      <c r="AD14" s="141"/>
    </row>
    <row r="15" spans="1:30">
      <c r="A15" s="4" t="s">
        <v>295</v>
      </c>
      <c r="D15"/>
      <c r="E15" s="253">
        <v>0</v>
      </c>
      <c r="F15" s="253">
        <v>0</v>
      </c>
      <c r="G15" s="253">
        <v>0</v>
      </c>
      <c r="H15" s="253">
        <v>0</v>
      </c>
      <c r="I15" s="253">
        <f>IF(Assumptions!$M$19=120,Assumptions!$M$33*(1-Assumptions!$M$35)*'Power Price Assumption'!I25*(12),Assumptions!$M$33*(1-Assumptions!$M$35)*'Power Price Assumption'!I25*(12)-VLOOKUP(120,'EGC Start Charge Matrix'!$U$10:$AM$35,15)*(1+Assumptions!$M$39)^(Caledonia!I5-Caledonia!$E$5)*2/3)</f>
        <v>33080.800331024155</v>
      </c>
      <c r="J15" s="253">
        <f>IF(Assumptions!$M$19=120,Assumptions!$M$33*(1-Assumptions!$M$35)*'Power Price Assumption'!J25*(12),Assumptions!$M$33*(1-Assumptions!$M$35)*'Power Price Assumption'!J25*(12)-VLOOKUP(120,'EGC Start Charge Matrix'!$U$10:$AM$35,15)*(1+Assumptions!$M$39)^(Caledonia!J5-Caledonia!$E$5)*2/3)</f>
        <v>33495.712063989544</v>
      </c>
      <c r="K15" s="253">
        <f>IF(Assumptions!$M$19=120,Assumptions!$M$33*(1-Assumptions!$M$35)*'Power Price Assumption'!K25*(12),Assumptions!$M$33*(1-Assumptions!$M$35)*'Power Price Assumption'!K25*(12)-VLOOKUP(120,'EGC Start Charge Matrix'!$U$10:$AM$35,15)*(1+Assumptions!$M$39)^(Caledonia!K5-Caledonia!$E$5)*2/3)</f>
        <v>33905.745780634934</v>
      </c>
      <c r="L15" s="253">
        <f>IF(Assumptions!$M$19=120,Assumptions!$M$33*(1-Assumptions!$M$35)*'Power Price Assumption'!L25*(12),Assumptions!$M$33*(1-Assumptions!$M$35)*'Power Price Assumption'!L25*(12)-VLOOKUP(120,'EGC Start Charge Matrix'!$U$10:$AM$35,15)*(1+Assumptions!$M$39)^(Caledonia!L5-Caledonia!$E$5)*2/3)</f>
        <v>34310.23537942145</v>
      </c>
      <c r="M15" s="253">
        <f>IF(Assumptions!$M$19=120,Assumptions!$M$33*(1-Assumptions!$M$35)*'Power Price Assumption'!M25*(12),Assumptions!$M$33*(1-Assumptions!$M$35)*'Power Price Assumption'!M25*(12)-VLOOKUP(120,'EGC Start Charge Matrix'!$U$10:$AM$35,15)*(1+Assumptions!$M$39)^(Caledonia!M5-Caledonia!$E$5)*2/3)</f>
        <v>35339.5424408041</v>
      </c>
      <c r="N15" s="253">
        <f>IF(Assumptions!$M$19=120,Assumptions!$M$33*(1-Assumptions!$M$35)*'Power Price Assumption'!N25*(12),Assumptions!$M$33*(1-Assumptions!$M$35)*'Power Price Assumption'!N25*(12)-VLOOKUP(120,'EGC Start Charge Matrix'!$U$10:$AM$35,15)*(1+Assumptions!$M$39)^(Caledonia!N5-Caledonia!$E$5)*2/3)</f>
        <v>35749.733558420572</v>
      </c>
      <c r="O15" s="253">
        <f>IF(Assumptions!$M$19=120,Assumptions!$M$33*(1-Assumptions!$M$35)*'Power Price Assumption'!O25*(12),Assumptions!$M$33*(1-Assumptions!$M$35)*'Power Price Assumption'!O25*(12)-VLOOKUP(120,'EGC Start Charge Matrix'!$U$10:$AM$35,15)*(1+Assumptions!$M$39)^(Caledonia!O5-Caledonia!$E$5)*2/3)</f>
        <v>36822.225565173198</v>
      </c>
      <c r="P15" s="253">
        <f>IF(Assumptions!$M$19=120,Assumptions!$M$33*(1-Assumptions!$M$35)*'Power Price Assumption'!P25*(12),Assumptions!$M$33*(1-Assumptions!$M$35)*'Power Price Assumption'!P25*(12)-VLOOKUP(120,'EGC Start Charge Matrix'!$U$10:$AM$35,15)*(1+Assumptions!$M$39)^(Caledonia!P5-Caledonia!$E$5)*2/3)</f>
        <v>37237.312471544239</v>
      </c>
      <c r="Q15" s="253">
        <f>IF(Assumptions!$M$19=120,Assumptions!$M$33*(1-Assumptions!$M$35)*'Power Price Assumption'!Q25*(12),Assumptions!$M$33*(1-Assumptions!$M$35)*'Power Price Assumption'!Q25*(12)-VLOOKUP(120,'EGC Start Charge Matrix'!$U$10:$AM$35,15)*(1+Assumptions!$M$39)^(Caledonia!Q5-Caledonia!$E$5)*2/3)</f>
        <v>38354.43184569056</v>
      </c>
      <c r="R15" s="253">
        <f>IF(Assumptions!$M$19=120,Assumptions!$M$33*(1-Assumptions!$M$35)*'Power Price Assumption'!R25*(12),Assumptions!$M$33*(1-Assumptions!$M$35)*'Power Price Assumption'!R25*(12)-VLOOKUP(120,'EGC Start Charge Matrix'!$U$10:$AM$35,15)*(1+Assumptions!$M$39)^(Caledonia!R5-Caledonia!$E$5)*2/3)</f>
        <v>38773.489526967554</v>
      </c>
      <c r="S15" s="253">
        <f>IF(Assumptions!$M$19=120,Assumptions!$M$33*(1-Assumptions!$M$35)*'Power Price Assumption'!S25*(12),Assumptions!$M$33*(1-Assumptions!$M$35)*'Power Price Assumption'!S25*(12)-VLOOKUP(120,'EGC Start Charge Matrix'!$U$10:$AM$35,15)*(1+Assumptions!$M$39)^(Caledonia!S5-Caledonia!$E$5)*2/3)</f>
        <v>39183.171680460044</v>
      </c>
      <c r="T15" s="253">
        <f>IF(Assumptions!$M$19=120,Assumptions!$M$33*(1-Assumptions!$M$35)*'Power Price Assumption'!T25*(12),Assumptions!$M$33*(1-Assumptions!$M$35)*'Power Price Assumption'!T25*(12)-VLOOKUP(120,'EGC Start Charge Matrix'!$U$10:$AM$35,15)*(1+Assumptions!$M$39)^(Caledonia!T5-Caledonia!$E$5)*2/3)</f>
        <v>39582.538622587803</v>
      </c>
      <c r="U15" s="253">
        <f>IF(Assumptions!$M$19=120,Assumptions!$M$33*(1-Assumptions!$M$35)*'Power Price Assumption'!U25*(12),Assumptions!$M$33*(1-Assumptions!$M$35)*'Power Price Assumption'!U25*(12)-VLOOKUP(120,'EGC Start Charge Matrix'!$U$10:$AM$35,15)*(1+Assumptions!$M$39)^(Caledonia!U5-Caledonia!$E$5)*2/3)</f>
        <v>39970.602726730809</v>
      </c>
      <c r="V15" s="253">
        <f>IF(Assumptions!$M$19=120,Assumptions!$M$33*(1-Assumptions!$M$35)*'Power Price Assumption'!V25*(12),Assumptions!$M$33*(1-Assumptions!$M$35)*'Power Price Assumption'!V25*(12)-VLOOKUP(120,'EGC Start Charge Matrix'!$U$10:$AM$35,15)*(1+Assumptions!$M$39)^(Caledonia!V5-Caledonia!$E$5)*2/3)</f>
        <v>40346.326392362083</v>
      </c>
      <c r="W15" s="253">
        <f>IF(Assumptions!$M$19=120,Assumptions!$M$33*(1-Assumptions!$M$35)*'Power Price Assumption'!W25*(12),Assumptions!$M$33*(1-Assumptions!$M$35)*'Power Price Assumption'!W25*(12)-VLOOKUP(120,'EGC Start Charge Matrix'!$U$10:$AM$35,15)*(1+Assumptions!$M$39)^(Caledonia!W5-Caledonia!$E$5)*2/3)</f>
        <v>40708.619935477182</v>
      </c>
      <c r="X15" s="253">
        <f>IF(Assumptions!$M$19=120,Assumptions!$M$33*(1-Assumptions!$M$35)*'Power Price Assumption'!X25*(12),Assumptions!$M$33*(1-Assumptions!$M$35)*'Power Price Assumption'!X25*(12)-VLOOKUP(120,'EGC Start Charge Matrix'!$U$10:$AM$35,15)*(1+Assumptions!$M$39)^(Caledonia!X5-Caledonia!$E$5)*2/3)</f>
        <v>41056.33939742604</v>
      </c>
      <c r="Y15" s="253">
        <f>IF(Assumptions!$M$19=120,Assumptions!$M$33*(1-Assumptions!$M$35)*'Power Price Assumption'!Y25*(12),Assumptions!$M$33*(1-Assumptions!$M$35)*'Power Price Assumption'!Y25*(12)-VLOOKUP(120,'EGC Start Charge Matrix'!$U$10:$AM$35,15)*(1+Assumptions!$M$39)^(Caledonia!Y5-Caledonia!$E$5)*2/3)</f>
        <v>41388.284269149903</v>
      </c>
      <c r="Z15" s="253">
        <f>IF(Assumptions!$M$19=120,Assumptions!$M$33*(1-Assumptions!$M$35)*'Power Price Assumption'!Z25*(12),Assumptions!$M$33*(1-Assumptions!$M$35)*'Power Price Assumption'!Z25*(12)-VLOOKUP(120,'EGC Start Charge Matrix'!$U$10:$AM$35,15)*(1+Assumptions!$M$39)^(Caledonia!Z5-Caledonia!$E$5)*2/3)</f>
        <v>41703.195127719533</v>
      </c>
      <c r="AD15" s="141"/>
    </row>
    <row r="16" spans="1:30">
      <c r="A16" s="4" t="s">
        <v>171</v>
      </c>
      <c r="B16" s="143"/>
      <c r="C16" s="143"/>
      <c r="D16"/>
      <c r="E16" s="253">
        <v>0</v>
      </c>
      <c r="F16" s="253">
        <v>0</v>
      </c>
      <c r="G16" s="253">
        <v>0</v>
      </c>
      <c r="H16" s="253">
        <v>0</v>
      </c>
      <c r="I16" s="253">
        <f>(Assumptions!$M$26*Assumptions!$M$34/1000)*(1+Assumptions!$M$39)^(I5-$E$5)+$F$12*(1+Assumptions!$M$39)^(Caledonia!I5-Caledonia!$F$5)*1/3</f>
        <v>1099.5313520434977</v>
      </c>
      <c r="J16" s="253">
        <f>(Assumptions!$M$26*Assumptions!$M$34/1000)*(1+Assumptions!$M$39)^(J5-$E$5)+$F$12*(1+Assumptions!$M$39)^(Caledonia!J5-Caledonia!$F$5)*1/3</f>
        <v>1132.5172926048026</v>
      </c>
      <c r="K16" s="253">
        <f>(Assumptions!$M$26*Assumptions!$M$34/1000)*(1+Assumptions!$M$39)^(K5-$E$5)+$F$12*(1+Assumptions!$M$39)^(Caledonia!K5-Caledonia!$F$5)*1/3</f>
        <v>1166.4928113829465</v>
      </c>
      <c r="L16" s="253">
        <f>(Assumptions!$M$26*Assumptions!$M$34/1000)*(1+Assumptions!$M$39)^(L5-$E$5)+$F$12*(1+Assumptions!$M$39)^(Caledonia!L5-Caledonia!$F$5)*1/3</f>
        <v>1201.4875957244349</v>
      </c>
      <c r="M16" s="253">
        <f>(Assumptions!$M$26*Assumptions!$M$34/1000)*(1+Assumptions!$M$39)^(M5-$E$5)+$F$12*(1+Assumptions!$M$39)^(Caledonia!M5-Caledonia!$F$5)*1/3</f>
        <v>1237.532223596168</v>
      </c>
      <c r="N16" s="253">
        <f>(Assumptions!$M$26*Assumptions!$M$34/1000)*(1+Assumptions!$M$39)^(N5-$E$5)+$F$12*(1+Assumptions!$M$39)^(Caledonia!N5-Caledonia!$F$5)*1/3</f>
        <v>1274.6581903040528</v>
      </c>
      <c r="O16" s="253">
        <f>(Assumptions!$M$26*Assumptions!$M$34/1000)*(1+Assumptions!$M$39)^(O5-$E$5)+$F$12*(1+Assumptions!$M$39)^(Caledonia!O5-Caledonia!$F$5)*1/3</f>
        <v>1312.8979360131746</v>
      </c>
      <c r="P16" s="253">
        <f>(Assumptions!$M$26*Assumptions!$M$34/1000)*(1+Assumptions!$M$39)^(P5-$E$5)+$F$12*(1+Assumptions!$M$39)^(Caledonia!P5-Caledonia!$F$5)*1/3</f>
        <v>1352.2848740935697</v>
      </c>
      <c r="Q16" s="253">
        <f>(Assumptions!$M$26*Assumptions!$M$34/1000)*(1+Assumptions!$M$39)^(Q5-$E$5)+$F$12*(1+Assumptions!$M$39)^(Caledonia!Q5-Caledonia!$F$5)*1/3</f>
        <v>1392.8534203163767</v>
      </c>
      <c r="R16" s="253">
        <f>(Assumptions!$M$26*Assumptions!$M$34/1000)*(1+Assumptions!$M$39)^(R5-$E$5)+$F$12*(1+Assumptions!$M$39)^(Caledonia!R5-Caledonia!$F$5)*1/3</f>
        <v>1434.6390229258682</v>
      </c>
      <c r="S16" s="253">
        <f>(Assumptions!$M$26*Assumptions!$M$34/1000)*(1+Assumptions!$M$39)^(S5-$E$5)+$F$12*(1+Assumptions!$M$39)^(Caledonia!S5-Caledonia!$F$5)*1/3</f>
        <v>1477.678193613644</v>
      </c>
      <c r="T16" s="253">
        <f>(Assumptions!$M$26*Assumptions!$M$34/1000)*(1+Assumptions!$M$39)^(T5-$E$5)+$F$12*(1+Assumptions!$M$39)^(Caledonia!T5-Caledonia!$F$5)*1/3</f>
        <v>1522.0085394220537</v>
      </c>
      <c r="U16" s="253">
        <f>(Assumptions!$M$26*Assumptions!$M$34/1000)*(1+Assumptions!$M$39)^(U5-$E$5)+$F$12*(1+Assumptions!$M$39)^(Caledonia!U5-Caledonia!$F$5)*1/3</f>
        <v>1567.6687956047151</v>
      </c>
      <c r="V16" s="253">
        <f>(Assumptions!$M$26*Assumptions!$M$34/1000)*(1+Assumptions!$M$39)^(V5-$E$5)+$F$12*(1+Assumptions!$M$39)^(Caledonia!V5-Caledonia!$F$5)*1/3</f>
        <v>1614.6988594728564</v>
      </c>
      <c r="W16" s="253">
        <f>(Assumptions!$M$26*Assumptions!$M$34/1000)*(1+Assumptions!$M$39)^(W5-$E$5)+$F$12*(1+Assumptions!$M$39)^(Caledonia!W5-Caledonia!$F$5)*1/3</f>
        <v>1663.139825257042</v>
      </c>
      <c r="X16" s="253">
        <f>(Assumptions!$M$26*Assumptions!$M$34/1000)*(1+Assumptions!$M$39)^(X5-$E$5)+$F$12*(1+Assumptions!$M$39)^(Caledonia!X5-Caledonia!$F$5)*1/3</f>
        <v>1713.0340200147534</v>
      </c>
      <c r="Y16" s="253">
        <f>(Assumptions!$M$26*Assumptions!$M$34/1000)*(1+Assumptions!$M$39)^(Y5-$E$5)+$F$12*(1+Assumptions!$M$39)^(Caledonia!Y5-Caledonia!$F$5)*1/3</f>
        <v>1764.4250406151959</v>
      </c>
      <c r="Z16" s="253">
        <f>(Assumptions!$M$26*Assumptions!$M$34/1000)*(1+Assumptions!$M$39)^(Z5-$E$5)+$F$12*(1+Assumptions!$M$39)^(Caledonia!Z5-Caledonia!$F$5)*1/3</f>
        <v>1817.3577918336516</v>
      </c>
      <c r="AD16" s="141"/>
    </row>
    <row r="17" spans="1:60">
      <c r="A17" s="4" t="s">
        <v>172</v>
      </c>
      <c r="D17"/>
      <c r="E17" s="253">
        <v>0</v>
      </c>
      <c r="F17" s="253">
        <v>0</v>
      </c>
      <c r="G17" s="253">
        <v>0</v>
      </c>
      <c r="H17" s="253">
        <v>0</v>
      </c>
      <c r="I17" s="253">
        <f>Assumptions!$M$33*Assumptions!$M$35*Assumptions!$M$36*Assumptions!$M$14/1000</f>
        <v>11.844672000000001</v>
      </c>
      <c r="J17" s="253">
        <f>Assumptions!$M$33*Assumptions!$M$35*Assumptions!$M$36*Assumptions!$M$14/1000</f>
        <v>11.844672000000001</v>
      </c>
      <c r="K17" s="253">
        <f>Assumptions!$M$33*Assumptions!$M$35*Assumptions!$M$36*Assumptions!$M$14/1000</f>
        <v>11.844672000000001</v>
      </c>
      <c r="L17" s="253">
        <f>Assumptions!$M$33*Assumptions!$M$35*Assumptions!$M$36*Assumptions!$M$14/1000</f>
        <v>11.844672000000001</v>
      </c>
      <c r="M17" s="253">
        <f>Assumptions!$M$33*Assumptions!$M$35*Assumptions!$M$36*Assumptions!$M$14/1000</f>
        <v>11.844672000000001</v>
      </c>
      <c r="N17" s="253">
        <f>Assumptions!$M$33*Assumptions!$M$35*Assumptions!$M$36*Assumptions!$M$14/1000</f>
        <v>11.844672000000001</v>
      </c>
      <c r="O17" s="253">
        <f>Assumptions!$M$33*Assumptions!$M$35*Assumptions!$M$36*Assumptions!$M$14/1000</f>
        <v>11.844672000000001</v>
      </c>
      <c r="P17" s="253">
        <f>Assumptions!$M$33*Assumptions!$M$35*Assumptions!$M$36*Assumptions!$M$14/1000</f>
        <v>11.844672000000001</v>
      </c>
      <c r="Q17" s="253">
        <f>Assumptions!$M$33*Assumptions!$M$35*Assumptions!$M$36*Assumptions!$M$14/1000</f>
        <v>11.844672000000001</v>
      </c>
      <c r="R17" s="253">
        <f>Assumptions!$M$33*Assumptions!$M$35*Assumptions!$M$36*Assumptions!$M$14/1000</f>
        <v>11.844672000000001</v>
      </c>
      <c r="S17" s="253">
        <f>Assumptions!$M$33*Assumptions!$M$35*Assumptions!$M$36*Assumptions!$M$14/1000</f>
        <v>11.844672000000001</v>
      </c>
      <c r="T17" s="253">
        <f>Assumptions!$M$33*Assumptions!$M$35*Assumptions!$M$36*Assumptions!$M$14/1000</f>
        <v>11.844672000000001</v>
      </c>
      <c r="U17" s="253">
        <f>Assumptions!$M$33*Assumptions!$M$35*Assumptions!$M$36*Assumptions!$M$14/1000</f>
        <v>11.844672000000001</v>
      </c>
      <c r="V17" s="253">
        <f>Assumptions!$M$33*Assumptions!$M$35*Assumptions!$M$36*Assumptions!$M$14/1000</f>
        <v>11.844672000000001</v>
      </c>
      <c r="W17" s="253">
        <f>Assumptions!$M$33*Assumptions!$M$35*Assumptions!$M$36*Assumptions!$M$14/1000</f>
        <v>11.844672000000001</v>
      </c>
      <c r="X17" s="253">
        <f>Assumptions!$M$33*Assumptions!$M$35*Assumptions!$M$36*Assumptions!$M$14/1000</f>
        <v>11.844672000000001</v>
      </c>
      <c r="Y17" s="253">
        <f>Assumptions!$M$33*Assumptions!$M$35*Assumptions!$M$36*Assumptions!$M$14/1000</f>
        <v>11.844672000000001</v>
      </c>
      <c r="Z17" s="253">
        <f>Assumptions!$M$33*Assumptions!$M$35*Assumptions!$M$36*Assumptions!$M$14/1000</f>
        <v>11.844672000000001</v>
      </c>
      <c r="AD17" s="141"/>
    </row>
    <row r="18" spans="1:60">
      <c r="A18" s="8"/>
      <c r="B18" s="12"/>
      <c r="C18" s="12"/>
      <c r="D18" s="12"/>
      <c r="E18" s="802"/>
      <c r="F18" s="12"/>
      <c r="H18" s="8"/>
      <c r="AA18" s="140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>
      <c r="A19" s="4" t="s">
        <v>173</v>
      </c>
      <c r="D19"/>
      <c r="E19" s="254">
        <f>(SUM(E10:E17)-SUM(E25:E35))*Assumptions!$B$34/4*$F$1/12</f>
        <v>0</v>
      </c>
      <c r="F19" s="254">
        <f ca="1">(SUM(F10:F17)-SUM(F25:F35))*Assumptions!$B$34/4*$F$1/12</f>
        <v>234.92943781730614</v>
      </c>
      <c r="G19" s="254">
        <f>(SUM(G10:G17)-SUM(G25:G35))*Assumptions!$B$34/4</f>
        <v>240.03459077377738</v>
      </c>
      <c r="H19" s="254">
        <f>(SUM(H10:H17)-SUM(H25:H35))*Assumptions!$B$34/4</f>
        <v>239.4779546620403</v>
      </c>
      <c r="I19" s="254">
        <f>(SUM(I10:I17)-SUM(I25:I35))*Assumptions!$B$34/4</f>
        <v>360.59420229078478</v>
      </c>
      <c r="J19" s="254">
        <f>(SUM(J10:J17)-SUM(J25:J35))*Assumptions!$B$34/4</f>
        <v>364.62326465462297</v>
      </c>
      <c r="K19" s="254">
        <f>(SUM(K10:K17)-SUM(K25:K35))*Assumptions!$B$34/4</f>
        <v>368.55253858628106</v>
      </c>
      <c r="L19" s="254">
        <f>(SUM(L10:L17)-SUM(L25:L35))*Assumptions!$B$34/4</f>
        <v>372.44075340690051</v>
      </c>
      <c r="M19" s="254">
        <f>(SUM(M10:M17)-SUM(M25:M35))*Assumptions!$B$34/4</f>
        <v>384.09800955619517</v>
      </c>
      <c r="N19" s="254">
        <f>(SUM(N10:N17)-SUM(N25:N35))*Assumptions!$B$34/4</f>
        <v>387.97390414602296</v>
      </c>
      <c r="O19" s="254">
        <f>(SUM(O10:O17)-SUM(O25:O35))*Assumptions!$B$34/4</f>
        <v>400.1530952070143</v>
      </c>
      <c r="P19" s="254">
        <f>(SUM(P10:P17)-SUM(P25:P35))*Assumptions!$B$34/4</f>
        <v>394.70666139742292</v>
      </c>
      <c r="Q19" s="254">
        <f>(SUM(Q10:Q17)-SUM(Q25:Q35))*Assumptions!$B$34/4</f>
        <v>408.24259823313253</v>
      </c>
      <c r="R19" s="254">
        <f>(SUM(R10:R17)-SUM(R25:R35))*Assumptions!$B$34/4</f>
        <v>413.07747084218829</v>
      </c>
      <c r="S19" s="254">
        <f>(SUM(S10:S17)-SUM(S25:S35))*Assumptions!$B$34/4</f>
        <v>417.80039086374529</v>
      </c>
      <c r="T19" s="254">
        <f>(SUM(T10:T17)-SUM(T25:T35))*Assumptions!$B$34/4</f>
        <v>422.3441997327775</v>
      </c>
      <c r="U19" s="254">
        <f>(SUM(U10:U17)-SUM(U25:U35))*Assumptions!$B$34/4</f>
        <v>427.07143371901316</v>
      </c>
      <c r="V19" s="254">
        <f>(SUM(V10:V17)-SUM(V25:V35))*Assumptions!$B$34/4</f>
        <v>431.93091978033465</v>
      </c>
      <c r="W19" s="254">
        <f>(SUM(W10:W17)-SUM(W25:W35))*Assumptions!$B$34/4</f>
        <v>436.65276123552422</v>
      </c>
      <c r="X19" s="254">
        <f>(SUM(X10:X17)-SUM(X25:X35))*Assumptions!$B$34/4</f>
        <v>440.08073215162995</v>
      </c>
      <c r="Y19" s="254">
        <f>(SUM(Y10:Y17)-SUM(Y25:Y35))*Assumptions!$B$34/4</f>
        <v>442.62778724527635</v>
      </c>
      <c r="Z19" s="254">
        <f>(SUM(Z10:Z17)-SUM(Z25:Z35))*Assumptions!$B$34/4</f>
        <v>448.58124430467473</v>
      </c>
    </row>
    <row r="20" spans="1:60">
      <c r="A20" s="4" t="s">
        <v>174</v>
      </c>
      <c r="D20"/>
      <c r="E20" s="253">
        <f>SUM(E10:E19)</f>
        <v>0</v>
      </c>
      <c r="F20" s="253">
        <f t="shared" ref="F20:Z20" ca="1" si="1">SUM(F10:F19)</f>
        <v>23753.134369449072</v>
      </c>
      <c r="G20" s="253">
        <f t="shared" si="1"/>
        <v>24125.355772990973</v>
      </c>
      <c r="H20" s="253">
        <f t="shared" si="1"/>
        <v>24183.278772345751</v>
      </c>
      <c r="I20" s="253">
        <f t="shared" si="1"/>
        <v>34552.770557358439</v>
      </c>
      <c r="J20" s="253">
        <f t="shared" si="1"/>
        <v>35004.697293248966</v>
      </c>
      <c r="K20" s="253">
        <f t="shared" si="1"/>
        <v>35452.635802604156</v>
      </c>
      <c r="L20" s="253">
        <f t="shared" si="1"/>
        <v>35896.00840055279</v>
      </c>
      <c r="M20" s="253">
        <f t="shared" si="1"/>
        <v>36973.017345956461</v>
      </c>
      <c r="N20" s="253">
        <f t="shared" si="1"/>
        <v>37424.210324870641</v>
      </c>
      <c r="O20" s="253">
        <f t="shared" si="1"/>
        <v>38547.121268393392</v>
      </c>
      <c r="P20" s="253">
        <f t="shared" si="1"/>
        <v>38996.148679035236</v>
      </c>
      <c r="Q20" s="253">
        <f t="shared" si="1"/>
        <v>40167.372536240073</v>
      </c>
      <c r="R20" s="253">
        <f t="shared" si="1"/>
        <v>40633.050692735611</v>
      </c>
      <c r="S20" s="253">
        <f t="shared" si="1"/>
        <v>41090.494936937437</v>
      </c>
      <c r="T20" s="253">
        <f t="shared" si="1"/>
        <v>41538.736033742629</v>
      </c>
      <c r="U20" s="253">
        <f t="shared" si="1"/>
        <v>41977.18762805454</v>
      </c>
      <c r="V20" s="253">
        <f t="shared" si="1"/>
        <v>42404.800843615274</v>
      </c>
      <c r="W20" s="253">
        <f t="shared" si="1"/>
        <v>42820.257193969752</v>
      </c>
      <c r="X20" s="253">
        <f t="shared" si="1"/>
        <v>43221.298821592427</v>
      </c>
      <c r="Y20" s="253">
        <f t="shared" si="1"/>
        <v>43607.181769010378</v>
      </c>
      <c r="Z20" s="253">
        <f t="shared" si="1"/>
        <v>43980.978835857859</v>
      </c>
    </row>
    <row r="21" spans="1:60" s="146" customFormat="1" outlineLevel="1">
      <c r="A21" s="5"/>
      <c r="B21" s="143"/>
      <c r="C21" s="143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60" s="146" customFormat="1" ht="12" customHeight="1">
      <c r="A22" s="5"/>
      <c r="B22" s="5"/>
      <c r="C22" s="5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60">
      <c r="A23" s="1" t="s">
        <v>175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60">
      <c r="A24" s="4" t="s">
        <v>176</v>
      </c>
      <c r="D24"/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60">
      <c r="A25" s="4" t="s">
        <v>128</v>
      </c>
      <c r="D25"/>
      <c r="E25" s="253">
        <f>Assumptions!$M56*Assumptions!M53/12</f>
        <v>0</v>
      </c>
      <c r="F25" s="253">
        <f>Assumptions!$M56*(1+Assumptions!$M$52)*$F$1/12</f>
        <v>722.49350000000004</v>
      </c>
      <c r="G25" s="253">
        <f>F25*(1+Assumptions!$M$52)</f>
        <v>744.16830500000003</v>
      </c>
      <c r="H25" s="253">
        <f>G25*(1+Assumptions!$M$52)</f>
        <v>766.49335415000007</v>
      </c>
      <c r="I25" s="253">
        <f>H25*(1+Assumptions!$M$52)</f>
        <v>789.48815477450012</v>
      </c>
      <c r="J25" s="253">
        <f>I25*(1+Assumptions!$M$52)</f>
        <v>813.17279941773518</v>
      </c>
      <c r="K25" s="253">
        <f>J25*(1+Assumptions!$M$52)</f>
        <v>837.56798340026728</v>
      </c>
      <c r="L25" s="253">
        <f>K25*(1+Assumptions!$M$52)</f>
        <v>862.69502290227535</v>
      </c>
      <c r="M25" s="253">
        <f>L25*(1+Assumptions!$M$52)</f>
        <v>888.57587358934359</v>
      </c>
      <c r="N25" s="253">
        <f>M25*(1+Assumptions!$M$52)</f>
        <v>915.23314979702388</v>
      </c>
      <c r="O25" s="253">
        <f>N25*(1+Assumptions!$M$52)</f>
        <v>942.69014429093465</v>
      </c>
      <c r="P25" s="253">
        <f>O25*(1+Assumptions!$M$52)</f>
        <v>970.97084861966277</v>
      </c>
      <c r="Q25" s="253">
        <f>P25*(1+Assumptions!$M$52)</f>
        <v>1000.0999740782527</v>
      </c>
      <c r="R25" s="253">
        <f>Q25*(1+Assumptions!$M$52)</f>
        <v>1030.1029733006003</v>
      </c>
      <c r="S25" s="253">
        <f>R25*(1+Assumptions!$M$52)</f>
        <v>1061.0060624996183</v>
      </c>
      <c r="T25" s="253">
        <f>S25*(1+Assumptions!$M$52)</f>
        <v>1092.8362443746068</v>
      </c>
      <c r="U25" s="253">
        <f>T25*(1+Assumptions!$M$52)</f>
        <v>1125.621331705845</v>
      </c>
      <c r="V25" s="253">
        <f>U25*(1+Assumptions!$M$52)</f>
        <v>1159.3899716570204</v>
      </c>
      <c r="W25" s="253">
        <f>V25*(1+Assumptions!$M$52)</f>
        <v>1194.1716708067311</v>
      </c>
      <c r="X25" s="253">
        <f>W25*(1+Assumptions!$M$52)</f>
        <v>1229.9968209309329</v>
      </c>
      <c r="Y25" s="253">
        <f>X25*(1+Assumptions!$M$52)</f>
        <v>1266.8967255588609</v>
      </c>
      <c r="Z25" s="253">
        <f>Y25*(1+Assumptions!$M$52)</f>
        <v>1304.9036273256268</v>
      </c>
    </row>
    <row r="26" spans="1:60">
      <c r="A26" s="4" t="s">
        <v>177</v>
      </c>
      <c r="D26"/>
      <c r="E26" s="253">
        <f>Assumptions!$M58*Assumptions!M$53/12</f>
        <v>0</v>
      </c>
      <c r="F26" s="253">
        <f>Assumptions!$M58*(1+Assumptions!$M$52)^(5/12)*5/12+Assumptions!$M$59*(1+Assumptions!$M$52)*7/12</f>
        <v>492.44653163176542</v>
      </c>
      <c r="G26" s="253">
        <f>Assumptions!$M$59*(1+Assumptions!$M$52)^(G5-$E$5)</f>
        <v>517.87003021719465</v>
      </c>
      <c r="H26" s="253">
        <f>G26*(1+Assumptions!$M$52)</f>
        <v>533.40613112371045</v>
      </c>
      <c r="I26" s="253">
        <f>Assumptions!$M$60*(1+Assumptions!$M$52)^(I5-$E$5)</f>
        <v>593.32250965789763</v>
      </c>
      <c r="J26" s="253">
        <f>Assumptions!$M$60*(1+Assumptions!$M$52)^(J5-$E$5)</f>
        <v>611.12218494763454</v>
      </c>
      <c r="K26" s="253">
        <f>J26*(1+Assumptions!$M$52)</f>
        <v>629.45585049606359</v>
      </c>
      <c r="L26" s="253">
        <f>K26*(1+Assumptions!$M$52)</f>
        <v>648.33952601094552</v>
      </c>
      <c r="M26" s="253">
        <f>L26*(1+Assumptions!$M$52)</f>
        <v>667.78971179127393</v>
      </c>
      <c r="N26" s="253">
        <f>M26*(1+Assumptions!$M$52)</f>
        <v>687.82340314501221</v>
      </c>
      <c r="O26" s="253">
        <f>N26*(1+Assumptions!$M$52)</f>
        <v>708.45810523936257</v>
      </c>
      <c r="P26" s="253">
        <f>O26*(1+Assumptions!$M$52)</f>
        <v>729.71184839654347</v>
      </c>
      <c r="Q26" s="253">
        <f>P26*(1+Assumptions!$M$52)</f>
        <v>751.60320384843976</v>
      </c>
      <c r="R26" s="253">
        <f>Q26*(1+Assumptions!$M$52)</f>
        <v>774.15129996389294</v>
      </c>
      <c r="S26" s="253">
        <f>R26*(1+Assumptions!$M$52)</f>
        <v>797.37583896280978</v>
      </c>
      <c r="T26" s="253">
        <f>S26*(1+Assumptions!$M$52)</f>
        <v>821.29711413169412</v>
      </c>
      <c r="U26" s="253">
        <f>T26*(1+Assumptions!$M$52)</f>
        <v>845.93602755564496</v>
      </c>
      <c r="V26" s="253">
        <f>U26*(1+Assumptions!$M$52)</f>
        <v>871.31410838231432</v>
      </c>
      <c r="W26" s="253">
        <f>V26*(1+Assumptions!$M$52)</f>
        <v>897.45353163378377</v>
      </c>
      <c r="X26" s="253">
        <f>W26*(1+Assumptions!$M$52)</f>
        <v>924.37713758279733</v>
      </c>
      <c r="Y26" s="253">
        <f>X26*(1+Assumptions!$M$52)</f>
        <v>952.10845171028132</v>
      </c>
      <c r="Z26" s="253">
        <f>Y26*(1+Assumptions!$M$52)</f>
        <v>980.67170526158975</v>
      </c>
    </row>
    <row r="27" spans="1:60">
      <c r="A27" s="4" t="s">
        <v>131</v>
      </c>
      <c r="D27"/>
      <c r="E27" s="253">
        <f>VLOOKUP(Assumptions!M19,'EGC Start Charge Matrix'!$U$10:$AM$35,15)*Assumptions!M$53/12</f>
        <v>0</v>
      </c>
      <c r="F27" s="253">
        <f>VLOOKUP(Assumptions!M19,'EGC Start Charge Matrix'!$U$10:$AM$35,15)*(1+Assumptions!$M$52)*$F$1/12</f>
        <v>1389.7583999999999</v>
      </c>
      <c r="G27" s="253">
        <f>F27*(1+Assumptions!$M$52)</f>
        <v>1431.4511519999999</v>
      </c>
      <c r="H27" s="253">
        <f>G27*(1+Assumptions!$M$52)</f>
        <v>1474.3946865599999</v>
      </c>
      <c r="I27" s="253">
        <f>H27*(1+Assumptions!$M$52)</f>
        <v>1518.6265271568</v>
      </c>
      <c r="J27" s="253">
        <f>I27*(1+Assumptions!$M$52)</f>
        <v>1564.1853229715041</v>
      </c>
      <c r="K27" s="253">
        <f>J27*(1+Assumptions!$M$52)</f>
        <v>1611.1108826606492</v>
      </c>
      <c r="L27" s="253">
        <f>K27*(1+Assumptions!$M$52)</f>
        <v>1659.4442091404687</v>
      </c>
      <c r="M27" s="253">
        <f>L27*(1+Assumptions!$M$52)</f>
        <v>1709.2275354146827</v>
      </c>
      <c r="N27" s="253">
        <f>M27*(1+Assumptions!$M$52)</f>
        <v>1760.5043614771232</v>
      </c>
      <c r="O27" s="253">
        <f>N27*(1+Assumptions!$M$52)</f>
        <v>1813.3194923214369</v>
      </c>
      <c r="P27" s="253">
        <f>O27*(1+Assumptions!$M$52)</f>
        <v>1867.71907709108</v>
      </c>
      <c r="Q27" s="253">
        <f>P27*(1+Assumptions!$M$52)</f>
        <v>1923.7506494038123</v>
      </c>
      <c r="R27" s="253">
        <f>Q27*(1+Assumptions!$M$52)</f>
        <v>1981.4631688859267</v>
      </c>
      <c r="S27" s="253">
        <f>R27*(1+Assumptions!$M$52)</f>
        <v>2040.9070639525046</v>
      </c>
      <c r="T27" s="253">
        <f>S27*(1+Assumptions!$M$52)</f>
        <v>2102.1342758710798</v>
      </c>
      <c r="U27" s="253">
        <f>T27*(1+Assumptions!$M$52)</f>
        <v>2165.1983041472122</v>
      </c>
      <c r="V27" s="253">
        <f>U27*(1+Assumptions!$M$52)</f>
        <v>2230.1542532716285</v>
      </c>
      <c r="W27" s="253">
        <f>V27*(1+Assumptions!$M$52)</f>
        <v>2297.0588808697776</v>
      </c>
      <c r="X27" s="253">
        <f>W27*(1+Assumptions!$M$52)</f>
        <v>2365.970647295871</v>
      </c>
      <c r="Y27" s="253">
        <f>X27*(1+Assumptions!$M$52)</f>
        <v>2436.9497667147471</v>
      </c>
      <c r="Z27" s="253">
        <f>Y27*(1+Assumptions!$M$52)</f>
        <v>2510.0582597161897</v>
      </c>
    </row>
    <row r="28" spans="1:60">
      <c r="A28" s="4" t="s">
        <v>133</v>
      </c>
      <c r="D28"/>
      <c r="E28" s="253">
        <f>Assumptions!$M62*Assumptions!M53/12</f>
        <v>0</v>
      </c>
      <c r="F28" s="253">
        <f>Assumptions!$M62*(1+Assumptions!$M$52)*$F$1/12</f>
        <v>263.43279999999999</v>
      </c>
      <c r="G28" s="253">
        <f>F28*(1+Assumptions!$M$52)</f>
        <v>271.33578399999999</v>
      </c>
      <c r="H28" s="253">
        <f>G28*(1+Assumptions!$M$52)</f>
        <v>279.47585751999998</v>
      </c>
      <c r="I28" s="253">
        <f>H28*(1+Assumptions!$M$52)</f>
        <v>287.86013324559997</v>
      </c>
      <c r="J28" s="253">
        <f>I28*(1+Assumptions!$M$52)</f>
        <v>296.49593724296795</v>
      </c>
      <c r="K28" s="253">
        <f>J28*(1+Assumptions!$M$52)</f>
        <v>305.39081536025702</v>
      </c>
      <c r="L28" s="253">
        <f>K28*(1+Assumptions!$M$52)</f>
        <v>314.55253982106473</v>
      </c>
      <c r="M28" s="253">
        <f>L28*(1+Assumptions!$M$52)</f>
        <v>323.98911601569665</v>
      </c>
      <c r="N28" s="253">
        <f>M28*(1+Assumptions!$M$52)</f>
        <v>333.70878949616758</v>
      </c>
      <c r="O28" s="253">
        <f>N28*(1+Assumptions!$M$52)</f>
        <v>343.72005318105261</v>
      </c>
      <c r="P28" s="253">
        <f>O28*(1+Assumptions!$M$52)</f>
        <v>354.03165477648417</v>
      </c>
      <c r="Q28" s="253">
        <f>P28*(1+Assumptions!$M$52)</f>
        <v>364.6526044197787</v>
      </c>
      <c r="R28" s="253">
        <f>Q28*(1+Assumptions!$M$52)</f>
        <v>375.59218255237209</v>
      </c>
      <c r="S28" s="253">
        <f>R28*(1+Assumptions!$M$52)</f>
        <v>386.85994802894328</v>
      </c>
      <c r="T28" s="253">
        <f>S28*(1+Assumptions!$M$52)</f>
        <v>398.46574646981156</v>
      </c>
      <c r="U28" s="253">
        <f>T28*(1+Assumptions!$M$52)</f>
        <v>410.41971886390593</v>
      </c>
      <c r="V28" s="253">
        <f>U28*(1+Assumptions!$M$52)</f>
        <v>422.73231042982314</v>
      </c>
      <c r="W28" s="253">
        <f>V28*(1+Assumptions!$M$52)</f>
        <v>435.41427974271784</v>
      </c>
      <c r="X28" s="253">
        <f>W28*(1+Assumptions!$M$52)</f>
        <v>448.4767081349994</v>
      </c>
      <c r="Y28" s="253">
        <f>X28*(1+Assumptions!$M$52)</f>
        <v>461.93100937904939</v>
      </c>
      <c r="Z28" s="253">
        <f>Y28*(1+Assumptions!$M$52)</f>
        <v>475.78893966042085</v>
      </c>
    </row>
    <row r="29" spans="1:60">
      <c r="A29" s="4" t="s">
        <v>134</v>
      </c>
      <c r="D29"/>
      <c r="E29" s="253">
        <f>Assumptions!$M63*Assumptions!M53/12</f>
        <v>0</v>
      </c>
      <c r="F29" s="253">
        <f>(Assumptions!$M63)*(1+Assumptions!$M$52)*$F$1/12</f>
        <v>456.516909</v>
      </c>
      <c r="G29" s="253">
        <f>F29*(1+Assumptions!$M$52)</f>
        <v>470.21241627000001</v>
      </c>
      <c r="H29" s="253">
        <f>G29*(1+Assumptions!$M$52)</f>
        <v>484.31878875810003</v>
      </c>
      <c r="I29" s="253">
        <f>H29*(1+Assumptions!$M$52)</f>
        <v>498.84835242084301</v>
      </c>
      <c r="J29" s="253">
        <f>I29*(1+Assumptions!$M$52)</f>
        <v>513.81380299346836</v>
      </c>
      <c r="K29" s="253">
        <f>J29*(1+Assumptions!$M$52)</f>
        <v>529.2282170832724</v>
      </c>
      <c r="L29" s="253">
        <f>K29*(1+Assumptions!$M$52)</f>
        <v>545.10506359577062</v>
      </c>
      <c r="M29" s="253">
        <f>L29*(1+Assumptions!$M$52)</f>
        <v>561.45821550364371</v>
      </c>
      <c r="N29" s="253">
        <f>M29*(1+Assumptions!$M$52)</f>
        <v>578.30196196875306</v>
      </c>
      <c r="O29" s="253">
        <f>N29*(1+Assumptions!$M$52)</f>
        <v>595.65102082781561</v>
      </c>
      <c r="P29" s="253">
        <f>O29*(1+Assumptions!$M$52)</f>
        <v>613.52055145265012</v>
      </c>
      <c r="Q29" s="253">
        <f>P29*(1+Assumptions!$M$52)</f>
        <v>631.92616799622965</v>
      </c>
      <c r="R29" s="253">
        <f>Q29*(1+Assumptions!$M$52)</f>
        <v>650.88395303611651</v>
      </c>
      <c r="S29" s="253">
        <f>R29*(1+Assumptions!$M$52)</f>
        <v>670.41047162719997</v>
      </c>
      <c r="T29" s="253">
        <f>S29*(1+Assumptions!$M$52)</f>
        <v>690.52278577601601</v>
      </c>
      <c r="U29" s="253">
        <f>T29*(1+Assumptions!$M$52)</f>
        <v>711.23846934929645</v>
      </c>
      <c r="V29" s="253">
        <f>U29*(1+Assumptions!$M$52)</f>
        <v>732.57562342977542</v>
      </c>
      <c r="W29" s="253">
        <f>V29*(1+Assumptions!$M$52)</f>
        <v>754.55289213266872</v>
      </c>
      <c r="X29" s="253">
        <f>W29*(1+Assumptions!$M$52)</f>
        <v>777.18947889664878</v>
      </c>
      <c r="Y29" s="253">
        <f>X29*(1+Assumptions!$M$52)</f>
        <v>800.5051632635483</v>
      </c>
      <c r="Z29" s="253">
        <f>Y29*(1+Assumptions!$M$52)</f>
        <v>824.52031816145472</v>
      </c>
    </row>
    <row r="30" spans="1:60">
      <c r="A30" s="4" t="s">
        <v>287</v>
      </c>
      <c r="D30"/>
      <c r="E30" s="253">
        <f>+Assumptions!M64*Assumptions!M53/12</f>
        <v>0</v>
      </c>
      <c r="F30" s="253">
        <f>+Assumptions!M64*(1+Assumptions!$M$52)*$F$1/12</f>
        <v>45.435390899999994</v>
      </c>
      <c r="G30" s="253">
        <f>F30*(1+Assumptions!$M$52)</f>
        <v>46.798452626999996</v>
      </c>
      <c r="H30" s="253">
        <f>G30*(1+Assumptions!$M$52)</f>
        <v>48.20240620581</v>
      </c>
      <c r="I30" s="253">
        <f>H30*(1+Assumptions!$M$52)</f>
        <v>49.648478391984298</v>
      </c>
      <c r="J30" s="253">
        <f>I30*(1+Assumptions!$M$52)</f>
        <v>51.137932743743832</v>
      </c>
      <c r="K30" s="253">
        <f>J30*(1+Assumptions!$M$52)</f>
        <v>52.672070726056148</v>
      </c>
      <c r="L30" s="253">
        <f>K30*(1+Assumptions!$M$52)</f>
        <v>54.252232847837831</v>
      </c>
      <c r="M30" s="253">
        <f>L30*(1+Assumptions!$M$52)</f>
        <v>55.879799833272969</v>
      </c>
      <c r="N30" s="253">
        <f>M30*(1+Assumptions!$M$52)</f>
        <v>57.556193828271162</v>
      </c>
      <c r="O30" s="253">
        <f>N30*(1+Assumptions!$M$52)</f>
        <v>59.282879643119301</v>
      </c>
      <c r="P30" s="253">
        <f>O30*(1+Assumptions!$M$52)</f>
        <v>61.061366032412884</v>
      </c>
      <c r="Q30" s="253">
        <f>P30*(1+Assumptions!$M$52)</f>
        <v>62.893207013385272</v>
      </c>
      <c r="R30" s="253">
        <f>Q30*(1+Assumptions!$M$52)</f>
        <v>64.780003223786835</v>
      </c>
      <c r="S30" s="253">
        <f>R30*(1+Assumptions!$M$52)</f>
        <v>66.723403320500438</v>
      </c>
      <c r="T30" s="253">
        <f>S30*(1+Assumptions!$M$52)</f>
        <v>68.725105420115455</v>
      </c>
      <c r="U30" s="253">
        <f>T30*(1+Assumptions!$M$52)</f>
        <v>70.786858582718921</v>
      </c>
      <c r="V30" s="253">
        <f>U30*(1+Assumptions!$M$52)</f>
        <v>72.910464340200491</v>
      </c>
      <c r="W30" s="253">
        <f>V30*(1+Assumptions!$M$52)</f>
        <v>75.097778270406508</v>
      </c>
      <c r="X30" s="253">
        <f>W30*(1+Assumptions!$M$52)</f>
        <v>77.350711618518702</v>
      </c>
      <c r="Y30" s="253">
        <f>X30*(1+Assumptions!$M$52)</f>
        <v>79.671232967074261</v>
      </c>
      <c r="Z30" s="253">
        <f>Y30*(1+Assumptions!$M$52)</f>
        <v>82.061369956086494</v>
      </c>
    </row>
    <row r="31" spans="1:60">
      <c r="A31" s="4" t="s">
        <v>288</v>
      </c>
      <c r="D31"/>
      <c r="E31" s="253">
        <v>0</v>
      </c>
      <c r="F31" s="253">
        <v>540.30229880615991</v>
      </c>
      <c r="G31" s="253">
        <v>529.38710085048001</v>
      </c>
      <c r="H31" s="187">
        <v>518.4719028948</v>
      </c>
      <c r="I31" s="253">
        <v>507.55670493911998</v>
      </c>
      <c r="J31" s="253">
        <v>496.64150698343997</v>
      </c>
      <c r="K31" s="253">
        <v>485.72630902775995</v>
      </c>
      <c r="L31" s="253">
        <v>469.35351209423999</v>
      </c>
      <c r="M31" s="253">
        <v>452.98071516071991</v>
      </c>
      <c r="N31" s="253">
        <v>436.6079182272</v>
      </c>
      <c r="O31" s="253">
        <v>414.77752231583997</v>
      </c>
      <c r="P31" s="253">
        <v>1178.8413792134397</v>
      </c>
      <c r="Q31" s="253">
        <v>1096.9773945458401</v>
      </c>
      <c r="R31" s="253">
        <v>998.74061294471994</v>
      </c>
      <c r="S31" s="253">
        <v>900.50383134360004</v>
      </c>
      <c r="T31" s="253">
        <v>802.26704974247991</v>
      </c>
      <c r="U31" s="253">
        <v>671.28467427431997</v>
      </c>
      <c r="V31" s="253">
        <v>523.92950187264</v>
      </c>
      <c r="W31" s="253">
        <v>376.57432947095998</v>
      </c>
      <c r="X31" s="253">
        <v>327.45593867039997</v>
      </c>
      <c r="Y31" s="253">
        <v>327.45593867039997</v>
      </c>
      <c r="Z31" s="253">
        <v>0</v>
      </c>
    </row>
    <row r="32" spans="1:60">
      <c r="A32" s="4" t="s">
        <v>289</v>
      </c>
      <c r="D32"/>
      <c r="E32" s="253">
        <v>0</v>
      </c>
      <c r="F32" s="253">
        <f ca="1">Allocation!$I$8*IS!E31*7/12+Allocation!$K$8*IS!E31*5/12</f>
        <v>449.93466414464575</v>
      </c>
      <c r="G32" s="253">
        <f>Allocation!$I$8*IS!F31</f>
        <v>296.89538523268067</v>
      </c>
      <c r="H32" s="253">
        <f>Allocation!$I$8*IS!G31</f>
        <v>295.13296456689</v>
      </c>
      <c r="I32" s="253">
        <f>Allocation!$I$8*IS!H31</f>
        <v>287.48738768871942</v>
      </c>
      <c r="J32" s="253">
        <f>Allocation!$I$8*IS!I31</f>
        <v>287.48738768871942</v>
      </c>
      <c r="K32" s="253">
        <f>Allocation!$I$8*IS!J31</f>
        <v>287.48738768871942</v>
      </c>
      <c r="L32" s="253">
        <f>Allocation!$I$8*IS!K31</f>
        <v>287.48738768871942</v>
      </c>
      <c r="M32" s="253">
        <f>Allocation!$I$8*IS!L31</f>
        <v>287.48738768871942</v>
      </c>
      <c r="N32" s="253">
        <f>Allocation!$I$8*IS!M31</f>
        <v>287.48738768871942</v>
      </c>
      <c r="O32" s="253">
        <f>Allocation!$I$8*IS!N31</f>
        <v>287.48738768871942</v>
      </c>
      <c r="P32" s="253">
        <f>Allocation!$I$8*IS!O31</f>
        <v>250.6384106112433</v>
      </c>
      <c r="Q32" s="253">
        <f>Allocation!$I$8*IS!P31</f>
        <v>239.4524893106223</v>
      </c>
      <c r="R32" s="253">
        <f>Allocation!$I$8*IS!Q31</f>
        <v>238.84398020876586</v>
      </c>
      <c r="S32" s="253">
        <f>Allocation!$I$8*IS!R31</f>
        <v>233.88275542465226</v>
      </c>
      <c r="T32" s="253">
        <f>Allocation!$I$8*IS!S31</f>
        <v>228.88381473318989</v>
      </c>
      <c r="U32" s="253">
        <f>Allocation!$I$8*IS!T31</f>
        <v>226.48068190080883</v>
      </c>
      <c r="V32" s="253">
        <f>Allocation!$I$8*IS!U31</f>
        <v>213.23161467699367</v>
      </c>
      <c r="W32" s="253">
        <f>Allocation!$I$8*IS!V31</f>
        <v>193.13692281704033</v>
      </c>
      <c r="X32" s="253">
        <f>Allocation!$I$8*IS!W31</f>
        <v>159.18112858758059</v>
      </c>
      <c r="Y32" s="253">
        <f>Allocation!$I$8*IS!X31</f>
        <v>126.10893991859888</v>
      </c>
      <c r="Z32" s="253">
        <f>Allocation!$I$8*IS!Y31</f>
        <v>126.10893991859888</v>
      </c>
    </row>
    <row r="33" spans="1:26">
      <c r="A33" s="4" t="s">
        <v>180</v>
      </c>
      <c r="D33"/>
      <c r="E33" s="253">
        <v>0</v>
      </c>
      <c r="F33" s="253">
        <v>0</v>
      </c>
      <c r="G33" s="253">
        <v>0</v>
      </c>
      <c r="H33" s="253">
        <v>0</v>
      </c>
      <c r="I33" s="135">
        <f>Assumptions!$M$50*Assumptions!$M$33*12</f>
        <v>414.56352000000004</v>
      </c>
      <c r="J33" s="135">
        <f>Assumptions!$M$50*Assumptions!$M$33*12*(1+Assumptions!M52)</f>
        <v>427.00042560000003</v>
      </c>
      <c r="K33" s="135">
        <f>J33*(1+Assumptions!$M$52)</f>
        <v>439.81043836800006</v>
      </c>
      <c r="L33" s="135">
        <f>K33*(1+Assumptions!$M$52)</f>
        <v>453.0047515190401</v>
      </c>
      <c r="M33" s="135">
        <f>L33*(1+Assumptions!$M$52)</f>
        <v>466.59489406461131</v>
      </c>
      <c r="N33" s="135">
        <f>M33*(1+Assumptions!$M$52)</f>
        <v>480.59274088654968</v>
      </c>
      <c r="O33" s="135">
        <f>N33*(1+Assumptions!$M$52)</f>
        <v>495.01052311314618</v>
      </c>
      <c r="P33" s="135">
        <f>O33*(1+Assumptions!$M$52)</f>
        <v>509.86083880654058</v>
      </c>
      <c r="Q33" s="135">
        <f>P33*(1+Assumptions!$M$52)</f>
        <v>525.15666397073687</v>
      </c>
      <c r="R33" s="135">
        <f>Q33*(1+Assumptions!$M$52)</f>
        <v>540.91136388985899</v>
      </c>
      <c r="S33" s="135">
        <f>R33*(1+Assumptions!$M$52)</f>
        <v>557.13870480655476</v>
      </c>
      <c r="T33" s="135">
        <f>S33*(1+Assumptions!$M$52)</f>
        <v>573.85286595075138</v>
      </c>
      <c r="U33" s="135">
        <f>T33*(1+Assumptions!$M$52)</f>
        <v>591.06845192927392</v>
      </c>
      <c r="V33" s="135">
        <f>U33*(1+Assumptions!$M$52)</f>
        <v>608.80050548715212</v>
      </c>
      <c r="W33" s="135">
        <f>V33*(1+Assumptions!$M$52)</f>
        <v>627.06452065176666</v>
      </c>
      <c r="X33" s="135">
        <f>W33*(1+Assumptions!$M$52)</f>
        <v>645.87645627131963</v>
      </c>
      <c r="Y33" s="135">
        <f>X33*(1+Assumptions!$M$52)</f>
        <v>665.25274995945927</v>
      </c>
      <c r="Z33" s="135">
        <f>Y33*(1+Assumptions!$M$52)</f>
        <v>685.2103324582431</v>
      </c>
    </row>
    <row r="34" spans="1:26">
      <c r="A34" s="4" t="s">
        <v>181</v>
      </c>
      <c r="D34"/>
      <c r="E34" s="253">
        <f>Assumptions!$M65*Assumptions!M53/12</f>
        <v>0</v>
      </c>
      <c r="F34" s="253">
        <f>Assumptions!$M65*(1+Assumptions!$M$52)*$F$1/12</f>
        <v>157.52941176470591</v>
      </c>
      <c r="G34" s="253">
        <f>F34*(1+Assumptions!$M$52)</f>
        <v>162.25529411764708</v>
      </c>
      <c r="H34" s="253">
        <f>G34*(1+Assumptions!$M$52)</f>
        <v>167.12295294117649</v>
      </c>
      <c r="I34" s="253">
        <f>H34*(1+Assumptions!$M$52)</f>
        <v>172.1366415294118</v>
      </c>
      <c r="J34" s="253">
        <f>I34*(1+Assumptions!$M$52)</f>
        <v>177.30074077529417</v>
      </c>
      <c r="K34" s="253">
        <f>J34*(1+Assumptions!$M$52)</f>
        <v>182.619762998553</v>
      </c>
      <c r="L34" s="253">
        <f>K34*(1+Assumptions!$M$52)</f>
        <v>188.09835588850959</v>
      </c>
      <c r="M34" s="253">
        <f>L34*(1+Assumptions!$M$52)</f>
        <v>193.74130656516488</v>
      </c>
      <c r="N34" s="253">
        <f>M34*(1+Assumptions!$M$52)</f>
        <v>199.55354576211982</v>
      </c>
      <c r="O34" s="253">
        <f>N34*(1+Assumptions!$M$52)</f>
        <v>205.54015213498343</v>
      </c>
      <c r="P34" s="253">
        <f>O34*(1+Assumptions!$M$52)</f>
        <v>211.70635669903294</v>
      </c>
      <c r="Q34" s="253">
        <f>P34*(1+Assumptions!$M$52)</f>
        <v>218.05754740000393</v>
      </c>
      <c r="R34" s="253">
        <f>Q34*(1+Assumptions!$M$52)</f>
        <v>224.59927382200405</v>
      </c>
      <c r="S34" s="253">
        <f>R34*(1+Assumptions!$M$52)</f>
        <v>231.33725203666418</v>
      </c>
      <c r="T34" s="253">
        <f>S34*(1+Assumptions!$M$52)</f>
        <v>238.27736959776411</v>
      </c>
      <c r="U34" s="253">
        <f>T34*(1+Assumptions!$M$52)</f>
        <v>245.42569068569705</v>
      </c>
      <c r="V34" s="253">
        <f>U34*(1+Assumptions!$M$52)</f>
        <v>252.78846140626797</v>
      </c>
      <c r="W34" s="253">
        <f>V34*(1+Assumptions!$M$52)</f>
        <v>260.372115248456</v>
      </c>
      <c r="X34" s="253">
        <f>W34*(1+Assumptions!$M$52)</f>
        <v>268.18327870590969</v>
      </c>
      <c r="Y34" s="253">
        <f>X34*(1+Assumptions!$M$52)</f>
        <v>276.22877706708698</v>
      </c>
      <c r="Z34" s="253">
        <f>Y34*(1+Assumptions!$M$52)</f>
        <v>284.51564037909958</v>
      </c>
    </row>
    <row r="35" spans="1:26">
      <c r="A35" s="4" t="s">
        <v>182</v>
      </c>
      <c r="B35" s="8"/>
      <c r="C35" s="8"/>
      <c r="D35"/>
      <c r="E35" s="254">
        <f>Assumptions!$M66*Assumptions!M53/12</f>
        <v>0</v>
      </c>
      <c r="F35" s="254">
        <f>Assumptions!$M66*(1+Assumptions!$M$52)*$F$1/12</f>
        <v>206</v>
      </c>
      <c r="G35" s="254">
        <f>F35*(1+Assumptions!$M$52)</f>
        <v>212.18</v>
      </c>
      <c r="H35" s="254">
        <f>G35*(1+Assumptions!$M$52)</f>
        <v>218.5454</v>
      </c>
      <c r="I35" s="254">
        <f>H35*(1+Assumptions!$M$52)</f>
        <v>225.10176200000001</v>
      </c>
      <c r="J35" s="254">
        <f>I35*(1+Assumptions!$M$52)</f>
        <v>231.85481486</v>
      </c>
      <c r="K35" s="254">
        <f>J35*(1+Assumptions!$M$52)</f>
        <v>238.81045930580001</v>
      </c>
      <c r="L35" s="254">
        <f>K35*(1+Assumptions!$M$52)</f>
        <v>245.974773084974</v>
      </c>
      <c r="M35" s="254">
        <f>L35*(1+Assumptions!$M$52)</f>
        <v>253.35401627752324</v>
      </c>
      <c r="N35" s="254">
        <f>M35*(1+Assumptions!$M$52)</f>
        <v>260.95463676584893</v>
      </c>
      <c r="O35" s="254">
        <f>N35*(1+Assumptions!$M$52)</f>
        <v>268.78327586882443</v>
      </c>
      <c r="P35" s="254">
        <f>O35*(1+Assumptions!$M$52)</f>
        <v>276.8467741448892</v>
      </c>
      <c r="Q35" s="254">
        <f>P35*(1+Assumptions!$M$52)</f>
        <v>285.15217736923586</v>
      </c>
      <c r="R35" s="254">
        <f>Q35*(1+Assumptions!$M$52)</f>
        <v>293.70674269031292</v>
      </c>
      <c r="S35" s="254">
        <f>R35*(1+Assumptions!$M$52)</f>
        <v>302.5179449710223</v>
      </c>
      <c r="T35" s="254">
        <f>S35*(1+Assumptions!$M$52)</f>
        <v>311.59348332015298</v>
      </c>
      <c r="U35" s="254">
        <f>T35*(1+Assumptions!$M$52)</f>
        <v>320.94128781975758</v>
      </c>
      <c r="V35" s="254">
        <f>U35*(1+Assumptions!$M$52)</f>
        <v>330.5695264543503</v>
      </c>
      <c r="W35" s="254">
        <f>V35*(1+Assumptions!$M$52)</f>
        <v>340.48661224798082</v>
      </c>
      <c r="X35" s="254">
        <f>W35*(1+Assumptions!$M$52)</f>
        <v>350.70121061542022</v>
      </c>
      <c r="Y35" s="254">
        <f>X35*(1+Assumptions!$M$52)</f>
        <v>361.22224693388284</v>
      </c>
      <c r="Z35" s="254">
        <f>Y35*(1+Assumptions!$M$52)</f>
        <v>372.05891434189931</v>
      </c>
    </row>
    <row r="36" spans="1:26">
      <c r="A36" s="4" t="s">
        <v>183</v>
      </c>
      <c r="B36" s="8"/>
      <c r="C36" s="8"/>
      <c r="D36"/>
      <c r="E36" s="253">
        <f>SUM(E24:E35)</f>
        <v>0</v>
      </c>
      <c r="F36" s="253">
        <f t="shared" ref="F36:Z36" ca="1" si="2">SUM(F24:F35)</f>
        <v>4723.8499062472774</v>
      </c>
      <c r="G36" s="253">
        <f t="shared" si="2"/>
        <v>4682.5539203150029</v>
      </c>
      <c r="H36" s="187">
        <f t="shared" si="2"/>
        <v>4785.5644447204877</v>
      </c>
      <c r="I36" s="253">
        <f t="shared" si="2"/>
        <v>5344.6401718048764</v>
      </c>
      <c r="J36" s="253">
        <f t="shared" si="2"/>
        <v>5470.212856224508</v>
      </c>
      <c r="K36" s="253">
        <f t="shared" si="2"/>
        <v>5599.8801771153976</v>
      </c>
      <c r="L36" s="253">
        <f t="shared" si="2"/>
        <v>5728.3073745938464</v>
      </c>
      <c r="M36" s="253">
        <f t="shared" si="2"/>
        <v>5861.0785719046526</v>
      </c>
      <c r="N36" s="253">
        <f t="shared" si="2"/>
        <v>5998.3240890427887</v>
      </c>
      <c r="O36" s="253">
        <f t="shared" si="2"/>
        <v>6134.7205566252351</v>
      </c>
      <c r="P36" s="253">
        <f t="shared" si="2"/>
        <v>7024.909105843979</v>
      </c>
      <c r="Q36" s="253">
        <f t="shared" si="2"/>
        <v>7099.7220793563383</v>
      </c>
      <c r="R36" s="253">
        <f t="shared" si="2"/>
        <v>7173.7755545183572</v>
      </c>
      <c r="S36" s="253">
        <f t="shared" si="2"/>
        <v>7248.663276974069</v>
      </c>
      <c r="T36" s="253">
        <f t="shared" si="2"/>
        <v>7328.855855387661</v>
      </c>
      <c r="U36" s="253">
        <f t="shared" si="2"/>
        <v>7384.4014968144802</v>
      </c>
      <c r="V36" s="253">
        <f t="shared" si="2"/>
        <v>7418.3963414081654</v>
      </c>
      <c r="W36" s="253">
        <f t="shared" si="2"/>
        <v>7451.3835338922891</v>
      </c>
      <c r="X36" s="253">
        <f t="shared" si="2"/>
        <v>7574.7595173103964</v>
      </c>
      <c r="Y36" s="253">
        <f t="shared" si="2"/>
        <v>7754.3310021429897</v>
      </c>
      <c r="Z36" s="253">
        <f t="shared" si="2"/>
        <v>7645.8980471792074</v>
      </c>
    </row>
    <row r="37" spans="1:26" s="146" customFormat="1" outlineLevel="1">
      <c r="A37" s="6"/>
      <c r="B37" s="143"/>
      <c r="C37" s="143"/>
      <c r="D37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>
      <c r="A39" s="1" t="s">
        <v>184</v>
      </c>
      <c r="B39" s="1"/>
      <c r="C39" s="1"/>
      <c r="D39" s="259"/>
      <c r="E39" s="259">
        <f t="shared" ref="E39:Z39" si="3">E20-E36</f>
        <v>0</v>
      </c>
      <c r="F39" s="259">
        <f t="shared" ca="1" si="3"/>
        <v>19029.284463201795</v>
      </c>
      <c r="G39" s="259">
        <f t="shared" si="3"/>
        <v>19442.80185267597</v>
      </c>
      <c r="H39" s="260">
        <f t="shared" si="3"/>
        <v>19397.714327625265</v>
      </c>
      <c r="I39" s="259">
        <f t="shared" si="3"/>
        <v>29208.130385553563</v>
      </c>
      <c r="J39" s="259">
        <f t="shared" si="3"/>
        <v>29534.484437024457</v>
      </c>
      <c r="K39" s="259">
        <f t="shared" si="3"/>
        <v>29852.75562548876</v>
      </c>
      <c r="L39" s="259">
        <f t="shared" si="3"/>
        <v>30167.701025958944</v>
      </c>
      <c r="M39" s="259">
        <f t="shared" si="3"/>
        <v>31111.938774051807</v>
      </c>
      <c r="N39" s="259">
        <f t="shared" si="3"/>
        <v>31425.886235827853</v>
      </c>
      <c r="O39" s="259">
        <f t="shared" si="3"/>
        <v>32412.400711768158</v>
      </c>
      <c r="P39" s="259">
        <f t="shared" si="3"/>
        <v>31971.239573191255</v>
      </c>
      <c r="Q39" s="259">
        <f t="shared" si="3"/>
        <v>33067.650456883734</v>
      </c>
      <c r="R39" s="259">
        <f t="shared" si="3"/>
        <v>33459.275138217257</v>
      </c>
      <c r="S39" s="259">
        <f t="shared" si="3"/>
        <v>33841.831659963369</v>
      </c>
      <c r="T39" s="259">
        <f t="shared" si="3"/>
        <v>34209.880178354972</v>
      </c>
      <c r="U39" s="259">
        <f t="shared" si="3"/>
        <v>34592.786131240064</v>
      </c>
      <c r="V39" s="259">
        <f t="shared" si="3"/>
        <v>34986.404502207108</v>
      </c>
      <c r="W39" s="259">
        <f t="shared" si="3"/>
        <v>35368.873660077465</v>
      </c>
      <c r="X39" s="259">
        <f t="shared" si="3"/>
        <v>35646.539304282029</v>
      </c>
      <c r="Y39" s="259">
        <f t="shared" si="3"/>
        <v>35852.850766867385</v>
      </c>
      <c r="Z39" s="259">
        <f t="shared" si="3"/>
        <v>36335.08078867865</v>
      </c>
    </row>
    <row r="40" spans="1:26" s="138" customFormat="1">
      <c r="A40" s="1"/>
      <c r="B40" s="1"/>
      <c r="C40" s="1"/>
      <c r="D40" s="259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D41" s="253"/>
      <c r="E41" s="253">
        <f>Allocation!$G$8/Allocation!$G$10*IS!D40</f>
        <v>0</v>
      </c>
      <c r="F41" s="253">
        <f>Allocation!$G$8*IS!E40</f>
        <v>3824.1500421888763</v>
      </c>
      <c r="G41" s="253">
        <f>Allocation!$G$8*IS!F40</f>
        <v>5256.233656079924</v>
      </c>
      <c r="H41" s="253">
        <f>Allocation!$G$8*IS!G40</f>
        <v>5256.233656079924</v>
      </c>
      <c r="I41" s="253">
        <f>Allocation!$G$8*IS!H40</f>
        <v>5256.233656079924</v>
      </c>
      <c r="J41" s="253">
        <f>Allocation!$G$8*IS!I40</f>
        <v>5256.233656079924</v>
      </c>
      <c r="K41" s="253">
        <f>Allocation!$G$8*IS!J40</f>
        <v>5256.233656079924</v>
      </c>
      <c r="L41" s="253">
        <f>Allocation!$G$8*IS!K40</f>
        <v>5256.233656079924</v>
      </c>
      <c r="M41" s="253">
        <f>Allocation!$G$8*IS!L40</f>
        <v>5256.233656079924</v>
      </c>
      <c r="N41" s="253">
        <f>Allocation!$G$8*IS!M40</f>
        <v>5256.233656079924</v>
      </c>
      <c r="O41" s="253">
        <f>Allocation!$G$8*IS!N40</f>
        <v>5256.233656079924</v>
      </c>
      <c r="P41" s="253">
        <f>Allocation!$G$8*IS!O40</f>
        <v>5256.233656079924</v>
      </c>
      <c r="Q41" s="253">
        <f>Allocation!$G$8*IS!P40</f>
        <v>5256.233656079924</v>
      </c>
      <c r="R41" s="253">
        <f>Allocation!$G$8*IS!Q40</f>
        <v>5256.233656079924</v>
      </c>
      <c r="S41" s="253">
        <f>Allocation!$G$8*IS!R40</f>
        <v>5256.233656079924</v>
      </c>
      <c r="T41" s="253">
        <f>Allocation!$G$8*IS!S40</f>
        <v>5256.233656079924</v>
      </c>
      <c r="U41" s="253">
        <f>Allocation!$G$8*IS!T40</f>
        <v>5256.233656079924</v>
      </c>
      <c r="V41" s="253">
        <f>Allocation!$G$8*IS!U40</f>
        <v>5256.233656079924</v>
      </c>
      <c r="W41" s="253">
        <f>Allocation!$G$8*IS!V40</f>
        <v>5256.233656079924</v>
      </c>
      <c r="X41" s="253">
        <f>Allocation!$G$8*IS!W40</f>
        <v>5256.233656079924</v>
      </c>
      <c r="Y41" s="253">
        <f>Allocation!$G$8*IS!X40</f>
        <v>5256.233656079924</v>
      </c>
      <c r="Z41" s="253">
        <f>Allocation!$G$8*IS!Y40</f>
        <v>5118.6829213003575</v>
      </c>
    </row>
    <row r="42" spans="1:26">
      <c r="A42" s="4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4.5" customHeight="1">
      <c r="A43" s="4"/>
      <c r="D43" s="253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259"/>
      <c r="E44" s="259">
        <f t="shared" ref="E44:Z44" si="4">E39-E41</f>
        <v>0</v>
      </c>
      <c r="F44" s="259">
        <f t="shared" ca="1" si="4"/>
        <v>15205.134421012919</v>
      </c>
      <c r="G44" s="259">
        <f t="shared" si="4"/>
        <v>14186.568196596047</v>
      </c>
      <c r="H44" s="259">
        <f t="shared" si="4"/>
        <v>14141.480671545341</v>
      </c>
      <c r="I44" s="259">
        <f t="shared" si="4"/>
        <v>23951.896729473639</v>
      </c>
      <c r="J44" s="259">
        <f t="shared" si="4"/>
        <v>24278.250780944534</v>
      </c>
      <c r="K44" s="259">
        <f t="shared" si="4"/>
        <v>24596.521969408837</v>
      </c>
      <c r="L44" s="259">
        <f t="shared" si="4"/>
        <v>24911.467369879021</v>
      </c>
      <c r="M44" s="259">
        <f t="shared" si="4"/>
        <v>25855.705117971884</v>
      </c>
      <c r="N44" s="259">
        <f t="shared" si="4"/>
        <v>26169.65257974793</v>
      </c>
      <c r="O44" s="259">
        <f t="shared" si="4"/>
        <v>27156.167055688235</v>
      </c>
      <c r="P44" s="259">
        <f t="shared" si="4"/>
        <v>26715.005917111332</v>
      </c>
      <c r="Q44" s="259">
        <f t="shared" si="4"/>
        <v>27811.41680080381</v>
      </c>
      <c r="R44" s="259">
        <f t="shared" si="4"/>
        <v>28203.041482137334</v>
      </c>
      <c r="S44" s="259">
        <f t="shared" si="4"/>
        <v>28585.598003883446</v>
      </c>
      <c r="T44" s="259">
        <f t="shared" si="4"/>
        <v>28953.646522275048</v>
      </c>
      <c r="U44" s="259">
        <f t="shared" si="4"/>
        <v>29336.552475160141</v>
      </c>
      <c r="V44" s="259">
        <f t="shared" si="4"/>
        <v>29730.170846127185</v>
      </c>
      <c r="W44" s="259">
        <f t="shared" si="4"/>
        <v>30112.640003997541</v>
      </c>
      <c r="X44" s="259">
        <f t="shared" si="4"/>
        <v>30390.305648202106</v>
      </c>
      <c r="Y44" s="259">
        <f t="shared" si="4"/>
        <v>30596.617110787462</v>
      </c>
      <c r="Z44" s="259">
        <f t="shared" si="4"/>
        <v>31216.397867378291</v>
      </c>
    </row>
    <row r="45" spans="1:26" s="138" customFormat="1">
      <c r="A45" s="1"/>
      <c r="B45" s="1"/>
      <c r="C45" s="1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253"/>
      <c r="E46" s="253">
        <f>Allocation!$K$8*(IS!$D$44)</f>
        <v>0</v>
      </c>
      <c r="F46" s="253">
        <f>Allocation!$I$8*(IS!$E$44-Debt!$C$136)</f>
        <v>10940.092972318676</v>
      </c>
      <c r="G46" s="253">
        <f>Allocation!$I$8*IS!F44</f>
        <v>10665.836832843012</v>
      </c>
      <c r="H46" s="253">
        <f>Allocation!$I$8*IS!G44</f>
        <v>10314.060756727547</v>
      </c>
      <c r="I46" s="253">
        <f>Allocation!$I$8*IS!H44</f>
        <v>9968.0486489649302</v>
      </c>
      <c r="J46" s="253">
        <f>Allocation!$I$8*IS!I44</f>
        <v>9740.4451586708474</v>
      </c>
      <c r="K46" s="253">
        <f>Allocation!$I$8*IS!J44</f>
        <v>9357.1825738373846</v>
      </c>
      <c r="L46" s="253">
        <f>Allocation!$I$8*IS!K44</f>
        <v>8936.762251710019</v>
      </c>
      <c r="M46" s="253">
        <f>Allocation!$I$8*IS!L44</f>
        <v>8451.0531266169928</v>
      </c>
      <c r="N46" s="253">
        <f>Allocation!$I$8*IS!M44</f>
        <v>7895.1090771215113</v>
      </c>
      <c r="O46" s="253">
        <f>Allocation!$I$8*IS!N44</f>
        <v>7220.4581131430095</v>
      </c>
      <c r="P46" s="253">
        <f>Allocation!$I$8*IS!O44</f>
        <v>6624.5239257135399</v>
      </c>
      <c r="Q46" s="253">
        <f>Allocation!$I$8*IS!P44</f>
        <v>6052.298619170856</v>
      </c>
      <c r="R46" s="253">
        <f>Allocation!$I$8*IS!Q44</f>
        <v>5420.1377170620226</v>
      </c>
      <c r="S46" s="253">
        <f>Allocation!$I$8*IS!R44</f>
        <v>4739.049526466797</v>
      </c>
      <c r="T46" s="253">
        <f>Allocation!$I$8*IS!S44</f>
        <v>4011.6993011612963</v>
      </c>
      <c r="U46" s="253">
        <f>Allocation!$I$8*IS!T44</f>
        <v>3223.9266991473191</v>
      </c>
      <c r="V46" s="253">
        <f>Allocation!$I$8*IS!U44</f>
        <v>2403.3585941057704</v>
      </c>
      <c r="W46" s="253">
        <f>Allocation!$I$8*IS!V44</f>
        <v>1590.2984436684983</v>
      </c>
      <c r="X46" s="253">
        <f>Allocation!$I$8*IS!W44</f>
        <v>847.28027594505033</v>
      </c>
      <c r="Y46" s="253">
        <f>Allocation!$I$8*IS!X44</f>
        <v>203.40544596060354</v>
      </c>
      <c r="Z46" s="253">
        <v>0</v>
      </c>
    </row>
    <row r="47" spans="1:26" ht="6" customHeight="1">
      <c r="D47" s="253"/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D48" s="253"/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D49" s="259"/>
      <c r="E49" s="259">
        <f t="shared" ref="E49:Z49" si="5">E44-E46</f>
        <v>0</v>
      </c>
      <c r="F49" s="259">
        <f t="shared" ca="1" si="5"/>
        <v>4265.0414486942427</v>
      </c>
      <c r="G49" s="259">
        <f t="shared" si="5"/>
        <v>3520.7313637530351</v>
      </c>
      <c r="H49" s="259">
        <f t="shared" si="5"/>
        <v>3827.4199148177941</v>
      </c>
      <c r="I49" s="259">
        <f t="shared" si="5"/>
        <v>13983.848080508709</v>
      </c>
      <c r="J49" s="259">
        <f t="shared" si="5"/>
        <v>14537.805622273687</v>
      </c>
      <c r="K49" s="259">
        <f t="shared" si="5"/>
        <v>15239.339395571453</v>
      </c>
      <c r="L49" s="259">
        <f t="shared" si="5"/>
        <v>15974.705118169002</v>
      </c>
      <c r="M49" s="259">
        <f t="shared" si="5"/>
        <v>17404.651991354891</v>
      </c>
      <c r="N49" s="259">
        <f t="shared" si="5"/>
        <v>18274.543502626417</v>
      </c>
      <c r="O49" s="259">
        <f t="shared" si="5"/>
        <v>19935.708942545225</v>
      </c>
      <c r="P49" s="259">
        <f t="shared" si="5"/>
        <v>20090.481991397792</v>
      </c>
      <c r="Q49" s="259">
        <f t="shared" si="5"/>
        <v>21759.118181632955</v>
      </c>
      <c r="R49" s="259">
        <f t="shared" si="5"/>
        <v>22782.903765075313</v>
      </c>
      <c r="S49" s="259">
        <f t="shared" si="5"/>
        <v>23846.548477416647</v>
      </c>
      <c r="T49" s="259">
        <f t="shared" si="5"/>
        <v>24941.947221113751</v>
      </c>
      <c r="U49" s="259">
        <f t="shared" si="5"/>
        <v>26112.625776012821</v>
      </c>
      <c r="V49" s="259">
        <f t="shared" si="5"/>
        <v>27326.812252021413</v>
      </c>
      <c r="W49" s="259">
        <f t="shared" si="5"/>
        <v>28522.341560329041</v>
      </c>
      <c r="X49" s="259">
        <f t="shared" si="5"/>
        <v>29543.025372257056</v>
      </c>
      <c r="Y49" s="259">
        <f t="shared" si="5"/>
        <v>30393.211664826857</v>
      </c>
      <c r="Z49" s="259">
        <f t="shared" si="5"/>
        <v>31216.397867378291</v>
      </c>
    </row>
    <row r="50" spans="1:26" s="138" customFormat="1">
      <c r="A50" s="1"/>
      <c r="B50" s="1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Assumptions!$M$44</f>
        <v>0.05</v>
      </c>
      <c r="D51" s="253"/>
      <c r="E51" s="253">
        <f t="shared" ref="E51:Z51" si="6">E49*-$C$51</f>
        <v>0</v>
      </c>
      <c r="F51" s="253">
        <f t="shared" ca="1" si="6"/>
        <v>-213.25207243471215</v>
      </c>
      <c r="G51" s="253">
        <f t="shared" si="6"/>
        <v>-176.03656818765177</v>
      </c>
      <c r="H51" s="187">
        <f t="shared" si="6"/>
        <v>-191.37099574088973</v>
      </c>
      <c r="I51" s="253">
        <f t="shared" si="6"/>
        <v>-699.19240402543551</v>
      </c>
      <c r="J51" s="253">
        <f t="shared" si="6"/>
        <v>-726.89028111368441</v>
      </c>
      <c r="K51" s="253">
        <f t="shared" si="6"/>
        <v>-761.96696977857266</v>
      </c>
      <c r="L51" s="253">
        <f t="shared" si="6"/>
        <v>-798.7352559084502</v>
      </c>
      <c r="M51" s="253">
        <f t="shared" si="6"/>
        <v>-870.23259956774461</v>
      </c>
      <c r="N51" s="253">
        <f t="shared" si="6"/>
        <v>-913.72717513132091</v>
      </c>
      <c r="O51" s="253">
        <f t="shared" si="6"/>
        <v>-996.78544712726125</v>
      </c>
      <c r="P51" s="253">
        <f t="shared" si="6"/>
        <v>-1004.5240995698896</v>
      </c>
      <c r="Q51" s="253">
        <f t="shared" si="6"/>
        <v>-1087.9559090816479</v>
      </c>
      <c r="R51" s="253">
        <f t="shared" si="6"/>
        <v>-1139.1451882537656</v>
      </c>
      <c r="S51" s="253">
        <f t="shared" si="6"/>
        <v>-1192.3274238708325</v>
      </c>
      <c r="T51" s="253">
        <f t="shared" si="6"/>
        <v>-1247.0973610556875</v>
      </c>
      <c r="U51" s="253">
        <f t="shared" si="6"/>
        <v>-1305.6312888006412</v>
      </c>
      <c r="V51" s="253">
        <f t="shared" si="6"/>
        <v>-1366.3406126010707</v>
      </c>
      <c r="W51" s="253">
        <f t="shared" si="6"/>
        <v>-1426.1170780164521</v>
      </c>
      <c r="X51" s="253">
        <f t="shared" si="6"/>
        <v>-1477.1512686128528</v>
      </c>
      <c r="Y51" s="253">
        <f t="shared" si="6"/>
        <v>-1519.6605832413429</v>
      </c>
      <c r="Z51" s="253">
        <f t="shared" si="6"/>
        <v>-1560.8198933689146</v>
      </c>
    </row>
    <row r="52" spans="1:26">
      <c r="A52" s="4" t="s">
        <v>190</v>
      </c>
      <c r="C52" s="149">
        <f>Assumptions!$M$43</f>
        <v>0.35</v>
      </c>
      <c r="D52" s="253"/>
      <c r="E52" s="253">
        <f t="shared" ref="E52:Z52" si="7">(E49+E51)*-$C$52</f>
        <v>0</v>
      </c>
      <c r="F52" s="253">
        <f t="shared" ca="1" si="7"/>
        <v>-1418.1262816908356</v>
      </c>
      <c r="G52" s="253">
        <f t="shared" si="7"/>
        <v>-1170.6431784478841</v>
      </c>
      <c r="H52" s="253">
        <f t="shared" si="7"/>
        <v>-1272.6171216769164</v>
      </c>
      <c r="I52" s="253">
        <f t="shared" si="7"/>
        <v>-4649.6294867691449</v>
      </c>
      <c r="J52" s="253">
        <f t="shared" si="7"/>
        <v>-4833.8203694060003</v>
      </c>
      <c r="K52" s="253">
        <f t="shared" si="7"/>
        <v>-5067.0803490275075</v>
      </c>
      <c r="L52" s="253">
        <f t="shared" si="7"/>
        <v>-5311.5894517911929</v>
      </c>
      <c r="M52" s="253">
        <f t="shared" si="7"/>
        <v>-5787.0467871255005</v>
      </c>
      <c r="N52" s="253">
        <f t="shared" si="7"/>
        <v>-6076.2857146232836</v>
      </c>
      <c r="O52" s="253">
        <f t="shared" si="7"/>
        <v>-6628.6232233962864</v>
      </c>
      <c r="P52" s="253">
        <f t="shared" si="7"/>
        <v>-6680.0852621397644</v>
      </c>
      <c r="Q52" s="253">
        <f t="shared" si="7"/>
        <v>-7234.9067953929571</v>
      </c>
      <c r="R52" s="253">
        <f t="shared" si="7"/>
        <v>-7575.3155018875404</v>
      </c>
      <c r="S52" s="253">
        <f t="shared" si="7"/>
        <v>-7928.9773687410343</v>
      </c>
      <c r="T52" s="253">
        <f t="shared" si="7"/>
        <v>-8293.1974510203218</v>
      </c>
      <c r="U52" s="253">
        <f t="shared" si="7"/>
        <v>-8682.4480705242622</v>
      </c>
      <c r="V52" s="253">
        <f t="shared" si="7"/>
        <v>-9086.1650737971195</v>
      </c>
      <c r="W52" s="253">
        <f t="shared" si="7"/>
        <v>-9483.6785688094042</v>
      </c>
      <c r="X52" s="253">
        <f t="shared" si="7"/>
        <v>-9823.0559362754702</v>
      </c>
      <c r="Y52" s="253">
        <f t="shared" si="7"/>
        <v>-10105.742878554929</v>
      </c>
      <c r="Z52" s="253">
        <f t="shared" si="7"/>
        <v>-10379.452290903282</v>
      </c>
    </row>
    <row r="53" spans="1:26" ht="6" customHeight="1">
      <c r="D53" s="253"/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75">
      <c r="A54" s="106" t="s">
        <v>296</v>
      </c>
      <c r="B54" s="106"/>
      <c r="C54" s="106"/>
      <c r="D54" s="261"/>
      <c r="E54" s="261">
        <f t="shared" ref="E54:Z54" si="8">SUM(E49:E52)</f>
        <v>0</v>
      </c>
      <c r="F54" s="261">
        <f t="shared" ca="1" si="8"/>
        <v>2633.6630945686948</v>
      </c>
      <c r="G54" s="261">
        <f t="shared" si="8"/>
        <v>2174.0516171174991</v>
      </c>
      <c r="H54" s="261">
        <f t="shared" si="8"/>
        <v>2363.4317973999878</v>
      </c>
      <c r="I54" s="261">
        <f t="shared" si="8"/>
        <v>8635.0261897141281</v>
      </c>
      <c r="J54" s="261">
        <f t="shared" si="8"/>
        <v>8977.0949717540025</v>
      </c>
      <c r="K54" s="261">
        <f t="shared" si="8"/>
        <v>9410.2920767653741</v>
      </c>
      <c r="L54" s="261">
        <f t="shared" si="8"/>
        <v>9864.380410469359</v>
      </c>
      <c r="M54" s="261">
        <f t="shared" si="8"/>
        <v>10747.372604661645</v>
      </c>
      <c r="N54" s="261">
        <f t="shared" si="8"/>
        <v>11284.530612871813</v>
      </c>
      <c r="O54" s="261">
        <f t="shared" si="8"/>
        <v>12310.300272021675</v>
      </c>
      <c r="P54" s="261">
        <f t="shared" si="8"/>
        <v>12405.872629688136</v>
      </c>
      <c r="Q54" s="261">
        <f t="shared" si="8"/>
        <v>13436.255477158351</v>
      </c>
      <c r="R54" s="261">
        <f t="shared" si="8"/>
        <v>14068.443074934006</v>
      </c>
      <c r="S54" s="261">
        <f t="shared" si="8"/>
        <v>14725.24368480478</v>
      </c>
      <c r="T54" s="261">
        <f t="shared" si="8"/>
        <v>15401.652409037742</v>
      </c>
      <c r="U54" s="261">
        <f t="shared" si="8"/>
        <v>16124.546416687919</v>
      </c>
      <c r="V54" s="261">
        <f t="shared" si="8"/>
        <v>16874.306565623221</v>
      </c>
      <c r="W54" s="261">
        <f t="shared" si="8"/>
        <v>17612.545913503185</v>
      </c>
      <c r="X54" s="261">
        <f t="shared" si="8"/>
        <v>18242.818167368736</v>
      </c>
      <c r="Y54" s="261">
        <f t="shared" si="8"/>
        <v>18767.808203030581</v>
      </c>
      <c r="Z54" s="261">
        <f t="shared" si="8"/>
        <v>19276.125683106096</v>
      </c>
    </row>
    <row r="55" spans="1:26" s="146" customFormat="1" ht="9" outlineLevel="1">
      <c r="A55" s="5"/>
      <c r="B55" s="143">
        <f>SUM(I55:Z55)</f>
        <v>0</v>
      </c>
      <c r="C55" s="143"/>
      <c r="D55" s="5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>
      <c r="A56" s="1"/>
      <c r="D56" s="135"/>
      <c r="E56" s="135"/>
      <c r="F56" s="135"/>
      <c r="G56" s="135"/>
      <c r="H56" s="142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outlineLevel="1">
      <c r="A57" s="15"/>
      <c r="D57" s="135"/>
      <c r="E57" s="135"/>
      <c r="F57" s="135"/>
      <c r="G57" s="135"/>
      <c r="H57" s="142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8.75" outlineLevel="1">
      <c r="A58" s="132" t="s">
        <v>297</v>
      </c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23">
        <f>Assumptions!B13</f>
        <v>0.5</v>
      </c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5" outlineLevel="1" thickBot="1">
      <c r="A62" s="422" t="s">
        <v>164</v>
      </c>
      <c r="B62" s="2"/>
      <c r="C62" s="2"/>
      <c r="D62" s="9"/>
      <c r="E62" s="9">
        <v>1999</v>
      </c>
      <c r="F62" s="9">
        <f>E62+1</f>
        <v>2000</v>
      </c>
      <c r="G62" s="9">
        <f t="shared" ref="G62:Z62" si="9">F62+1</f>
        <v>2001</v>
      </c>
      <c r="H62" s="9">
        <f t="shared" si="9"/>
        <v>2002</v>
      </c>
      <c r="I62" s="9">
        <f t="shared" si="9"/>
        <v>2003</v>
      </c>
      <c r="J62" s="9">
        <f t="shared" si="9"/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 t="shared" si="9"/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D64" s="156"/>
      <c r="E64" s="156">
        <f t="shared" ref="E64:Z64" si="10">E39</f>
        <v>0</v>
      </c>
      <c r="F64" s="156">
        <f t="shared" ca="1" si="10"/>
        <v>19029.284463201795</v>
      </c>
      <c r="G64" s="156">
        <f t="shared" si="10"/>
        <v>19442.80185267597</v>
      </c>
      <c r="H64" s="156">
        <f t="shared" si="10"/>
        <v>19397.714327625265</v>
      </c>
      <c r="I64" s="156">
        <f t="shared" si="10"/>
        <v>29208.130385553563</v>
      </c>
      <c r="J64" s="156">
        <f t="shared" si="10"/>
        <v>29534.484437024457</v>
      </c>
      <c r="K64" s="156">
        <f t="shared" si="10"/>
        <v>29852.75562548876</v>
      </c>
      <c r="L64" s="156">
        <f t="shared" si="10"/>
        <v>30167.701025958944</v>
      </c>
      <c r="M64" s="156">
        <f t="shared" si="10"/>
        <v>31111.938774051807</v>
      </c>
      <c r="N64" s="156">
        <f t="shared" si="10"/>
        <v>31425.886235827853</v>
      </c>
      <c r="O64" s="156">
        <f t="shared" si="10"/>
        <v>32412.400711768158</v>
      </c>
      <c r="P64" s="156">
        <f t="shared" si="10"/>
        <v>31971.239573191255</v>
      </c>
      <c r="Q64" s="156">
        <f t="shared" si="10"/>
        <v>33067.650456883734</v>
      </c>
      <c r="R64" s="156">
        <f t="shared" si="10"/>
        <v>33459.275138217257</v>
      </c>
      <c r="S64" s="156">
        <f t="shared" si="10"/>
        <v>33841.831659963369</v>
      </c>
      <c r="T64" s="156">
        <f t="shared" si="10"/>
        <v>34209.880178354972</v>
      </c>
      <c r="U64" s="156">
        <f t="shared" si="10"/>
        <v>34592.786131240064</v>
      </c>
      <c r="V64" s="156">
        <f t="shared" si="10"/>
        <v>34986.404502207108</v>
      </c>
      <c r="W64" s="156">
        <f t="shared" si="10"/>
        <v>35368.873660077465</v>
      </c>
      <c r="X64" s="156">
        <f t="shared" si="10"/>
        <v>35646.539304282029</v>
      </c>
      <c r="Y64" s="156">
        <f t="shared" si="10"/>
        <v>35852.850766867385</v>
      </c>
      <c r="Z64" s="156">
        <f t="shared" si="10"/>
        <v>36335.08078867865</v>
      </c>
    </row>
    <row r="65" spans="1:26" outlineLevel="1">
      <c r="A65" s="15" t="s">
        <v>192</v>
      </c>
      <c r="D65" s="135"/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</row>
    <row r="66" spans="1:26" outlineLevel="1">
      <c r="A66" s="15" t="s">
        <v>193</v>
      </c>
      <c r="D66" s="262"/>
      <c r="E66" s="262">
        <f>Allocation!$I$8*CF!D15</f>
        <v>0</v>
      </c>
      <c r="F66" s="262">
        <f>Allocation!$K$8*(CF!E16+CF!E15)+Allocation!$I$8*(CF!G16+CF!G15-CF!G14)</f>
        <v>-11373.302601841693</v>
      </c>
      <c r="G66" s="262">
        <f>Allocation!$I$8*(CF!H16+CF!H15)</f>
        <v>-14844.769261634032</v>
      </c>
      <c r="H66" s="262">
        <f>Allocation!$I$8*(CF!I16+CF!I15)</f>
        <v>-14756.6482283445</v>
      </c>
      <c r="I66" s="262">
        <f>Allocation!$I$8*(CF!J16+CF!J15)</f>
        <v>-13118.726410734816</v>
      </c>
      <c r="J66" s="262">
        <f>Allocation!$I$8*(CF!K16+CF!K15)</f>
        <v>-13282.593233242225</v>
      </c>
      <c r="K66" s="262">
        <f>Allocation!$I$8*(CF!L16+CF!L15)</f>
        <v>-13518.809459656673</v>
      </c>
      <c r="L66" s="262">
        <f>Allocation!$I$8*(CF!M16+CF!M15)</f>
        <v>-13606.679444194258</v>
      </c>
      <c r="M66" s="262">
        <f>Allocation!$I$8*(CF!N16+CF!N15)</f>
        <v>-13915.173923265218</v>
      </c>
      <c r="N66" s="262">
        <f>Allocation!$I$8*(CF!O16+CF!O15)</f>
        <v>-14089.897189600604</v>
      </c>
      <c r="O66" s="262">
        <f>Allocation!$I$8*(CF!P16+CF!P15)</f>
        <v>-14374.369384435971</v>
      </c>
      <c r="P66" s="262">
        <f>Allocation!$I$8*(CF!Q16+CF!Q15)</f>
        <v>-12531.920530562165</v>
      </c>
      <c r="Q66" s="262">
        <f>Allocation!$I$8*(CF!R16+CF!R15)</f>
        <v>-11972.624465531115</v>
      </c>
      <c r="R66" s="262">
        <f>Allocation!$I$8*(CF!S16+CF!S15)</f>
        <v>-11942.199010438291</v>
      </c>
      <c r="S66" s="262">
        <f>Allocation!$I$8*(CF!T16+CF!T15)</f>
        <v>-11694.137771232614</v>
      </c>
      <c r="T66" s="262">
        <f>Allocation!$I$8*(CF!U16+CF!U15)</f>
        <v>-11444.190736659493</v>
      </c>
      <c r="U66" s="262">
        <f>Allocation!$I$8*(CF!V16+CF!V15)</f>
        <v>-11324.034095040441</v>
      </c>
      <c r="V66" s="262">
        <f>Allocation!$I$8*(CF!W16+CF!W15)</f>
        <v>-10661.580733849685</v>
      </c>
      <c r="W66" s="262">
        <f>Allocation!$I$8*(CF!X16+CF!X15)</f>
        <v>-9656.8461408520179</v>
      </c>
      <c r="X66" s="262">
        <f>Allocation!$I$8*(CF!Y16+CF!Y15)</f>
        <v>-7959.0564293790285</v>
      </c>
      <c r="Y66" s="262">
        <f>Allocation!$I$8*(CF!Z16+CF!Z15)</f>
        <v>-6305.4469959299431</v>
      </c>
      <c r="Z66" s="262">
        <f>Allocation!$I$8*(CF!AA16+CF!AA15)</f>
        <v>0</v>
      </c>
    </row>
    <row r="67" spans="1:26" s="138" customFormat="1" outlineLevel="1">
      <c r="A67" s="14" t="s">
        <v>194</v>
      </c>
      <c r="B67" s="1"/>
      <c r="C67" s="1"/>
      <c r="D67" s="263"/>
      <c r="E67" s="263">
        <f t="shared" ref="E67:Z67" si="11">SUM(E64:E66)</f>
        <v>0</v>
      </c>
      <c r="F67" s="263">
        <f t="shared" ca="1" si="11"/>
        <v>7655.9818613601019</v>
      </c>
      <c r="G67" s="263">
        <f t="shared" si="11"/>
        <v>4598.0325910419378</v>
      </c>
      <c r="H67" s="263">
        <f t="shared" si="11"/>
        <v>4641.0660992807643</v>
      </c>
      <c r="I67" s="263">
        <f t="shared" si="11"/>
        <v>16089.403974818746</v>
      </c>
      <c r="J67" s="263">
        <f t="shared" si="11"/>
        <v>16251.891203782232</v>
      </c>
      <c r="K67" s="263">
        <f t="shared" si="11"/>
        <v>16333.946165832087</v>
      </c>
      <c r="L67" s="263">
        <f t="shared" si="11"/>
        <v>16561.021581764686</v>
      </c>
      <c r="M67" s="263">
        <f t="shared" si="11"/>
        <v>17196.764850786589</v>
      </c>
      <c r="N67" s="263">
        <f t="shared" si="11"/>
        <v>17335.989046227249</v>
      </c>
      <c r="O67" s="263">
        <f t="shared" si="11"/>
        <v>18038.031327332188</v>
      </c>
      <c r="P67" s="263">
        <f t="shared" si="11"/>
        <v>19439.319042629089</v>
      </c>
      <c r="Q67" s="263">
        <f t="shared" si="11"/>
        <v>21095.025991352617</v>
      </c>
      <c r="R67" s="263">
        <f t="shared" si="11"/>
        <v>21517.076127778964</v>
      </c>
      <c r="S67" s="263">
        <f t="shared" si="11"/>
        <v>22147.693888730755</v>
      </c>
      <c r="T67" s="263">
        <f t="shared" si="11"/>
        <v>22765.689441695478</v>
      </c>
      <c r="U67" s="263">
        <f t="shared" si="11"/>
        <v>23268.752036199621</v>
      </c>
      <c r="V67" s="263">
        <f t="shared" si="11"/>
        <v>24324.823768357423</v>
      </c>
      <c r="W67" s="263">
        <f t="shared" si="11"/>
        <v>25712.027519225448</v>
      </c>
      <c r="X67" s="263">
        <f t="shared" si="11"/>
        <v>27687.482874902998</v>
      </c>
      <c r="Y67" s="263">
        <f t="shared" si="11"/>
        <v>29547.403770937442</v>
      </c>
      <c r="Z67" s="263">
        <f t="shared" si="11"/>
        <v>36335.08078867865</v>
      </c>
    </row>
    <row r="68" spans="1:26" outlineLevel="1">
      <c r="A68" s="14"/>
      <c r="D68" s="255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</row>
    <row r="69" spans="1:26" outlineLevel="1">
      <c r="A69" s="15" t="s">
        <v>382</v>
      </c>
      <c r="D69" s="228"/>
      <c r="E69" s="228">
        <v>0</v>
      </c>
      <c r="F69" s="255">
        <f ca="1">Allocation!$I$8*CF!G24*7/12+Allocation!$K$8*CF!G24*5/12</f>
        <v>0</v>
      </c>
      <c r="G69" s="228">
        <f>Allocation!$I$8*CF!H24</f>
        <v>0</v>
      </c>
      <c r="H69" s="228">
        <f>Allocation!$I$8*CF!I24</f>
        <v>0</v>
      </c>
      <c r="I69" s="228">
        <f ca="1">Allocation!$I$8*CF!J24</f>
        <v>0</v>
      </c>
      <c r="J69" s="228">
        <f ca="1">Allocation!$I$8*CF!K24</f>
        <v>0</v>
      </c>
      <c r="K69" s="228">
        <f ca="1">Allocation!$I$8*CF!L24</f>
        <v>0</v>
      </c>
      <c r="L69" s="228">
        <f ca="1">Allocation!$I$8*CF!M24</f>
        <v>-619.85326852045887</v>
      </c>
      <c r="M69" s="228">
        <f ca="1">Allocation!$I$8*CF!N24</f>
        <v>-701.2531129716001</v>
      </c>
      <c r="N69" s="228">
        <f ca="1">Allocation!$I$8*CF!O24</f>
        <v>-755.27630844416831</v>
      </c>
      <c r="O69" s="228">
        <f ca="1">Allocation!$I$8*CF!P24</f>
        <v>-840.17531141297763</v>
      </c>
      <c r="P69" s="228">
        <f ca="1">Allocation!$I$8*CF!Q24</f>
        <v>-885.26760086198794</v>
      </c>
      <c r="Q69" s="228">
        <f ca="1">Allocation!$I$8*CF!R24</f>
        <v>-964.78475387484707</v>
      </c>
      <c r="R69" s="228">
        <f ca="1">Allocation!$I$8*CF!S24</f>
        <v>-1024.5881951616084</v>
      </c>
      <c r="S69" s="228">
        <f ca="1">Allocation!$I$8*CF!T24</f>
        <v>-1077.7250719659874</v>
      </c>
      <c r="T69" s="228">
        <f ca="1">Allocation!$I$8*CF!U24</f>
        <v>-1138.9243155542551</v>
      </c>
      <c r="U69" s="228">
        <f ca="1">Allocation!$I$8*CF!V24</f>
        <v>-1547.8773201476029</v>
      </c>
      <c r="V69" s="228">
        <f ca="1">Allocation!$I$8*CF!W24</f>
        <v>-1958.8245652507021</v>
      </c>
      <c r="W69" s="228">
        <f>Allocation!$I$8*CF!X24</f>
        <v>-2026.5191425550868</v>
      </c>
      <c r="X69" s="228">
        <f>Allocation!$I$8*CF!Y24</f>
        <v>-2087.3622266082789</v>
      </c>
      <c r="Y69" s="228">
        <f>Allocation!$I$8*CF!Z24</f>
        <v>-2119.7168886565105</v>
      </c>
      <c r="Z69" s="228">
        <f ca="1">Allocation!$I$8*CF!AA24</f>
        <v>-2169.7058588408281</v>
      </c>
    </row>
    <row r="70" spans="1:26" outlineLevel="1">
      <c r="A70" s="15" t="s">
        <v>383</v>
      </c>
      <c r="D70" s="228"/>
      <c r="E70" s="228">
        <f>Allocation!$K$8*CF!D25</f>
        <v>0</v>
      </c>
      <c r="F70" s="262">
        <f ca="1">Allocation!$I$8*(-Tax!E39)*7/12+Allocation!$K$8*(-Tax!E39)*5/12</f>
        <v>1939.1400661683269</v>
      </c>
      <c r="G70" s="228">
        <f>Allocation!$I$8*CF!H25</f>
        <v>3374.9048391139245</v>
      </c>
      <c r="H70" s="228">
        <f>Allocation!$I$8*CF!I25</f>
        <v>2647.0793466981486</v>
      </c>
      <c r="I70" s="228">
        <f ca="1">Allocation!$I$8*CF!J25</f>
        <v>-1664.2332687181038</v>
      </c>
      <c r="J70" s="228">
        <f ca="1">Allocation!$I$8*CF!K25</f>
        <v>-2392.2207311903076</v>
      </c>
      <c r="K70" s="228">
        <f ca="1">Allocation!$I$8*CF!L25</f>
        <v>-3184.5394336264239</v>
      </c>
      <c r="L70" s="228">
        <f ca="1">Allocation!$I$8*CF!M25</f>
        <v>-3400.4617868872133</v>
      </c>
      <c r="M70" s="228">
        <f ca="1">Allocation!$I$8*CF!N25</f>
        <v>-3778.5036013262243</v>
      </c>
      <c r="N70" s="228">
        <f ca="1">Allocation!$I$8*CF!O25</f>
        <v>-4069.5922751194153</v>
      </c>
      <c r="O70" s="228">
        <f ca="1">Allocation!$I$8*CF!P25</f>
        <v>-4527.046484637689</v>
      </c>
      <c r="P70" s="228">
        <f ca="1">Allocation!$I$8*CF!Q25</f>
        <v>-4770.013503141362</v>
      </c>
      <c r="Q70" s="228">
        <f ca="1">Allocation!$I$8*CF!R25</f>
        <v>-5198.469139870158</v>
      </c>
      <c r="R70" s="228">
        <f ca="1">Allocation!$I$8*CF!S25</f>
        <v>-5520.7030295939103</v>
      </c>
      <c r="S70" s="228">
        <f ca="1">Allocation!$I$8*CF!T25</f>
        <v>-5807.0160265056329</v>
      </c>
      <c r="T70" s="228">
        <f ca="1">Allocation!$I$8*CF!U25</f>
        <v>-6136.7708012357043</v>
      </c>
      <c r="U70" s="228">
        <f ca="1">Allocation!$I$8*CF!V25</f>
        <v>-8340.2981325884903</v>
      </c>
      <c r="V70" s="228">
        <f ca="1">Allocation!$I$8*CF!W25</f>
        <v>-10554.570863581755</v>
      </c>
      <c r="W70" s="228">
        <f>Allocation!$I$8*CF!X25</f>
        <v>-10919.323902681961</v>
      </c>
      <c r="X70" s="228">
        <f>Allocation!$I$8*CF!Y25</f>
        <v>-11247.159612724783</v>
      </c>
      <c r="Y70" s="228">
        <f>Allocation!$I$8*CF!Z25</f>
        <v>-11421.493536963466</v>
      </c>
      <c r="Z70" s="228">
        <f ca="1">Allocation!$I$8*CF!AA25</f>
        <v>-11690.844931451586</v>
      </c>
    </row>
    <row r="71" spans="1:26" outlineLevel="1">
      <c r="A71" s="15"/>
      <c r="D71" s="228"/>
      <c r="E71" s="228"/>
      <c r="F71" s="228"/>
      <c r="G71" s="228"/>
      <c r="H71" s="228"/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</row>
    <row r="72" spans="1:26" s="150" customFormat="1" ht="15.75" outlineLevel="1">
      <c r="A72" s="108" t="s">
        <v>197</v>
      </c>
      <c r="B72" s="106"/>
      <c r="C72" s="106"/>
      <c r="D72" s="264"/>
      <c r="E72" s="264">
        <f t="shared" ref="E72:Z72" si="12">E67+E70+E69</f>
        <v>0</v>
      </c>
      <c r="F72" s="264">
        <f t="shared" ca="1" si="12"/>
        <v>9595.1219275284293</v>
      </c>
      <c r="G72" s="264">
        <f t="shared" si="12"/>
        <v>7972.9374301558619</v>
      </c>
      <c r="H72" s="264">
        <f t="shared" si="12"/>
        <v>7288.1454459789129</v>
      </c>
      <c r="I72" s="264">
        <f t="shared" ca="1" si="12"/>
        <v>14425.170706100642</v>
      </c>
      <c r="J72" s="264">
        <f t="shared" ca="1" si="12"/>
        <v>13859.670472591924</v>
      </c>
      <c r="K72" s="264">
        <f t="shared" ca="1" si="12"/>
        <v>13149.406732205664</v>
      </c>
      <c r="L72" s="264">
        <f t="shared" ca="1" si="12"/>
        <v>12540.706526357013</v>
      </c>
      <c r="M72" s="264">
        <f t="shared" ca="1" si="12"/>
        <v>12717.008136488763</v>
      </c>
      <c r="N72" s="264">
        <f t="shared" ca="1" si="12"/>
        <v>12511.120462663665</v>
      </c>
      <c r="O72" s="264">
        <f t="shared" ca="1" si="12"/>
        <v>12670.809531281522</v>
      </c>
      <c r="P72" s="264">
        <f t="shared" ca="1" si="12"/>
        <v>13784.037938625739</v>
      </c>
      <c r="Q72" s="264">
        <f t="shared" ca="1" si="12"/>
        <v>14931.772097607613</v>
      </c>
      <c r="R72" s="264">
        <f t="shared" ca="1" si="12"/>
        <v>14971.784903023445</v>
      </c>
      <c r="S72" s="264">
        <f t="shared" ca="1" si="12"/>
        <v>15262.952790259134</v>
      </c>
      <c r="T72" s="264">
        <f t="shared" ca="1" si="12"/>
        <v>15489.99432490552</v>
      </c>
      <c r="U72" s="264">
        <f t="shared" ca="1" si="12"/>
        <v>13380.576583463528</v>
      </c>
      <c r="V72" s="264">
        <f t="shared" ca="1" si="12"/>
        <v>11811.428339524966</v>
      </c>
      <c r="W72" s="264">
        <f t="shared" si="12"/>
        <v>12766.1844739884</v>
      </c>
      <c r="X72" s="264">
        <f t="shared" si="12"/>
        <v>14352.961035569937</v>
      </c>
      <c r="Y72" s="264">
        <f t="shared" si="12"/>
        <v>16006.193345317466</v>
      </c>
      <c r="Z72" s="264">
        <f t="shared" ca="1" si="12"/>
        <v>22474.529998386235</v>
      </c>
    </row>
    <row r="73" spans="1:26" outlineLevel="1">
      <c r="A73" s="17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spans="1:26" outlineLevel="1">
      <c r="A74" s="1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spans="1:26" ht="12.75" customHeight="1" outlineLevel="1">
      <c r="A75" s="16" t="s">
        <v>293</v>
      </c>
      <c r="B75" s="151"/>
      <c r="C75" s="123">
        <f>$C$60</f>
        <v>0.5</v>
      </c>
      <c r="D75" s="155"/>
      <c r="E75" s="155">
        <f t="shared" ref="E75:Z75" si="13">$C$75*E54</f>
        <v>0</v>
      </c>
      <c r="F75" s="155">
        <f t="shared" ca="1" si="13"/>
        <v>1316.8315472843474</v>
      </c>
      <c r="G75" s="155">
        <f t="shared" si="13"/>
        <v>1087.0258085587495</v>
      </c>
      <c r="H75" s="155">
        <f t="shared" si="13"/>
        <v>1181.7158986999939</v>
      </c>
      <c r="I75" s="155">
        <f t="shared" si="13"/>
        <v>4317.5130948570641</v>
      </c>
      <c r="J75" s="155">
        <f t="shared" si="13"/>
        <v>4488.5474858770012</v>
      </c>
      <c r="K75" s="155">
        <f t="shared" si="13"/>
        <v>4705.146038382687</v>
      </c>
      <c r="L75" s="155">
        <f t="shared" si="13"/>
        <v>4932.1902052346795</v>
      </c>
      <c r="M75" s="155">
        <f t="shared" si="13"/>
        <v>5373.6863023308224</v>
      </c>
      <c r="N75" s="155">
        <f t="shared" si="13"/>
        <v>5642.2653064359065</v>
      </c>
      <c r="O75" s="155">
        <f t="shared" si="13"/>
        <v>6155.1501360108377</v>
      </c>
      <c r="P75" s="155">
        <f t="shared" si="13"/>
        <v>6202.936314844068</v>
      </c>
      <c r="Q75" s="155">
        <f t="shared" si="13"/>
        <v>6718.1277385791755</v>
      </c>
      <c r="R75" s="155">
        <f t="shared" si="13"/>
        <v>7034.2215374670031</v>
      </c>
      <c r="S75" s="155">
        <f t="shared" si="13"/>
        <v>7362.62184240239</v>
      </c>
      <c r="T75" s="155">
        <f t="shared" si="13"/>
        <v>7700.8262045188712</v>
      </c>
      <c r="U75" s="155">
        <f t="shared" si="13"/>
        <v>8062.2732083439596</v>
      </c>
      <c r="V75" s="155">
        <f t="shared" si="13"/>
        <v>8437.1532828116106</v>
      </c>
      <c r="W75" s="155">
        <f t="shared" si="13"/>
        <v>8806.2729567515926</v>
      </c>
      <c r="X75" s="155">
        <f t="shared" si="13"/>
        <v>9121.4090836843679</v>
      </c>
      <c r="Y75" s="155">
        <f t="shared" si="13"/>
        <v>9383.9041015152907</v>
      </c>
      <c r="Z75" s="155">
        <f t="shared" si="13"/>
        <v>9638.0628415530482</v>
      </c>
    </row>
    <row r="76" spans="1:26" outlineLevel="1">
      <c r="A76" s="16" t="s">
        <v>294</v>
      </c>
      <c r="B76" s="151"/>
      <c r="C76" s="123">
        <f>$C$60</f>
        <v>0.5</v>
      </c>
      <c r="D76" s="155"/>
      <c r="E76" s="155">
        <f t="shared" ref="E76:Z76" si="14">$C$76*E72</f>
        <v>0</v>
      </c>
      <c r="F76" s="155">
        <f t="shared" ca="1" si="14"/>
        <v>4797.5609637642146</v>
      </c>
      <c r="G76" s="155">
        <f t="shared" si="14"/>
        <v>3986.4687150779309</v>
      </c>
      <c r="H76" s="155">
        <f t="shared" si="14"/>
        <v>3644.0727229894565</v>
      </c>
      <c r="I76" s="155">
        <f t="shared" ca="1" si="14"/>
        <v>7212.5853530503209</v>
      </c>
      <c r="J76" s="155">
        <f t="shared" ca="1" si="14"/>
        <v>6929.8352362959622</v>
      </c>
      <c r="K76" s="155">
        <f t="shared" ca="1" si="14"/>
        <v>6574.7033661028318</v>
      </c>
      <c r="L76" s="155">
        <f t="shared" ca="1" si="14"/>
        <v>6270.3532631785065</v>
      </c>
      <c r="M76" s="155">
        <f t="shared" ca="1" si="14"/>
        <v>6358.5040682443814</v>
      </c>
      <c r="N76" s="155">
        <f t="shared" ca="1" si="14"/>
        <v>6255.5602313318323</v>
      </c>
      <c r="O76" s="155">
        <f t="shared" ca="1" si="14"/>
        <v>6335.4047656407611</v>
      </c>
      <c r="P76" s="155">
        <f t="shared" ca="1" si="14"/>
        <v>6892.0189693128696</v>
      </c>
      <c r="Q76" s="155">
        <f t="shared" ca="1" si="14"/>
        <v>7465.8860488038063</v>
      </c>
      <c r="R76" s="155">
        <f t="shared" ca="1" si="14"/>
        <v>7485.8924515117224</v>
      </c>
      <c r="S76" s="155">
        <f t="shared" ca="1" si="14"/>
        <v>7631.4763951295672</v>
      </c>
      <c r="T76" s="155">
        <f t="shared" ca="1" si="14"/>
        <v>7744.9971624527598</v>
      </c>
      <c r="U76" s="155">
        <f t="shared" ca="1" si="14"/>
        <v>6690.2882917317638</v>
      </c>
      <c r="V76" s="155">
        <f t="shared" ca="1" si="14"/>
        <v>5905.7141697624829</v>
      </c>
      <c r="W76" s="155">
        <f t="shared" si="14"/>
        <v>6383.0922369942</v>
      </c>
      <c r="X76" s="155">
        <f t="shared" si="14"/>
        <v>7176.4805177849685</v>
      </c>
      <c r="Y76" s="155">
        <f t="shared" si="14"/>
        <v>8003.096672658733</v>
      </c>
      <c r="Z76" s="155">
        <f t="shared" ca="1" si="14"/>
        <v>11237.264999193118</v>
      </c>
    </row>
    <row r="77" spans="1:26" outlineLevel="1">
      <c r="A77" s="16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57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outlineLevel="1">
      <c r="A79" s="157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outlineLevel="1">
      <c r="A80" s="157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outlineLevel="1">
      <c r="A81" s="158"/>
      <c r="B81" s="8"/>
      <c r="C81" s="8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5" outlineLevel="1">
      <c r="A82" s="159"/>
      <c r="B82" s="134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 outlineLevel="1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5.75" outlineLevel="1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 outlineLevel="1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 outlineLevel="1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 outlineLevel="1">
      <c r="A87" s="8"/>
      <c r="B87" s="8"/>
      <c r="C87" s="163"/>
      <c r="D87" s="8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outlineLevel="1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 outlineLevel="1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 outlineLevel="1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 outlineLevel="1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 outlineLevel="1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 outlineLevel="1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 outlineLevel="1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4.25" outlineLevel="1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4.25" outlineLevel="1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5.75" outlineLevel="1">
      <c r="A105" s="162"/>
      <c r="B105" s="8"/>
      <c r="C105" s="8"/>
      <c r="D105" s="163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outlineLevel="1">
      <c r="A106" s="138"/>
      <c r="B106" s="8"/>
      <c r="C106" s="166"/>
      <c r="D106" s="163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outlineLevel="1">
      <c r="A107" s="138"/>
      <c r="B107" s="8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8"/>
      <c r="B108" s="8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8"/>
      <c r="B109" s="8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8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4.25" outlineLevel="1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171"/>
      <c r="B117" s="8"/>
      <c r="C117" s="8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outlineLevel="1">
      <c r="A118" s="172"/>
      <c r="B118" s="8"/>
      <c r="C118" s="8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2"/>
      <c r="B119" s="8"/>
      <c r="C119" s="8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 outlineLevel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outlineLevel="1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 outlineLevel="1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 outlineLevel="1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8.75" outlineLevel="1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outlineLevel="1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outlineLevel="1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 outlineLevel="1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 outlineLevel="1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 outlineLevel="1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 outlineLevel="1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8.75" outlineLevel="1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outlineLevel="1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outlineLevel="1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8.75" outlineLevel="1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outlineLevel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 outlineLevel="1">
      <c r="A260" s="185"/>
    </row>
    <row r="261" spans="1:26" outlineLevel="1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outlineLevel="1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outlineLevel="1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8.75" hidden="1" outlineLevel="2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idden="1" outlineLevel="2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idden="1" outlineLevel="2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2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hidden="1" outlineLevel="2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idden="1" outlineLevel="2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hidden="1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2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2" hidden="1" outlineLevel="2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  <c r="AF321" s="181"/>
    </row>
    <row r="322" spans="1:32" hidden="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2" hidden="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2" hidden="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2" hidden="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2" hidden="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2" hidden="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2" hidden="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2" outlineLevel="1" collapsed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2" outlineLevel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2" outlineLevel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2" ht="18.75" outlineLevel="1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2" outlineLevel="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2" outlineLevel="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2" outlineLevel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2" outlineLevel="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7" outlineLevel="1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7" outlineLevel="1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  <c r="AA338" s="181"/>
    </row>
    <row r="339" spans="1:27" outlineLevel="1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  <c r="AA339" s="181"/>
    </row>
    <row r="340" spans="1:27" outlineLevel="1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  <c r="AA340" s="181"/>
    </row>
    <row r="341" spans="1:27" outlineLevel="1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  <c r="AA341" s="181"/>
    </row>
    <row r="342" spans="1:27" outlineLevel="1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  <c r="AA342" s="181"/>
    </row>
    <row r="343" spans="1:27" outlineLevel="1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  <c r="AA343" s="181"/>
    </row>
    <row r="344" spans="1:27" outlineLevel="1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  <c r="AA344" s="181"/>
    </row>
    <row r="345" spans="1:27" outlineLevel="1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  <c r="AA345" s="181"/>
    </row>
    <row r="346" spans="1:27" outlineLevel="1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  <c r="AA346" s="181"/>
    </row>
    <row r="347" spans="1:27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  <c r="AA347" s="181"/>
    </row>
    <row r="348" spans="1:27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  <c r="AA348" s="181"/>
    </row>
    <row r="349" spans="1:27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  <c r="AA349" s="181"/>
    </row>
    <row r="350" spans="1:27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  <c r="AA350" s="181"/>
    </row>
    <row r="351" spans="1:27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  <c r="AA351" s="181"/>
    </row>
    <row r="352" spans="1:27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  <c r="AA352" s="181"/>
    </row>
    <row r="353" spans="1:27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  <c r="AA353" s="181"/>
    </row>
    <row r="354" spans="1:27" outlineLevel="1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  <c r="AA354" s="181"/>
    </row>
    <row r="355" spans="1:27" outlineLevel="1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  <c r="AA355" s="181"/>
    </row>
    <row r="356" spans="1:27" outlineLevel="1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  <c r="AA356" s="181"/>
    </row>
    <row r="357" spans="1:27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  <c r="AA357" s="181"/>
    </row>
    <row r="358" spans="1:27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  <c r="AA358" s="181"/>
    </row>
    <row r="359" spans="1:27" outlineLevel="1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  <c r="AA359" s="181"/>
    </row>
    <row r="360" spans="1:27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  <c r="AA360" s="181"/>
    </row>
    <row r="361" spans="1:27" outlineLevel="1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  <c r="AA361" s="181"/>
    </row>
    <row r="362" spans="1:27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  <c r="AA362" s="181"/>
    </row>
    <row r="363" spans="1:27" outlineLevel="1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  <c r="AA363" s="181"/>
    </row>
    <row r="364" spans="1:27" outlineLevel="1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  <c r="AA364" s="181"/>
    </row>
    <row r="365" spans="1:27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  <c r="AA365" s="181"/>
    </row>
    <row r="366" spans="1:27" outlineLevel="1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  <c r="AA366" s="181"/>
    </row>
    <row r="367" spans="1:27" outlineLevel="1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  <c r="AA367" s="181"/>
    </row>
    <row r="368" spans="1:27" outlineLevel="1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  <c r="AA368" s="181"/>
    </row>
    <row r="369" spans="1:27" outlineLevel="1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  <c r="AA369" s="181"/>
    </row>
    <row r="370" spans="1:27" outlineLevel="1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  <c r="AA370" s="181"/>
    </row>
    <row r="371" spans="1:27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  <c r="AA371" s="181"/>
    </row>
    <row r="372" spans="1:27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  <c r="AA372" s="181"/>
    </row>
    <row r="373" spans="1:27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  <c r="AA373" s="181"/>
    </row>
    <row r="374" spans="1:27" outlineLevel="1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  <c r="AA374" s="181"/>
    </row>
    <row r="375" spans="1:27" outlineLevel="1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  <c r="AA375" s="181"/>
    </row>
    <row r="376" spans="1:27" outlineLevel="1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  <c r="AA376" s="181"/>
    </row>
    <row r="377" spans="1:27" outlineLevel="1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  <c r="AA377" s="181"/>
    </row>
    <row r="378" spans="1:27" outlineLevel="1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  <c r="AA378" s="181"/>
    </row>
    <row r="379" spans="1:27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  <c r="AA379" s="181"/>
    </row>
    <row r="380" spans="1:27" outlineLevel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7" outlineLevel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7" ht="18.75" outlineLevel="1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7" outlineLevel="1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7" outlineLevel="1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 outlineLevel="1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 outlineLevel="1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 outlineLevel="1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 outlineLevel="1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 outlineLevel="1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 outlineLevel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8.75" outlineLevel="1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outlineLevel="1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outlineLevel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outlineLevel="1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 outlineLevel="1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 outlineLevel="1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 outlineLevel="1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 outlineLevel="1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outlineLevel="1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 outlineLevel="1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outlineLevel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8.75" outlineLevel="1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 outlineLevel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 outlineLevel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 outlineLevel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 outlineLevel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 outlineLevel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 outlineLevel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 outlineLevel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 outlineLevel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" customHeight="1" outlineLevel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 outlineLevel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outlineLevel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 outlineLevel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 outlineLevel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 outlineLevel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 outlineLevel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 outlineLevel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 outlineLevel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 outlineLevel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outlineLevel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outlineLevel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8.75" outlineLevel="1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outlineLevel="1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idden="1" outlineLevel="2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idden="1" outlineLevel="2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2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2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2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2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2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2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2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2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2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2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2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2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outlineLevel="1" collapsed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outlineLevel="1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</sheetData>
  <pageMargins left="0.18" right="0.17" top="0.37" bottom="0.4" header="0.17" footer="0.21"/>
  <pageSetup scale="43" fitToWidth="2" fitToHeight="2" orientation="landscape" r:id="rId1"/>
  <headerFooter alignWithMargins="0">
    <oddHeader>&amp;LEnron Generation Company</oddHeader>
    <oddFooter>&amp;L&amp;T, &amp;D&amp;C&amp;F&amp;RPage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777"/>
  <sheetViews>
    <sheetView zoomScale="75" workbookViewId="0">
      <selection activeCell="I21" sqref="I21"/>
    </sheetView>
  </sheetViews>
  <sheetFormatPr defaultRowHeight="12.75" outlineLevelRow="2" outlineLevelCol="1"/>
  <cols>
    <col min="1" max="1" width="53.42578125" style="7" customWidth="1"/>
    <col min="2" max="3" width="8.42578125" style="7" customWidth="1"/>
    <col min="4" max="4" width="9.5703125" style="7" customWidth="1"/>
    <col min="5" max="5" width="9.28515625" style="7" customWidth="1" outlineLevel="1"/>
    <col min="6" max="6" width="10.140625" style="7" customWidth="1" outlineLevel="1"/>
    <col min="7" max="8" width="10.7109375" style="7" customWidth="1" outlineLevel="1"/>
    <col min="9" max="26" width="10.7109375" style="7" customWidth="1"/>
    <col min="27" max="16384" width="9.140625" style="8"/>
  </cols>
  <sheetData>
    <row r="1" spans="1:29">
      <c r="F1" s="7">
        <v>12</v>
      </c>
    </row>
    <row r="2" spans="1:29" ht="18.75">
      <c r="A2" s="126" t="s">
        <v>350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29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29">
      <c r="A4" s="1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</row>
    <row r="5" spans="1:29" ht="13.5" thickBot="1">
      <c r="A5" s="422" t="s">
        <v>164</v>
      </c>
      <c r="B5" s="9"/>
      <c r="C5" s="9"/>
      <c r="D5" s="9"/>
      <c r="E5" s="9">
        <v>1999</v>
      </c>
      <c r="F5" s="9">
        <f t="shared" ref="F5:Z5" si="0">E5+1</f>
        <v>2000</v>
      </c>
      <c r="G5" s="9">
        <f t="shared" si="0"/>
        <v>2001</v>
      </c>
      <c r="H5" s="9">
        <f t="shared" si="0"/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29">
      <c r="A6" s="3"/>
      <c r="B6" s="10"/>
      <c r="C6" s="10"/>
      <c r="D6" s="10"/>
      <c r="E6" s="10"/>
      <c r="F6" s="10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9">
      <c r="A7" s="3"/>
      <c r="B7" s="10"/>
      <c r="C7" s="10"/>
      <c r="D7" s="10"/>
      <c r="E7" s="10"/>
      <c r="F7" s="10"/>
      <c r="G7" s="11"/>
      <c r="H7" s="11"/>
      <c r="I7" s="12"/>
      <c r="J7" s="12"/>
      <c r="K7" s="12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9">
      <c r="A8" s="1" t="s">
        <v>165</v>
      </c>
      <c r="B8" s="12"/>
      <c r="C8" s="12"/>
      <c r="D8" s="685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29">
      <c r="A9" s="575" t="s">
        <v>166</v>
      </c>
      <c r="B9" s="12"/>
      <c r="C9" s="12"/>
      <c r="D9" s="12"/>
      <c r="E9" s="12"/>
      <c r="F9" s="12"/>
      <c r="H9" s="8"/>
      <c r="AA9" s="140"/>
      <c r="AB9" s="140"/>
      <c r="AC9" s="140"/>
    </row>
    <row r="10" spans="1:29">
      <c r="A10" s="4" t="s">
        <v>167</v>
      </c>
      <c r="B10" s="12"/>
      <c r="C10" s="12"/>
      <c r="D10" s="253"/>
      <c r="E10" s="253">
        <f>(Assumptions!$N$29)*Assumptions!$N$53*'Power Price Assumption'!E23</f>
        <v>0</v>
      </c>
      <c r="F10" s="253">
        <f>5*Assumptions!$N$29*'Power Price Assumption'!F23+7*Assumptions!$N$30*'Power Price Assumption'!F23</f>
        <v>17952</v>
      </c>
      <c r="G10" s="253">
        <f>12*Assumptions!$N$30*'Power Price Assumption'!G23</f>
        <v>18192</v>
      </c>
      <c r="H10" s="253">
        <f>12*Assumptions!$N$30*'Power Price Assumption'!H23</f>
        <v>18192</v>
      </c>
      <c r="I10" s="253">
        <v>0</v>
      </c>
      <c r="J10" s="253">
        <f>12*Assumptions!$N$30*'Power Price Assumption'!J23</f>
        <v>0</v>
      </c>
      <c r="K10" s="253">
        <f>12*Assumptions!$N$30*'Power Price Assumption'!K23</f>
        <v>0</v>
      </c>
      <c r="L10" s="253">
        <f>12*Assumptions!$N$30*'Power Price Assumption'!L23</f>
        <v>0</v>
      </c>
      <c r="M10" s="253">
        <f>12*Assumptions!$N$30*'Power Price Assumption'!M23</f>
        <v>0</v>
      </c>
      <c r="N10" s="253">
        <f>12*Assumptions!$N$30*'Power Price Assumption'!N23</f>
        <v>0</v>
      </c>
      <c r="O10" s="253">
        <f>12*Assumptions!$N$30*'Power Price Assumption'!O23</f>
        <v>0</v>
      </c>
      <c r="P10" s="253">
        <f>12*Assumptions!$N$30*'Power Price Assumption'!P23</f>
        <v>0</v>
      </c>
      <c r="Q10" s="253">
        <f>12*Assumptions!$N$30*'Power Price Assumption'!Q23</f>
        <v>0</v>
      </c>
      <c r="R10" s="253">
        <f>12*Assumptions!$N$30*'Power Price Assumption'!R23</f>
        <v>0</v>
      </c>
      <c r="S10" s="253">
        <f>12*Assumptions!$N$30*'Power Price Assumption'!S23</f>
        <v>0</v>
      </c>
      <c r="T10" s="253">
        <f>12*Assumptions!$N$30*'Power Price Assumption'!T23</f>
        <v>0</v>
      </c>
      <c r="U10" s="253">
        <f>12*Assumptions!$N$30*'Power Price Assumption'!U23</f>
        <v>0</v>
      </c>
      <c r="V10" s="253">
        <f>12*Assumptions!$N$30*'Power Price Assumption'!V23</f>
        <v>0</v>
      </c>
      <c r="W10" s="253">
        <f>12*Assumptions!$N$30*'Power Price Assumption'!W23</f>
        <v>0</v>
      </c>
      <c r="X10" s="253">
        <f>12*Assumptions!$N$30*'Power Price Assumption'!X23</f>
        <v>0</v>
      </c>
      <c r="Y10" s="253">
        <f>12*Assumptions!$N$30*'Power Price Assumption'!Y23</f>
        <v>0</v>
      </c>
      <c r="Z10" s="253">
        <f>12*Assumptions!$N$30*'Power Price Assumption'!Z23</f>
        <v>0</v>
      </c>
      <c r="AA10" s="140"/>
      <c r="AB10" s="140"/>
      <c r="AC10" s="140"/>
    </row>
    <row r="11" spans="1:29">
      <c r="A11" s="4" t="s">
        <v>168</v>
      </c>
      <c r="B11" s="12"/>
      <c r="C11" s="12"/>
      <c r="D11" s="253"/>
      <c r="E11" s="253">
        <f>Assumptions!N$26*Assumptions!N$29*Assumptions!N$14/1000*Assumptions!N$53/12</f>
        <v>0</v>
      </c>
      <c r="F11" s="253">
        <f>Assumptions!N26*Assumptions!N$29*Assumptions!N$14/1000*5/12*(1+Assumptions!$N$39)^(5/12)+Assumptions!N26*Assumptions!N$30*Assumptions!N$14/1000*7/12*(1+Assumptions!$N$39)^(Caledonia!F5-Caledonia!E5)</f>
        <v>425.09558718773144</v>
      </c>
      <c r="G11" s="253">
        <f>Assumptions!N$26*Assumptions!N$30*Assumptions!N$14/1000*(1+Assumptions!N39)^(G5-E5)</f>
        <v>446.82514195447021</v>
      </c>
      <c r="H11" s="253">
        <f>G11*(1+Assumptions!$N$39)</f>
        <v>460.22989621310433</v>
      </c>
      <c r="I11" s="253">
        <v>0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  <c r="R11" s="253">
        <v>0</v>
      </c>
      <c r="S11" s="253">
        <v>0</v>
      </c>
      <c r="T11" s="253">
        <v>0</v>
      </c>
      <c r="U11" s="253">
        <v>0</v>
      </c>
      <c r="V11" s="253">
        <v>0</v>
      </c>
      <c r="W11" s="253">
        <v>0</v>
      </c>
      <c r="X11" s="253">
        <v>0</v>
      </c>
      <c r="Y11" s="253">
        <v>0</v>
      </c>
      <c r="Z11" s="253">
        <v>0</v>
      </c>
      <c r="AA11" s="140"/>
      <c r="AB11" s="140"/>
      <c r="AC11" s="140"/>
    </row>
    <row r="12" spans="1:29">
      <c r="A12" s="4" t="s">
        <v>169</v>
      </c>
      <c r="B12" s="12"/>
      <c r="C12" s="12"/>
      <c r="D12" s="253"/>
      <c r="E12" s="253">
        <f>VLOOKUP(Assumptions!$N$19,'EGC Start Charge Matrix'!$A$10:$S$35,16)*Assumptions!N$53/12</f>
        <v>0</v>
      </c>
      <c r="F12" s="253">
        <f>VLOOKUP(Assumptions!$N$19,'EGC Start Charge Matrix'!$A$10:$S$35,16)*(1+Assumptions!$N$39)*$F$1/12</f>
        <v>1389.7583999999999</v>
      </c>
      <c r="G12" s="253">
        <f>F12*(1+Assumptions!$N$39)</f>
        <v>1431.4511519999999</v>
      </c>
      <c r="H12" s="253">
        <f>G12*(1+Assumptions!$N$39)</f>
        <v>1474.3946865599999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 s="140"/>
      <c r="AC12" s="140"/>
    </row>
    <row r="13" spans="1:29">
      <c r="A13" s="8"/>
      <c r="B13" s="12"/>
      <c r="C13" s="12"/>
      <c r="D13" s="12"/>
      <c r="E13" s="12"/>
      <c r="F13" s="12"/>
      <c r="H13" s="8"/>
      <c r="AA13" s="140"/>
      <c r="AB13" s="140"/>
      <c r="AC13" s="140"/>
    </row>
    <row r="14" spans="1:29">
      <c r="A14" s="575" t="s">
        <v>170</v>
      </c>
      <c r="B14" s="12"/>
      <c r="C14" s="12"/>
      <c r="D14" s="12"/>
      <c r="E14" s="12"/>
      <c r="F14" s="12"/>
      <c r="H14" s="8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140"/>
      <c r="AB14" s="140"/>
      <c r="AC14" s="140"/>
    </row>
    <row r="15" spans="1:29">
      <c r="A15" s="4" t="s">
        <v>167</v>
      </c>
      <c r="B15" s="12"/>
      <c r="C15" s="12"/>
      <c r="D15" s="253"/>
      <c r="E15" s="253">
        <v>0</v>
      </c>
      <c r="F15" s="253">
        <v>0</v>
      </c>
      <c r="G15" s="253">
        <v>0</v>
      </c>
      <c r="H15" s="253">
        <v>0</v>
      </c>
      <c r="I15" s="253">
        <f>IF(Assumptions!$N$19=120,Assumptions!$N$33*(1-Assumptions!$N$35)*'Power Price Assumption'!I25*(12),Assumptions!$N$33*(1-Assumptions!$N$35)*'Power Price Assumption'!I25*(12)-2/3*VLOOKUP(120,'EGC Start Charge Matrix'!$U$10:$AM$35,16)*(1+Assumptions!$N$39)^(I5-Brownsville!$E$5))</f>
        <v>28259.253976184656</v>
      </c>
      <c r="J15" s="253">
        <f>IF(Assumptions!$N$19=120,Assumptions!$N$33*(1-Assumptions!$N$35)*'Power Price Assumption'!J25*(12),Assumptions!$N$33*(1-Assumptions!$N$35)*'Power Price Assumption'!J25*(12)-2/3*VLOOKUP(120,'EGC Start Charge Matrix'!$U$10:$AM$35,16)*(1+Assumptions!$N$39)^(J5-Brownsville!$E$5))</f>
        <v>28613.692076902906</v>
      </c>
      <c r="K15" s="253">
        <f>IF(Assumptions!$N$19=120,Assumptions!$N$33*(1-Assumptions!$N$35)*'Power Price Assumption'!K25*(12),Assumptions!$N$33*(1-Assumptions!$N$35)*'Power Price Assumption'!K25*(12)-2/3*VLOOKUP(120,'EGC Start Charge Matrix'!$U$10:$AM$35,16)*(1+Assumptions!$N$39)^(K5-Brownsville!$E$5))</f>
        <v>28963.963135085683</v>
      </c>
      <c r="L15" s="253">
        <f>IF(Assumptions!$N$19=120,Assumptions!$N$33*(1-Assumptions!$N$35)*'Power Price Assumption'!L25*(12),Assumptions!$N$33*(1-Assumptions!$N$35)*'Power Price Assumption'!L25*(12)-2/3*VLOOKUP(120,'EGC Start Charge Matrix'!$U$10:$AM$35,16)*(1+Assumptions!$N$39)^(L5-Brownsville!$E$5))</f>
        <v>29309.498133890207</v>
      </c>
      <c r="M15" s="253">
        <f>IF(Assumptions!$N$19=120,Assumptions!$N$33*(1-Assumptions!$N$35)*'Power Price Assumption'!M25*(12),Assumptions!$N$33*(1-Assumptions!$N$35)*'Power Price Assumption'!M25*(12)-2/3*VLOOKUP(120,'EGC Start Charge Matrix'!$U$10:$AM$35,16)*(1+Assumptions!$N$39)^(M5-Brownsville!$E$5))</f>
        <v>30188.783077906919</v>
      </c>
      <c r="N15" s="253">
        <f>IF(Assumptions!$N$19=120,Assumptions!$N$33*(1-Assumptions!$N$35)*'Power Price Assumption'!N25*(12),Assumptions!$N$33*(1-Assumptions!$N$35)*'Power Price Assumption'!N25*(12)-2/3*VLOOKUP(120,'EGC Start Charge Matrix'!$U$10:$AM$35,16)*(1+Assumptions!$N$39)^(N5-Brownsville!$E$5))</f>
        <v>30539.188595775478</v>
      </c>
      <c r="O15" s="253">
        <f>IF(Assumptions!$N$19=120,Assumptions!$N$33*(1-Assumptions!$N$35)*'Power Price Assumption'!O25*(12),Assumptions!$N$33*(1-Assumptions!$N$35)*'Power Price Assumption'!O25*(12)-2/3*VLOOKUP(120,'EGC Start Charge Matrix'!$U$10:$AM$35,16)*(1+Assumptions!$N$39)^(O5-Brownsville!$E$5))</f>
        <v>31455.364253648746</v>
      </c>
      <c r="P15" s="253">
        <f>IF(Assumptions!$N$19=120,Assumptions!$N$33*(1-Assumptions!$N$35)*'Power Price Assumption'!P25*(12),Assumptions!$N$33*(1-Assumptions!$N$35)*'Power Price Assumption'!P25*(12)-2/3*VLOOKUP(120,'EGC Start Charge Matrix'!$U$10:$AM$35,16)*(1+Assumptions!$N$39)^(P5-Brownsville!$E$5))</f>
        <v>31809.95199614442</v>
      </c>
      <c r="Q15" s="253">
        <f>IF(Assumptions!$N$19=120,Assumptions!$N$33*(1-Assumptions!$N$35)*'Power Price Assumption'!Q25*(12),Assumptions!$N$33*(1-Assumptions!$N$35)*'Power Price Assumption'!Q25*(12)-2/3*VLOOKUP(120,'EGC Start Charge Matrix'!$U$10:$AM$35,16)*(1+Assumptions!$N$39)^(Q5-Brownsville!$E$5))</f>
        <v>32764.250556028754</v>
      </c>
      <c r="R15" s="253">
        <f>IF(Assumptions!$N$19=120,Assumptions!$N$33*(1-Assumptions!$N$35)*'Power Price Assumption'!R25*(12),Assumptions!$N$33*(1-Assumptions!$N$35)*'Power Price Assumption'!R25*(12)-2/3*VLOOKUP(120,'EGC Start Charge Matrix'!$U$10:$AM$35,16)*(1+Assumptions!$N$39)^(R5-Brownsville!$E$5))</f>
        <v>33122.230330622406</v>
      </c>
      <c r="S15" s="253">
        <f>IF(Assumptions!$N$19=120,Assumptions!$N$33*(1-Assumptions!$N$35)*'Power Price Assumption'!S25*(12),Assumptions!$N$33*(1-Assumptions!$N$35)*'Power Price Assumption'!S25*(12)-2/3*VLOOKUP(120,'EGC Start Charge Matrix'!$U$10:$AM$35,16)*(1+Assumptions!$N$39)^(S5-Brownsville!$E$5))</f>
        <v>33472.201066191243</v>
      </c>
      <c r="T15" s="253">
        <f>IF(Assumptions!$N$19=120,Assumptions!$N$33*(1-Assumptions!$N$35)*'Power Price Assumption'!T25*(12),Assumptions!$N$33*(1-Assumptions!$N$35)*'Power Price Assumption'!T25*(12)-2/3*VLOOKUP(120,'EGC Start Charge Matrix'!$U$10:$AM$35,16)*(1+Assumptions!$N$39)^(T5-Brownsville!$E$5))</f>
        <v>33813.360038596649</v>
      </c>
      <c r="U15" s="253">
        <f>IF(Assumptions!$N$19=120,Assumptions!$N$33*(1-Assumptions!$N$35)*'Power Price Assumption'!U25*(12),Assumptions!$N$33*(1-Assumptions!$N$35)*'Power Price Assumption'!U25*(12)-2/3*VLOOKUP(120,'EGC Start Charge Matrix'!$U$10:$AM$35,16)*(1+Assumptions!$N$39)^(U5-Brownsville!$E$5))</f>
        <v>34144.863568386805</v>
      </c>
      <c r="V15" s="253">
        <f>IF(Assumptions!$N$19=120,Assumptions!$N$33*(1-Assumptions!$N$35)*'Power Price Assumption'!V25*(12),Assumptions!$N$33*(1-Assumptions!$N$35)*'Power Price Assumption'!V25*(12)-2/3*VLOOKUP(120,'EGC Start Charge Matrix'!$U$10:$AM$35,16)*(1+Assumptions!$N$39)^(V5-Brownsville!$E$5))</f>
        <v>34465.825285929648</v>
      </c>
      <c r="W15" s="253">
        <f>IF(Assumptions!$N$19=120,Assumptions!$N$33*(1-Assumptions!$N$35)*'Power Price Assumption'!W25*(12),Assumptions!$N$33*(1-Assumptions!$N$35)*'Power Price Assumption'!W25*(12)-2/3*VLOOKUP(120,'EGC Start Charge Matrix'!$U$10:$AM$35,16)*(1+Assumptions!$N$39)^(W5-Brownsville!$E$5))</f>
        <v>34775.314329313507</v>
      </c>
      <c r="X15" s="253">
        <f>IF(Assumptions!$N$19=120,Assumptions!$N$33*(1-Assumptions!$N$35)*'Power Price Assumption'!X25*(12),Assumptions!$N$33*(1-Assumptions!$N$35)*'Power Price Assumption'!X25*(12)-2/3*VLOOKUP(120,'EGC Start Charge Matrix'!$U$10:$AM$35,16)*(1+Assumptions!$N$39)^(X5-Brownsville!$E$5))</f>
        <v>35072.353472543058</v>
      </c>
      <c r="Y15" s="253">
        <f>IF(Assumptions!$N$19=120,Assumptions!$N$33*(1-Assumptions!$N$35)*'Power Price Assumption'!Y25*(12),Assumptions!$N$33*(1-Assumptions!$N$35)*'Power Price Assumption'!Y25*(12)-2/3*VLOOKUP(120,'EGC Start Charge Matrix'!$U$10:$AM$35,16)*(1+Assumptions!$N$39)^(Y5-Brownsville!$E$5))</f>
        <v>35355.917181469995</v>
      </c>
      <c r="Z15" s="253">
        <f>IF(Assumptions!$N$19=120,Assumptions!$N$33*(1-Assumptions!$N$35)*'Power Price Assumption'!Z25*(12),Assumptions!$N$33*(1-Assumptions!$N$35)*'Power Price Assumption'!Z25*(12)-2/3*VLOOKUP(120,'EGC Start Charge Matrix'!$U$10:$AM$35,16)*(1+Assumptions!$N$39)^(Z5-Brownsville!$E$5))</f>
        <v>35624.929594807269</v>
      </c>
      <c r="AA15" s="140"/>
      <c r="AB15" s="140"/>
      <c r="AC15" s="140"/>
    </row>
    <row r="16" spans="1:29">
      <c r="A16" s="4" t="s">
        <v>171</v>
      </c>
      <c r="B16" s="143"/>
      <c r="C16" s="143"/>
      <c r="D16" s="253"/>
      <c r="E16" s="253">
        <v>0</v>
      </c>
      <c r="F16" s="253">
        <v>0</v>
      </c>
      <c r="G16" s="253">
        <v>0</v>
      </c>
      <c r="H16" s="253">
        <v>0</v>
      </c>
      <c r="I16" s="253">
        <f>(Assumptions!$N$26*Assumptions!$N$34/1000)*(1+Assumptions!$N$39)^(I5-$E$5)+$F$12*(1+Assumptions!$N$39)^(I5-$F$5)*1/3</f>
        <v>1033.5228683053249</v>
      </c>
      <c r="J16" s="253">
        <f>(Assumptions!$N$26*Assumptions!$N$34/1000)*(1+Assumptions!$N$39)^(J5-$E$5)+$F$12*(1+Assumptions!$N$39)^(J5-$F$5)*1/3</f>
        <v>1064.5285543544846</v>
      </c>
      <c r="K16" s="253">
        <f>J16*(1+Assumptions!$N$39)</f>
        <v>1096.4644109851192</v>
      </c>
      <c r="L16" s="253">
        <f>K16*(1+Assumptions!$N$39)</f>
        <v>1129.3583433146728</v>
      </c>
      <c r="M16" s="253">
        <f>L16*(1+Assumptions!$N$39)</f>
        <v>1163.239093614113</v>
      </c>
      <c r="N16" s="253">
        <f>M16*(1+Assumptions!$N$39)</f>
        <v>1198.1362664225364</v>
      </c>
      <c r="O16" s="253">
        <f>N16*(1+Assumptions!$N$39)</f>
        <v>1234.0803544152125</v>
      </c>
      <c r="P16" s="253">
        <f>O16*(1+Assumptions!$N$39)</f>
        <v>1271.102765047669</v>
      </c>
      <c r="Q16" s="253">
        <f>P16*(1+Assumptions!$N$39)</f>
        <v>1309.2358479990992</v>
      </c>
      <c r="R16" s="253">
        <f>Q16*(1+Assumptions!$N$39)</f>
        <v>1348.5129234390722</v>
      </c>
      <c r="S16" s="253">
        <f>R16*(1+Assumptions!$N$39)</f>
        <v>1388.9683111422444</v>
      </c>
      <c r="T16" s="253">
        <f>S16*(1+Assumptions!$N$39)</f>
        <v>1430.6373604765117</v>
      </c>
      <c r="U16" s="253">
        <f>T16*(1+Assumptions!$N$39)</f>
        <v>1473.5564812908071</v>
      </c>
      <c r="V16" s="253">
        <f>U16*(1+Assumptions!$N$39)</f>
        <v>1517.7631757295314</v>
      </c>
      <c r="W16" s="253">
        <f>V16*(1+Assumptions!$N$39)</f>
        <v>1563.2960710014174</v>
      </c>
      <c r="X16" s="253">
        <f>W16*(1+Assumptions!$N$39)</f>
        <v>1610.1949531314599</v>
      </c>
      <c r="Y16" s="253">
        <f>X16*(1+Assumptions!$N$39)</f>
        <v>1658.5008017254038</v>
      </c>
      <c r="Z16" s="253">
        <f>Y16*(1+Assumptions!$N$39)</f>
        <v>1708.2558257771659</v>
      </c>
      <c r="AA16" s="140"/>
      <c r="AB16" s="140"/>
      <c r="AC16" s="140"/>
    </row>
    <row r="17" spans="1:60">
      <c r="A17" s="4" t="s">
        <v>172</v>
      </c>
      <c r="B17" s="12"/>
      <c r="C17" s="12"/>
      <c r="D17" s="253"/>
      <c r="E17" s="253">
        <v>0</v>
      </c>
      <c r="F17" s="253">
        <v>0</v>
      </c>
      <c r="G17" s="253">
        <v>0</v>
      </c>
      <c r="H17" s="253">
        <v>0</v>
      </c>
      <c r="I17" s="253">
        <f>Assumptions!$N$33*Assumptions!$N$35*Assumptions!$N$36*Assumptions!$N$14/1000</f>
        <v>9.0052905599999988</v>
      </c>
      <c r="J17" s="253">
        <f>Assumptions!$N$33*Assumptions!$N$35*Assumptions!$N$36*Assumptions!$N$14/1000</f>
        <v>9.0052905599999988</v>
      </c>
      <c r="K17" s="253">
        <f>Assumptions!$N$33*Assumptions!$N$35*Assumptions!$N$36*Assumptions!$N$14/1000</f>
        <v>9.0052905599999988</v>
      </c>
      <c r="L17" s="253">
        <f>Assumptions!$N$33*Assumptions!$N$35*Assumptions!$N$36*Assumptions!$N$14/1000</f>
        <v>9.0052905599999988</v>
      </c>
      <c r="M17" s="253">
        <f>Assumptions!$N$33*Assumptions!$N$35*Assumptions!$N$36*Assumptions!$N$14/1000</f>
        <v>9.0052905599999988</v>
      </c>
      <c r="N17" s="253">
        <f>Assumptions!$N$33*Assumptions!$N$35*Assumptions!$N$36*Assumptions!$N$14/1000</f>
        <v>9.0052905599999988</v>
      </c>
      <c r="O17" s="253">
        <f>Assumptions!$N$33*Assumptions!$N$35*Assumptions!$N$36*Assumptions!$N$14/1000</f>
        <v>9.0052905599999988</v>
      </c>
      <c r="P17" s="253">
        <f>Assumptions!$N$33*Assumptions!$N$35*Assumptions!$N$36*Assumptions!$N$14/1000</f>
        <v>9.0052905599999988</v>
      </c>
      <c r="Q17" s="253">
        <f>Assumptions!$N$33*Assumptions!$N$35*Assumptions!$N$36*Assumptions!$N$14/1000</f>
        <v>9.0052905599999988</v>
      </c>
      <c r="R17" s="253">
        <f>Assumptions!$N$33*Assumptions!$N$35*Assumptions!$N$36*Assumptions!$N$14/1000</f>
        <v>9.0052905599999988</v>
      </c>
      <c r="S17" s="253">
        <f>Assumptions!$N$33*Assumptions!$N$35*Assumptions!$N$36*Assumptions!$N$14/1000</f>
        <v>9.0052905599999988</v>
      </c>
      <c r="T17" s="253">
        <f>Assumptions!$N$33*Assumptions!$N$35*Assumptions!$N$36*Assumptions!$N$14/1000</f>
        <v>9.0052905599999988</v>
      </c>
      <c r="U17" s="253">
        <f>Assumptions!$N$33*Assumptions!$N$35*Assumptions!$N$36*Assumptions!$N$14/1000</f>
        <v>9.0052905599999988</v>
      </c>
      <c r="V17" s="253">
        <f>Assumptions!$N$33*Assumptions!$N$35*Assumptions!$N$36*Assumptions!$N$14/1000</f>
        <v>9.0052905599999988</v>
      </c>
      <c r="W17" s="253">
        <f>Assumptions!$N$33*Assumptions!$N$35*Assumptions!$N$36*Assumptions!$N$14/1000</f>
        <v>9.0052905599999988</v>
      </c>
      <c r="X17" s="253">
        <f>Assumptions!$N$33*Assumptions!$N$35*Assumptions!$N$36*Assumptions!$N$14/1000</f>
        <v>9.0052905599999988</v>
      </c>
      <c r="Y17" s="253">
        <f>Assumptions!$N$33*Assumptions!$N$35*Assumptions!$N$36*Assumptions!$N$14/1000</f>
        <v>9.0052905599999988</v>
      </c>
      <c r="Z17" s="253">
        <f>Assumptions!$N$33*Assumptions!$N$35*Assumptions!$N$36*Assumptions!$N$14/1000</f>
        <v>9.0052905599999988</v>
      </c>
      <c r="AA17" s="140"/>
      <c r="AB17" s="140"/>
      <c r="AC17" s="140"/>
    </row>
    <row r="18" spans="1:60">
      <c r="A18" s="8"/>
      <c r="B18" s="12"/>
      <c r="C18" s="12"/>
      <c r="D18" s="12"/>
      <c r="E18" s="802"/>
      <c r="F18" s="12"/>
      <c r="H18" s="8"/>
      <c r="AA18" s="140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>
      <c r="A19" s="4" t="s">
        <v>173</v>
      </c>
      <c r="B19" s="12"/>
      <c r="C19" s="12"/>
      <c r="D19"/>
      <c r="E19" s="254">
        <f>(SUM(E10:E17)-SUM(E25:E35))*Assumptions!$B$34/4*$F$1/12</f>
        <v>0</v>
      </c>
      <c r="F19" s="254">
        <f ca="1">(SUM(F10:F17)-SUM(F25:F35))*Assumptions!$B$34/4*$F$1/12</f>
        <v>185.46511291476364</v>
      </c>
      <c r="G19" s="254">
        <f>(SUM(G10:G17)-SUM(G25:G35))*Assumptions!$B$34/4</f>
        <v>189.46601298499593</v>
      </c>
      <c r="H19" s="254">
        <f>(SUM(H10:H17)-SUM(H25:H35))*Assumptions!$B$34/4</f>
        <v>188.84949657217422</v>
      </c>
      <c r="I19" s="254">
        <f>(SUM(I10:I17)-SUM(I25:I35))*Assumptions!$B$34/4</f>
        <v>297.14218359946375</v>
      </c>
      <c r="J19" s="254">
        <f>(SUM(J10:J17)-SUM(J25:J35))*Assumptions!$B$34/4</f>
        <v>300.37628812277825</v>
      </c>
      <c r="K19" s="254">
        <f>(SUM(K10:K17)-SUM(K25:K35))*Assumptions!$B$34/4</f>
        <v>303.51741456229587</v>
      </c>
      <c r="L19" s="254">
        <f>(SUM(L10:L17)-SUM(L25:L35))*Assumptions!$B$34/4</f>
        <v>306.64053850647815</v>
      </c>
      <c r="M19" s="254">
        <f>(SUM(M10:M17)-SUM(M25:M35))*Assumptions!$B$34/4</f>
        <v>316.39215650953622</v>
      </c>
      <c r="N19" s="254">
        <f>(SUM(N10:N17)-SUM(N25:N35))*Assumptions!$B$34/4</f>
        <v>319.48810002177748</v>
      </c>
      <c r="O19" s="254">
        <f>(SUM(O10:O17)-SUM(O25:O35))*Assumptions!$B$34/4</f>
        <v>329.69346317075315</v>
      </c>
      <c r="P19" s="254">
        <f>(SUM(P10:P17)-SUM(P25:P35))*Assumptions!$B$34/4</f>
        <v>325.27317504046107</v>
      </c>
      <c r="Q19" s="254">
        <f>(SUM(Q10:Q17)-SUM(Q25:Q35))*Assumptions!$B$34/4</f>
        <v>336.61188602832431</v>
      </c>
      <c r="R19" s="254">
        <f>(SUM(R10:R17)-SUM(R25:R35))*Assumptions!$B$34/4</f>
        <v>340.5285498451521</v>
      </c>
      <c r="S19" s="254">
        <f>(SUM(S10:S17)-SUM(S25:S35))*Assumptions!$B$34/4</f>
        <v>344.33916870632538</v>
      </c>
      <c r="T19" s="254">
        <f>(SUM(T10:T17)-SUM(T25:T35))*Assumptions!$B$34/4</f>
        <v>347.98668571226608</v>
      </c>
      <c r="U19" s="254">
        <f>(SUM(U10:U17)-SUM(U25:U35))*Assumptions!$B$34/4</f>
        <v>351.81857524633483</v>
      </c>
      <c r="V19" s="254">
        <f>(SUM(V10:V17)-SUM(V25:V35))*Assumptions!$B$34/4</f>
        <v>355.77006445728625</v>
      </c>
      <c r="W19" s="254">
        <f>(SUM(W10:W17)-SUM(W25:W35))*Assumptions!$B$34/4</f>
        <v>359.59198092167065</v>
      </c>
      <c r="X19" s="254">
        <f>(SUM(X10:X17)-SUM(X25:X35))*Assumptions!$B$34/4</f>
        <v>362.18217091087882</v>
      </c>
      <c r="Y19" s="254">
        <f>(SUM(Y10:Y17)-SUM(Y25:Y35))*Assumptions!$B$34/4</f>
        <v>363.95170001485849</v>
      </c>
      <c r="Z19" s="254">
        <f>(SUM(Z10:Z17)-SUM(Z25:Z35))*Assumptions!$B$34/4</f>
        <v>369.00085201391943</v>
      </c>
      <c r="AA19" s="140"/>
      <c r="AB19" s="140"/>
      <c r="AC19" s="140"/>
    </row>
    <row r="20" spans="1:60">
      <c r="A20" s="4" t="s">
        <v>174</v>
      </c>
      <c r="B20" s="12"/>
      <c r="C20" s="12"/>
      <c r="D20"/>
      <c r="E20" s="253">
        <f>SUM(E10:E19)</f>
        <v>0</v>
      </c>
      <c r="F20" s="253">
        <f t="shared" ref="F20:Z20" ca="1" si="1">SUM(F10:F19)</f>
        <v>19952.319100102493</v>
      </c>
      <c r="G20" s="253">
        <f t="shared" si="1"/>
        <v>20259.742306939464</v>
      </c>
      <c r="H20" s="253">
        <f t="shared" si="1"/>
        <v>20315.474079345277</v>
      </c>
      <c r="I20" s="253">
        <f t="shared" si="1"/>
        <v>29598.924318649442</v>
      </c>
      <c r="J20" s="253">
        <f t="shared" si="1"/>
        <v>29987.602209940167</v>
      </c>
      <c r="K20" s="253">
        <f t="shared" si="1"/>
        <v>30372.950251193095</v>
      </c>
      <c r="L20" s="253">
        <f t="shared" si="1"/>
        <v>30754.502306271359</v>
      </c>
      <c r="M20" s="253">
        <f t="shared" si="1"/>
        <v>31677.419618590568</v>
      </c>
      <c r="N20" s="253">
        <f t="shared" si="1"/>
        <v>32065.818252779794</v>
      </c>
      <c r="O20" s="253">
        <f t="shared" si="1"/>
        <v>33028.143361794711</v>
      </c>
      <c r="P20" s="253">
        <f t="shared" si="1"/>
        <v>33415.333226792558</v>
      </c>
      <c r="Q20" s="253">
        <f t="shared" si="1"/>
        <v>34419.103580616182</v>
      </c>
      <c r="R20" s="253">
        <f t="shared" si="1"/>
        <v>34820.277094466626</v>
      </c>
      <c r="S20" s="253">
        <f t="shared" si="1"/>
        <v>35214.513836599814</v>
      </c>
      <c r="T20" s="253">
        <f t="shared" si="1"/>
        <v>35600.989375345431</v>
      </c>
      <c r="U20" s="253">
        <f t="shared" si="1"/>
        <v>35979.243915483945</v>
      </c>
      <c r="V20" s="253">
        <f t="shared" si="1"/>
        <v>36348.363816676465</v>
      </c>
      <c r="W20" s="253">
        <f t="shared" si="1"/>
        <v>36707.207671796597</v>
      </c>
      <c r="X20" s="253">
        <f t="shared" si="1"/>
        <v>37053.735887145398</v>
      </c>
      <c r="Y20" s="253">
        <f t="shared" si="1"/>
        <v>37387.374973770253</v>
      </c>
      <c r="Z20" s="253">
        <f t="shared" si="1"/>
        <v>37711.191563158354</v>
      </c>
      <c r="AA20" s="140"/>
      <c r="AB20" s="140"/>
      <c r="AC20" s="140"/>
    </row>
    <row r="21" spans="1:60">
      <c r="A21" s="4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C21" s="141"/>
    </row>
    <row r="22" spans="1:60" s="146" customFormat="1">
      <c r="A22" s="5"/>
      <c r="B22" s="5"/>
      <c r="C22" s="5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60">
      <c r="A23" s="1" t="s">
        <v>175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60">
      <c r="A24" s="4" t="s">
        <v>176</v>
      </c>
      <c r="D24"/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60">
      <c r="A25" s="4" t="s">
        <v>128</v>
      </c>
      <c r="D25"/>
      <c r="E25" s="253">
        <f>Assumptions!$N56*Assumptions!N53/12</f>
        <v>0</v>
      </c>
      <c r="F25" s="253">
        <f>Assumptions!$N56*(1+Assumptions!$L$52)*$F$1/12</f>
        <v>1057.1837600000001</v>
      </c>
      <c r="G25" s="253">
        <f>F25*(1+Assumptions!$N$52)</f>
        <v>1088.8992728000001</v>
      </c>
      <c r="H25" s="253">
        <f>G25*(1+Assumptions!$N$52)</f>
        <v>1121.5662509840001</v>
      </c>
      <c r="I25" s="253">
        <f>H25*(1+Assumptions!$N$52)</f>
        <v>1155.2132385135201</v>
      </c>
      <c r="J25" s="253">
        <f>I25*(1+Assumptions!$N$52)</f>
        <v>1189.8696356689256</v>
      </c>
      <c r="K25" s="253">
        <f>J25*(1+Assumptions!$N$52)</f>
        <v>1225.5657247389934</v>
      </c>
      <c r="L25" s="253">
        <f>K25*(1+Assumptions!$N$52)</f>
        <v>1262.3326964811631</v>
      </c>
      <c r="M25" s="253">
        <f>L25*(1+Assumptions!$N$52)</f>
        <v>1300.2026773755981</v>
      </c>
      <c r="N25" s="253">
        <f>M25*(1+Assumptions!$N$52)</f>
        <v>1339.2087576968661</v>
      </c>
      <c r="O25" s="253">
        <f>N25*(1+Assumptions!$N$52)</f>
        <v>1379.3850204277721</v>
      </c>
      <c r="P25" s="253">
        <f>O25*(1+Assumptions!$N$52)</f>
        <v>1420.7665710406054</v>
      </c>
      <c r="Q25" s="253">
        <f>P25*(1+Assumptions!$N$52)</f>
        <v>1463.3895681718236</v>
      </c>
      <c r="R25" s="253">
        <f>Q25*(1+Assumptions!$N$52)</f>
        <v>1507.2912552169785</v>
      </c>
      <c r="S25" s="253">
        <f>R25*(1+Assumptions!$N$52)</f>
        <v>1552.5099928734878</v>
      </c>
      <c r="T25" s="253">
        <f>S25*(1+Assumptions!$N$52)</f>
        <v>1599.0852926596924</v>
      </c>
      <c r="U25" s="253">
        <f>T25*(1+Assumptions!$N$52)</f>
        <v>1647.0578514394833</v>
      </c>
      <c r="V25" s="253">
        <f>U25*(1+Assumptions!$N$52)</f>
        <v>1696.4695869826678</v>
      </c>
      <c r="W25" s="253">
        <f>V25*(1+Assumptions!$N$52)</f>
        <v>1747.3636745921478</v>
      </c>
      <c r="X25" s="253">
        <f>W25*(1+Assumptions!$N$52)</f>
        <v>1799.7845848299123</v>
      </c>
      <c r="Y25" s="253">
        <f>X25*(1+Assumptions!$N$52)</f>
        <v>1853.7781223748098</v>
      </c>
      <c r="Z25" s="253">
        <f>Y25*(1+Assumptions!$N$52)</f>
        <v>1909.3914660460541</v>
      </c>
    </row>
    <row r="26" spans="1:60">
      <c r="A26" s="4" t="s">
        <v>177</v>
      </c>
      <c r="D26"/>
      <c r="E26" s="253">
        <f>Assumptions!$N58*Assumptions!N$53/12</f>
        <v>0</v>
      </c>
      <c r="F26" s="253">
        <f>Assumptions!N58*5/12*(1+Assumptions!N52)^(5/12)+Assumptions!N59*7/12*(1+Assumptions!N52)</f>
        <v>425.09558718773144</v>
      </c>
      <c r="G26" s="253">
        <f>Assumptions!N59*(1+Assumptions!$N$52)^(G5-$E$5)</f>
        <v>446.82514195447021</v>
      </c>
      <c r="H26" s="253">
        <f>G26*(1+Assumptions!$N$52)</f>
        <v>460.22989621310433</v>
      </c>
      <c r="I26" s="253">
        <f>Assumptions!$N$60*(1+Assumptions!$N$52)^(I5-$E$5)</f>
        <v>527.31402591972494</v>
      </c>
      <c r="J26" s="253">
        <f>Assumptions!$N$60*(1+Assumptions!$N$52)^(J5-$E$5)</f>
        <v>543.13344669731657</v>
      </c>
      <c r="K26" s="253">
        <f>J26*(1+Assumptions!$N$52)</f>
        <v>559.42745009823614</v>
      </c>
      <c r="L26" s="253">
        <f>K26*(1+Assumptions!$N$52)</f>
        <v>576.21027360118319</v>
      </c>
      <c r="M26" s="253">
        <f>L26*(1+Assumptions!$N$52)</f>
        <v>593.4965818092187</v>
      </c>
      <c r="N26" s="253">
        <f>M26*(1+Assumptions!$N$52)</f>
        <v>611.30147926349525</v>
      </c>
      <c r="O26" s="253">
        <f>N26*(1+Assumptions!$N$52)</f>
        <v>629.64052364140014</v>
      </c>
      <c r="P26" s="253">
        <f>O26*(1+Assumptions!$N$52)</f>
        <v>648.5297393506421</v>
      </c>
      <c r="Q26" s="253">
        <f>P26*(1+Assumptions!$N$52)</f>
        <v>667.9856315311614</v>
      </c>
      <c r="R26" s="253">
        <f>Q26*(1+Assumptions!$N$52)</f>
        <v>688.02520047709629</v>
      </c>
      <c r="S26" s="253">
        <f>R26*(1+Assumptions!$N$52)</f>
        <v>708.66595649140925</v>
      </c>
      <c r="T26" s="253">
        <f>S26*(1+Assumptions!$N$52)</f>
        <v>729.92593518615149</v>
      </c>
      <c r="U26" s="253">
        <f>T26*(1+Assumptions!$N$52)</f>
        <v>751.82371324173607</v>
      </c>
      <c r="V26" s="253">
        <f>U26*(1+Assumptions!$N$52)</f>
        <v>774.37842463898812</v>
      </c>
      <c r="W26" s="253">
        <f>V26*(1+Assumptions!$N$52)</f>
        <v>797.60977737815779</v>
      </c>
      <c r="X26" s="253">
        <f>W26*(1+Assumptions!$N$52)</f>
        <v>821.53807069950255</v>
      </c>
      <c r="Y26" s="253">
        <f>X26*(1+Assumptions!$N$52)</f>
        <v>846.18421282048769</v>
      </c>
      <c r="Z26" s="253">
        <f>Y26*(1+Assumptions!$N$52)</f>
        <v>871.56973920510234</v>
      </c>
    </row>
    <row r="27" spans="1:60">
      <c r="A27" s="4" t="s">
        <v>131</v>
      </c>
      <c r="D27"/>
      <c r="E27" s="253">
        <f>VLOOKUP(Assumptions!N19,'EGC Start Charge Matrix'!$U$10:$AM$35,16)*Assumptions!N$53/12</f>
        <v>0</v>
      </c>
      <c r="F27" s="253">
        <f>VLOOKUP(Assumptions!N19,'EGC Start Charge Matrix'!$U$10:$AM$35,16)*(1+Assumptions!$N$52)*$F$1/12</f>
        <v>1389.7583999999999</v>
      </c>
      <c r="G27" s="253">
        <f>F27*(1+Assumptions!$N$52)</f>
        <v>1431.4511519999999</v>
      </c>
      <c r="H27" s="253">
        <f>G27*(1+Assumptions!$N$52)</f>
        <v>1474.3946865599999</v>
      </c>
      <c r="I27" s="253">
        <f>H27*(1+Assumptions!$N$52)</f>
        <v>1518.6265271568</v>
      </c>
      <c r="J27" s="253">
        <f>I27*(1+Assumptions!$N$52)</f>
        <v>1564.1853229715041</v>
      </c>
      <c r="K27" s="253">
        <f>J27*(1+Assumptions!$N$52)</f>
        <v>1611.1108826606492</v>
      </c>
      <c r="L27" s="253">
        <f>K27*(1+Assumptions!$N$52)</f>
        <v>1659.4442091404687</v>
      </c>
      <c r="M27" s="253">
        <f>L27*(1+Assumptions!$N$52)</f>
        <v>1709.2275354146827</v>
      </c>
      <c r="N27" s="253">
        <f>M27*(1+Assumptions!$N$52)</f>
        <v>1760.5043614771232</v>
      </c>
      <c r="O27" s="253">
        <f>N27*(1+Assumptions!$N$52)</f>
        <v>1813.3194923214369</v>
      </c>
      <c r="P27" s="253">
        <f>O27*(1+Assumptions!$N$52)</f>
        <v>1867.71907709108</v>
      </c>
      <c r="Q27" s="253">
        <f>P27*(1+Assumptions!$N$52)</f>
        <v>1923.7506494038123</v>
      </c>
      <c r="R27" s="253">
        <f>Q27*(1+Assumptions!$N$52)</f>
        <v>1981.4631688859267</v>
      </c>
      <c r="S27" s="253">
        <f>R27*(1+Assumptions!$N$52)</f>
        <v>2040.9070639525046</v>
      </c>
      <c r="T27" s="253">
        <f>S27*(1+Assumptions!$N$52)</f>
        <v>2102.1342758710798</v>
      </c>
      <c r="U27" s="253">
        <f>T27*(1+Assumptions!$N$52)</f>
        <v>2165.1983041472122</v>
      </c>
      <c r="V27" s="253">
        <f>U27*(1+Assumptions!$N$52)</f>
        <v>2230.1542532716285</v>
      </c>
      <c r="W27" s="253">
        <f>V27*(1+Assumptions!$N$52)</f>
        <v>2297.0588808697776</v>
      </c>
      <c r="X27" s="253">
        <f>W27*(1+Assumptions!$N$52)</f>
        <v>2365.970647295871</v>
      </c>
      <c r="Y27" s="253">
        <f>X27*(1+Assumptions!$N$52)</f>
        <v>2436.9497667147471</v>
      </c>
      <c r="Z27" s="253">
        <f>Y27*(1+Assumptions!$N$52)</f>
        <v>2510.0582597161897</v>
      </c>
    </row>
    <row r="28" spans="1:60">
      <c r="A28" s="4" t="s">
        <v>133</v>
      </c>
      <c r="D28"/>
      <c r="E28" s="253">
        <f>Assumptions!$N62*Assumptions!N53/12</f>
        <v>0</v>
      </c>
      <c r="F28" s="253">
        <f>Assumptions!$N62*(1+Assumptions!$N$52)*$F$1/12</f>
        <v>258.1592</v>
      </c>
      <c r="G28" s="253">
        <f>F28*(1+Assumptions!$N$52)</f>
        <v>265.903976</v>
      </c>
      <c r="H28" s="253">
        <f>G28*(1+Assumptions!$N$52)</f>
        <v>273.88109528000001</v>
      </c>
      <c r="I28" s="253">
        <f>H28*(1+Assumptions!$N$52)</f>
        <v>282.09752813840004</v>
      </c>
      <c r="J28" s="253">
        <f>I28*(1+Assumptions!$N$52)</f>
        <v>290.56045398255202</v>
      </c>
      <c r="K28" s="253">
        <f>J28*(1+Assumptions!$N$52)</f>
        <v>299.27726760202859</v>
      </c>
      <c r="L28" s="253">
        <f>K28*(1+Assumptions!$N$52)</f>
        <v>308.25558563008946</v>
      </c>
      <c r="M28" s="253">
        <f>L28*(1+Assumptions!$N$52)</f>
        <v>317.50325319899213</v>
      </c>
      <c r="N28" s="253">
        <f>M28*(1+Assumptions!$N$52)</f>
        <v>327.02835079496191</v>
      </c>
      <c r="O28" s="253">
        <f>N28*(1+Assumptions!$N$52)</f>
        <v>336.83920131881075</v>
      </c>
      <c r="P28" s="253">
        <f>O28*(1+Assumptions!$N$52)</f>
        <v>346.94437735837511</v>
      </c>
      <c r="Q28" s="253">
        <f>P28*(1+Assumptions!$N$52)</f>
        <v>357.35270867912635</v>
      </c>
      <c r="R28" s="253">
        <f>Q28*(1+Assumptions!$N$52)</f>
        <v>368.07328993950017</v>
      </c>
      <c r="S28" s="253">
        <f>R28*(1+Assumptions!$N$52)</f>
        <v>379.11548863768519</v>
      </c>
      <c r="T28" s="253">
        <f>S28*(1+Assumptions!$N$52)</f>
        <v>390.48895329681574</v>
      </c>
      <c r="U28" s="253">
        <f>T28*(1+Assumptions!$N$52)</f>
        <v>402.20362189572023</v>
      </c>
      <c r="V28" s="253">
        <f>U28*(1+Assumptions!$N$52)</f>
        <v>414.26973055259185</v>
      </c>
      <c r="W28" s="253">
        <f>V28*(1+Assumptions!$N$52)</f>
        <v>426.69782246916964</v>
      </c>
      <c r="X28" s="253">
        <f>W28*(1+Assumptions!$N$52)</f>
        <v>439.49875714324475</v>
      </c>
      <c r="Y28" s="253">
        <f>X28*(1+Assumptions!$N$52)</f>
        <v>452.68371985754209</v>
      </c>
      <c r="Z28" s="253">
        <f>Y28*(1+Assumptions!$N$52)</f>
        <v>466.26423145326834</v>
      </c>
    </row>
    <row r="29" spans="1:60">
      <c r="A29" s="4" t="s">
        <v>134</v>
      </c>
      <c r="D29"/>
      <c r="E29" s="253">
        <f>Assumptions!$N63*Assumptions!N53/12</f>
        <v>0</v>
      </c>
      <c r="F29" s="253">
        <f>(Assumptions!$N63)*(1+Assumptions!$N$52)*$F$1/12</f>
        <v>344.12815000000001</v>
      </c>
      <c r="G29" s="253">
        <f>F29*(1+Assumptions!$N$52)</f>
        <v>354.45199450000001</v>
      </c>
      <c r="H29" s="253">
        <f>G29*(1+Assumptions!$N$52)</f>
        <v>365.08555433500004</v>
      </c>
      <c r="I29" s="253">
        <f>H29*(1+Assumptions!$N$52)</f>
        <v>376.03812096505004</v>
      </c>
      <c r="J29" s="253">
        <f>I29*(1+Assumptions!$N$52)</f>
        <v>387.31926459400154</v>
      </c>
      <c r="K29" s="253">
        <f>J29*(1+Assumptions!$N$52)</f>
        <v>398.93884253182159</v>
      </c>
      <c r="L29" s="253">
        <f>K29*(1+Assumptions!$N$52)</f>
        <v>410.90700780777627</v>
      </c>
      <c r="M29" s="253">
        <f>L29*(1+Assumptions!$N$52)</f>
        <v>423.23421804200956</v>
      </c>
      <c r="N29" s="253">
        <f>M29*(1+Assumptions!$N$52)</f>
        <v>435.93124458326986</v>
      </c>
      <c r="O29" s="253">
        <f>N29*(1+Assumptions!$N$52)</f>
        <v>449.00918192076796</v>
      </c>
      <c r="P29" s="253">
        <f>O29*(1+Assumptions!$N$52)</f>
        <v>462.47945737839103</v>
      </c>
      <c r="Q29" s="253">
        <f>P29*(1+Assumptions!$N$52)</f>
        <v>476.35384109974279</v>
      </c>
      <c r="R29" s="253">
        <f>Q29*(1+Assumptions!$N$52)</f>
        <v>490.6444563327351</v>
      </c>
      <c r="S29" s="253">
        <f>R29*(1+Assumptions!$N$52)</f>
        <v>505.36379002271718</v>
      </c>
      <c r="T29" s="253">
        <f>S29*(1+Assumptions!$N$52)</f>
        <v>520.52470372339872</v>
      </c>
      <c r="U29" s="253">
        <f>T29*(1+Assumptions!$N$52)</f>
        <v>536.14044483510065</v>
      </c>
      <c r="V29" s="253">
        <f>U29*(1+Assumptions!$N$52)</f>
        <v>552.22465818015371</v>
      </c>
      <c r="W29" s="253">
        <f>V29*(1+Assumptions!$N$52)</f>
        <v>568.79139792555839</v>
      </c>
      <c r="X29" s="253">
        <f>W29*(1+Assumptions!$N$52)</f>
        <v>585.85513986332512</v>
      </c>
      <c r="Y29" s="253">
        <f>X29*(1+Assumptions!$N$52)</f>
        <v>603.43079405922492</v>
      </c>
      <c r="Z29" s="253">
        <f>Y29*(1+Assumptions!$N$52)</f>
        <v>621.53371788100173</v>
      </c>
    </row>
    <row r="30" spans="1:60">
      <c r="A30" s="4" t="s">
        <v>287</v>
      </c>
      <c r="D30"/>
      <c r="E30" s="253">
        <f>+Assumptions!N64*Assumptions!N53/12</f>
        <v>0</v>
      </c>
      <c r="F30" s="253">
        <f>+Assumptions!N64*(1+Assumptions!$L$52)*$F$1/12</f>
        <v>79.363560000000007</v>
      </c>
      <c r="G30" s="253">
        <f>F30*(1+Assumptions!$N$52)</f>
        <v>81.744466800000012</v>
      </c>
      <c r="H30" s="253">
        <f>G30*(1+Assumptions!$N$52)</f>
        <v>84.19680080400002</v>
      </c>
      <c r="I30" s="253">
        <f>H30*(1+Assumptions!$N$52)</f>
        <v>86.72270482812003</v>
      </c>
      <c r="J30" s="253">
        <f>I30*(1+Assumptions!$N$52)</f>
        <v>89.32438597296364</v>
      </c>
      <c r="K30" s="253">
        <f>J30*(1+Assumptions!$N$52)</f>
        <v>92.00411755215255</v>
      </c>
      <c r="L30" s="253">
        <f>K30*(1+Assumptions!$N$52)</f>
        <v>94.764241078717134</v>
      </c>
      <c r="M30" s="253">
        <f>L30*(1+Assumptions!$N$52)</f>
        <v>97.607168311078652</v>
      </c>
      <c r="N30" s="253">
        <f>M30*(1+Assumptions!$N$52)</f>
        <v>100.53538336041102</v>
      </c>
      <c r="O30" s="253">
        <f>N30*(1+Assumptions!$N$52)</f>
        <v>103.55144486122335</v>
      </c>
      <c r="P30" s="253">
        <f>O30*(1+Assumptions!$N$52)</f>
        <v>106.65798820706004</v>
      </c>
      <c r="Q30" s="253">
        <f>P30*(1+Assumptions!$N$52)</f>
        <v>109.85772785327185</v>
      </c>
      <c r="R30" s="253">
        <f>Q30*(1+Assumptions!$N$52)</f>
        <v>113.15345968887002</v>
      </c>
      <c r="S30" s="253">
        <f>R30*(1+Assumptions!$N$52)</f>
        <v>116.54806347953613</v>
      </c>
      <c r="T30" s="253">
        <f>S30*(1+Assumptions!$N$52)</f>
        <v>120.04450538392221</v>
      </c>
      <c r="U30" s="253">
        <f>T30*(1+Assumptions!$N$52)</f>
        <v>123.64584054543988</v>
      </c>
      <c r="V30" s="253">
        <f>U30*(1+Assumptions!$N$52)</f>
        <v>127.35521576180308</v>
      </c>
      <c r="W30" s="253">
        <f>V30*(1+Assumptions!$N$52)</f>
        <v>131.17587223465716</v>
      </c>
      <c r="X30" s="253">
        <f>W30*(1+Assumptions!$N$52)</f>
        <v>135.11114840169688</v>
      </c>
      <c r="Y30" s="253">
        <f>X30*(1+Assumptions!$N$52)</f>
        <v>139.16448285374778</v>
      </c>
      <c r="Z30" s="253">
        <f>Y30*(1+Assumptions!$N$52)</f>
        <v>143.33941733936021</v>
      </c>
    </row>
    <row r="31" spans="1:60">
      <c r="A31" s="4" t="s">
        <v>288</v>
      </c>
      <c r="D31"/>
      <c r="E31" s="253">
        <v>0</v>
      </c>
      <c r="F31" s="253">
        <v>659.85480443024994</v>
      </c>
      <c r="G31" s="253">
        <v>646.52440434074992</v>
      </c>
      <c r="H31" s="187">
        <v>633.19400425124991</v>
      </c>
      <c r="I31" s="253">
        <v>619.86360416175</v>
      </c>
      <c r="J31" s="253">
        <v>606.53320407224987</v>
      </c>
      <c r="K31" s="253">
        <v>593.20280398274997</v>
      </c>
      <c r="L31" s="253">
        <v>573.20720384849994</v>
      </c>
      <c r="M31" s="253">
        <v>553.21160371424992</v>
      </c>
      <c r="N31" s="253">
        <v>533.21600358000001</v>
      </c>
      <c r="O31" s="253">
        <v>506.55520340099997</v>
      </c>
      <c r="P31" s="253">
        <v>1115.6297748083998</v>
      </c>
      <c r="Q31" s="253">
        <v>1038.1554848911499</v>
      </c>
      <c r="R31" s="253">
        <v>945.18633699044972</v>
      </c>
      <c r="S31" s="253">
        <v>852.21718908974992</v>
      </c>
      <c r="T31" s="253">
        <v>759.2480411890499</v>
      </c>
      <c r="U31" s="253">
        <v>635.28917732144987</v>
      </c>
      <c r="V31" s="253">
        <v>495.83545547040001</v>
      </c>
      <c r="W31" s="253">
        <v>356.38173361934992</v>
      </c>
      <c r="X31" s="253">
        <v>309.89715966899996</v>
      </c>
      <c r="Y31" s="253">
        <v>309.89715966899996</v>
      </c>
      <c r="Z31" s="253">
        <v>0</v>
      </c>
    </row>
    <row r="32" spans="1:60">
      <c r="A32" s="4" t="s">
        <v>289</v>
      </c>
      <c r="D32"/>
      <c r="E32" s="253">
        <v>0</v>
      </c>
      <c r="F32" s="253">
        <f ca="1">Allocation!$I$9*IS!E31*7/12+Allocation!$K$9*IS!E31*5/12</f>
        <v>379.29149238865784</v>
      </c>
      <c r="G32" s="253">
        <f>Allocation!$I$9*IS!F31</f>
        <v>250.28054675957779</v>
      </c>
      <c r="H32" s="253">
        <f>Allocation!$I$9*IS!G31</f>
        <v>248.79483957181276</v>
      </c>
      <c r="I32" s="253">
        <f>Allocation!$I$9*IS!H31</f>
        <v>242.34967653951685</v>
      </c>
      <c r="J32" s="253">
        <f>Allocation!$I$9*IS!I31</f>
        <v>242.34967653951685</v>
      </c>
      <c r="K32" s="253">
        <f>Allocation!$I$9*IS!J31</f>
        <v>242.34967653951685</v>
      </c>
      <c r="L32" s="253">
        <f>Allocation!$I$9*IS!K31</f>
        <v>242.34967653951685</v>
      </c>
      <c r="M32" s="253">
        <f>Allocation!$I$9*IS!L31</f>
        <v>242.34967653951685</v>
      </c>
      <c r="N32" s="253">
        <f>Allocation!$I$9*IS!M31</f>
        <v>242.34967653951685</v>
      </c>
      <c r="O32" s="253">
        <f>Allocation!$I$9*IS!N31</f>
        <v>242.34967653951685</v>
      </c>
      <c r="P32" s="253">
        <f>Allocation!$I$9*IS!O31</f>
        <v>211.28626973292734</v>
      </c>
      <c r="Q32" s="253">
        <f>Allocation!$I$9*IS!P31</f>
        <v>201.85662333766615</v>
      </c>
      <c r="R32" s="253">
        <f>Allocation!$I$9*IS!Q31</f>
        <v>201.34365480297015</v>
      </c>
      <c r="S32" s="253">
        <f>Allocation!$I$9*IS!R31</f>
        <v>197.16138012533585</v>
      </c>
      <c r="T32" s="253">
        <f>Allocation!$I$9*IS!S31</f>
        <v>192.94731122528418</v>
      </c>
      <c r="U32" s="253">
        <f>Allocation!$I$9*IS!T31</f>
        <v>190.9214885647101</v>
      </c>
      <c r="V32" s="253">
        <f>Allocation!$I$9*IS!U31</f>
        <v>179.7526258818763</v>
      </c>
      <c r="W32" s="253">
        <f>Allocation!$I$9*IS!V31</f>
        <v>162.81295380939588</v>
      </c>
      <c r="X32" s="253">
        <f>Allocation!$I$9*IS!W31</f>
        <v>134.18847809130904</v>
      </c>
      <c r="Y32" s="253">
        <f>Allocation!$I$9*IS!X31</f>
        <v>106.30887512570008</v>
      </c>
      <c r="Z32" s="253">
        <f>Allocation!$I$9*IS!Y31</f>
        <v>106.30887512570008</v>
      </c>
    </row>
    <row r="33" spans="1:26">
      <c r="A33" s="4" t="s">
        <v>180</v>
      </c>
      <c r="D33"/>
      <c r="E33" s="253">
        <v>0</v>
      </c>
      <c r="F33" s="253">
        <v>0</v>
      </c>
      <c r="G33" s="253">
        <v>0</v>
      </c>
      <c r="H33" s="253">
        <v>0</v>
      </c>
      <c r="I33" s="135">
        <f>Assumptions!$N$50*Assumptions!$N$33*12</f>
        <v>354.14064000000008</v>
      </c>
      <c r="J33" s="135">
        <f>Assumptions!$N$50*Assumptions!$N$33*12*(1+Assumptions!N52)</f>
        <v>364.7648592000001</v>
      </c>
      <c r="K33" s="135">
        <f>J33*(1+Assumptions!$N$52)</f>
        <v>375.70780497600009</v>
      </c>
      <c r="L33" s="135">
        <f>K33*(1+Assumptions!$N$52)</f>
        <v>386.97903912528011</v>
      </c>
      <c r="M33" s="135">
        <f>L33*(1+Assumptions!$N$52)</f>
        <v>398.58841029903851</v>
      </c>
      <c r="N33" s="135">
        <f>M33*(1+Assumptions!$N$52)</f>
        <v>410.54606260800966</v>
      </c>
      <c r="O33" s="135">
        <f>N33*(1+Assumptions!$N$52)</f>
        <v>422.86244448624996</v>
      </c>
      <c r="P33" s="135">
        <f>O33*(1+Assumptions!$N$52)</f>
        <v>435.54831782083744</v>
      </c>
      <c r="Q33" s="135">
        <f>P33*(1+Assumptions!$N$52)</f>
        <v>448.61476735546256</v>
      </c>
      <c r="R33" s="135">
        <f>Q33*(1+Assumptions!$N$52)</f>
        <v>462.07321037612644</v>
      </c>
      <c r="S33" s="135">
        <f>R33*(1+Assumptions!$N$52)</f>
        <v>475.93540668741025</v>
      </c>
      <c r="T33" s="135">
        <f>S33*(1+Assumptions!$N$52)</f>
        <v>490.21346888803259</v>
      </c>
      <c r="U33" s="135">
        <f>T33*(1+Assumptions!$N$52)</f>
        <v>504.91987295467356</v>
      </c>
      <c r="V33" s="135">
        <f>U33*(1+Assumptions!$N$52)</f>
        <v>520.06746914331382</v>
      </c>
      <c r="W33" s="135">
        <f>V33*(1+Assumptions!$N$52)</f>
        <v>535.66949321761319</v>
      </c>
      <c r="X33" s="135">
        <f>W33*(1+Assumptions!$N$52)</f>
        <v>551.73957801414156</v>
      </c>
      <c r="Y33" s="135">
        <f>X33*(1+Assumptions!$N$52)</f>
        <v>568.29176535456577</v>
      </c>
      <c r="Z33" s="135">
        <f>Y33*(1+Assumptions!$N$52)</f>
        <v>585.34051831520276</v>
      </c>
    </row>
    <row r="34" spans="1:26">
      <c r="A34" s="4" t="s">
        <v>181</v>
      </c>
      <c r="D34"/>
      <c r="E34" s="253">
        <f>Assumptions!$N65*Assumptions!N53/12</f>
        <v>0</v>
      </c>
      <c r="F34" s="253">
        <f>Assumptions!$N65*(1+Assumptions!$N$52)*$F$1/12</f>
        <v>130.81</v>
      </c>
      <c r="G34" s="253">
        <f>F34*(1+Assumptions!$N$52)</f>
        <v>134.73430000000002</v>
      </c>
      <c r="H34" s="253">
        <f>G34*(1+Assumptions!$N$52)</f>
        <v>138.77632900000003</v>
      </c>
      <c r="I34" s="253">
        <f>H34*(1+Assumptions!$N$52)</f>
        <v>142.93961887000003</v>
      </c>
      <c r="J34" s="253">
        <f>I34*(1+Assumptions!$N$52)</f>
        <v>147.22780743610005</v>
      </c>
      <c r="K34" s="253">
        <f>J34*(1+Assumptions!$N$52)</f>
        <v>151.64464165918307</v>
      </c>
      <c r="L34" s="253">
        <f>K34*(1+Assumptions!$N$52)</f>
        <v>156.19398090895857</v>
      </c>
      <c r="M34" s="253">
        <f>L34*(1+Assumptions!$N$52)</f>
        <v>160.87980033622733</v>
      </c>
      <c r="N34" s="253">
        <f>M34*(1+Assumptions!$N$52)</f>
        <v>165.70619434631416</v>
      </c>
      <c r="O34" s="253">
        <f>N34*(1+Assumptions!$N$52)</f>
        <v>170.67738017670359</v>
      </c>
      <c r="P34" s="253">
        <f>O34*(1+Assumptions!$N$52)</f>
        <v>175.79770158200472</v>
      </c>
      <c r="Q34" s="253">
        <f>P34*(1+Assumptions!$N$52)</f>
        <v>181.07163262946486</v>
      </c>
      <c r="R34" s="253">
        <f>Q34*(1+Assumptions!$N$52)</f>
        <v>186.50378160834882</v>
      </c>
      <c r="S34" s="253">
        <f>R34*(1+Assumptions!$N$52)</f>
        <v>192.09889505659928</v>
      </c>
      <c r="T34" s="253">
        <f>S34*(1+Assumptions!$N$52)</f>
        <v>197.86186190829727</v>
      </c>
      <c r="U34" s="253">
        <f>T34*(1+Assumptions!$N$52)</f>
        <v>203.7977177655462</v>
      </c>
      <c r="V34" s="253">
        <f>U34*(1+Assumptions!$N$52)</f>
        <v>209.9116492985126</v>
      </c>
      <c r="W34" s="253">
        <f>V34*(1+Assumptions!$N$52)</f>
        <v>216.208998777468</v>
      </c>
      <c r="X34" s="253">
        <f>W34*(1+Assumptions!$N$52)</f>
        <v>222.69526874079205</v>
      </c>
      <c r="Y34" s="253">
        <f>X34*(1+Assumptions!$N$52)</f>
        <v>229.37612680301581</v>
      </c>
      <c r="Z34" s="253">
        <f>Y34*(1+Assumptions!$N$52)</f>
        <v>236.25741060710629</v>
      </c>
    </row>
    <row r="35" spans="1:26">
      <c r="A35" s="4" t="s">
        <v>182</v>
      </c>
      <c r="B35" s="8"/>
      <c r="C35" s="8"/>
      <c r="D35"/>
      <c r="E35" s="254">
        <f>Assumptions!$N66*Assumptions!N53/12</f>
        <v>0</v>
      </c>
      <c r="F35" s="254">
        <f>Assumptions!$N66*(1+Assumptions!$L$52)*$F$1/12</f>
        <v>206</v>
      </c>
      <c r="G35" s="254">
        <f>F35*(1+Assumptions!$N$52)</f>
        <v>212.18</v>
      </c>
      <c r="H35" s="254">
        <f>G35*(1+Assumptions!$N$52)</f>
        <v>218.5454</v>
      </c>
      <c r="I35" s="254">
        <f>H35*(1+Assumptions!$N$52)</f>
        <v>225.10176200000001</v>
      </c>
      <c r="J35" s="254">
        <f>I35*(1+Assumptions!$N$52)</f>
        <v>231.85481486</v>
      </c>
      <c r="K35" s="254">
        <f>J35*(1+Assumptions!$N$52)</f>
        <v>238.81045930580001</v>
      </c>
      <c r="L35" s="254">
        <f>K35*(1+Assumptions!$N$52)</f>
        <v>245.974773084974</v>
      </c>
      <c r="M35" s="254">
        <f>L35*(1+Assumptions!$N$52)</f>
        <v>253.35401627752324</v>
      </c>
      <c r="N35" s="254">
        <f>M35*(1+Assumptions!$N$52)</f>
        <v>260.95463676584893</v>
      </c>
      <c r="O35" s="254">
        <f>N35*(1+Assumptions!$N$52)</f>
        <v>268.78327586882443</v>
      </c>
      <c r="P35" s="254">
        <f>O35*(1+Assumptions!$N$52)</f>
        <v>276.8467741448892</v>
      </c>
      <c r="Q35" s="254">
        <f>P35*(1+Assumptions!$N$52)</f>
        <v>285.15217736923586</v>
      </c>
      <c r="R35" s="254">
        <f>Q35*(1+Assumptions!$N$52)</f>
        <v>293.70674269031292</v>
      </c>
      <c r="S35" s="254">
        <f>R35*(1+Assumptions!$N$52)</f>
        <v>302.5179449710223</v>
      </c>
      <c r="T35" s="254">
        <f>S35*(1+Assumptions!$N$52)</f>
        <v>311.59348332015298</v>
      </c>
      <c r="U35" s="254">
        <f>T35*(1+Assumptions!$N$52)</f>
        <v>320.94128781975758</v>
      </c>
      <c r="V35" s="254">
        <f>U35*(1+Assumptions!$N$52)</f>
        <v>330.5695264543503</v>
      </c>
      <c r="W35" s="254">
        <f>V35*(1+Assumptions!$N$52)</f>
        <v>340.48661224798082</v>
      </c>
      <c r="X35" s="254">
        <f>W35*(1+Assumptions!$N$52)</f>
        <v>350.70121061542022</v>
      </c>
      <c r="Y35" s="254">
        <f>X35*(1+Assumptions!$N$52)</f>
        <v>361.22224693388284</v>
      </c>
      <c r="Z35" s="254">
        <f>Y35*(1+Assumptions!$N$52)</f>
        <v>372.05891434189931</v>
      </c>
    </row>
    <row r="36" spans="1:26">
      <c r="A36" s="4" t="s">
        <v>183</v>
      </c>
      <c r="B36" s="8"/>
      <c r="C36" s="8"/>
      <c r="D36"/>
      <c r="E36" s="253">
        <f t="shared" ref="E36:Z36" si="2">SUM(E24:E35)</f>
        <v>0</v>
      </c>
      <c r="F36" s="253">
        <f t="shared" ca="1" si="2"/>
        <v>4929.6449540066396</v>
      </c>
      <c r="G36" s="253">
        <f t="shared" si="2"/>
        <v>4912.9952551547985</v>
      </c>
      <c r="H36" s="187">
        <f t="shared" si="2"/>
        <v>5018.6648569991667</v>
      </c>
      <c r="I36" s="253">
        <f t="shared" si="2"/>
        <v>5530.4074470928817</v>
      </c>
      <c r="J36" s="253">
        <f t="shared" si="2"/>
        <v>5657.1228719951314</v>
      </c>
      <c r="K36" s="253">
        <f t="shared" si="2"/>
        <v>5788.0396716471314</v>
      </c>
      <c r="L36" s="253">
        <f t="shared" si="2"/>
        <v>5916.6186872466278</v>
      </c>
      <c r="M36" s="253">
        <f t="shared" si="2"/>
        <v>6049.6549413181356</v>
      </c>
      <c r="N36" s="253">
        <f t="shared" si="2"/>
        <v>6187.2821510158165</v>
      </c>
      <c r="O36" s="253">
        <f t="shared" si="2"/>
        <v>6322.9728449637059</v>
      </c>
      <c r="P36" s="253">
        <f t="shared" si="2"/>
        <v>7068.2060485152124</v>
      </c>
      <c r="Q36" s="253">
        <f t="shared" si="2"/>
        <v>7153.5408123219177</v>
      </c>
      <c r="R36" s="253">
        <f t="shared" si="2"/>
        <v>7237.4645570093144</v>
      </c>
      <c r="S36" s="253">
        <f t="shared" si="2"/>
        <v>7323.0411713874564</v>
      </c>
      <c r="T36" s="253">
        <f t="shared" si="2"/>
        <v>7414.0678326518764</v>
      </c>
      <c r="U36" s="253">
        <f t="shared" si="2"/>
        <v>7481.9393205308288</v>
      </c>
      <c r="V36" s="253">
        <f t="shared" si="2"/>
        <v>7530.9885956362859</v>
      </c>
      <c r="W36" s="253">
        <f t="shared" si="2"/>
        <v>7580.2572171412749</v>
      </c>
      <c r="X36" s="253">
        <f t="shared" si="2"/>
        <v>7716.9800433642158</v>
      </c>
      <c r="Y36" s="253">
        <f t="shared" si="2"/>
        <v>7907.287272566723</v>
      </c>
      <c r="Z36" s="253">
        <f t="shared" si="2"/>
        <v>7822.1225500308847</v>
      </c>
    </row>
    <row r="37" spans="1:26" s="146" customFormat="1" ht="9" outlineLevel="1">
      <c r="A37" s="6"/>
      <c r="B37" s="143"/>
      <c r="C37" s="143"/>
      <c r="D37" s="256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 s="256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>
      <c r="A39" s="1" t="s">
        <v>184</v>
      </c>
      <c r="B39" s="1"/>
      <c r="C39" s="1"/>
      <c r="D39" s="259"/>
      <c r="E39" s="259">
        <f t="shared" ref="E39:Z39" si="3">E20-E36</f>
        <v>0</v>
      </c>
      <c r="F39" s="259">
        <f t="shared" ca="1" si="3"/>
        <v>15022.674146095855</v>
      </c>
      <c r="G39" s="259">
        <f t="shared" si="3"/>
        <v>15346.747051784667</v>
      </c>
      <c r="H39" s="260">
        <f t="shared" si="3"/>
        <v>15296.80922234611</v>
      </c>
      <c r="I39" s="259">
        <f t="shared" si="3"/>
        <v>24068.51687155656</v>
      </c>
      <c r="J39" s="259">
        <f t="shared" si="3"/>
        <v>24330.479337945035</v>
      </c>
      <c r="K39" s="259">
        <f t="shared" si="3"/>
        <v>24584.910579545962</v>
      </c>
      <c r="L39" s="259">
        <f t="shared" si="3"/>
        <v>24837.883619024731</v>
      </c>
      <c r="M39" s="259">
        <f t="shared" si="3"/>
        <v>25627.764677272433</v>
      </c>
      <c r="N39" s="259">
        <f t="shared" si="3"/>
        <v>25878.536101763977</v>
      </c>
      <c r="O39" s="259">
        <f t="shared" si="3"/>
        <v>26705.170516831007</v>
      </c>
      <c r="P39" s="259">
        <f t="shared" si="3"/>
        <v>26347.127178277347</v>
      </c>
      <c r="Q39" s="259">
        <f t="shared" si="3"/>
        <v>27265.562768294265</v>
      </c>
      <c r="R39" s="259">
        <f t="shared" si="3"/>
        <v>27582.812537457314</v>
      </c>
      <c r="S39" s="259">
        <f t="shared" si="3"/>
        <v>27891.472665212357</v>
      </c>
      <c r="T39" s="259">
        <f t="shared" si="3"/>
        <v>28186.921542693555</v>
      </c>
      <c r="U39" s="259">
        <f t="shared" si="3"/>
        <v>28497.304594953115</v>
      </c>
      <c r="V39" s="259">
        <f t="shared" si="3"/>
        <v>28817.37522104018</v>
      </c>
      <c r="W39" s="259">
        <f t="shared" si="3"/>
        <v>29126.950454655322</v>
      </c>
      <c r="X39" s="259">
        <f t="shared" si="3"/>
        <v>29336.755843781182</v>
      </c>
      <c r="Y39" s="259">
        <f t="shared" si="3"/>
        <v>29480.087701203531</v>
      </c>
      <c r="Z39" s="259">
        <f t="shared" si="3"/>
        <v>29889.069013127468</v>
      </c>
    </row>
    <row r="40" spans="1:26" s="138" customFormat="1">
      <c r="A40" s="1"/>
      <c r="B40" s="1"/>
      <c r="C40" s="1"/>
      <c r="D40" s="259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D41" s="253"/>
      <c r="E41" s="253">
        <f>Allocation!$G$9/Allocation!$G$10*IS!D40</f>
        <v>0</v>
      </c>
      <c r="F41" s="253">
        <f>Allocation!$G$9*IS!E40</f>
        <v>3224.7296982743505</v>
      </c>
      <c r="G41" s="253">
        <f>Allocation!$G$9*IS!F40</f>
        <v>4432.3398885594606</v>
      </c>
      <c r="H41" s="253">
        <f>Allocation!$G$9*IS!G40</f>
        <v>4432.3398885594606</v>
      </c>
      <c r="I41" s="253">
        <f>Allocation!$G$9*IS!H40</f>
        <v>4432.3398885594606</v>
      </c>
      <c r="J41" s="253">
        <f>Allocation!$G$9*IS!I40</f>
        <v>4432.3398885594606</v>
      </c>
      <c r="K41" s="253">
        <f>Allocation!$G$9*IS!J40</f>
        <v>4432.3398885594606</v>
      </c>
      <c r="L41" s="253">
        <f>Allocation!$G$9*IS!K40</f>
        <v>4432.3398885594606</v>
      </c>
      <c r="M41" s="253">
        <f>Allocation!$G$9*IS!L40</f>
        <v>4432.3398885594606</v>
      </c>
      <c r="N41" s="253">
        <f>Allocation!$G$9*IS!M40</f>
        <v>4432.3398885594606</v>
      </c>
      <c r="O41" s="253">
        <f>Allocation!$G$9*IS!N40</f>
        <v>4432.3398885594606</v>
      </c>
      <c r="P41" s="253">
        <f>Allocation!$G$9*IS!O40</f>
        <v>4432.3398885594606</v>
      </c>
      <c r="Q41" s="253">
        <f>Allocation!$G$9*IS!P40</f>
        <v>4432.3398885594606</v>
      </c>
      <c r="R41" s="253">
        <f>Allocation!$G$9*IS!Q40</f>
        <v>4432.3398885594606</v>
      </c>
      <c r="S41" s="253">
        <f>Allocation!$G$9*IS!R40</f>
        <v>4432.3398885594606</v>
      </c>
      <c r="T41" s="253">
        <f>Allocation!$G$9*IS!S40</f>
        <v>4432.3398885594606</v>
      </c>
      <c r="U41" s="253">
        <f>Allocation!$G$9*IS!T40</f>
        <v>4432.3398885594606</v>
      </c>
      <c r="V41" s="253">
        <f>Allocation!$G$9*IS!U40</f>
        <v>4432.3398885594606</v>
      </c>
      <c r="W41" s="253">
        <f>Allocation!$G$9*IS!V40</f>
        <v>4432.3398885594606</v>
      </c>
      <c r="X41" s="253">
        <f>Allocation!$G$9*IS!W40</f>
        <v>4432.3398885594606</v>
      </c>
      <c r="Y41" s="253">
        <f>Allocation!$G$9*IS!X40</f>
        <v>4432.3398885594606</v>
      </c>
      <c r="Z41" s="253">
        <f>Allocation!$G$9*IS!Y40</f>
        <v>4316.3496856203419</v>
      </c>
    </row>
    <row r="42" spans="1:26">
      <c r="A42" s="4"/>
      <c r="D42" s="253"/>
      <c r="E42" s="253"/>
      <c r="F42" s="253"/>
      <c r="G42" s="253"/>
      <c r="H42" s="187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7.5" customHeight="1">
      <c r="A43" s="4"/>
      <c r="D43" s="253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259"/>
      <c r="E44" s="259">
        <f t="shared" ref="E44:Z44" si="4">E39-E41</f>
        <v>0</v>
      </c>
      <c r="F44" s="259">
        <f t="shared" ca="1" si="4"/>
        <v>11797.944447821505</v>
      </c>
      <c r="G44" s="259">
        <f t="shared" si="4"/>
        <v>10914.407163225205</v>
      </c>
      <c r="H44" s="259">
        <f t="shared" si="4"/>
        <v>10864.469333786648</v>
      </c>
      <c r="I44" s="259">
        <f t="shared" si="4"/>
        <v>19636.176982997098</v>
      </c>
      <c r="J44" s="259">
        <f t="shared" si="4"/>
        <v>19898.139449385573</v>
      </c>
      <c r="K44" s="259">
        <f t="shared" si="4"/>
        <v>20152.5706909865</v>
      </c>
      <c r="L44" s="259">
        <f t="shared" si="4"/>
        <v>20405.54373046527</v>
      </c>
      <c r="M44" s="259">
        <f t="shared" si="4"/>
        <v>21195.424788712971</v>
      </c>
      <c r="N44" s="259">
        <f t="shared" si="4"/>
        <v>21446.196213204516</v>
      </c>
      <c r="O44" s="259">
        <f t="shared" si="4"/>
        <v>22272.830628271546</v>
      </c>
      <c r="P44" s="259">
        <f t="shared" si="4"/>
        <v>21914.787289717886</v>
      </c>
      <c r="Q44" s="259">
        <f t="shared" si="4"/>
        <v>22833.222879734803</v>
      </c>
      <c r="R44" s="259">
        <f t="shared" si="4"/>
        <v>23150.472648897852</v>
      </c>
      <c r="S44" s="259">
        <f t="shared" si="4"/>
        <v>23459.132776652896</v>
      </c>
      <c r="T44" s="259">
        <f t="shared" si="4"/>
        <v>23754.581654134094</v>
      </c>
      <c r="U44" s="259">
        <f t="shared" si="4"/>
        <v>24064.964706393654</v>
      </c>
      <c r="V44" s="259">
        <f t="shared" si="4"/>
        <v>24385.035332480718</v>
      </c>
      <c r="W44" s="259">
        <f t="shared" si="4"/>
        <v>24694.61056609586</v>
      </c>
      <c r="X44" s="259">
        <f t="shared" si="4"/>
        <v>24904.415955221721</v>
      </c>
      <c r="Y44" s="259">
        <f t="shared" si="4"/>
        <v>25047.747812644069</v>
      </c>
      <c r="Z44" s="259">
        <f t="shared" si="4"/>
        <v>25572.719327507126</v>
      </c>
    </row>
    <row r="45" spans="1:26" s="138" customFormat="1">
      <c r="A45" s="1"/>
      <c r="B45" s="1"/>
      <c r="C45" s="1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253"/>
      <c r="E46" s="253">
        <f>Allocation!$K$9*(IS!$D$44)</f>
        <v>0</v>
      </c>
      <c r="F46" s="253">
        <f>Allocation!$I$9*(IS!$E$44-Debt!$C$136)</f>
        <v>9222.4149882513502</v>
      </c>
      <c r="G46" s="187">
        <f>Allocation!$I$9*IS!F44</f>
        <v>8991.2191531044173</v>
      </c>
      <c r="H46" s="187">
        <f>Allocation!$I$9*IS!G44</f>
        <v>8694.6746022414354</v>
      </c>
      <c r="I46" s="187">
        <f>Allocation!$I$9*IS!H44</f>
        <v>8402.9890327658686</v>
      </c>
      <c r="J46" s="187">
        <f>Allocation!$I$9*IS!I44</f>
        <v>8211.121025283881</v>
      </c>
      <c r="K46" s="187">
        <f>Allocation!$I$9*IS!J44</f>
        <v>7888.0335875676237</v>
      </c>
      <c r="L46" s="187">
        <f>Allocation!$I$9*IS!K44</f>
        <v>7533.6224605357565</v>
      </c>
      <c r="M46" s="187">
        <f>Allocation!$I$9*IS!L44</f>
        <v>7124.1733702471756</v>
      </c>
      <c r="N46" s="187">
        <f>Allocation!$I$9*IS!M44</f>
        <v>6655.516774030918</v>
      </c>
      <c r="O46" s="187">
        <f>Allocation!$I$9*IS!N44</f>
        <v>6086.7911537115442</v>
      </c>
      <c r="P46" s="187">
        <f>Allocation!$I$9*IS!O44</f>
        <v>5584.4231760291659</v>
      </c>
      <c r="Q46" s="187">
        <f>Allocation!$I$9*IS!P44</f>
        <v>5102.0416042208708</v>
      </c>
      <c r="R46" s="187">
        <f>Allocation!$I$9*IS!Q44</f>
        <v>4569.1347821905129</v>
      </c>
      <c r="S46" s="187">
        <f>Allocation!$I$9*IS!R44</f>
        <v>3994.9826288989734</v>
      </c>
      <c r="T46" s="187">
        <f>Allocation!$I$9*IS!S44</f>
        <v>3381.8319329644632</v>
      </c>
      <c r="U46" s="187">
        <f>Allocation!$I$9*IS!T44</f>
        <v>2717.7456340152439</v>
      </c>
      <c r="V46" s="187">
        <f>Allocation!$I$9*IS!U44</f>
        <v>2026.0129759871759</v>
      </c>
      <c r="W46" s="187">
        <f>Allocation!$I$9*IS!V44</f>
        <v>1340.6094664634936</v>
      </c>
      <c r="X46" s="187">
        <f>Allocation!$I$9*IS!W44</f>
        <v>714.25081449460993</v>
      </c>
      <c r="Y46" s="187">
        <f>Allocation!$I$9*IS!X44</f>
        <v>171.46924055083588</v>
      </c>
      <c r="Z46" s="187">
        <v>0</v>
      </c>
    </row>
    <row r="47" spans="1:26" ht="6" customHeight="1">
      <c r="D47" s="253"/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D48" s="253"/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D49" s="259"/>
      <c r="E49" s="259">
        <f t="shared" ref="E49:Z49" si="5">E44-E46</f>
        <v>0</v>
      </c>
      <c r="F49" s="259">
        <f t="shared" ca="1" si="5"/>
        <v>2575.5294595701544</v>
      </c>
      <c r="G49" s="259">
        <f t="shared" si="5"/>
        <v>1923.188010120788</v>
      </c>
      <c r="H49" s="259">
        <f t="shared" si="5"/>
        <v>2169.7947315452129</v>
      </c>
      <c r="I49" s="259">
        <f t="shared" si="5"/>
        <v>11233.187950231229</v>
      </c>
      <c r="J49" s="259">
        <f t="shared" si="5"/>
        <v>11687.018424101692</v>
      </c>
      <c r="K49" s="259">
        <f t="shared" si="5"/>
        <v>12264.537103418876</v>
      </c>
      <c r="L49" s="259">
        <f t="shared" si="5"/>
        <v>12871.921269929513</v>
      </c>
      <c r="M49" s="259">
        <f t="shared" si="5"/>
        <v>14071.251418465796</v>
      </c>
      <c r="N49" s="259">
        <f t="shared" si="5"/>
        <v>14790.679439173597</v>
      </c>
      <c r="O49" s="259">
        <f t="shared" si="5"/>
        <v>16186.039474560002</v>
      </c>
      <c r="P49" s="259">
        <f t="shared" si="5"/>
        <v>16330.36411368872</v>
      </c>
      <c r="Q49" s="259">
        <f t="shared" si="5"/>
        <v>17731.181275513933</v>
      </c>
      <c r="R49" s="259">
        <f t="shared" si="5"/>
        <v>18581.337866707341</v>
      </c>
      <c r="S49" s="259">
        <f t="shared" si="5"/>
        <v>19464.15014775392</v>
      </c>
      <c r="T49" s="259">
        <f t="shared" si="5"/>
        <v>20372.749721169632</v>
      </c>
      <c r="U49" s="259">
        <f t="shared" si="5"/>
        <v>21347.219072378408</v>
      </c>
      <c r="V49" s="259">
        <f t="shared" si="5"/>
        <v>22359.022356493544</v>
      </c>
      <c r="W49" s="259">
        <f t="shared" si="5"/>
        <v>23354.001099632365</v>
      </c>
      <c r="X49" s="259">
        <f t="shared" si="5"/>
        <v>24190.165140727109</v>
      </c>
      <c r="Y49" s="259">
        <f t="shared" si="5"/>
        <v>24876.278572093233</v>
      </c>
      <c r="Z49" s="259">
        <f t="shared" si="5"/>
        <v>25572.719327507126</v>
      </c>
    </row>
    <row r="50" spans="1:26" s="138" customFormat="1">
      <c r="A50" s="1"/>
      <c r="B50" s="1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Assumptions!$N$44</f>
        <v>0.05</v>
      </c>
      <c r="D51" s="253"/>
      <c r="E51" s="253">
        <f t="shared" ref="E51:Z51" si="6">E49*-$C$51</f>
        <v>0</v>
      </c>
      <c r="F51" s="253">
        <f t="shared" ca="1" si="6"/>
        <v>-128.77647297850771</v>
      </c>
      <c r="G51" s="253">
        <f t="shared" si="6"/>
        <v>-96.159400506039404</v>
      </c>
      <c r="H51" s="187">
        <f t="shared" si="6"/>
        <v>-108.48973657726066</v>
      </c>
      <c r="I51" s="253">
        <f t="shared" si="6"/>
        <v>-561.65939751156145</v>
      </c>
      <c r="J51" s="253">
        <f t="shared" si="6"/>
        <v>-584.35092120508466</v>
      </c>
      <c r="K51" s="253">
        <f t="shared" si="6"/>
        <v>-613.22685517094385</v>
      </c>
      <c r="L51" s="253">
        <f t="shared" si="6"/>
        <v>-643.59606349647572</v>
      </c>
      <c r="M51" s="253">
        <f t="shared" si="6"/>
        <v>-703.56257092328985</v>
      </c>
      <c r="N51" s="253">
        <f t="shared" si="6"/>
        <v>-739.5339719586799</v>
      </c>
      <c r="O51" s="253">
        <f t="shared" si="6"/>
        <v>-809.30197372800012</v>
      </c>
      <c r="P51" s="253">
        <f t="shared" si="6"/>
        <v>-816.518205684436</v>
      </c>
      <c r="Q51" s="253">
        <f t="shared" si="6"/>
        <v>-886.5590637756967</v>
      </c>
      <c r="R51" s="253">
        <f t="shared" si="6"/>
        <v>-929.06689333536713</v>
      </c>
      <c r="S51" s="253">
        <f t="shared" si="6"/>
        <v>-973.20750738769607</v>
      </c>
      <c r="T51" s="253">
        <f t="shared" si="6"/>
        <v>-1018.6374860584816</v>
      </c>
      <c r="U51" s="253">
        <f t="shared" si="6"/>
        <v>-1067.3609536189203</v>
      </c>
      <c r="V51" s="253">
        <f t="shared" si="6"/>
        <v>-1117.9511178246773</v>
      </c>
      <c r="W51" s="253">
        <f t="shared" si="6"/>
        <v>-1167.7000549816182</v>
      </c>
      <c r="X51" s="253">
        <f t="shared" si="6"/>
        <v>-1209.5082570363554</v>
      </c>
      <c r="Y51" s="253">
        <f t="shared" si="6"/>
        <v>-1243.8139286046617</v>
      </c>
      <c r="Z51" s="253">
        <f t="shared" si="6"/>
        <v>-1278.6359663753565</v>
      </c>
    </row>
    <row r="52" spans="1:26">
      <c r="A52" s="4" t="s">
        <v>190</v>
      </c>
      <c r="C52" s="149">
        <f>Assumptions!$N$43</f>
        <v>0.35</v>
      </c>
      <c r="D52" s="228"/>
      <c r="E52" s="228">
        <f t="shared" ref="E52:Z52" si="7">(E49+E51)*-$C$52</f>
        <v>0</v>
      </c>
      <c r="F52" s="228">
        <f t="shared" ca="1" si="7"/>
        <v>-856.36354530707627</v>
      </c>
      <c r="G52" s="228">
        <f t="shared" si="7"/>
        <v>-639.46001336516201</v>
      </c>
      <c r="H52" s="228">
        <f t="shared" si="7"/>
        <v>-721.45674823878323</v>
      </c>
      <c r="I52" s="228">
        <f t="shared" si="7"/>
        <v>-3735.0349934518836</v>
      </c>
      <c r="J52" s="228">
        <f t="shared" si="7"/>
        <v>-3885.9336260138125</v>
      </c>
      <c r="K52" s="228">
        <f t="shared" si="7"/>
        <v>-4077.9585868867757</v>
      </c>
      <c r="L52" s="228">
        <f t="shared" si="7"/>
        <v>-4279.913822251563</v>
      </c>
      <c r="M52" s="228">
        <f t="shared" si="7"/>
        <v>-4678.6910966398764</v>
      </c>
      <c r="N52" s="228">
        <f t="shared" si="7"/>
        <v>-4917.9009135252209</v>
      </c>
      <c r="O52" s="228">
        <f t="shared" si="7"/>
        <v>-5381.8581252911999</v>
      </c>
      <c r="P52" s="228">
        <f t="shared" si="7"/>
        <v>-5429.846067801499</v>
      </c>
      <c r="Q52" s="228">
        <f t="shared" si="7"/>
        <v>-5895.617774108382</v>
      </c>
      <c r="R52" s="228">
        <f t="shared" si="7"/>
        <v>-6178.2948406801906</v>
      </c>
      <c r="S52" s="228">
        <f t="shared" si="7"/>
        <v>-6471.8299241281784</v>
      </c>
      <c r="T52" s="228">
        <f t="shared" si="7"/>
        <v>-6773.9392822889031</v>
      </c>
      <c r="U52" s="228">
        <f t="shared" si="7"/>
        <v>-7097.9503415658201</v>
      </c>
      <c r="V52" s="228">
        <f t="shared" si="7"/>
        <v>-7434.3749335341035</v>
      </c>
      <c r="W52" s="228">
        <f t="shared" si="7"/>
        <v>-7765.2053656277612</v>
      </c>
      <c r="X52" s="228">
        <f t="shared" si="7"/>
        <v>-8043.2299092917629</v>
      </c>
      <c r="Y52" s="228">
        <f t="shared" si="7"/>
        <v>-8271.3626252209997</v>
      </c>
      <c r="Z52" s="228">
        <f t="shared" si="7"/>
        <v>-8502.9291763961191</v>
      </c>
    </row>
    <row r="53" spans="1:26" ht="6" customHeight="1">
      <c r="D53" s="253"/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75">
      <c r="A54" s="106" t="s">
        <v>298</v>
      </c>
      <c r="B54" s="106"/>
      <c r="C54" s="106"/>
      <c r="D54" s="261"/>
      <c r="E54" s="261">
        <f t="shared" ref="E54:Z54" si="8">SUM(E49:E52)</f>
        <v>0</v>
      </c>
      <c r="F54" s="261">
        <f t="shared" ca="1" si="8"/>
        <v>1590.3894412845705</v>
      </c>
      <c r="G54" s="261">
        <f t="shared" si="8"/>
        <v>1187.5685962495866</v>
      </c>
      <c r="H54" s="261">
        <f t="shared" si="8"/>
        <v>1339.8482467291687</v>
      </c>
      <c r="I54" s="261">
        <f t="shared" si="8"/>
        <v>6936.4935592677848</v>
      </c>
      <c r="J54" s="261">
        <f t="shared" si="8"/>
        <v>7216.7338768827949</v>
      </c>
      <c r="K54" s="261">
        <f t="shared" si="8"/>
        <v>7573.3516613611555</v>
      </c>
      <c r="L54" s="261">
        <f t="shared" si="8"/>
        <v>7948.4113841814742</v>
      </c>
      <c r="M54" s="261">
        <f t="shared" si="8"/>
        <v>8688.9977509026285</v>
      </c>
      <c r="N54" s="261">
        <f t="shared" si="8"/>
        <v>9133.2445536896957</v>
      </c>
      <c r="O54" s="261">
        <f t="shared" si="8"/>
        <v>9994.8793755408005</v>
      </c>
      <c r="P54" s="261">
        <f t="shared" si="8"/>
        <v>10083.999840202785</v>
      </c>
      <c r="Q54" s="261">
        <f t="shared" si="8"/>
        <v>10949.004437629854</v>
      </c>
      <c r="R54" s="261">
        <f t="shared" si="8"/>
        <v>11473.976132691783</v>
      </c>
      <c r="S54" s="261">
        <f t="shared" si="8"/>
        <v>12019.112716238047</v>
      </c>
      <c r="T54" s="261">
        <f t="shared" si="8"/>
        <v>12580.172952822249</v>
      </c>
      <c r="U54" s="261">
        <f t="shared" si="8"/>
        <v>13181.907777193666</v>
      </c>
      <c r="V54" s="261">
        <f t="shared" si="8"/>
        <v>13806.696305134765</v>
      </c>
      <c r="W54" s="261">
        <f t="shared" si="8"/>
        <v>14421.095679022987</v>
      </c>
      <c r="X54" s="261">
        <f t="shared" si="8"/>
        <v>14937.42697439899</v>
      </c>
      <c r="Y54" s="261">
        <f t="shared" si="8"/>
        <v>15361.102018267573</v>
      </c>
      <c r="Z54" s="261">
        <f t="shared" si="8"/>
        <v>15791.154184735649</v>
      </c>
    </row>
    <row r="55" spans="1:26" s="146" customFormat="1" ht="9" outlineLevel="1">
      <c r="A55" s="5"/>
      <c r="B55" s="143">
        <f>SUM(I55:Z55)</f>
        <v>0</v>
      </c>
      <c r="C55" s="143"/>
      <c r="D55" s="5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>
      <c r="A56" s="1"/>
      <c r="F56" s="135"/>
      <c r="G56" s="135"/>
      <c r="H56" s="142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outlineLevel="1">
      <c r="A57" s="1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8.75" outlineLevel="1">
      <c r="A58" s="132" t="s">
        <v>299</v>
      </c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52">
        <f>Assumptions!B13</f>
        <v>0.5</v>
      </c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5" outlineLevel="1" thickBot="1">
      <c r="A62" s="422" t="s">
        <v>164</v>
      </c>
      <c r="B62" s="2"/>
      <c r="C62" s="2"/>
      <c r="D62" s="9"/>
      <c r="E62" s="9">
        <v>1999</v>
      </c>
      <c r="F62" s="9">
        <f t="shared" ref="F62:Z62" si="9">E62+1</f>
        <v>2000</v>
      </c>
      <c r="G62" s="9">
        <f t="shared" si="9"/>
        <v>2001</v>
      </c>
      <c r="H62" s="9">
        <f t="shared" si="9"/>
        <v>2002</v>
      </c>
      <c r="I62" s="9">
        <f t="shared" si="9"/>
        <v>2003</v>
      </c>
      <c r="J62" s="9">
        <f t="shared" si="9"/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 t="shared" si="9"/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D64" s="135"/>
      <c r="E64" s="135">
        <f t="shared" ref="E64:Z64" si="10">E39</f>
        <v>0</v>
      </c>
      <c r="F64" s="135">
        <f t="shared" ca="1" si="10"/>
        <v>15022.674146095855</v>
      </c>
      <c r="G64" s="135">
        <f t="shared" si="10"/>
        <v>15346.747051784667</v>
      </c>
      <c r="H64" s="135">
        <f t="shared" si="10"/>
        <v>15296.80922234611</v>
      </c>
      <c r="I64" s="135">
        <f t="shared" si="10"/>
        <v>24068.51687155656</v>
      </c>
      <c r="J64" s="135">
        <f t="shared" si="10"/>
        <v>24330.479337945035</v>
      </c>
      <c r="K64" s="135">
        <f t="shared" si="10"/>
        <v>24584.910579545962</v>
      </c>
      <c r="L64" s="135">
        <f t="shared" si="10"/>
        <v>24837.883619024731</v>
      </c>
      <c r="M64" s="135">
        <f t="shared" si="10"/>
        <v>25627.764677272433</v>
      </c>
      <c r="N64" s="135">
        <f t="shared" si="10"/>
        <v>25878.536101763977</v>
      </c>
      <c r="O64" s="135">
        <f t="shared" si="10"/>
        <v>26705.170516831007</v>
      </c>
      <c r="P64" s="135">
        <f t="shared" si="10"/>
        <v>26347.127178277347</v>
      </c>
      <c r="Q64" s="135">
        <f t="shared" si="10"/>
        <v>27265.562768294265</v>
      </c>
      <c r="R64" s="135">
        <f t="shared" si="10"/>
        <v>27582.812537457314</v>
      </c>
      <c r="S64" s="135">
        <f t="shared" si="10"/>
        <v>27891.472665212357</v>
      </c>
      <c r="T64" s="135">
        <f t="shared" si="10"/>
        <v>28186.921542693555</v>
      </c>
      <c r="U64" s="135">
        <f t="shared" si="10"/>
        <v>28497.304594953115</v>
      </c>
      <c r="V64" s="135">
        <f t="shared" si="10"/>
        <v>28817.37522104018</v>
      </c>
      <c r="W64" s="135">
        <f t="shared" si="10"/>
        <v>29126.950454655322</v>
      </c>
      <c r="X64" s="135">
        <f t="shared" si="10"/>
        <v>29336.755843781182</v>
      </c>
      <c r="Y64" s="135">
        <f t="shared" si="10"/>
        <v>29480.087701203531</v>
      </c>
      <c r="Z64" s="135">
        <f t="shared" si="10"/>
        <v>29889.069013127468</v>
      </c>
    </row>
    <row r="65" spans="1:26" outlineLevel="1">
      <c r="A65" s="15" t="s">
        <v>192</v>
      </c>
      <c r="D65" s="278"/>
      <c r="E65" s="278">
        <v>0</v>
      </c>
      <c r="F65" s="278">
        <v>0</v>
      </c>
      <c r="G65" s="278">
        <v>0</v>
      </c>
      <c r="H65" s="278">
        <v>0</v>
      </c>
      <c r="I65" s="278">
        <v>0</v>
      </c>
      <c r="J65" s="278">
        <v>0</v>
      </c>
      <c r="K65" s="278">
        <v>0</v>
      </c>
      <c r="L65" s="278">
        <v>0</v>
      </c>
      <c r="M65" s="278">
        <v>0</v>
      </c>
      <c r="N65" s="278">
        <v>0</v>
      </c>
      <c r="O65" s="278">
        <v>0</v>
      </c>
      <c r="P65" s="278">
        <v>0</v>
      </c>
      <c r="Q65" s="278">
        <v>0</v>
      </c>
      <c r="R65" s="278">
        <v>0</v>
      </c>
      <c r="S65" s="278">
        <v>0</v>
      </c>
      <c r="T65" s="278">
        <v>0</v>
      </c>
      <c r="U65" s="278">
        <v>0</v>
      </c>
      <c r="V65" s="278">
        <v>0</v>
      </c>
      <c r="W65" s="278">
        <v>0</v>
      </c>
      <c r="X65" s="278">
        <v>0</v>
      </c>
      <c r="Y65" s="278">
        <v>0</v>
      </c>
      <c r="Z65" s="278">
        <v>0</v>
      </c>
    </row>
    <row r="66" spans="1:26" ht="15" outlineLevel="1">
      <c r="A66" s="15" t="s">
        <v>193</v>
      </c>
      <c r="D66" s="486"/>
      <c r="E66" s="486">
        <f>Allocation!$I$9*CF!D15</f>
        <v>0</v>
      </c>
      <c r="F66" s="262">
        <f>Allocation!$K$9*(CF!E16+CF!E15)+Allocation!$I$9*(CF!G16+CF!G15-CF!G14)</f>
        <v>-9587.6074039352843</v>
      </c>
      <c r="G66" s="262">
        <f>Allocation!$I$9*(CF!H16+CF!H15)</f>
        <v>-12514.027337978889</v>
      </c>
      <c r="H66" s="262">
        <f>Allocation!$I$9*(CF!I16+CF!I15)</f>
        <v>-12439.741978590637</v>
      </c>
      <c r="I66" s="262">
        <f>Allocation!$I$9*(CF!J16+CF!J15)</f>
        <v>-11058.986370888895</v>
      </c>
      <c r="J66" s="262">
        <f>Allocation!$I$9*(CF!K16+CF!K15)</f>
        <v>-11197.124853239393</v>
      </c>
      <c r="K66" s="262">
        <f>Allocation!$I$9*(CF!L16+CF!L15)</f>
        <v>-11396.253331622978</v>
      </c>
      <c r="L66" s="262">
        <f>Allocation!$I$9*(CF!M16+CF!M15)</f>
        <v>-11470.327058826879</v>
      </c>
      <c r="M66" s="262">
        <f>Allocation!$I$9*(CF!N16+CF!N15)</f>
        <v>-11730.385553281685</v>
      </c>
      <c r="N66" s="262">
        <f>Allocation!$I$9*(CF!O16+CF!O15)</f>
        <v>-11877.675935029345</v>
      </c>
      <c r="O66" s="262">
        <f>Allocation!$I$9*(CF!P16+CF!P15)</f>
        <v>-12117.483826975842</v>
      </c>
      <c r="P66" s="262">
        <f>Allocation!$I$9*(CF!Q16+CF!Q15)</f>
        <v>-10564.313486646366</v>
      </c>
      <c r="Q66" s="262">
        <f>Allocation!$I$9*(CF!R16+CF!R15)</f>
        <v>-10092.831166883307</v>
      </c>
      <c r="R66" s="262">
        <f>Allocation!$I$9*(CF!S16+CF!S15)</f>
        <v>-10067.182740148506</v>
      </c>
      <c r="S66" s="262">
        <f>Allocation!$I$9*(CF!T16+CF!T15)</f>
        <v>-9858.0690062667927</v>
      </c>
      <c r="T66" s="262">
        <f>Allocation!$I$9*(CF!U16+CF!U15)</f>
        <v>-9647.3655612642069</v>
      </c>
      <c r="U66" s="262">
        <f>Allocation!$I$9*(CF!V16+CF!V15)</f>
        <v>-9546.0744282355045</v>
      </c>
      <c r="V66" s="262">
        <f>Allocation!$I$9*(CF!W16+CF!W15)</f>
        <v>-8987.6312940938151</v>
      </c>
      <c r="W66" s="262">
        <f>Allocation!$I$9*(CF!X16+CF!X15)</f>
        <v>-8140.6476904697938</v>
      </c>
      <c r="X66" s="262">
        <f>Allocation!$I$9*(CF!Y16+CF!Y15)</f>
        <v>-6709.4239045654513</v>
      </c>
      <c r="Y66" s="262">
        <f>Allocation!$I$9*(CF!Z16+CF!Z15)</f>
        <v>-5315.4437562850044</v>
      </c>
      <c r="Z66" s="262">
        <f>Allocation!$I$9*(CF!AA16+CF!AA15)</f>
        <v>0</v>
      </c>
    </row>
    <row r="67" spans="1:26" outlineLevel="1">
      <c r="A67" s="14" t="s">
        <v>194</v>
      </c>
      <c r="D67" s="153"/>
      <c r="E67" s="153">
        <f t="shared" ref="E67:Z67" si="11">SUM(E64:E66)</f>
        <v>0</v>
      </c>
      <c r="F67" s="153">
        <f t="shared" ca="1" si="11"/>
        <v>5435.0667421605704</v>
      </c>
      <c r="G67" s="153">
        <f t="shared" si="11"/>
        <v>2832.7197138057782</v>
      </c>
      <c r="H67" s="153">
        <f t="shared" si="11"/>
        <v>2857.0672437554731</v>
      </c>
      <c r="I67" s="153">
        <f t="shared" si="11"/>
        <v>13009.530500667664</v>
      </c>
      <c r="J67" s="153">
        <f t="shared" si="11"/>
        <v>13133.354484705642</v>
      </c>
      <c r="K67" s="153">
        <f t="shared" si="11"/>
        <v>13188.657247922984</v>
      </c>
      <c r="L67" s="153">
        <f t="shared" si="11"/>
        <v>13367.556560197852</v>
      </c>
      <c r="M67" s="153">
        <f t="shared" si="11"/>
        <v>13897.379123990748</v>
      </c>
      <c r="N67" s="153">
        <f t="shared" si="11"/>
        <v>14000.860166734632</v>
      </c>
      <c r="O67" s="153">
        <f t="shared" si="11"/>
        <v>14587.686689855165</v>
      </c>
      <c r="P67" s="153">
        <f t="shared" si="11"/>
        <v>15782.813691630981</v>
      </c>
      <c r="Q67" s="153">
        <f t="shared" si="11"/>
        <v>17172.73160141096</v>
      </c>
      <c r="R67" s="153">
        <f t="shared" si="11"/>
        <v>17515.629797308808</v>
      </c>
      <c r="S67" s="153">
        <f t="shared" si="11"/>
        <v>18033.403658945565</v>
      </c>
      <c r="T67" s="153">
        <f t="shared" si="11"/>
        <v>18539.555981429348</v>
      </c>
      <c r="U67" s="153">
        <f t="shared" si="11"/>
        <v>18951.230166717611</v>
      </c>
      <c r="V67" s="153">
        <f t="shared" si="11"/>
        <v>19829.743926946365</v>
      </c>
      <c r="W67" s="153">
        <f t="shared" si="11"/>
        <v>20986.30276418553</v>
      </c>
      <c r="X67" s="153">
        <f t="shared" si="11"/>
        <v>22627.331939215732</v>
      </c>
      <c r="Y67" s="153">
        <f t="shared" si="11"/>
        <v>24164.643944918527</v>
      </c>
      <c r="Z67" s="153">
        <f t="shared" si="11"/>
        <v>29889.069013127468</v>
      </c>
    </row>
    <row r="68" spans="1:26" outlineLevel="1">
      <c r="A68" s="14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 spans="1:26" ht="15" outlineLevel="1">
      <c r="A69" s="15" t="s">
        <v>382</v>
      </c>
      <c r="D69" s="486"/>
      <c r="E69" s="486">
        <v>0</v>
      </c>
      <c r="F69" s="255">
        <f ca="1">Allocation!$I$9*CF!G24*7/12+Allocation!$K$9*CF!G24*5/12</f>
        <v>0</v>
      </c>
      <c r="G69" s="486">
        <f>Allocation!$I$9*CF!H24</f>
        <v>0</v>
      </c>
      <c r="H69" s="486">
        <f>Allocation!$I$9*CF!I24</f>
        <v>0</v>
      </c>
      <c r="I69" s="486">
        <f ca="1">Allocation!$I$9*CF!J24</f>
        <v>0</v>
      </c>
      <c r="J69" s="486">
        <f ca="1">Allocation!$I$9*CF!K24</f>
        <v>0</v>
      </c>
      <c r="K69" s="486">
        <f ca="1">Allocation!$I$9*CF!L24</f>
        <v>0</v>
      </c>
      <c r="L69" s="486">
        <f ca="1">Allocation!$I$9*CF!M24</f>
        <v>-522.53158072641929</v>
      </c>
      <c r="M69" s="486">
        <f ca="1">Allocation!$I$9*CF!N24</f>
        <v>-591.15102915405248</v>
      </c>
      <c r="N69" s="486">
        <f ca="1">Allocation!$I$9*CF!O24</f>
        <v>-636.6921711626336</v>
      </c>
      <c r="O69" s="486">
        <f ca="1">Allocation!$I$9*CF!P24</f>
        <v>-708.26138354942714</v>
      </c>
      <c r="P69" s="486">
        <f ca="1">Allocation!$I$9*CF!Q24</f>
        <v>-746.27383985316749</v>
      </c>
      <c r="Q69" s="486">
        <f ca="1">Allocation!$I$9*CF!R24</f>
        <v>-813.30619374855155</v>
      </c>
      <c r="R69" s="486">
        <f ca="1">Allocation!$I$9*CF!S24</f>
        <v>-863.72003892039413</v>
      </c>
      <c r="S69" s="486">
        <f ca="1">Allocation!$I$9*CF!T24</f>
        <v>-908.51402104737667</v>
      </c>
      <c r="T69" s="486">
        <f ca="1">Allocation!$I$9*CF!U24</f>
        <v>-960.10451692032586</v>
      </c>
      <c r="U69" s="486">
        <f ca="1">Allocation!$I$9*CF!V24</f>
        <v>-1304.8487826770327</v>
      </c>
      <c r="V69" s="486">
        <f ca="1">Allocation!$I$9*CF!W24</f>
        <v>-1651.2741779829903</v>
      </c>
      <c r="W69" s="486">
        <f>Allocation!$I$9*CF!X24</f>
        <v>-1708.3401906699901</v>
      </c>
      <c r="X69" s="486">
        <f>Allocation!$I$9*CF!Y24</f>
        <v>-1759.6304467695845</v>
      </c>
      <c r="Y69" s="486">
        <f>Allocation!$I$9*CF!Z24</f>
        <v>-1786.9051802630215</v>
      </c>
      <c r="Z69" s="486">
        <f ca="1">Allocation!$I$9*CF!AA24</f>
        <v>-1829.0455011032193</v>
      </c>
    </row>
    <row r="70" spans="1:26" ht="15" outlineLevel="1">
      <c r="A70" s="15" t="s">
        <v>383</v>
      </c>
      <c r="D70" s="486"/>
      <c r="E70" s="228">
        <f>Allocation!$K$9*CF!D25</f>
        <v>0</v>
      </c>
      <c r="F70" s="262">
        <f ca="1">Allocation!$I$9*(-Tax!E39)*7/12+Allocation!$K$9*(-Tax!E39)*5/12</f>
        <v>1634.6802952954431</v>
      </c>
      <c r="G70" s="486">
        <f>Allocation!$I$9*CF!H25</f>
        <v>2845.0190552237682</v>
      </c>
      <c r="H70" s="486">
        <f>Allocation!$I$9*CF!I25</f>
        <v>2231.4677127378695</v>
      </c>
      <c r="I70" s="486">
        <f ca="1">Allocation!$I$9*CF!J25</f>
        <v>-1402.9359604353913</v>
      </c>
      <c r="J70" s="486">
        <f ca="1">Allocation!$I$9*CF!K25</f>
        <v>-2016.6238424442934</v>
      </c>
      <c r="K70" s="486">
        <f ca="1">Allocation!$I$9*CF!L25</f>
        <v>-2684.5424693981568</v>
      </c>
      <c r="L70" s="486">
        <f ca="1">Allocation!$I$9*CF!M25</f>
        <v>-2866.563367396865</v>
      </c>
      <c r="M70" s="486">
        <f ca="1">Allocation!$I$9*CF!N25</f>
        <v>-3185.2497354642783</v>
      </c>
      <c r="N70" s="486">
        <f ca="1">Allocation!$I$9*CF!O25</f>
        <v>-3430.6352687401954</v>
      </c>
      <c r="O70" s="486">
        <f ca="1">Allocation!$I$9*CF!P25</f>
        <v>-3816.2656805634556</v>
      </c>
      <c r="P70" s="486">
        <f ca="1">Allocation!$I$9*CF!Q25</f>
        <v>-4021.0850252224714</v>
      </c>
      <c r="Q70" s="486">
        <f ca="1">Allocation!$I$9*CF!R25</f>
        <v>-4382.2698612166896</v>
      </c>
      <c r="R70" s="486">
        <f ca="1">Allocation!$I$9*CF!S25</f>
        <v>-4653.9105741274707</v>
      </c>
      <c r="S70" s="486">
        <f ca="1">Allocation!$I$9*CF!T25</f>
        <v>-4895.2702481934029</v>
      </c>
      <c r="T70" s="486">
        <f ca="1">Allocation!$I$9*CF!U25</f>
        <v>-5173.251009838933</v>
      </c>
      <c r="U70" s="486">
        <f ca="1">Allocation!$I$9*CF!V25</f>
        <v>-7030.80775447621</v>
      </c>
      <c r="V70" s="486">
        <f ca="1">Allocation!$I$9*CF!W25</f>
        <v>-8897.4227891069859</v>
      </c>
      <c r="W70" s="486">
        <f>Allocation!$I$9*CF!X25</f>
        <v>-9204.9068208532917</v>
      </c>
      <c r="X70" s="486">
        <f>Allocation!$I$9*CF!Y25</f>
        <v>-9481.2698255949363</v>
      </c>
      <c r="Y70" s="486">
        <f>Allocation!$I$9*CF!Z25</f>
        <v>-9628.2319949227131</v>
      </c>
      <c r="Z70" s="486">
        <f ca="1">Allocation!$I$9*CF!AA25</f>
        <v>-9855.2931674300198</v>
      </c>
    </row>
    <row r="71" spans="1:26" outlineLevel="1">
      <c r="A71" s="15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</row>
    <row r="72" spans="1:26" s="238" customFormat="1" ht="15.75" outlineLevel="1">
      <c r="A72" s="108" t="s">
        <v>197</v>
      </c>
      <c r="B72" s="237"/>
      <c r="C72" s="237"/>
      <c r="D72" s="264"/>
      <c r="E72" s="264">
        <f t="shared" ref="E72:Z72" si="12">E67+E70+E69</f>
        <v>0</v>
      </c>
      <c r="F72" s="264">
        <f t="shared" ca="1" si="12"/>
        <v>7069.7470374560135</v>
      </c>
      <c r="G72" s="264">
        <f t="shared" si="12"/>
        <v>5677.7387690295463</v>
      </c>
      <c r="H72" s="264">
        <f t="shared" si="12"/>
        <v>5088.5349564933422</v>
      </c>
      <c r="I72" s="264">
        <f t="shared" ca="1" si="12"/>
        <v>11606.594540232272</v>
      </c>
      <c r="J72" s="264">
        <f t="shared" ca="1" si="12"/>
        <v>11116.730642261349</v>
      </c>
      <c r="K72" s="264">
        <f t="shared" ca="1" si="12"/>
        <v>10504.114778524827</v>
      </c>
      <c r="L72" s="264">
        <f t="shared" ca="1" si="12"/>
        <v>9978.4616120745668</v>
      </c>
      <c r="M72" s="264">
        <f t="shared" ca="1" si="12"/>
        <v>10120.978359372417</v>
      </c>
      <c r="N72" s="264">
        <f t="shared" ca="1" si="12"/>
        <v>9933.5327268318033</v>
      </c>
      <c r="O72" s="264">
        <f t="shared" ca="1" si="12"/>
        <v>10063.159625742283</v>
      </c>
      <c r="P72" s="264">
        <f t="shared" ca="1" si="12"/>
        <v>11015.454826555342</v>
      </c>
      <c r="Q72" s="264">
        <f t="shared" ca="1" si="12"/>
        <v>11977.15554644572</v>
      </c>
      <c r="R72" s="264">
        <f t="shared" ca="1" si="12"/>
        <v>11997.999184260943</v>
      </c>
      <c r="S72" s="264">
        <f t="shared" ca="1" si="12"/>
        <v>12229.619389704785</v>
      </c>
      <c r="T72" s="264">
        <f t="shared" ca="1" si="12"/>
        <v>12406.20045467009</v>
      </c>
      <c r="U72" s="264">
        <f t="shared" ca="1" si="12"/>
        <v>10615.573629564369</v>
      </c>
      <c r="V72" s="264">
        <f t="shared" ca="1" si="12"/>
        <v>9281.0469598563886</v>
      </c>
      <c r="W72" s="264">
        <f t="shared" si="12"/>
        <v>10073.055752662247</v>
      </c>
      <c r="X72" s="264">
        <f t="shared" si="12"/>
        <v>11386.431666851211</v>
      </c>
      <c r="Y72" s="264">
        <f t="shared" si="12"/>
        <v>12749.506769732792</v>
      </c>
      <c r="Z72" s="264">
        <f t="shared" ca="1" si="12"/>
        <v>18204.730344594227</v>
      </c>
    </row>
    <row r="73" spans="1:26" outlineLevel="1">
      <c r="A73" s="17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</row>
    <row r="74" spans="1:26" outlineLevel="1">
      <c r="A74" s="16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</row>
    <row r="75" spans="1:26" ht="12.75" customHeight="1" outlineLevel="1">
      <c r="A75" s="16" t="s">
        <v>293</v>
      </c>
      <c r="B75" s="151"/>
      <c r="C75" s="123">
        <f>C60</f>
        <v>0.5</v>
      </c>
      <c r="D75" s="227"/>
      <c r="E75" s="227">
        <f t="shared" ref="E75:Z75" si="13">$C$75*E54</f>
        <v>0</v>
      </c>
      <c r="F75" s="227">
        <f t="shared" ca="1" si="13"/>
        <v>795.19472064228523</v>
      </c>
      <c r="G75" s="227">
        <f t="shared" si="13"/>
        <v>593.78429812479328</v>
      </c>
      <c r="H75" s="227">
        <f t="shared" si="13"/>
        <v>669.92412336458437</v>
      </c>
      <c r="I75" s="227">
        <f t="shared" si="13"/>
        <v>3468.2467796338924</v>
      </c>
      <c r="J75" s="227">
        <f t="shared" si="13"/>
        <v>3608.3669384413975</v>
      </c>
      <c r="K75" s="227">
        <f t="shared" si="13"/>
        <v>3786.6758306805777</v>
      </c>
      <c r="L75" s="227">
        <f t="shared" si="13"/>
        <v>3974.2056920907371</v>
      </c>
      <c r="M75" s="227">
        <f t="shared" si="13"/>
        <v>4344.4988754513142</v>
      </c>
      <c r="N75" s="227">
        <f t="shared" si="13"/>
        <v>4566.6222768448479</v>
      </c>
      <c r="O75" s="227">
        <f t="shared" si="13"/>
        <v>4997.4396877704003</v>
      </c>
      <c r="P75" s="227">
        <f t="shared" si="13"/>
        <v>5041.9999201013925</v>
      </c>
      <c r="Q75" s="227">
        <f t="shared" si="13"/>
        <v>5474.5022188149269</v>
      </c>
      <c r="R75" s="227">
        <f t="shared" si="13"/>
        <v>5736.9880663458916</v>
      </c>
      <c r="S75" s="227">
        <f t="shared" si="13"/>
        <v>6009.5563581190236</v>
      </c>
      <c r="T75" s="227">
        <f t="shared" si="13"/>
        <v>6290.0864764111247</v>
      </c>
      <c r="U75" s="227">
        <f t="shared" si="13"/>
        <v>6590.9538885968332</v>
      </c>
      <c r="V75" s="227">
        <f t="shared" si="13"/>
        <v>6903.3481525673824</v>
      </c>
      <c r="W75" s="227">
        <f t="shared" si="13"/>
        <v>7210.5478395114933</v>
      </c>
      <c r="X75" s="227">
        <f t="shared" si="13"/>
        <v>7468.7134871994949</v>
      </c>
      <c r="Y75" s="227">
        <f t="shared" si="13"/>
        <v>7680.5510091337865</v>
      </c>
      <c r="Z75" s="227">
        <f t="shared" si="13"/>
        <v>7895.5770923678247</v>
      </c>
    </row>
    <row r="76" spans="1:26" outlineLevel="1">
      <c r="A76" s="16" t="s">
        <v>294</v>
      </c>
      <c r="B76" s="151"/>
      <c r="C76" s="123">
        <f>C60</f>
        <v>0.5</v>
      </c>
      <c r="D76" s="227"/>
      <c r="E76" s="227">
        <f t="shared" ref="E76:Z76" si="14">$C$76*E72</f>
        <v>0</v>
      </c>
      <c r="F76" s="227">
        <f t="shared" ca="1" si="14"/>
        <v>3534.8735187280067</v>
      </c>
      <c r="G76" s="227">
        <f t="shared" si="14"/>
        <v>2838.8693845147732</v>
      </c>
      <c r="H76" s="227">
        <f t="shared" si="14"/>
        <v>2544.2674782466711</v>
      </c>
      <c r="I76" s="227">
        <f t="shared" ca="1" si="14"/>
        <v>5803.2972701161361</v>
      </c>
      <c r="J76" s="227">
        <f t="shared" ca="1" si="14"/>
        <v>5558.3653211306746</v>
      </c>
      <c r="K76" s="227">
        <f t="shared" ca="1" si="14"/>
        <v>5252.0573892624134</v>
      </c>
      <c r="L76" s="227">
        <f t="shared" ca="1" si="14"/>
        <v>4989.2308060372834</v>
      </c>
      <c r="M76" s="227">
        <f t="shared" ca="1" si="14"/>
        <v>5060.4891796862084</v>
      </c>
      <c r="N76" s="227">
        <f t="shared" ca="1" si="14"/>
        <v>4966.7663634159017</v>
      </c>
      <c r="O76" s="227">
        <f t="shared" ca="1" si="14"/>
        <v>5031.5798128711413</v>
      </c>
      <c r="P76" s="227">
        <f t="shared" ca="1" si="14"/>
        <v>5507.7274132776711</v>
      </c>
      <c r="Q76" s="227">
        <f t="shared" ca="1" si="14"/>
        <v>5988.5777732228598</v>
      </c>
      <c r="R76" s="227">
        <f t="shared" ca="1" si="14"/>
        <v>5998.9995921304717</v>
      </c>
      <c r="S76" s="227">
        <f t="shared" ca="1" si="14"/>
        <v>6114.8096948523926</v>
      </c>
      <c r="T76" s="227">
        <f t="shared" ca="1" si="14"/>
        <v>6203.100227335045</v>
      </c>
      <c r="U76" s="227">
        <f t="shared" ca="1" si="14"/>
        <v>5307.7868147821846</v>
      </c>
      <c r="V76" s="227">
        <f t="shared" ca="1" si="14"/>
        <v>4640.5234799281943</v>
      </c>
      <c r="W76" s="227">
        <f t="shared" si="14"/>
        <v>5036.5278763311235</v>
      </c>
      <c r="X76" s="227">
        <f t="shared" si="14"/>
        <v>5693.2158334256055</v>
      </c>
      <c r="Y76" s="227">
        <f t="shared" si="14"/>
        <v>6374.7533848663961</v>
      </c>
      <c r="Z76" s="227">
        <f t="shared" ca="1" si="14"/>
        <v>9102.3651722971135</v>
      </c>
    </row>
    <row r="77" spans="1:26" outlineLevel="1">
      <c r="A77" s="16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57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outlineLevel="1">
      <c r="A79" s="157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outlineLevel="1">
      <c r="A80" s="157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outlineLevel="1">
      <c r="A81" s="158"/>
      <c r="B81" s="8"/>
      <c r="C81" s="8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5" outlineLevel="1">
      <c r="A82" s="159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 outlineLevel="1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5.75" outlineLevel="1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 outlineLevel="1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 outlineLevel="1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 outlineLevel="1">
      <c r="A87" s="8"/>
      <c r="B87" s="8"/>
      <c r="C87" s="163"/>
      <c r="D87" s="8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outlineLevel="1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 outlineLevel="1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 outlineLevel="1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 outlineLevel="1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 outlineLevel="1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 outlineLevel="1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 outlineLevel="1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4.25" outlineLevel="1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4.25" outlineLevel="1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5.75" outlineLevel="1">
      <c r="A105" s="162"/>
      <c r="B105" s="8"/>
      <c r="C105" s="8"/>
      <c r="D105" s="163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outlineLevel="1">
      <c r="A106" s="138"/>
      <c r="B106" s="8"/>
      <c r="C106" s="166"/>
      <c r="D106" s="163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outlineLevel="1">
      <c r="A107" s="138"/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169"/>
      <c r="B108" s="169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169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169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4.25" outlineLevel="1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171"/>
      <c r="B117" s="8"/>
      <c r="C117" s="8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outlineLevel="1">
      <c r="A118" s="172"/>
      <c r="B118" s="8"/>
      <c r="C118" s="8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2"/>
      <c r="B119" s="8"/>
      <c r="C119" s="8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 outlineLevel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outlineLevel="1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 outlineLevel="1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 outlineLevel="1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8.75" outlineLevel="1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outlineLevel="1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outlineLevel="1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 outlineLevel="1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 outlineLevel="1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 outlineLevel="1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 outlineLevel="1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8.75" outlineLevel="1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outlineLevel="1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outlineLevel="1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8.75" outlineLevel="1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outlineLevel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 outlineLevel="1">
      <c r="A260" s="185"/>
    </row>
    <row r="261" spans="1:26" outlineLevel="1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outlineLevel="1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outlineLevel="1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8.75" outlineLevel="2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outlineLevel="2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outlineLevel="2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outlineLevel="2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outlineLevel="2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outlineLevel="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outlineLevel="2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outlineLevel="2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outlineLevel="2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</row>
    <row r="322" spans="1:3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outlineLevel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1" outlineLevel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 outlineLevel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ht="18.75" outlineLevel="1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 outlineLevel="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 outlineLevel="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 outlineLevel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 outlineLevel="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outlineLevel="1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outlineLevel="1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outlineLevel="1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outlineLevel="1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outlineLevel="1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outlineLevel="1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outlineLevel="1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outlineLevel="1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outlineLevel="1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outlineLevel="1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outlineLevel="1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outlineLevel="1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outlineLevel="1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outlineLevel="1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outlineLevel="1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outlineLevel="1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outlineLevel="1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outlineLevel="1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outlineLevel="1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outlineLevel="1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outlineLevel="1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outlineLevel="1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outlineLevel="1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outlineLevel="1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outlineLevel="1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outlineLevel="1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outlineLevel="1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outlineLevel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outlineLevel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8.75" outlineLevel="1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outlineLevel="1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outlineLevel="1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 outlineLevel="1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 outlineLevel="1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 outlineLevel="1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 outlineLevel="1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 outlineLevel="1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 outlineLevel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8.75" outlineLevel="1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outlineLevel="1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outlineLevel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outlineLevel="1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 outlineLevel="1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 outlineLevel="1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 outlineLevel="1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 outlineLevel="1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outlineLevel="1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 outlineLevel="1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outlineLevel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8.75" outlineLevel="1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 outlineLevel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 outlineLevel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 outlineLevel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 outlineLevel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 outlineLevel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 outlineLevel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 outlineLevel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 outlineLevel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" customHeight="1" outlineLevel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 outlineLevel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outlineLevel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 outlineLevel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 outlineLevel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 outlineLevel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 outlineLevel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 outlineLevel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 outlineLevel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 outlineLevel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outlineLevel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outlineLevel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8.75" outlineLevel="1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outlineLevel="1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outlineLevel="2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outlineLevel="2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outlineLevel="2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outlineLevel="2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outlineLevel="2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outlineLevel="2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outlineLevel="2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outlineLevel="2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outlineLevel="2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outlineLevel="2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outlineLevel="2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outlineLevel="2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outlineLevel="2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outlineLevel="2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outlineLevel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outlineLevel="1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</sheetData>
  <pageMargins left="0.18" right="0.17" top="0.37" bottom="0.4" header="0.17" footer="0.21"/>
  <pageSetup scale="43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77"/>
  <sheetViews>
    <sheetView zoomScale="75" workbookViewId="0">
      <selection activeCell="I21" sqref="I21"/>
    </sheetView>
  </sheetViews>
  <sheetFormatPr defaultRowHeight="12.75" outlineLevelRow="2" outlineLevelCol="1"/>
  <cols>
    <col min="1" max="1" width="53.42578125" style="7" customWidth="1"/>
    <col min="2" max="4" width="8.42578125" style="7" customWidth="1"/>
    <col min="5" max="5" width="9.28515625" style="7" customWidth="1" outlineLevel="1"/>
    <col min="6" max="6" width="10.140625" style="7" customWidth="1" outlineLevel="1"/>
    <col min="7" max="8" width="10.7109375" style="7" customWidth="1" outlineLevel="1"/>
    <col min="9" max="26" width="10.7109375" style="7" customWidth="1"/>
    <col min="27" max="16384" width="9.140625" style="8"/>
  </cols>
  <sheetData>
    <row r="2" spans="1:29" ht="18.75">
      <c r="A2" s="126" t="s">
        <v>351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29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29">
      <c r="A4" s="1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</row>
    <row r="5" spans="1:29" ht="13.5" thickBot="1">
      <c r="A5" s="422" t="s">
        <v>164</v>
      </c>
      <c r="B5" s="9"/>
      <c r="C5" s="9"/>
      <c r="D5" s="9"/>
      <c r="E5" s="9">
        <v>1999</v>
      </c>
      <c r="F5" s="9">
        <f t="shared" ref="F5:Z5" si="0">E5+1</f>
        <v>2000</v>
      </c>
      <c r="G5" s="9">
        <f t="shared" si="0"/>
        <v>2001</v>
      </c>
      <c r="H5" s="9">
        <f t="shared" si="0"/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29">
      <c r="A6" s="3"/>
      <c r="B6" s="10"/>
      <c r="C6" s="10"/>
      <c r="D6" s="10"/>
      <c r="E6" s="10"/>
      <c r="F6" s="10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9">
      <c r="A7" s="3"/>
      <c r="B7" s="10"/>
      <c r="C7" s="10"/>
      <c r="D7" s="10"/>
      <c r="E7" s="10"/>
      <c r="J7" s="12"/>
      <c r="K7" s="12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9">
      <c r="A8" s="1" t="s">
        <v>165</v>
      </c>
      <c r="B8" s="12"/>
      <c r="C8" s="12"/>
      <c r="D8" s="12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29">
      <c r="A9" s="575" t="s">
        <v>166</v>
      </c>
      <c r="B9" s="12"/>
      <c r="C9" s="12"/>
      <c r="D9" s="12"/>
      <c r="E9" s="12"/>
      <c r="AA9" s="140"/>
      <c r="AB9" s="140"/>
      <c r="AC9" s="140"/>
    </row>
    <row r="10" spans="1:29">
      <c r="A10" s="4" t="s">
        <v>167</v>
      </c>
      <c r="B10" s="12"/>
      <c r="C10" s="12"/>
      <c r="D10" s="12"/>
      <c r="E10" s="253">
        <f>Assumptions!$P$10*'Power Price Assumption'!E25*0</f>
        <v>0</v>
      </c>
      <c r="F10" s="253">
        <f>Assumptions!$P$30*Assumptions!$P$53*'Power Price Assumption'!F23</f>
        <v>12240</v>
      </c>
      <c r="G10" s="253">
        <f>Assumptions!$P$30*12*'Power Price Assumption'!G23</f>
        <v>24480</v>
      </c>
      <c r="H10" s="253">
        <f>Assumptions!$P$30*12*'Power Price Assumption'!H23</f>
        <v>24480</v>
      </c>
      <c r="I10" s="253">
        <v>0</v>
      </c>
      <c r="J10" s="253">
        <f>Assumptions!$P$30*12*'Power Price Assumption'!J23</f>
        <v>0</v>
      </c>
      <c r="K10" s="253">
        <f>Assumptions!$P$30*12*'Power Price Assumption'!K23</f>
        <v>0</v>
      </c>
      <c r="L10" s="253">
        <f>Assumptions!$P$30*12*'Power Price Assumption'!L23</f>
        <v>0</v>
      </c>
      <c r="M10" s="253">
        <f>Assumptions!$P$30*12*'Power Price Assumption'!M23</f>
        <v>0</v>
      </c>
      <c r="N10" s="253">
        <f>Assumptions!$P$30*12*'Power Price Assumption'!N23</f>
        <v>0</v>
      </c>
      <c r="O10" s="253">
        <f>Assumptions!$P$30*12*'Power Price Assumption'!O23</f>
        <v>0</v>
      </c>
      <c r="P10" s="253">
        <f>Assumptions!$P$30*12*'Power Price Assumption'!P23</f>
        <v>0</v>
      </c>
      <c r="Q10" s="253">
        <f>Assumptions!$P$30*12*'Power Price Assumption'!Q23</f>
        <v>0</v>
      </c>
      <c r="R10" s="253">
        <f>Assumptions!$P$30*12*'Power Price Assumption'!R23</f>
        <v>0</v>
      </c>
      <c r="S10" s="253">
        <f>Assumptions!$P$30*12*'Power Price Assumption'!S23</f>
        <v>0</v>
      </c>
      <c r="T10" s="253">
        <f>Assumptions!$P$30*12*'Power Price Assumption'!T23</f>
        <v>0</v>
      </c>
      <c r="U10" s="253">
        <f>Assumptions!$P$30*12*'Power Price Assumption'!U23</f>
        <v>0</v>
      </c>
      <c r="V10" s="253">
        <f>Assumptions!$P$30*12*'Power Price Assumption'!V23</f>
        <v>0</v>
      </c>
      <c r="W10" s="253">
        <f>Assumptions!$P$30*12*'Power Price Assumption'!W23</f>
        <v>0</v>
      </c>
      <c r="X10" s="253">
        <f>Assumptions!$P$30*12*'Power Price Assumption'!X23</f>
        <v>0</v>
      </c>
      <c r="Y10" s="253">
        <f>Assumptions!$P$30*12*'Power Price Assumption'!Y23</f>
        <v>0</v>
      </c>
      <c r="Z10" s="253">
        <f>Assumptions!$P$30*12*'Power Price Assumption'!Z23</f>
        <v>0</v>
      </c>
      <c r="AA10" s="140"/>
      <c r="AB10" s="140"/>
      <c r="AC10" s="140"/>
    </row>
    <row r="11" spans="1:29">
      <c r="A11" s="4" t="s">
        <v>168</v>
      </c>
      <c r="B11" s="12"/>
      <c r="C11" s="12"/>
      <c r="D11" s="12"/>
      <c r="E11" s="253">
        <v>0</v>
      </c>
      <c r="F11" s="253">
        <f>Assumptions!P$26*Assumptions!P$30*Assumptions!P$14/1000*(1+Assumptions!$P$39)</f>
        <v>767.01319000000001</v>
      </c>
      <c r="G11" s="253">
        <f>F11*(1+Assumptions!$P$39)</f>
        <v>790.02358570000001</v>
      </c>
      <c r="H11" s="253">
        <f>G11*(1+Assumptions!$P$39)</f>
        <v>813.72429327100008</v>
      </c>
      <c r="I11" s="253">
        <v>0</v>
      </c>
      <c r="J11" s="253">
        <f>Assumptions!$P$30*12*'Power Price Assumption'!J24</f>
        <v>0</v>
      </c>
      <c r="K11" s="253">
        <f>Assumptions!$P$30*12*'Power Price Assumption'!K24</f>
        <v>0</v>
      </c>
      <c r="L11" s="253">
        <f>Assumptions!$P$30*12*'Power Price Assumption'!L24</f>
        <v>0</v>
      </c>
      <c r="M11" s="253">
        <f>Assumptions!$P$30*12*'Power Price Assumption'!M24</f>
        <v>0</v>
      </c>
      <c r="N11" s="253">
        <f>Assumptions!$P$30*12*'Power Price Assumption'!N24</f>
        <v>0</v>
      </c>
      <c r="O11" s="253">
        <f>Assumptions!$P$30*12*'Power Price Assumption'!O24</f>
        <v>0</v>
      </c>
      <c r="P11" s="253">
        <f>Assumptions!$P$30*12*'Power Price Assumption'!P24</f>
        <v>0</v>
      </c>
      <c r="Q11" s="253">
        <f>Assumptions!$P$30*12*'Power Price Assumption'!Q24</f>
        <v>0</v>
      </c>
      <c r="R11" s="253">
        <f>Assumptions!$P$30*12*'Power Price Assumption'!R24</f>
        <v>0</v>
      </c>
      <c r="S11" s="253">
        <f>Assumptions!$P$30*12*'Power Price Assumption'!S24</f>
        <v>0</v>
      </c>
      <c r="T11" s="253">
        <f>Assumptions!$P$30*12*'Power Price Assumption'!T24</f>
        <v>0</v>
      </c>
      <c r="U11" s="253">
        <f>Assumptions!$P$30*12*'Power Price Assumption'!U24</f>
        <v>0</v>
      </c>
      <c r="V11" s="253">
        <f>Assumptions!$P$30*12*'Power Price Assumption'!V24</f>
        <v>0</v>
      </c>
      <c r="W11" s="253">
        <f>Assumptions!$P$30*12*'Power Price Assumption'!W24</f>
        <v>0</v>
      </c>
      <c r="X11" s="253">
        <f>Assumptions!$P$30*12*'Power Price Assumption'!X24</f>
        <v>0</v>
      </c>
      <c r="Y11" s="253">
        <f>Assumptions!$P$30*12*'Power Price Assumption'!Y24</f>
        <v>0</v>
      </c>
      <c r="Z11" s="253">
        <f>Assumptions!$P$30*12*'Power Price Assumption'!Z24</f>
        <v>0</v>
      </c>
      <c r="AA11" s="140"/>
      <c r="AB11" s="140"/>
      <c r="AC11" s="140"/>
    </row>
    <row r="12" spans="1:29">
      <c r="A12" s="4" t="s">
        <v>169</v>
      </c>
      <c r="B12" s="12"/>
      <c r="C12" s="12"/>
      <c r="D12" s="12"/>
      <c r="E12" s="253">
        <v>0</v>
      </c>
      <c r="F12" s="253">
        <f>VLOOKUP(Assumptions!$P$19,'EGC Start Charge Matrix'!$A$10:$S$35,17)*(1+Assumptions!$P$39)</f>
        <v>2365.3332</v>
      </c>
      <c r="G12" s="253">
        <f>F12*(1+Assumptions!$P$39)</f>
        <v>2436.2931960000001</v>
      </c>
      <c r="H12" s="253">
        <f>G12*(1+Assumptions!$P$39)</f>
        <v>2509.38199188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 s="140"/>
      <c r="AC12" s="140"/>
    </row>
    <row r="13" spans="1:29">
      <c r="A13" s="8"/>
      <c r="B13" s="12"/>
      <c r="C13" s="12"/>
      <c r="D13" s="12"/>
      <c r="E13" s="12"/>
      <c r="AA13" s="140"/>
      <c r="AB13" s="140"/>
      <c r="AC13" s="140"/>
    </row>
    <row r="14" spans="1:29">
      <c r="A14" s="575" t="s">
        <v>170</v>
      </c>
      <c r="B14" s="12"/>
      <c r="C14" s="12"/>
      <c r="D14" s="12"/>
      <c r="E14" s="12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140"/>
      <c r="AB14" s="140"/>
      <c r="AC14" s="140"/>
    </row>
    <row r="15" spans="1:29">
      <c r="A15" s="4" t="s">
        <v>167</v>
      </c>
      <c r="B15" s="12"/>
      <c r="C15" s="12"/>
      <c r="D15" s="12"/>
      <c r="E15" s="253">
        <v>0</v>
      </c>
      <c r="F15" s="253">
        <v>0</v>
      </c>
      <c r="G15" s="253">
        <v>0</v>
      </c>
      <c r="H15" s="253">
        <v>0</v>
      </c>
      <c r="I15" s="253">
        <f>IF(Assumptions!$P$19=120,Assumptions!$P$33*(1-Assumptions!$P$35)*'Power Price Assumption'!I25*(12),Assumptions!$P$33*(1-Assumptions!$P$35)*'Power Price Assumption'!I25*(12)-2/3*VLOOKUP(120,'EGC Start Charge Matrix'!$U$10:$AM$35,17)*(1+Assumptions!$P$52)^(I5-Brownsville!$E$5))</f>
        <v>35163.13029626137</v>
      </c>
      <c r="J15" s="253">
        <f>IF(Assumptions!$P$19=120,Assumptions!$P$33*(1-Assumptions!$P$35)*'Power Price Assumption'!J25*(12),Assumptions!$P$33*(1-Assumptions!$P$35)*'Power Price Assumption'!J25*(12)-2/3*VLOOKUP(120,'EGC Start Charge Matrix'!$U$10:$AM$35,17)*(1+Assumptions!$P$52)^(J5-Brownsville!$E$5))</f>
        <v>35604.159388112792</v>
      </c>
      <c r="K15" s="253">
        <f>IF(Assumptions!$P$19=120,Assumptions!$P$33*(1-Assumptions!$P$35)*'Power Price Assumption'!K25*(12),Assumptions!$P$33*(1-Assumptions!$P$35)*'Power Price Assumption'!K25*(12)-2/3*VLOOKUP(120,'EGC Start Charge Matrix'!$U$10:$AM$35,17)*(1+Assumptions!$P$52)^(K5-Brownsville!$E$5))</f>
        <v>36040.003408208649</v>
      </c>
      <c r="L15" s="253">
        <f>IF(Assumptions!$P$19=120,Assumptions!$P$33*(1-Assumptions!$P$35)*'Power Price Assumption'!L25*(12),Assumptions!$P$33*(1-Assumptions!$P$35)*'Power Price Assumption'!L25*(12)-2/3*VLOOKUP(120,'EGC Start Charge Matrix'!$U$10:$AM$35,17)*(1+Assumptions!$P$52)^(L5-Brownsville!$E$5))</f>
        <v>36469.954326060964</v>
      </c>
      <c r="M15" s="253">
        <f>IF(Assumptions!$P$19=120,Assumptions!$P$33*(1-Assumptions!$P$35)*'Power Price Assumption'!M25*(12),Assumptions!$P$33*(1-Assumptions!$P$35)*'Power Price Assumption'!M25*(12)-2/3*VLOOKUP(120,'EGC Start Charge Matrix'!$U$10:$AM$35,17)*(1+Assumptions!$P$52)^(M5-Brownsville!$E$5))</f>
        <v>37564.052955842795</v>
      </c>
      <c r="N15" s="253">
        <f>IF(Assumptions!$P$19=120,Assumptions!$P$33*(1-Assumptions!$P$35)*'Power Price Assumption'!N25*(12),Assumptions!$P$33*(1-Assumptions!$P$35)*'Power Price Assumption'!N25*(12)-2/3*VLOOKUP(120,'EGC Start Charge Matrix'!$U$10:$AM$35,17)*(1+Assumptions!$P$52)^(N5-Brownsville!$E$5))</f>
        <v>38000.064284794535</v>
      </c>
      <c r="O15" s="253">
        <f>IF(Assumptions!$P$19=120,Assumptions!$P$33*(1-Assumptions!$P$35)*'Power Price Assumption'!O25*(12),Assumptions!$P$33*(1-Assumptions!$P$35)*'Power Price Assumption'!O25*(12)-2/3*VLOOKUP(120,'EGC Start Charge Matrix'!$U$10:$AM$35,17)*(1+Assumptions!$P$52)^(O5-Brownsville!$E$5))</f>
        <v>39140.066213338374</v>
      </c>
      <c r="P15" s="253">
        <f>IF(Assumptions!$P$19=120,Assumptions!$P$33*(1-Assumptions!$P$35)*'Power Price Assumption'!P25*(12),Assumptions!$P$33*(1-Assumptions!$P$35)*'Power Price Assumption'!P25*(12)-2/3*VLOOKUP(120,'EGC Start Charge Matrix'!$U$10:$AM$35,17)*(1+Assumptions!$P$52)^(P5-Brownsville!$E$5))</f>
        <v>39581.281505197825</v>
      </c>
      <c r="Q15" s="253">
        <f>IF(Assumptions!$P$19=120,Assumptions!$P$33*(1-Assumptions!$P$35)*'Power Price Assumption'!Q25*(12),Assumptions!$P$33*(1-Assumptions!$P$35)*'Power Price Assumption'!Q25*(12)-2/3*VLOOKUP(120,'EGC Start Charge Matrix'!$U$10:$AM$35,17)*(1+Assumptions!$P$52)^(Q5-Brownsville!$E$5))</f>
        <v>40768.719950353756</v>
      </c>
      <c r="R15" s="253">
        <f>IF(Assumptions!$P$19=120,Assumptions!$P$33*(1-Assumptions!$P$35)*'Power Price Assumption'!R25*(12),Assumptions!$P$33*(1-Assumptions!$P$35)*'Power Price Assumption'!R25*(12)-2/3*VLOOKUP(120,'EGC Start Charge Matrix'!$U$10:$AM$35,17)*(1+Assumptions!$P$52)^(R5-Brownsville!$E$5))</f>
        <v>41214.155964626145</v>
      </c>
      <c r="S15" s="253">
        <f>IF(Assumptions!$P$19=120,Assumptions!$P$33*(1-Assumptions!$P$35)*'Power Price Assumption'!S25*(12),Assumptions!$P$33*(1-Assumptions!$P$35)*'Power Price Assumption'!S25*(12)-2/3*VLOOKUP(120,'EGC Start Charge Matrix'!$U$10:$AM$35,17)*(1+Assumptions!$P$52)^(S5-Brownsville!$E$5))</f>
        <v>41649.626291799548</v>
      </c>
      <c r="T15" s="253">
        <f>IF(Assumptions!$P$19=120,Assumptions!$P$33*(1-Assumptions!$P$35)*'Power Price Assumption'!T25*(12),Assumptions!$P$33*(1-Assumptions!$P$35)*'Power Price Assumption'!T25*(12)-2/3*VLOOKUP(120,'EGC Start Charge Matrix'!$U$10:$AM$35,17)*(1+Assumptions!$P$52)^(T5-Brownsville!$E$5))</f>
        <v>42074.132098235197</v>
      </c>
      <c r="U15" s="253">
        <f>IF(Assumptions!$P$19=120,Assumptions!$P$33*(1-Assumptions!$P$35)*'Power Price Assumption'!U25*(12),Assumptions!$P$33*(1-Assumptions!$P$35)*'Power Price Assumption'!U25*(12)-2/3*VLOOKUP(120,'EGC Start Charge Matrix'!$U$10:$AM$35,17)*(1+Assumptions!$P$52)^(U5-Brownsville!$E$5))</f>
        <v>42486.623589394367</v>
      </c>
      <c r="V15" s="253">
        <f>IF(Assumptions!$P$19=120,Assumptions!$P$33*(1-Assumptions!$P$35)*'Power Price Assumption'!V25*(12),Assumptions!$P$33*(1-Assumptions!$P$35)*'Power Price Assumption'!V25*(12)-2/3*VLOOKUP(120,'EGC Start Charge Matrix'!$U$10:$AM$35,17)*(1+Assumptions!$P$52)^(V5-Brownsville!$E$5))</f>
        <v>42885.997851134671</v>
      </c>
      <c r="W15" s="253">
        <f>IF(Assumptions!$P$19=120,Assumptions!$P$33*(1-Assumptions!$P$35)*'Power Price Assumption'!W25*(12),Assumptions!$P$33*(1-Assumptions!$P$35)*'Power Price Assumption'!W25*(12)-2/3*VLOOKUP(120,'EGC Start Charge Matrix'!$U$10:$AM$35,17)*(1+Assumptions!$P$52)^(W5-Brownsville!$E$5))</f>
        <v>43271.096607348947</v>
      </c>
      <c r="X15" s="253">
        <f>IF(Assumptions!$P$19=120,Assumptions!$P$33*(1-Assumptions!$P$35)*'Power Price Assumption'!X25*(12),Assumptions!$P$33*(1-Assumptions!$P$35)*'Power Price Assumption'!X25*(12)-2/3*VLOOKUP(120,'EGC Start Charge Matrix'!$U$10:$AM$35,17)*(1+Assumptions!$P$52)^(X5-Brownsville!$E$5))</f>
        <v>43640.703890870049</v>
      </c>
      <c r="Y15" s="253">
        <f>IF(Assumptions!$P$19=120,Assumptions!$P$33*(1-Assumptions!$P$35)*'Power Price Assumption'!Y25*(12),Assumptions!$P$33*(1-Assumptions!$P$35)*'Power Price Assumption'!Y25*(12)-2/3*VLOOKUP(120,'EGC Start Charge Matrix'!$U$10:$AM$35,17)*(1+Assumptions!$P$52)^(Y5-Brownsville!$E$5))</f>
        <v>43993.543624455793</v>
      </c>
      <c r="Z15" s="253">
        <f>IF(Assumptions!$P$19=120,Assumptions!$P$33*(1-Assumptions!$P$35)*'Power Price Assumption'!Z25*(12),Assumptions!$P$33*(1-Assumptions!$P$35)*'Power Price Assumption'!Z25*(12)-2/3*VLOOKUP(120,'EGC Start Charge Matrix'!$U$10:$AM$35,17)*(1+Assumptions!$P$52)^(Z5-Brownsville!$E$5))</f>
        <v>44328.277108554918</v>
      </c>
      <c r="AA15" s="140"/>
      <c r="AB15" s="140"/>
      <c r="AC15" s="140"/>
    </row>
    <row r="16" spans="1:29">
      <c r="A16" s="4" t="s">
        <v>171</v>
      </c>
      <c r="B16" s="12"/>
      <c r="C16" s="12"/>
      <c r="D16" s="12"/>
      <c r="E16" s="253">
        <v>0</v>
      </c>
      <c r="F16" s="253">
        <v>0</v>
      </c>
      <c r="G16" s="253">
        <v>0</v>
      </c>
      <c r="H16" s="253">
        <v>0</v>
      </c>
      <c r="I16" s="253">
        <f>(Assumptions!$P$26*Assumptions!$P$34/1000)*(1+Assumptions!$P$39)^(I5-$E$5)+$F$12*(1+Assumptions!$P$39)^(I5-$F$5)*1/3</f>
        <v>1723.6743434108257</v>
      </c>
      <c r="J16" s="253">
        <f>(Assumptions!$P$26*Assumptions!$P$34/1000)*(1+Assumptions!$P$39)^(J5-$E$5)+$F$12*(1+Assumptions!$P$39)^(J5-$F$5)*1/3</f>
        <v>1775.3845737131505</v>
      </c>
      <c r="K16" s="253">
        <f>J16*(1+Assumptions!$P$39)</f>
        <v>1828.6461109245452</v>
      </c>
      <c r="L16" s="253">
        <f>K16*(1+Assumptions!$P$39)</f>
        <v>1883.5054942522816</v>
      </c>
      <c r="M16" s="253">
        <f>L16*(1+Assumptions!$P$39)</f>
        <v>1940.01065907985</v>
      </c>
      <c r="N16" s="253">
        <f>M16*(1+Assumptions!$P$39)</f>
        <v>1998.2109788522455</v>
      </c>
      <c r="O16" s="253">
        <f>N16*(1+Assumptions!$P$39)</f>
        <v>2058.1573082178129</v>
      </c>
      <c r="P16" s="253">
        <f>O16*(1+Assumptions!$P$39)</f>
        <v>2119.9020274643472</v>
      </c>
      <c r="Q16" s="253">
        <f>P16*(1+Assumptions!$P$39)</f>
        <v>2183.4990882882776</v>
      </c>
      <c r="R16" s="253">
        <f>Q16*(1+Assumptions!$P$39)</f>
        <v>2249.0040609369257</v>
      </c>
      <c r="S16" s="253">
        <f>R16*(1+Assumptions!$P$39)</f>
        <v>2316.4741827650337</v>
      </c>
      <c r="T16" s="253">
        <f>S16*(1+Assumptions!$P$39)</f>
        <v>2385.9684082479848</v>
      </c>
      <c r="U16" s="253">
        <f>T16*(1+Assumptions!$P$39)</f>
        <v>2457.5474604954243</v>
      </c>
      <c r="V16" s="253">
        <f>U16*(1+Assumptions!$P$39)</f>
        <v>2531.273884310287</v>
      </c>
      <c r="W16" s="253">
        <f>V16*(1+Assumptions!$P$39)</f>
        <v>2607.2121008395957</v>
      </c>
      <c r="X16" s="253">
        <f>W16*(1+Assumptions!$P$39)</f>
        <v>2685.4284638647837</v>
      </c>
      <c r="Y16" s="253">
        <f>X16*(1+Assumptions!$P$39)</f>
        <v>2765.9913177807271</v>
      </c>
      <c r="Z16" s="253">
        <f>Y16*(1+Assumptions!$P$39)</f>
        <v>2848.9710573141488</v>
      </c>
      <c r="AA16" s="140"/>
      <c r="AB16" s="140"/>
      <c r="AC16" s="140"/>
    </row>
    <row r="17" spans="1:29">
      <c r="A17" s="4" t="s">
        <v>172</v>
      </c>
      <c r="B17" s="12"/>
      <c r="C17" s="12"/>
      <c r="D17" s="12"/>
      <c r="E17" s="253">
        <v>0</v>
      </c>
      <c r="F17" s="253">
        <v>0</v>
      </c>
      <c r="G17" s="253">
        <v>0</v>
      </c>
      <c r="H17" s="253">
        <v>0</v>
      </c>
      <c r="I17" s="253">
        <f>Assumptions!$P$33*Assumptions!$P$35*Assumptions!$P$36*Assumptions!$P$14/1000</f>
        <v>12.590255999999998</v>
      </c>
      <c r="J17" s="253">
        <f>Assumptions!$P$33*Assumptions!$P$35*Assumptions!$P$36*Assumptions!$P$14/1000</f>
        <v>12.590255999999998</v>
      </c>
      <c r="K17" s="253">
        <f>Assumptions!$P$33*Assumptions!$P$35*Assumptions!$P$36*Assumptions!$P$14/1000</f>
        <v>12.590255999999998</v>
      </c>
      <c r="L17" s="253">
        <f>Assumptions!$P$33*Assumptions!$P$35*Assumptions!$P$36*Assumptions!$P$14/1000</f>
        <v>12.590255999999998</v>
      </c>
      <c r="M17" s="253">
        <f>Assumptions!$P$33*Assumptions!$P$35*Assumptions!$P$36*Assumptions!$P$14/1000</f>
        <v>12.590255999999998</v>
      </c>
      <c r="N17" s="253">
        <f>Assumptions!$P$33*Assumptions!$P$35*Assumptions!$P$36*Assumptions!$P$14/1000</f>
        <v>12.590255999999998</v>
      </c>
      <c r="O17" s="253">
        <f>Assumptions!$P$33*Assumptions!$P$35*Assumptions!$P$36*Assumptions!$P$14/1000</f>
        <v>12.590255999999998</v>
      </c>
      <c r="P17" s="253">
        <f>Assumptions!$P$33*Assumptions!$P$35*Assumptions!$P$36*Assumptions!$P$14/1000</f>
        <v>12.590255999999998</v>
      </c>
      <c r="Q17" s="253">
        <f>Assumptions!$P$33*Assumptions!$P$35*Assumptions!$P$36*Assumptions!$P$14/1000</f>
        <v>12.590255999999998</v>
      </c>
      <c r="R17" s="253">
        <f>Assumptions!$P$33*Assumptions!$P$35*Assumptions!$P$36*Assumptions!$P$14/1000</f>
        <v>12.590255999999998</v>
      </c>
      <c r="S17" s="253">
        <f>Assumptions!$P$33*Assumptions!$P$35*Assumptions!$P$36*Assumptions!$P$14/1000</f>
        <v>12.590255999999998</v>
      </c>
      <c r="T17" s="253">
        <f>Assumptions!$P$33*Assumptions!$P$35*Assumptions!$P$36*Assumptions!$P$14/1000</f>
        <v>12.590255999999998</v>
      </c>
      <c r="U17" s="253">
        <f>Assumptions!$P$33*Assumptions!$P$35*Assumptions!$P$36*Assumptions!$P$14/1000</f>
        <v>12.590255999999998</v>
      </c>
      <c r="V17" s="253">
        <f>Assumptions!$P$33*Assumptions!$P$35*Assumptions!$P$36*Assumptions!$P$14/1000</f>
        <v>12.590255999999998</v>
      </c>
      <c r="W17" s="253">
        <f>Assumptions!$P$33*Assumptions!$P$35*Assumptions!$P$36*Assumptions!$P$14/1000</f>
        <v>12.590255999999998</v>
      </c>
      <c r="X17" s="253">
        <f>Assumptions!$P$33*Assumptions!$P$35*Assumptions!$P$36*Assumptions!$P$14/1000</f>
        <v>12.590255999999998</v>
      </c>
      <c r="Y17" s="253">
        <f>Assumptions!$P$33*Assumptions!$P$35*Assumptions!$P$36*Assumptions!$P$14/1000</f>
        <v>12.590255999999998</v>
      </c>
      <c r="Z17" s="253">
        <f>Assumptions!$P$33*Assumptions!$P$35*Assumptions!$P$36*Assumptions!$P$14/1000</f>
        <v>12.590255999999998</v>
      </c>
      <c r="AA17" s="140"/>
      <c r="AB17" s="140"/>
      <c r="AC17" s="140"/>
    </row>
    <row r="18" spans="1:29">
      <c r="A18" s="8"/>
      <c r="B18" s="12"/>
      <c r="C18" s="12"/>
      <c r="D18" s="12"/>
      <c r="E18" s="12"/>
      <c r="AA18" s="140"/>
      <c r="AB18" s="140"/>
      <c r="AC18" s="140"/>
    </row>
    <row r="19" spans="1:29">
      <c r="A19" s="4" t="s">
        <v>173</v>
      </c>
      <c r="B19" s="12"/>
      <c r="C19" s="12"/>
      <c r="D19" s="12"/>
      <c r="E19" s="254">
        <f>(SUM(E10:E17)-SUM(E25:E35))*Assumptions!$B$34/4</f>
        <v>0</v>
      </c>
      <c r="F19" s="254">
        <f ca="1">(SUM(F10:F17)-SUM(F25:F35))*Assumptions!$B$34/4</f>
        <v>133.87441302044979</v>
      </c>
      <c r="G19" s="254">
        <f>(SUM(G10:G17)-SUM(G25:G35))*Assumptions!$B$34/4</f>
        <v>271.44875096520389</v>
      </c>
      <c r="H19" s="254">
        <f>(SUM(H10:H17)-SUM(H25:H35))*Assumptions!$B$34/4</f>
        <v>270.64251648570666</v>
      </c>
      <c r="I19" s="254">
        <f>(SUM(I10:I17)-SUM(I25:I35))*Assumptions!$B$34/4</f>
        <v>376.53905789178509</v>
      </c>
      <c r="J19" s="254">
        <f>(SUM(J10:J17)-SUM(J25:J35))*Assumptions!$B$34/4</f>
        <v>380.36030274699823</v>
      </c>
      <c r="K19" s="254">
        <f>(SUM(K10:K17)-SUM(K25:K35))*Assumptions!$B$34/4</f>
        <v>384.0659856414789</v>
      </c>
      <c r="L19" s="254">
        <f>(SUM(L10:L17)-SUM(L25:L35))*Assumptions!$B$34/4</f>
        <v>387.6457337372139</v>
      </c>
      <c r="M19" s="254">
        <f>(SUM(M10:M17)-SUM(M25:M35))*Assumptions!$B$34/4</f>
        <v>399.4734890807452</v>
      </c>
      <c r="N19" s="254">
        <f>(SUM(N10:N17)-SUM(N25:N35))*Assumptions!$B$34/4</f>
        <v>403.01969883803804</v>
      </c>
      <c r="O19" s="254">
        <f>(SUM(O10:O17)-SUM(O25:O35))*Assumptions!$B$34/4</f>
        <v>415.30867313459407</v>
      </c>
      <c r="P19" s="254">
        <f>(SUM(P10:P17)-SUM(P25:P35))*Assumptions!$B$34/4</f>
        <v>419.29415237748208</v>
      </c>
      <c r="Q19" s="254">
        <f>(SUM(Q10:Q17)-SUM(Q25:Q35))*Assumptions!$B$34/4</f>
        <v>432.20545163055431</v>
      </c>
      <c r="R19" s="254">
        <f>(SUM(R10:R17)-SUM(R25:R35))*Assumptions!$B$34/4</f>
        <v>435.63860419214518</v>
      </c>
      <c r="S19" s="254">
        <f>(SUM(S10:S17)-SUM(S25:S35))*Assumptions!$B$34/4</f>
        <v>438.94079923537521</v>
      </c>
      <c r="T19" s="254">
        <f>(SUM(T10:T17)-SUM(T25:T35))*Assumptions!$B$34/4</f>
        <v>442.04022410564204</v>
      </c>
      <c r="U19" s="254">
        <f>(SUM(U10:U17)-SUM(U25:U35))*Assumptions!$B$34/4</f>
        <v>444.88673846936683</v>
      </c>
      <c r="V19" s="254">
        <f>(SUM(V10:V17)-SUM(V25:V35))*Assumptions!$B$34/4</f>
        <v>447.64331347118264</v>
      </c>
      <c r="W19" s="254">
        <f>(SUM(W10:W17)-SUM(W25:W35))*Assumptions!$B$34/4</f>
        <v>450.2401506354887</v>
      </c>
      <c r="X19" s="254">
        <f>(SUM(X10:X17)-SUM(X25:X35))*Assumptions!$B$34/4</f>
        <v>452.75320041780253</v>
      </c>
      <c r="Y19" s="254">
        <f>(SUM(Y10:Y17)-SUM(Y25:Y35))*Assumptions!$B$34/4</f>
        <v>454.9681402453657</v>
      </c>
      <c r="Z19" s="254">
        <f>(SUM(Z10:Z17)-SUM(Z25:Z35))*Assumptions!$B$34/4</f>
        <v>455.88248657484195</v>
      </c>
      <c r="AA19" s="140"/>
      <c r="AB19" s="140"/>
      <c r="AC19" s="140"/>
    </row>
    <row r="20" spans="1:29">
      <c r="A20" s="4" t="s">
        <v>174</v>
      </c>
      <c r="B20" s="12"/>
      <c r="C20" s="12"/>
      <c r="D20" s="12"/>
      <c r="E20" s="253">
        <f t="shared" ref="E20:Z20" si="1">SUM(E10:E19)</f>
        <v>0</v>
      </c>
      <c r="F20" s="253">
        <f t="shared" ca="1" si="1"/>
        <v>15506.220803020449</v>
      </c>
      <c r="G20" s="253">
        <f t="shared" si="1"/>
        <v>27977.765532665202</v>
      </c>
      <c r="H20" s="253">
        <f t="shared" si="1"/>
        <v>28073.748801636706</v>
      </c>
      <c r="I20" s="253">
        <f t="shared" si="1"/>
        <v>37275.933953563988</v>
      </c>
      <c r="J20" s="253">
        <f t="shared" si="1"/>
        <v>37772.494520572945</v>
      </c>
      <c r="K20" s="253">
        <f t="shared" si="1"/>
        <v>38265.305760774674</v>
      </c>
      <c r="L20" s="253">
        <f t="shared" si="1"/>
        <v>38753.695810050463</v>
      </c>
      <c r="M20" s="253">
        <f t="shared" si="1"/>
        <v>39916.127360003396</v>
      </c>
      <c r="N20" s="253">
        <f t="shared" si="1"/>
        <v>40413.885218484822</v>
      </c>
      <c r="O20" s="253">
        <f t="shared" si="1"/>
        <v>41626.122450690789</v>
      </c>
      <c r="P20" s="253">
        <f t="shared" si="1"/>
        <v>42133.067941039655</v>
      </c>
      <c r="Q20" s="253">
        <f t="shared" si="1"/>
        <v>43397.014746272587</v>
      </c>
      <c r="R20" s="253">
        <f t="shared" si="1"/>
        <v>43911.388885755216</v>
      </c>
      <c r="S20" s="253">
        <f t="shared" si="1"/>
        <v>44417.631529799961</v>
      </c>
      <c r="T20" s="253">
        <f t="shared" si="1"/>
        <v>44914.730986588831</v>
      </c>
      <c r="U20" s="253">
        <f t="shared" si="1"/>
        <v>45401.648044359157</v>
      </c>
      <c r="V20" s="253">
        <f t="shared" si="1"/>
        <v>45877.505304916143</v>
      </c>
      <c r="W20" s="253">
        <f t="shared" si="1"/>
        <v>46341.139114824036</v>
      </c>
      <c r="X20" s="253">
        <f t="shared" si="1"/>
        <v>46791.475811152632</v>
      </c>
      <c r="Y20" s="253">
        <f t="shared" si="1"/>
        <v>47227.093338481885</v>
      </c>
      <c r="Z20" s="253">
        <f t="shared" si="1"/>
        <v>47645.720908443909</v>
      </c>
      <c r="AA20" s="140"/>
      <c r="AB20" s="140"/>
      <c r="AC20" s="140"/>
    </row>
    <row r="21" spans="1:29">
      <c r="A21" s="4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C21" s="141"/>
    </row>
    <row r="22" spans="1:29" s="146" customFormat="1" ht="12" customHeight="1">
      <c r="A22" s="5"/>
      <c r="B22" s="5"/>
      <c r="C22" s="5"/>
      <c r="D22" s="5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9">
      <c r="A23" s="1" t="s">
        <v>175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9">
      <c r="A24" s="4" t="s">
        <v>176</v>
      </c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29">
      <c r="A25" s="4" t="s">
        <v>128</v>
      </c>
      <c r="E25" s="253">
        <v>0</v>
      </c>
      <c r="F25" s="253">
        <f>Assumptions!$P56*Assumptions!P53/12*(1+Assumptions!$P$52)</f>
        <v>513.45500000000004</v>
      </c>
      <c r="G25" s="253">
        <f>Assumptions!$P56*(1+Assumptions!$P$52)^2</f>
        <v>1057.7173</v>
      </c>
      <c r="H25" s="187">
        <f>G25*(1+Assumptions!$P$52)</f>
        <v>1089.448819</v>
      </c>
      <c r="I25" s="187">
        <f>H25*(1+Assumptions!$P$52)</f>
        <v>1122.13228357</v>
      </c>
      <c r="J25" s="187">
        <f>I25*(1+Assumptions!$P$52)</f>
        <v>1155.7962520771</v>
      </c>
      <c r="K25" s="187">
        <f>J25*(1+Assumptions!$P$52)</f>
        <v>1190.470139639413</v>
      </c>
      <c r="L25" s="187">
        <f>K25*(1+Assumptions!$P$52)</f>
        <v>1226.1842438285953</v>
      </c>
      <c r="M25" s="187">
        <f>L25*(1+Assumptions!$P$52)</f>
        <v>1262.9697711434533</v>
      </c>
      <c r="N25" s="187">
        <f>M25*(1+Assumptions!$P$52)</f>
        <v>1300.858864277757</v>
      </c>
      <c r="O25" s="187">
        <f>N25*(1+Assumptions!$P$52)</f>
        <v>1339.8846302060897</v>
      </c>
      <c r="P25" s="187">
        <f>O25*(1+Assumptions!$P$52)</f>
        <v>1380.0811691122724</v>
      </c>
      <c r="Q25" s="187">
        <f>P25*(1+Assumptions!$P$52)</f>
        <v>1421.4836041856406</v>
      </c>
      <c r="R25" s="187">
        <f>Q25*(1+Assumptions!$P$52)</f>
        <v>1464.1281123112099</v>
      </c>
      <c r="S25" s="187">
        <f>R25*(1+Assumptions!$P$52)</f>
        <v>1508.0519556805461</v>
      </c>
      <c r="T25" s="187">
        <f>S25*(1+Assumptions!$P$52)</f>
        <v>1553.2935143509626</v>
      </c>
      <c r="U25" s="187">
        <f>T25*(1+Assumptions!$P$52)</f>
        <v>1599.8923197814916</v>
      </c>
      <c r="V25" s="187">
        <f>U25*(1+Assumptions!$P$52)</f>
        <v>1647.8890893749362</v>
      </c>
      <c r="W25" s="187">
        <f>V25*(1+Assumptions!$P$52)</f>
        <v>1697.3257620561844</v>
      </c>
      <c r="X25" s="187">
        <f>W25*(1+Assumptions!$P$52)</f>
        <v>1748.2455349178699</v>
      </c>
      <c r="Y25" s="187">
        <f>X25*(1+Assumptions!$P$52)</f>
        <v>1800.6929009654061</v>
      </c>
      <c r="Z25" s="187">
        <f>Y25*(1+Assumptions!$P$52)</f>
        <v>1854.7136879943685</v>
      </c>
    </row>
    <row r="26" spans="1:29">
      <c r="A26" s="4" t="s">
        <v>177</v>
      </c>
      <c r="E26" s="253">
        <v>0</v>
      </c>
      <c r="F26" s="253">
        <f>Assumptions!$P59*(1+Assumptions!$P$52)</f>
        <v>767.01319000000001</v>
      </c>
      <c r="G26" s="253">
        <f>F26*(1+Assumptions!$P$52)</f>
        <v>790.02358570000001</v>
      </c>
      <c r="H26" s="187">
        <f>G26*(1+Assumptions!$P$52)</f>
        <v>813.72429327100008</v>
      </c>
      <c r="I26" s="253">
        <f>Assumptions!$P$60*(1+Assumptions!$P$52)^(I5-$E$5)</f>
        <v>862.11985953202566</v>
      </c>
      <c r="J26" s="253">
        <f>Assumptions!$P$60*(1+Assumptions!$P$52)^(J5-$E$5)</f>
        <v>887.98345531798645</v>
      </c>
      <c r="K26" s="187">
        <f>J26*(1+Assumptions!$P$52)</f>
        <v>914.62295897752608</v>
      </c>
      <c r="L26" s="187">
        <f>K26*(1+Assumptions!$P$52)</f>
        <v>942.06164774685192</v>
      </c>
      <c r="M26" s="187">
        <f>L26*(1+Assumptions!$P$52)</f>
        <v>970.32349717925752</v>
      </c>
      <c r="N26" s="187">
        <f>M26*(1+Assumptions!$P$52)</f>
        <v>999.43320209463525</v>
      </c>
      <c r="O26" s="187">
        <f>N26*(1+Assumptions!$P$52)</f>
        <v>1029.4161981574744</v>
      </c>
      <c r="P26" s="187">
        <f>O26*(1+Assumptions!$P$52)</f>
        <v>1060.2986841021986</v>
      </c>
      <c r="Q26" s="187">
        <f>P26*(1+Assumptions!$P$52)</f>
        <v>1092.1076446252646</v>
      </c>
      <c r="R26" s="187">
        <f>Q26*(1+Assumptions!$P$52)</f>
        <v>1124.8708739640226</v>
      </c>
      <c r="S26" s="187">
        <f>R26*(1+Assumptions!$P$52)</f>
        <v>1158.6170001829432</v>
      </c>
      <c r="T26" s="187">
        <f>S26*(1+Assumptions!$P$52)</f>
        <v>1193.3755101884315</v>
      </c>
      <c r="U26" s="187">
        <f>T26*(1+Assumptions!$P$52)</f>
        <v>1229.1767754940845</v>
      </c>
      <c r="V26" s="187">
        <f>U26*(1+Assumptions!$P$52)</f>
        <v>1266.0520787589071</v>
      </c>
      <c r="W26" s="187">
        <f>V26*(1+Assumptions!$P$52)</f>
        <v>1304.0336411216742</v>
      </c>
      <c r="X26" s="187">
        <f>W26*(1+Assumptions!$P$52)</f>
        <v>1343.1546503553245</v>
      </c>
      <c r="Y26" s="187">
        <f>X26*(1+Assumptions!$P$52)</f>
        <v>1383.4492898659844</v>
      </c>
      <c r="Z26" s="187">
        <f>Y26*(1+Assumptions!$P$52)</f>
        <v>1424.9527685619639</v>
      </c>
    </row>
    <row r="27" spans="1:29">
      <c r="A27" s="4" t="s">
        <v>131</v>
      </c>
      <c r="E27" s="253">
        <v>0</v>
      </c>
      <c r="F27" s="253">
        <f>VLOOKUP(Assumptions!P19,'EGC Start Charge Matrix'!$U$10:$AM$35,17)*(1+Assumptions!$P$52)</f>
        <v>2365.3332</v>
      </c>
      <c r="G27" s="253">
        <f>F27*(1+Assumptions!$P$52)</f>
        <v>2436.2931960000001</v>
      </c>
      <c r="H27" s="253">
        <f>G27*(1+Assumptions!$P$52)</f>
        <v>2509.38199188</v>
      </c>
      <c r="I27" s="253">
        <f>H27*(1+Assumptions!$P$52)</f>
        <v>2584.6634516364002</v>
      </c>
      <c r="J27" s="253">
        <f>I27*(1+Assumptions!$P$52)</f>
        <v>2662.2033551854925</v>
      </c>
      <c r="K27" s="253">
        <f>J27*(1+Assumptions!$P$52)</f>
        <v>2742.0694558410573</v>
      </c>
      <c r="L27" s="253">
        <f>K27*(1+Assumptions!$P$52)</f>
        <v>2824.331539516289</v>
      </c>
      <c r="M27" s="253">
        <f>L27*(1+Assumptions!$P$52)</f>
        <v>2909.0614857017777</v>
      </c>
      <c r="N27" s="253">
        <f>M27*(1+Assumptions!$P$52)</f>
        <v>2996.3333302728311</v>
      </c>
      <c r="O27" s="253">
        <f>N27*(1+Assumptions!$P$52)</f>
        <v>3086.2233301810161</v>
      </c>
      <c r="P27" s="253">
        <f>O27*(1+Assumptions!$P$52)</f>
        <v>3178.8100300864467</v>
      </c>
      <c r="Q27" s="253">
        <f>P27*(1+Assumptions!$P$52)</f>
        <v>3274.1743309890403</v>
      </c>
      <c r="R27" s="253">
        <f>Q27*(1+Assumptions!$P$52)</f>
        <v>3372.3995609187118</v>
      </c>
      <c r="S27" s="253">
        <f>R27*(1+Assumptions!$P$52)</f>
        <v>3473.5715477462732</v>
      </c>
      <c r="T27" s="253">
        <f>S27*(1+Assumptions!$P$52)</f>
        <v>3577.7786941786612</v>
      </c>
      <c r="U27" s="253">
        <f>T27*(1+Assumptions!$P$52)</f>
        <v>3685.1120550040209</v>
      </c>
      <c r="V27" s="253">
        <f>U27*(1+Assumptions!$P$52)</f>
        <v>3795.6654166541416</v>
      </c>
      <c r="W27" s="253">
        <f>V27*(1+Assumptions!$P$52)</f>
        <v>3909.5353791537659</v>
      </c>
      <c r="X27" s="253">
        <f>W27*(1+Assumptions!$P$52)</f>
        <v>4026.8214405283788</v>
      </c>
      <c r="Y27" s="253">
        <f>X27*(1+Assumptions!$P$52)</f>
        <v>4147.6260837442305</v>
      </c>
      <c r="Z27" s="253">
        <f>Y27*(1+Assumptions!$P$52)</f>
        <v>4272.0548662565579</v>
      </c>
    </row>
    <row r="28" spans="1:29">
      <c r="A28" s="4" t="s">
        <v>133</v>
      </c>
      <c r="E28" s="253">
        <v>0</v>
      </c>
      <c r="F28" s="253">
        <f>Assumptions!$P62*Assumptions!P53/12*(1+Assumptions!$P$52)</f>
        <v>137.505</v>
      </c>
      <c r="G28" s="253">
        <f>Assumptions!$P62*(1+Assumptions!$P$52)^2</f>
        <v>283.26029999999997</v>
      </c>
      <c r="H28" s="187">
        <f>G28*(1+Assumptions!$P$52)</f>
        <v>291.75810899999999</v>
      </c>
      <c r="I28" s="253">
        <f>H28*(1+Assumptions!$P$52)</f>
        <v>300.51085226999999</v>
      </c>
      <c r="J28" s="253">
        <f>I28*(1+Assumptions!$P$52)</f>
        <v>309.52617783810001</v>
      </c>
      <c r="K28" s="253">
        <f>J28*(1+Assumptions!$P$52)</f>
        <v>318.81196317324304</v>
      </c>
      <c r="L28" s="253">
        <f>K28*(1+Assumptions!$P$52)</f>
        <v>328.37632206844034</v>
      </c>
      <c r="M28" s="253">
        <f>L28*(1+Assumptions!$P$52)</f>
        <v>338.22761173049355</v>
      </c>
      <c r="N28" s="253">
        <f>M28*(1+Assumptions!$P$52)</f>
        <v>348.37444008240834</v>
      </c>
      <c r="O28" s="253">
        <f>N28*(1+Assumptions!$P$52)</f>
        <v>358.82567328488062</v>
      </c>
      <c r="P28" s="253">
        <f>O28*(1+Assumptions!$P$52)</f>
        <v>369.59044348342707</v>
      </c>
      <c r="Q28" s="253">
        <f>P28*(1+Assumptions!$P$52)</f>
        <v>380.67815678792988</v>
      </c>
      <c r="R28" s="253">
        <f>Q28*(1+Assumptions!$P$52)</f>
        <v>392.09850149156779</v>
      </c>
      <c r="S28" s="253">
        <f>R28*(1+Assumptions!$P$52)</f>
        <v>403.86145653631485</v>
      </c>
      <c r="T28" s="253">
        <f>S28*(1+Assumptions!$P$52)</f>
        <v>415.97730023240427</v>
      </c>
      <c r="U28" s="253">
        <f>T28*(1+Assumptions!$P$52)</f>
        <v>428.45661923937644</v>
      </c>
      <c r="V28" s="253">
        <f>U28*(1+Assumptions!$P$52)</f>
        <v>441.31031781655776</v>
      </c>
      <c r="W28" s="253">
        <f>V28*(1+Assumptions!$P$52)</f>
        <v>454.54962735105448</v>
      </c>
      <c r="X28" s="253">
        <f>W28*(1+Assumptions!$P$52)</f>
        <v>468.18611617158615</v>
      </c>
      <c r="Y28" s="253">
        <f>X28*(1+Assumptions!$P$52)</f>
        <v>482.23169965673372</v>
      </c>
      <c r="Z28" s="253">
        <f>Y28*(1+Assumptions!$P$52)</f>
        <v>496.69865064643574</v>
      </c>
    </row>
    <row r="29" spans="1:29">
      <c r="A29" s="4" t="s">
        <v>134</v>
      </c>
      <c r="E29" s="253">
        <v>0</v>
      </c>
      <c r="F29" s="253">
        <f>Assumptions!$P63*Assumptions!P53/12*(1+Assumptions!$P$52)</f>
        <v>167.375</v>
      </c>
      <c r="G29" s="253">
        <f>(Assumptions!$P63)*(1+Assumptions!$P$52)^2</f>
        <v>344.79249999999996</v>
      </c>
      <c r="H29" s="187">
        <f>G29*(1+Assumptions!$P$52)</f>
        <v>355.13627499999996</v>
      </c>
      <c r="I29" s="187">
        <f>H29*(1+Assumptions!$P$52)</f>
        <v>365.79036324999998</v>
      </c>
      <c r="J29" s="187">
        <f>I29*(1+Assumptions!$P$52)</f>
        <v>376.76407414749997</v>
      </c>
      <c r="K29" s="187">
        <f>J29*(1+Assumptions!$P$52)</f>
        <v>388.06699637192497</v>
      </c>
      <c r="L29" s="187">
        <f>K29*(1+Assumptions!$P$52)</f>
        <v>399.70900626308276</v>
      </c>
      <c r="M29" s="187">
        <f>L29*(1+Assumptions!$P$52)</f>
        <v>411.70027645097525</v>
      </c>
      <c r="N29" s="187">
        <f>M29*(1+Assumptions!$P$52)</f>
        <v>424.05128474450453</v>
      </c>
      <c r="O29" s="187">
        <f>N29*(1+Assumptions!$P$52)</f>
        <v>436.7728232868397</v>
      </c>
      <c r="P29" s="187">
        <f>O29*(1+Assumptions!$P$52)</f>
        <v>449.87600798544491</v>
      </c>
      <c r="Q29" s="187">
        <f>P29*(1+Assumptions!$P$52)</f>
        <v>463.37228822500828</v>
      </c>
      <c r="R29" s="187">
        <f>Q29*(1+Assumptions!$P$52)</f>
        <v>477.27345687175853</v>
      </c>
      <c r="S29" s="187">
        <f>R29*(1+Assumptions!$P$52)</f>
        <v>491.59166057791128</v>
      </c>
      <c r="T29" s="187">
        <f>S29*(1+Assumptions!$P$52)</f>
        <v>506.33941039524865</v>
      </c>
      <c r="U29" s="187">
        <f>T29*(1+Assumptions!$P$52)</f>
        <v>521.52959270710608</v>
      </c>
      <c r="V29" s="187">
        <f>U29*(1+Assumptions!$P$52)</f>
        <v>537.17548048831929</v>
      </c>
      <c r="W29" s="187">
        <f>V29*(1+Assumptions!$P$52)</f>
        <v>553.29074490296887</v>
      </c>
      <c r="X29" s="187">
        <f>W29*(1+Assumptions!$P$52)</f>
        <v>569.88946725005792</v>
      </c>
      <c r="Y29" s="187">
        <f>X29*(1+Assumptions!$P$52)</f>
        <v>586.98615126755965</v>
      </c>
      <c r="Z29" s="187">
        <f>Y29*(1+Assumptions!$P$52)</f>
        <v>604.5957358055864</v>
      </c>
    </row>
    <row r="30" spans="1:29">
      <c r="A30" s="4" t="s">
        <v>287</v>
      </c>
      <c r="E30" s="253">
        <v>0</v>
      </c>
      <c r="F30" s="253">
        <f>+Assumptions!P64*(1+Assumptions!$P$52)</f>
        <v>72.100000000000009</v>
      </c>
      <c r="G30" s="253">
        <f>(Assumptions!$P64)*(1+Assumptions!$P$52)^2</f>
        <v>74.262999999999991</v>
      </c>
      <c r="H30" s="253">
        <f>G30*(1+Assumptions!$P$52)</f>
        <v>76.490889999999993</v>
      </c>
      <c r="I30" s="253">
        <f>H30*(1+Assumptions!$P$52)</f>
        <v>78.785616699999991</v>
      </c>
      <c r="J30" s="253">
        <f>I30*(1+Assumptions!$P$52)</f>
        <v>81.149185200999995</v>
      </c>
      <c r="K30" s="253">
        <f>J30*(1+Assumptions!$P$52)</f>
        <v>83.583660757030003</v>
      </c>
      <c r="L30" s="253">
        <f>K30*(1+Assumptions!$P$52)</f>
        <v>86.091170579740904</v>
      </c>
      <c r="M30" s="253">
        <f>L30*(1+Assumptions!$P$52)</f>
        <v>88.673905697133137</v>
      </c>
      <c r="N30" s="253">
        <f>M30*(1+Assumptions!$P$52)</f>
        <v>91.334122868047132</v>
      </c>
      <c r="O30" s="253">
        <f>N30*(1+Assumptions!$P$52)</f>
        <v>94.074146554088543</v>
      </c>
      <c r="P30" s="253">
        <f>O30*(1+Assumptions!$P$52)</f>
        <v>96.896370950711201</v>
      </c>
      <c r="Q30" s="253">
        <f>P30*(1+Assumptions!$P$52)</f>
        <v>99.803262079232539</v>
      </c>
      <c r="R30" s="253">
        <f>Q30*(1+Assumptions!$P$52)</f>
        <v>102.79735994160951</v>
      </c>
      <c r="S30" s="253">
        <f>R30*(1+Assumptions!$P$52)</f>
        <v>105.8812807398578</v>
      </c>
      <c r="T30" s="253">
        <f>S30*(1+Assumptions!$P$52)</f>
        <v>109.05771916205353</v>
      </c>
      <c r="U30" s="253">
        <f>T30*(1+Assumptions!$P$52)</f>
        <v>112.32945073691513</v>
      </c>
      <c r="V30" s="253">
        <f>U30*(1+Assumptions!$P$52)</f>
        <v>115.69933425902259</v>
      </c>
      <c r="W30" s="253">
        <f>V30*(1+Assumptions!$P$52)</f>
        <v>119.17031428679327</v>
      </c>
      <c r="X30" s="253">
        <f>W30*(1+Assumptions!$P$52)</f>
        <v>122.74542371539707</v>
      </c>
      <c r="Y30" s="253">
        <f>X30*(1+Assumptions!$P$52)</f>
        <v>126.42778642685899</v>
      </c>
      <c r="Z30" s="253">
        <f>Y30*(1+Assumptions!$P$52)</f>
        <v>130.22062001966475</v>
      </c>
    </row>
    <row r="31" spans="1:29">
      <c r="A31" s="4" t="s">
        <v>288</v>
      </c>
      <c r="E31" s="253">
        <v>0</v>
      </c>
      <c r="F31" s="253">
        <v>235.67720700000001</v>
      </c>
      <c r="G31" s="253">
        <v>235.67720700000001</v>
      </c>
      <c r="H31" s="253">
        <v>235.67720700000001</v>
      </c>
      <c r="I31" s="253">
        <v>235.67720700000001</v>
      </c>
      <c r="J31" s="253">
        <v>235.67720700000001</v>
      </c>
      <c r="K31" s="253">
        <v>235.67720700000001</v>
      </c>
      <c r="L31" s="253">
        <v>235.67720700000001</v>
      </c>
      <c r="M31" s="253">
        <v>235.67720700000001</v>
      </c>
      <c r="N31" s="253">
        <v>235.67720700000001</v>
      </c>
      <c r="O31" s="253">
        <v>235.67720700000001</v>
      </c>
      <c r="P31" s="253">
        <v>235.67720700000001</v>
      </c>
      <c r="Q31" s="253">
        <v>235.67720700000001</v>
      </c>
      <c r="R31" s="253">
        <v>235.67720700000001</v>
      </c>
      <c r="S31" s="253">
        <v>235.67720700000001</v>
      </c>
      <c r="T31" s="253">
        <v>235.67720700000001</v>
      </c>
      <c r="U31" s="253">
        <v>235.67720700000001</v>
      </c>
      <c r="V31" s="253">
        <v>235.67720700000001</v>
      </c>
      <c r="W31" s="253">
        <v>235.67720700000001</v>
      </c>
      <c r="X31" s="253">
        <v>235.67720700000001</v>
      </c>
      <c r="Y31" s="253">
        <v>235.67720700000001</v>
      </c>
      <c r="Z31" s="253">
        <v>280.09885917985349</v>
      </c>
    </row>
    <row r="32" spans="1:29">
      <c r="A32" s="4" t="s">
        <v>289</v>
      </c>
      <c r="E32" s="253">
        <v>0</v>
      </c>
      <c r="F32" s="253">
        <f ca="1">Allocation!$I$12*IS!E31*7/12</f>
        <v>184.30239842283936</v>
      </c>
      <c r="G32" s="253">
        <f>Allocation!$I$12*IS!F31</f>
        <v>315.94696872486747</v>
      </c>
      <c r="H32" s="253">
        <f>Allocation!$I$12*IS!G31</f>
        <v>314.0714546728783</v>
      </c>
      <c r="I32" s="253">
        <f>Allocation!$I$12*IS!H31</f>
        <v>305.93526610626316</v>
      </c>
      <c r="J32" s="253">
        <f>Allocation!$I$12*IS!I31</f>
        <v>305.93526610626316</v>
      </c>
      <c r="K32" s="253">
        <f>Allocation!$I$12*IS!J31</f>
        <v>305.93526610626316</v>
      </c>
      <c r="L32" s="253">
        <f>Allocation!$I$12*IS!K31</f>
        <v>305.93526610626316</v>
      </c>
      <c r="M32" s="253">
        <f>Allocation!$I$12*IS!L31</f>
        <v>305.93526610626316</v>
      </c>
      <c r="N32" s="253">
        <f>Allocation!$I$12*IS!M31</f>
        <v>305.93526610626316</v>
      </c>
      <c r="O32" s="253">
        <f>Allocation!$I$12*IS!N31</f>
        <v>305.93526610626316</v>
      </c>
      <c r="P32" s="253">
        <f>Allocation!$I$12*IS!O31</f>
        <v>266.72171417073389</v>
      </c>
      <c r="Q32" s="253">
        <f>Allocation!$I$12*IS!P31</f>
        <v>254.81799958602798</v>
      </c>
      <c r="R32" s="253">
        <f>Allocation!$I$12*IS!Q31</f>
        <v>254.17044285144837</v>
      </c>
      <c r="S32" s="253">
        <f>Allocation!$I$12*IS!R31</f>
        <v>248.89085950435484</v>
      </c>
      <c r="T32" s="253">
        <f>Allocation!$I$12*IS!S31</f>
        <v>243.57114004470367</v>
      </c>
      <c r="U32" s="253">
        <f>Allocation!$I$12*IS!T31</f>
        <v>241.0137997437119</v>
      </c>
      <c r="V32" s="253">
        <f>Allocation!$I$12*IS!U31</f>
        <v>226.91454850571853</v>
      </c>
      <c r="W32" s="253">
        <f>Allocation!$I$12*IS!V31</f>
        <v>205.53039335747721</v>
      </c>
      <c r="X32" s="253">
        <f>Allocation!$I$12*IS!W31</f>
        <v>169.39567792889179</v>
      </c>
      <c r="Y32" s="253">
        <f>Allocation!$I$12*IS!X31</f>
        <v>134.20126845407754</v>
      </c>
      <c r="Z32" s="253">
        <f>Allocation!$I$12*IS!Y31</f>
        <v>134.20126845407754</v>
      </c>
    </row>
    <row r="33" spans="1:26">
      <c r="A33" s="4" t="s">
        <v>180</v>
      </c>
      <c r="E33" s="253">
        <v>0</v>
      </c>
      <c r="F33" s="253">
        <v>0</v>
      </c>
      <c r="G33" s="253">
        <v>0</v>
      </c>
      <c r="H33" s="253">
        <v>0</v>
      </c>
      <c r="I33" s="135">
        <f>Assumptions!$P$50*Assumptions!$P$33*12</f>
        <v>440.65895999999998</v>
      </c>
      <c r="J33" s="135">
        <f>Assumptions!$P$50*Assumptions!$P$33*12*(1+Assumptions!P52)</f>
        <v>453.87872879999998</v>
      </c>
      <c r="K33" s="135">
        <f>J33*(1+Assumptions!$P$52)</f>
        <v>467.49509066399997</v>
      </c>
      <c r="L33" s="135">
        <f>K33*(1+Assumptions!$P$52)</f>
        <v>481.51994338392001</v>
      </c>
      <c r="M33" s="135">
        <f>L33*(1+Assumptions!$P$52)</f>
        <v>495.96554168543764</v>
      </c>
      <c r="N33" s="135">
        <f>M33*(1+Assumptions!$P$52)</f>
        <v>510.84450793600081</v>
      </c>
      <c r="O33" s="135">
        <f>N33*(1+Assumptions!$P$52)</f>
        <v>526.16984317408082</v>
      </c>
      <c r="P33" s="135">
        <f>O33*(1+Assumptions!$P$52)</f>
        <v>541.95493846930322</v>
      </c>
      <c r="Q33" s="135">
        <f>P33*(1+Assumptions!$P$52)</f>
        <v>558.2135866233823</v>
      </c>
      <c r="R33" s="135">
        <f>Q33*(1+Assumptions!$P$52)</f>
        <v>574.95999422208376</v>
      </c>
      <c r="S33" s="135">
        <f>R33*(1+Assumptions!$P$52)</f>
        <v>592.20879404874631</v>
      </c>
      <c r="T33" s="135">
        <f>S33*(1+Assumptions!$P$52)</f>
        <v>609.97505787020873</v>
      </c>
      <c r="U33" s="135">
        <f>T33*(1+Assumptions!$P$52)</f>
        <v>628.274309606315</v>
      </c>
      <c r="V33" s="135">
        <f>U33*(1+Assumptions!$P$52)</f>
        <v>647.12253889450449</v>
      </c>
      <c r="W33" s="135">
        <f>V33*(1+Assumptions!$P$52)</f>
        <v>666.53621506133959</v>
      </c>
      <c r="X33" s="135">
        <f>W33*(1+Assumptions!$P$52)</f>
        <v>686.53230151317985</v>
      </c>
      <c r="Y33" s="135">
        <f>X33*(1+Assumptions!$P$52)</f>
        <v>707.12827055857531</v>
      </c>
      <c r="Z33" s="135">
        <f>Y33*(1+Assumptions!$P$52)</f>
        <v>728.34211867533259</v>
      </c>
    </row>
    <row r="34" spans="1:26">
      <c r="A34" s="4" t="s">
        <v>181</v>
      </c>
      <c r="E34" s="253">
        <v>0</v>
      </c>
      <c r="F34" s="253">
        <f>Assumptions!$P65*Assumptions!P53/12*(1+Assumptions!$P$52)</f>
        <v>90.882352941176478</v>
      </c>
      <c r="G34" s="253">
        <f>Assumptions!$P65*(1+Assumptions!$P$52)^2</f>
        <v>187.21764705882353</v>
      </c>
      <c r="H34" s="187">
        <f>G34*(1+Assumptions!$P$52)</f>
        <v>192.83417647058823</v>
      </c>
      <c r="I34" s="187">
        <f>H34*(1+Assumptions!$P$52)</f>
        <v>198.61920176470588</v>
      </c>
      <c r="J34" s="187">
        <f>I34*(1+Assumptions!$P$52)</f>
        <v>204.57777781764705</v>
      </c>
      <c r="K34" s="187">
        <f>J34*(1+Assumptions!$P$52)</f>
        <v>210.71511115217646</v>
      </c>
      <c r="L34" s="187">
        <f>K34*(1+Assumptions!$P$52)</f>
        <v>217.03656448674175</v>
      </c>
      <c r="M34" s="187">
        <f>L34*(1+Assumptions!$P$52)</f>
        <v>223.547661421344</v>
      </c>
      <c r="N34" s="187">
        <f>M34*(1+Assumptions!$P$52)</f>
        <v>230.25409126398432</v>
      </c>
      <c r="O34" s="187">
        <f>N34*(1+Assumptions!$P$52)</f>
        <v>237.16171400190385</v>
      </c>
      <c r="P34" s="187">
        <f>O34*(1+Assumptions!$P$52)</f>
        <v>244.27656542196098</v>
      </c>
      <c r="Q34" s="187">
        <f>P34*(1+Assumptions!$P$52)</f>
        <v>251.60486238461982</v>
      </c>
      <c r="R34" s="187">
        <f>Q34*(1+Assumptions!$P$52)</f>
        <v>259.15300825615844</v>
      </c>
      <c r="S34" s="187">
        <f>R34*(1+Assumptions!$P$52)</f>
        <v>266.92759850384323</v>
      </c>
      <c r="T34" s="187">
        <f>S34*(1+Assumptions!$P$52)</f>
        <v>274.93542645895855</v>
      </c>
      <c r="U34" s="187">
        <f>T34*(1+Assumptions!$P$52)</f>
        <v>283.18348925272733</v>
      </c>
      <c r="V34" s="187">
        <f>U34*(1+Assumptions!$P$52)</f>
        <v>291.67899393030916</v>
      </c>
      <c r="W34" s="187">
        <f>V34*(1+Assumptions!$P$52)</f>
        <v>300.42936374821846</v>
      </c>
      <c r="X34" s="187">
        <f>W34*(1+Assumptions!$P$52)</f>
        <v>309.44224466066504</v>
      </c>
      <c r="Y34" s="187">
        <f>X34*(1+Assumptions!$P$52)</f>
        <v>318.72551200048503</v>
      </c>
      <c r="Z34" s="187">
        <f>Y34*(1+Assumptions!$P$52)</f>
        <v>328.28727736049956</v>
      </c>
    </row>
    <row r="35" spans="1:26">
      <c r="A35" s="4" t="s">
        <v>182</v>
      </c>
      <c r="B35" s="8"/>
      <c r="C35" s="8"/>
      <c r="D35" s="8"/>
      <c r="E35" s="254">
        <v>0</v>
      </c>
      <c r="F35" s="254">
        <f>Assumptions!$P66*Assumptions!P53/12*(1+Assumptions!$P$52)</f>
        <v>128.75</v>
      </c>
      <c r="G35" s="254">
        <f>Assumptions!$P66*(1+Assumptions!$P$52)^2</f>
        <v>265.22499999999997</v>
      </c>
      <c r="H35" s="254">
        <f>G35*(1+Assumptions!$P$52)</f>
        <v>273.18174999999997</v>
      </c>
      <c r="I35" s="254">
        <f>H35*(1+Assumptions!$P$52)</f>
        <v>281.37720249999995</v>
      </c>
      <c r="J35" s="254">
        <f>I35*(1+Assumptions!$P$52)</f>
        <v>289.81851857499998</v>
      </c>
      <c r="K35" s="254">
        <f>J35*(1+Assumptions!$P$52)</f>
        <v>298.51307413224998</v>
      </c>
      <c r="L35" s="254">
        <f>K35*(1+Assumptions!$P$52)</f>
        <v>307.4684663562175</v>
      </c>
      <c r="M35" s="254">
        <f>L35*(1+Assumptions!$P$52)</f>
        <v>316.69252034690402</v>
      </c>
      <c r="N35" s="254">
        <f>M35*(1+Assumptions!$P$52)</f>
        <v>326.19329595731114</v>
      </c>
      <c r="O35" s="254">
        <f>N35*(1+Assumptions!$P$52)</f>
        <v>335.97909483603047</v>
      </c>
      <c r="P35" s="254">
        <f>O35*(1+Assumptions!$P$52)</f>
        <v>346.05846768111138</v>
      </c>
      <c r="Q35" s="254">
        <f>P35*(1+Assumptions!$P$52)</f>
        <v>356.44022171154472</v>
      </c>
      <c r="R35" s="254">
        <f>Q35*(1+Assumptions!$P$52)</f>
        <v>367.1334283628911</v>
      </c>
      <c r="S35" s="254">
        <f>R35*(1+Assumptions!$P$52)</f>
        <v>378.14743121377785</v>
      </c>
      <c r="T35" s="254">
        <f>S35*(1+Assumptions!$P$52)</f>
        <v>389.49185415019122</v>
      </c>
      <c r="U35" s="254">
        <f>T35*(1+Assumptions!$P$52)</f>
        <v>401.17660977469694</v>
      </c>
      <c r="V35" s="254">
        <f>U35*(1+Assumptions!$P$52)</f>
        <v>413.21190806793788</v>
      </c>
      <c r="W35" s="254">
        <f>V35*(1+Assumptions!$P$52)</f>
        <v>425.60826530997605</v>
      </c>
      <c r="X35" s="254">
        <f>W35*(1+Assumptions!$P$52)</f>
        <v>438.37651326927534</v>
      </c>
      <c r="Y35" s="254">
        <f>X35*(1+Assumptions!$P$52)</f>
        <v>451.52780866735361</v>
      </c>
      <c r="Z35" s="254">
        <f>Y35*(1+Assumptions!$P$52)</f>
        <v>465.07364292737424</v>
      </c>
    </row>
    <row r="36" spans="1:26">
      <c r="A36" s="4" t="s">
        <v>183</v>
      </c>
      <c r="B36" s="8"/>
      <c r="C36" s="8"/>
      <c r="D36" s="8"/>
      <c r="E36" s="253">
        <f t="shared" ref="E36:Z36" si="2">SUM(E24:E35)</f>
        <v>0</v>
      </c>
      <c r="F36" s="253">
        <f t="shared" ca="1" si="2"/>
        <v>4662.3933483640158</v>
      </c>
      <c r="G36" s="253">
        <f t="shared" si="2"/>
        <v>5990.4167044836904</v>
      </c>
      <c r="H36" s="187">
        <f t="shared" si="2"/>
        <v>6151.7049662944664</v>
      </c>
      <c r="I36" s="253">
        <f t="shared" si="2"/>
        <v>6776.2702643293951</v>
      </c>
      <c r="J36" s="253">
        <f t="shared" si="2"/>
        <v>6963.3099980660891</v>
      </c>
      <c r="K36" s="253">
        <f t="shared" si="2"/>
        <v>7155.9609238148832</v>
      </c>
      <c r="L36" s="253">
        <f t="shared" si="2"/>
        <v>7354.3913773361419</v>
      </c>
      <c r="M36" s="253">
        <f t="shared" si="2"/>
        <v>7558.7747444630386</v>
      </c>
      <c r="N36" s="253">
        <f t="shared" si="2"/>
        <v>7769.2896126037422</v>
      </c>
      <c r="O36" s="253">
        <f t="shared" si="2"/>
        <v>7986.1199267886659</v>
      </c>
      <c r="P36" s="253">
        <f t="shared" si="2"/>
        <v>8170.2415984636118</v>
      </c>
      <c r="Q36" s="253">
        <f t="shared" si="2"/>
        <v>8388.3731641976901</v>
      </c>
      <c r="R36" s="253">
        <f t="shared" si="2"/>
        <v>8624.6619461914615</v>
      </c>
      <c r="S36" s="253">
        <f t="shared" si="2"/>
        <v>8863.4267917345696</v>
      </c>
      <c r="T36" s="253">
        <f t="shared" si="2"/>
        <v>9109.4728340318234</v>
      </c>
      <c r="U36" s="253">
        <f t="shared" si="2"/>
        <v>9365.8222283404466</v>
      </c>
      <c r="V36" s="253">
        <f t="shared" si="2"/>
        <v>9618.3969137503536</v>
      </c>
      <c r="W36" s="253">
        <f t="shared" si="2"/>
        <v>9871.6869133494547</v>
      </c>
      <c r="X36" s="253">
        <f t="shared" si="2"/>
        <v>10118.466577310628</v>
      </c>
      <c r="Y36" s="253">
        <f t="shared" si="2"/>
        <v>10374.673978607263</v>
      </c>
      <c r="Z36" s="253">
        <f t="shared" si="2"/>
        <v>10719.239495881715</v>
      </c>
    </row>
    <row r="37" spans="1:26" s="146" customFormat="1" ht="9" outlineLevel="1">
      <c r="A37" s="6"/>
      <c r="B37" s="143"/>
      <c r="C37" s="143"/>
      <c r="D37" s="143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 s="5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>
      <c r="A39" s="1" t="s">
        <v>184</v>
      </c>
      <c r="B39" s="1"/>
      <c r="C39" s="1"/>
      <c r="D39" s="1"/>
      <c r="E39" s="259">
        <f t="shared" ref="E39:Z39" si="3">E20-E36</f>
        <v>0</v>
      </c>
      <c r="F39" s="259">
        <f t="shared" ca="1" si="3"/>
        <v>10843.827454656433</v>
      </c>
      <c r="G39" s="259">
        <f t="shared" si="3"/>
        <v>21987.348828181512</v>
      </c>
      <c r="H39" s="260">
        <f t="shared" si="3"/>
        <v>21922.04383534224</v>
      </c>
      <c r="I39" s="259">
        <f t="shared" si="3"/>
        <v>30499.663689234592</v>
      </c>
      <c r="J39" s="259">
        <f t="shared" si="3"/>
        <v>30809.184522506857</v>
      </c>
      <c r="K39" s="259">
        <f t="shared" si="3"/>
        <v>31109.34483695979</v>
      </c>
      <c r="L39" s="259">
        <f t="shared" si="3"/>
        <v>31399.304432714322</v>
      </c>
      <c r="M39" s="259">
        <f t="shared" si="3"/>
        <v>32357.35261554036</v>
      </c>
      <c r="N39" s="259">
        <f t="shared" si="3"/>
        <v>32644.595605881081</v>
      </c>
      <c r="O39" s="259">
        <f t="shared" si="3"/>
        <v>33640.00252390212</v>
      </c>
      <c r="P39" s="259">
        <f t="shared" si="3"/>
        <v>33962.826342576045</v>
      </c>
      <c r="Q39" s="259">
        <f t="shared" si="3"/>
        <v>35008.641582074895</v>
      </c>
      <c r="R39" s="259">
        <f t="shared" si="3"/>
        <v>35286.726939563756</v>
      </c>
      <c r="S39" s="259">
        <f t="shared" si="3"/>
        <v>35554.204738065389</v>
      </c>
      <c r="T39" s="259">
        <f t="shared" si="3"/>
        <v>35805.258152557006</v>
      </c>
      <c r="U39" s="259">
        <f t="shared" si="3"/>
        <v>36035.825816018711</v>
      </c>
      <c r="V39" s="259">
        <f t="shared" si="3"/>
        <v>36259.108391165792</v>
      </c>
      <c r="W39" s="259">
        <f t="shared" si="3"/>
        <v>36469.452201474582</v>
      </c>
      <c r="X39" s="259">
        <f t="shared" si="3"/>
        <v>36673.009233842007</v>
      </c>
      <c r="Y39" s="259">
        <f t="shared" si="3"/>
        <v>36852.419359874621</v>
      </c>
      <c r="Z39" s="259">
        <f t="shared" si="3"/>
        <v>36926.481412562192</v>
      </c>
    </row>
    <row r="40" spans="1:26" s="138" customFormat="1">
      <c r="A40" s="1"/>
      <c r="B40" s="1"/>
      <c r="C40" s="1"/>
      <c r="D40" s="1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E41" s="253">
        <v>0</v>
      </c>
      <c r="F41" s="253">
        <f>Allocation!$G$12*IS!E40</f>
        <v>5114.2349009025247</v>
      </c>
      <c r="G41" s="253">
        <f>Allocation!$G$12*IS!F40</f>
        <v>7029.4348586374672</v>
      </c>
      <c r="H41" s="253">
        <f>Allocation!$G$12*IS!G40</f>
        <v>7029.4348586374672</v>
      </c>
      <c r="I41" s="253">
        <f>Allocation!$G$12*IS!H40</f>
        <v>7029.4348586374672</v>
      </c>
      <c r="J41" s="253">
        <f>Allocation!$G$12*IS!I40</f>
        <v>7029.4348586374672</v>
      </c>
      <c r="K41" s="253">
        <f>Allocation!$G$12*IS!J40</f>
        <v>7029.4348586374672</v>
      </c>
      <c r="L41" s="253">
        <f>Allocation!$G$12*IS!K40</f>
        <v>7029.4348586374672</v>
      </c>
      <c r="M41" s="253">
        <f>Allocation!$G$12*IS!L40</f>
        <v>7029.4348586374672</v>
      </c>
      <c r="N41" s="253">
        <f>Allocation!$G$12*IS!M40</f>
        <v>7029.4348586374672</v>
      </c>
      <c r="O41" s="253">
        <f>Allocation!$G$12*IS!N40</f>
        <v>7029.4348586374672</v>
      </c>
      <c r="P41" s="253">
        <f>Allocation!$G$12*IS!O40</f>
        <v>7029.4348586374672</v>
      </c>
      <c r="Q41" s="253">
        <f>Allocation!$G$12*IS!P40</f>
        <v>7029.4348586374672</v>
      </c>
      <c r="R41" s="253">
        <f>Allocation!$G$12*IS!Q40</f>
        <v>7029.4348586374672</v>
      </c>
      <c r="S41" s="253">
        <f>Allocation!$G$12*IS!R40</f>
        <v>7029.4348586374672</v>
      </c>
      <c r="T41" s="253">
        <f>Allocation!$G$12*IS!S40</f>
        <v>7029.4348586374672</v>
      </c>
      <c r="U41" s="253">
        <f>Allocation!$G$12*IS!T40</f>
        <v>7029.4348586374672</v>
      </c>
      <c r="V41" s="253">
        <f>Allocation!$G$12*IS!U40</f>
        <v>7029.4348586374672</v>
      </c>
      <c r="W41" s="253">
        <f>Allocation!$G$12*IS!V40</f>
        <v>7029.4348586374672</v>
      </c>
      <c r="X41" s="253">
        <f>Allocation!$G$12*IS!W40</f>
        <v>7029.4348586374672</v>
      </c>
      <c r="Y41" s="253">
        <f>Allocation!$G$12*IS!X40</f>
        <v>7029.4348586374672</v>
      </c>
      <c r="Z41" s="253">
        <f>Allocation!$G$12*IS!Y40</f>
        <v>6845.4811014120332</v>
      </c>
    </row>
    <row r="42" spans="1:26">
      <c r="A42" s="4"/>
      <c r="E42" s="253"/>
      <c r="F42" s="253"/>
      <c r="G42" s="253"/>
      <c r="H42" s="187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7.5" customHeight="1">
      <c r="A43" s="4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1"/>
      <c r="E44" s="259">
        <f t="shared" ref="E44:Z44" si="4">E39-E41</f>
        <v>0</v>
      </c>
      <c r="F44" s="259">
        <f t="shared" ca="1" si="4"/>
        <v>5729.5925537539088</v>
      </c>
      <c r="G44" s="259">
        <f t="shared" si="4"/>
        <v>14957.913969544044</v>
      </c>
      <c r="H44" s="259">
        <f t="shared" si="4"/>
        <v>14892.608976704772</v>
      </c>
      <c r="I44" s="259">
        <f t="shared" si="4"/>
        <v>23470.228830597123</v>
      </c>
      <c r="J44" s="259">
        <f t="shared" si="4"/>
        <v>23779.749663869392</v>
      </c>
      <c r="K44" s="259">
        <f t="shared" si="4"/>
        <v>24079.909978322321</v>
      </c>
      <c r="L44" s="259">
        <f t="shared" si="4"/>
        <v>24369.869574076853</v>
      </c>
      <c r="M44" s="259">
        <f t="shared" si="4"/>
        <v>25327.917756902891</v>
      </c>
      <c r="N44" s="259">
        <f t="shared" si="4"/>
        <v>25615.160747243615</v>
      </c>
      <c r="O44" s="259">
        <f t="shared" si="4"/>
        <v>26610.567665264651</v>
      </c>
      <c r="P44" s="259">
        <f t="shared" si="4"/>
        <v>26933.391483938576</v>
      </c>
      <c r="Q44" s="259">
        <f t="shared" si="4"/>
        <v>27979.206723437426</v>
      </c>
      <c r="R44" s="259">
        <f t="shared" si="4"/>
        <v>28257.292080926287</v>
      </c>
      <c r="S44" s="259">
        <f t="shared" si="4"/>
        <v>28524.76987942792</v>
      </c>
      <c r="T44" s="259">
        <f t="shared" si="4"/>
        <v>28775.823293919537</v>
      </c>
      <c r="U44" s="259">
        <f t="shared" si="4"/>
        <v>29006.390957381242</v>
      </c>
      <c r="V44" s="259">
        <f t="shared" si="4"/>
        <v>29229.673532528323</v>
      </c>
      <c r="W44" s="259">
        <f t="shared" si="4"/>
        <v>29440.017342837113</v>
      </c>
      <c r="X44" s="259">
        <f t="shared" si="4"/>
        <v>29643.574375204538</v>
      </c>
      <c r="Y44" s="259">
        <f t="shared" si="4"/>
        <v>29822.984501237152</v>
      </c>
      <c r="Z44" s="259">
        <f t="shared" si="4"/>
        <v>30081.000311150157</v>
      </c>
    </row>
    <row r="45" spans="1:26" s="138" customFormat="1">
      <c r="A45" s="1"/>
      <c r="B45" s="1"/>
      <c r="C45" s="1"/>
      <c r="D45" s="1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148"/>
      <c r="E46" s="253">
        <v>0</v>
      </c>
      <c r="F46" s="156">
        <f>Allocation!$I$12*(IS!$E$44-Debt!C136)+Debt!C136*Allocation!$K$12</f>
        <v>6186.2766295453212</v>
      </c>
      <c r="G46" s="156">
        <f>Allocation!$I$12*IS!F44</f>
        <v>11350.256635379514</v>
      </c>
      <c r="H46" s="156">
        <f>Allocation!$I$12*IS!G44</f>
        <v>10975.907317583598</v>
      </c>
      <c r="I46" s="156">
        <f>Allocation!$I$12*IS!H44</f>
        <v>10607.691838235462</v>
      </c>
      <c r="J46" s="156">
        <f>Allocation!$I$12*IS!I44</f>
        <v>10365.483180215202</v>
      </c>
      <c r="K46" s="156">
        <f>Allocation!$I$12*IS!J44</f>
        <v>9957.6268849451044</v>
      </c>
      <c r="L46" s="156">
        <f>Allocation!$I$12*IS!K44</f>
        <v>9510.2284645810687</v>
      </c>
      <c r="M46" s="156">
        <f>Allocation!$I$12*IS!L44</f>
        <v>8993.3517012899101</v>
      </c>
      <c r="N46" s="156">
        <f>Allocation!$I$12*IS!M44</f>
        <v>8401.7330842438205</v>
      </c>
      <c r="O46" s="156">
        <f>Allocation!$I$12*IS!N44</f>
        <v>7683.7902073302366</v>
      </c>
      <c r="P46" s="156">
        <f>Allocation!$I$12*IS!O44</f>
        <v>7049.6153112458878</v>
      </c>
      <c r="Q46" s="156">
        <f>Allocation!$I$12*IS!P44</f>
        <v>6440.6706794924194</v>
      </c>
      <c r="R46" s="156">
        <f>Allocation!$I$12*IS!Q44</f>
        <v>5767.9444240434395</v>
      </c>
      <c r="S46" s="156">
        <f>Allocation!$I$12*IS!R44</f>
        <v>5043.1512478739241</v>
      </c>
      <c r="T46" s="156">
        <f>Allocation!$I$12*IS!S44</f>
        <v>4269.1274323588332</v>
      </c>
      <c r="U46" s="156">
        <f>Allocation!$I$12*IS!T44</f>
        <v>3430.8039755770587</v>
      </c>
      <c r="V46" s="156">
        <f>Allocation!$I$12*IS!U44</f>
        <v>2557.5805496992743</v>
      </c>
      <c r="W46" s="156">
        <f>Allocation!$I$12*IS!V44</f>
        <v>1692.3468589825336</v>
      </c>
      <c r="X46" s="156">
        <f>Allocation!$I$12*IS!W44</f>
        <v>901.64969938960633</v>
      </c>
      <c r="Y46" s="156">
        <f>Allocation!$I$12*IS!X44</f>
        <v>216.45784094291992</v>
      </c>
      <c r="Z46" s="156">
        <v>0</v>
      </c>
    </row>
    <row r="47" spans="1:26" ht="6" customHeight="1"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E49" s="259">
        <f t="shared" ref="E49:Z49" si="5">E44-E46</f>
        <v>0</v>
      </c>
      <c r="F49" s="259">
        <f ca="1">F44-F46</f>
        <v>-456.6840757914124</v>
      </c>
      <c r="G49" s="259">
        <f t="shared" si="5"/>
        <v>3607.6573341645308</v>
      </c>
      <c r="H49" s="259">
        <f t="shared" si="5"/>
        <v>3916.7016591211741</v>
      </c>
      <c r="I49" s="259">
        <f t="shared" si="5"/>
        <v>12862.536992361662</v>
      </c>
      <c r="J49" s="259">
        <f t="shared" si="5"/>
        <v>13414.26648365419</v>
      </c>
      <c r="K49" s="259">
        <f t="shared" si="5"/>
        <v>14122.283093377217</v>
      </c>
      <c r="L49" s="259">
        <f t="shared" si="5"/>
        <v>14859.641109495784</v>
      </c>
      <c r="M49" s="259">
        <f t="shared" si="5"/>
        <v>16334.566055612981</v>
      </c>
      <c r="N49" s="259">
        <f t="shared" si="5"/>
        <v>17213.427662999795</v>
      </c>
      <c r="O49" s="259">
        <f t="shared" si="5"/>
        <v>18926.777457934415</v>
      </c>
      <c r="P49" s="259">
        <f t="shared" si="5"/>
        <v>19883.776172692687</v>
      </c>
      <c r="Q49" s="259">
        <f t="shared" si="5"/>
        <v>21538.536043945009</v>
      </c>
      <c r="R49" s="259">
        <f t="shared" si="5"/>
        <v>22489.347656882848</v>
      </c>
      <c r="S49" s="259">
        <f t="shared" si="5"/>
        <v>23481.618631553996</v>
      </c>
      <c r="T49" s="259">
        <f t="shared" si="5"/>
        <v>24506.695861560704</v>
      </c>
      <c r="U49" s="259">
        <f t="shared" si="5"/>
        <v>25575.586981804183</v>
      </c>
      <c r="V49" s="259">
        <f t="shared" si="5"/>
        <v>26672.092982829046</v>
      </c>
      <c r="W49" s="259">
        <f t="shared" si="5"/>
        <v>27747.670483854577</v>
      </c>
      <c r="X49" s="259">
        <f t="shared" si="5"/>
        <v>28741.924675814931</v>
      </c>
      <c r="Y49" s="259">
        <f t="shared" si="5"/>
        <v>29606.526660294232</v>
      </c>
      <c r="Z49" s="259">
        <f t="shared" si="5"/>
        <v>30081.000311150157</v>
      </c>
    </row>
    <row r="50" spans="1:26" s="138" customFormat="1">
      <c r="A50" s="1"/>
      <c r="B50" s="1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Assumptions!$P$44</f>
        <v>8.2500000000000004E-2</v>
      </c>
      <c r="D51" s="149"/>
      <c r="E51" s="253">
        <f t="shared" ref="E51:Z51" si="6">E49*-$C$51</f>
        <v>0</v>
      </c>
      <c r="F51" s="253">
        <f t="shared" ca="1" si="6"/>
        <v>37.676436252791525</v>
      </c>
      <c r="G51" s="253">
        <f t="shared" si="6"/>
        <v>-297.6317300685738</v>
      </c>
      <c r="H51" s="187">
        <f t="shared" si="6"/>
        <v>-323.12788687749691</v>
      </c>
      <c r="I51" s="253">
        <f t="shared" si="6"/>
        <v>-1061.1593018698372</v>
      </c>
      <c r="J51" s="253">
        <f t="shared" si="6"/>
        <v>-1106.6769849014706</v>
      </c>
      <c r="K51" s="253">
        <f t="shared" si="6"/>
        <v>-1165.0883552036205</v>
      </c>
      <c r="L51" s="253">
        <f t="shared" si="6"/>
        <v>-1225.9203915334022</v>
      </c>
      <c r="M51" s="253">
        <f t="shared" si="6"/>
        <v>-1347.6016995880709</v>
      </c>
      <c r="N51" s="253">
        <f t="shared" si="6"/>
        <v>-1420.1077821974832</v>
      </c>
      <c r="O51" s="253">
        <f t="shared" si="6"/>
        <v>-1561.4591402795893</v>
      </c>
      <c r="P51" s="253">
        <f t="shared" si="6"/>
        <v>-1640.4115342471468</v>
      </c>
      <c r="Q51" s="253">
        <f t="shared" si="6"/>
        <v>-1776.9292236254632</v>
      </c>
      <c r="R51" s="253">
        <f t="shared" si="6"/>
        <v>-1855.3711816928351</v>
      </c>
      <c r="S51" s="253">
        <f t="shared" si="6"/>
        <v>-1937.2335371032048</v>
      </c>
      <c r="T51" s="253">
        <f t="shared" si="6"/>
        <v>-2021.8024085787581</v>
      </c>
      <c r="U51" s="253">
        <f t="shared" si="6"/>
        <v>-2109.9859259988452</v>
      </c>
      <c r="V51" s="253">
        <f t="shared" si="6"/>
        <v>-2200.4476710833965</v>
      </c>
      <c r="W51" s="253">
        <f t="shared" si="6"/>
        <v>-2289.1828149180028</v>
      </c>
      <c r="X51" s="253">
        <f t="shared" si="6"/>
        <v>-2371.2087857547317</v>
      </c>
      <c r="Y51" s="253">
        <f t="shared" si="6"/>
        <v>-2442.5384494742743</v>
      </c>
      <c r="Z51" s="253">
        <f t="shared" si="6"/>
        <v>-2481.682525669888</v>
      </c>
    </row>
    <row r="52" spans="1:26">
      <c r="A52" s="4" t="s">
        <v>190</v>
      </c>
      <c r="C52" s="149">
        <f>Assumptions!$P$43</f>
        <v>0.35</v>
      </c>
      <c r="D52" s="149"/>
      <c r="E52" s="228">
        <v>0</v>
      </c>
      <c r="F52" s="228">
        <f t="shared" ref="F52:Z52" ca="1" si="7">(F49+F51)*-$C$52</f>
        <v>146.6526738385173</v>
      </c>
      <c r="G52" s="228">
        <f t="shared" si="7"/>
        <v>-1158.508961433585</v>
      </c>
      <c r="H52" s="228">
        <f t="shared" si="7"/>
        <v>-1257.7508202852869</v>
      </c>
      <c r="I52" s="228">
        <f t="shared" si="7"/>
        <v>-4130.4821916721385</v>
      </c>
      <c r="J52" s="228">
        <f t="shared" si="7"/>
        <v>-4307.6563245634516</v>
      </c>
      <c r="K52" s="228">
        <f t="shared" si="7"/>
        <v>-4535.0181583607582</v>
      </c>
      <c r="L52" s="228">
        <f t="shared" si="7"/>
        <v>-4771.8022512868338</v>
      </c>
      <c r="M52" s="228">
        <f t="shared" si="7"/>
        <v>-5245.4375246087184</v>
      </c>
      <c r="N52" s="228">
        <f t="shared" si="7"/>
        <v>-5527.6619582808089</v>
      </c>
      <c r="O52" s="228">
        <f t="shared" si="7"/>
        <v>-6077.8614111791885</v>
      </c>
      <c r="P52" s="228">
        <f t="shared" si="7"/>
        <v>-6385.1776234559393</v>
      </c>
      <c r="Q52" s="228">
        <f t="shared" si="7"/>
        <v>-6916.5623871118405</v>
      </c>
      <c r="R52" s="228">
        <f t="shared" si="7"/>
        <v>-7221.8917663165048</v>
      </c>
      <c r="S52" s="228">
        <f t="shared" si="7"/>
        <v>-7540.5347830577757</v>
      </c>
      <c r="T52" s="228">
        <f t="shared" si="7"/>
        <v>-7869.7127085436805</v>
      </c>
      <c r="U52" s="228">
        <f t="shared" si="7"/>
        <v>-8212.9603695318674</v>
      </c>
      <c r="V52" s="228">
        <f t="shared" si="7"/>
        <v>-8565.075859110977</v>
      </c>
      <c r="W52" s="228">
        <f t="shared" si="7"/>
        <v>-8910.4706841278003</v>
      </c>
      <c r="X52" s="228">
        <f t="shared" si="7"/>
        <v>-9229.7505615210703</v>
      </c>
      <c r="Y52" s="228">
        <f t="shared" si="7"/>
        <v>-9507.3958737869834</v>
      </c>
      <c r="Z52" s="228">
        <f t="shared" si="7"/>
        <v>-9659.7612249180947</v>
      </c>
    </row>
    <row r="53" spans="1:26" ht="6" customHeight="1"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75">
      <c r="A54" s="106" t="s">
        <v>300</v>
      </c>
      <c r="B54" s="106"/>
      <c r="C54" s="106"/>
      <c r="D54" s="106"/>
      <c r="E54" s="261">
        <f t="shared" ref="E54:Z54" si="8">SUM(E49:E52)</f>
        <v>0</v>
      </c>
      <c r="F54" s="261">
        <f t="shared" ca="1" si="8"/>
        <v>-272.35496570010355</v>
      </c>
      <c r="G54" s="261">
        <f t="shared" si="8"/>
        <v>2151.5166426623719</v>
      </c>
      <c r="H54" s="261">
        <f t="shared" si="8"/>
        <v>2335.8229519583901</v>
      </c>
      <c r="I54" s="261">
        <f t="shared" si="8"/>
        <v>7670.8954988196865</v>
      </c>
      <c r="J54" s="261">
        <f t="shared" si="8"/>
        <v>7999.9331741892674</v>
      </c>
      <c r="K54" s="261">
        <f t="shared" si="8"/>
        <v>8422.1765798128363</v>
      </c>
      <c r="L54" s="261">
        <f t="shared" si="8"/>
        <v>8861.9184666755482</v>
      </c>
      <c r="M54" s="261">
        <f t="shared" si="8"/>
        <v>9741.5268314161913</v>
      </c>
      <c r="N54" s="261">
        <f t="shared" si="8"/>
        <v>10265.657922521503</v>
      </c>
      <c r="O54" s="261">
        <f t="shared" si="8"/>
        <v>11287.456906475638</v>
      </c>
      <c r="P54" s="261">
        <f t="shared" si="8"/>
        <v>11858.187014989602</v>
      </c>
      <c r="Q54" s="261">
        <f t="shared" si="8"/>
        <v>12845.044433207706</v>
      </c>
      <c r="R54" s="261">
        <f t="shared" si="8"/>
        <v>13412.08470887351</v>
      </c>
      <c r="S54" s="261">
        <f t="shared" si="8"/>
        <v>14003.850311393015</v>
      </c>
      <c r="T54" s="261">
        <f t="shared" si="8"/>
        <v>14615.180744438265</v>
      </c>
      <c r="U54" s="261">
        <f t="shared" si="8"/>
        <v>15252.640686273471</v>
      </c>
      <c r="V54" s="261">
        <f t="shared" si="8"/>
        <v>15906.569452634674</v>
      </c>
      <c r="W54" s="261">
        <f t="shared" si="8"/>
        <v>16548.016984808775</v>
      </c>
      <c r="X54" s="261">
        <f t="shared" si="8"/>
        <v>17140.965328539132</v>
      </c>
      <c r="Y54" s="261">
        <f t="shared" si="8"/>
        <v>17656.592337032973</v>
      </c>
      <c r="Z54" s="261">
        <f t="shared" si="8"/>
        <v>17939.556560562174</v>
      </c>
    </row>
    <row r="55" spans="1:26" s="146" customFormat="1" ht="9" outlineLevel="1">
      <c r="A55" s="5"/>
      <c r="B55" s="143">
        <f>SUM(I55:Z55)</f>
        <v>0</v>
      </c>
      <c r="C55" s="143"/>
      <c r="D55" s="143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>
      <c r="A56" s="1"/>
      <c r="F56" s="135"/>
      <c r="G56" s="135"/>
      <c r="H56" s="142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outlineLevel="1">
      <c r="A57" s="15"/>
      <c r="E57" s="135"/>
      <c r="F57" s="135"/>
      <c r="G57" s="135"/>
      <c r="H57" s="142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8.75" outlineLevel="1">
      <c r="A58" s="132" t="s">
        <v>301</v>
      </c>
      <c r="E58" s="135"/>
      <c r="F58" s="135"/>
      <c r="G58" s="135"/>
      <c r="H58" s="142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E59" s="135"/>
      <c r="F59" s="135"/>
      <c r="G59" s="135"/>
      <c r="H59" s="142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23">
        <f>Assumptions!B13</f>
        <v>0.5</v>
      </c>
      <c r="D60" s="123"/>
      <c r="E60" s="135"/>
      <c r="F60" s="135"/>
      <c r="G60" s="135"/>
      <c r="H60" s="142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E61" s="135"/>
      <c r="F61" s="135"/>
      <c r="G61" s="135"/>
      <c r="H61" s="142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5" outlineLevel="1" thickBot="1">
      <c r="A62" s="422" t="s">
        <v>164</v>
      </c>
      <c r="B62" s="2"/>
      <c r="C62" s="2"/>
      <c r="D62" s="2"/>
      <c r="E62" s="9">
        <v>1999</v>
      </c>
      <c r="F62" s="9">
        <f t="shared" ref="F62:Z62" si="9">E62+1</f>
        <v>2000</v>
      </c>
      <c r="G62" s="9">
        <f t="shared" si="9"/>
        <v>2001</v>
      </c>
      <c r="H62" s="9">
        <f t="shared" si="9"/>
        <v>2002</v>
      </c>
      <c r="I62" s="9">
        <f t="shared" si="9"/>
        <v>2003</v>
      </c>
      <c r="J62" s="9">
        <f t="shared" si="9"/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 t="shared" si="9"/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E63" s="135"/>
      <c r="F63" s="135"/>
      <c r="G63" s="135"/>
      <c r="H63" s="142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E64" s="135">
        <f t="shared" ref="E64:Z64" si="10">E39</f>
        <v>0</v>
      </c>
      <c r="F64" s="135">
        <f t="shared" ca="1" si="10"/>
        <v>10843.827454656433</v>
      </c>
      <c r="G64" s="135">
        <f t="shared" si="10"/>
        <v>21987.348828181512</v>
      </c>
      <c r="H64" s="142">
        <f t="shared" si="10"/>
        <v>21922.04383534224</v>
      </c>
      <c r="I64" s="135">
        <f t="shared" si="10"/>
        <v>30499.663689234592</v>
      </c>
      <c r="J64" s="135">
        <f t="shared" si="10"/>
        <v>30809.184522506857</v>
      </c>
      <c r="K64" s="135">
        <f t="shared" si="10"/>
        <v>31109.34483695979</v>
      </c>
      <c r="L64" s="135">
        <f t="shared" si="10"/>
        <v>31399.304432714322</v>
      </c>
      <c r="M64" s="135">
        <f t="shared" si="10"/>
        <v>32357.35261554036</v>
      </c>
      <c r="N64" s="135">
        <f t="shared" si="10"/>
        <v>32644.595605881081</v>
      </c>
      <c r="O64" s="135">
        <f t="shared" si="10"/>
        <v>33640.00252390212</v>
      </c>
      <c r="P64" s="135">
        <f t="shared" si="10"/>
        <v>33962.826342576045</v>
      </c>
      <c r="Q64" s="135">
        <f t="shared" si="10"/>
        <v>35008.641582074895</v>
      </c>
      <c r="R64" s="135">
        <f t="shared" si="10"/>
        <v>35286.726939563756</v>
      </c>
      <c r="S64" s="135">
        <f t="shared" si="10"/>
        <v>35554.204738065389</v>
      </c>
      <c r="T64" s="135">
        <f t="shared" si="10"/>
        <v>35805.258152557006</v>
      </c>
      <c r="U64" s="135">
        <f t="shared" si="10"/>
        <v>36035.825816018711</v>
      </c>
      <c r="V64" s="135">
        <f t="shared" si="10"/>
        <v>36259.108391165792</v>
      </c>
      <c r="W64" s="135">
        <f t="shared" si="10"/>
        <v>36469.452201474582</v>
      </c>
      <c r="X64" s="135">
        <f t="shared" si="10"/>
        <v>36673.009233842007</v>
      </c>
      <c r="Y64" s="135">
        <f t="shared" si="10"/>
        <v>36852.419359874621</v>
      </c>
      <c r="Z64" s="135">
        <f t="shared" si="10"/>
        <v>36926.481412562192</v>
      </c>
    </row>
    <row r="65" spans="1:26" outlineLevel="1">
      <c r="A65" s="15" t="s">
        <v>192</v>
      </c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</row>
    <row r="66" spans="1:26" ht="15" outlineLevel="1">
      <c r="A66" s="15" t="s">
        <v>193</v>
      </c>
      <c r="E66" s="486">
        <v>0</v>
      </c>
      <c r="F66" s="262">
        <f>Allocation!$I$12*(CF!$G$15+CF!$G$16-CF!$G$14)+CF!$G$14*Allocation!$K$12</f>
        <v>-5170.8423339734445</v>
      </c>
      <c r="G66" s="262">
        <f>Allocation!$I$12*(CF!H16+CF!H15)</f>
        <v>-15797.348436243372</v>
      </c>
      <c r="H66" s="262">
        <f>Allocation!$I$12*(CF!I16+CF!I15)</f>
        <v>-15703.572733643916</v>
      </c>
      <c r="I66" s="262">
        <f>Allocation!$I$12*(CF!J16+CF!J15)</f>
        <v>-13960.546539833136</v>
      </c>
      <c r="J66" s="262">
        <f>Allocation!$I$12*(CF!K16+CF!K15)</f>
        <v>-14134.928589608737</v>
      </c>
      <c r="K66" s="262">
        <f>Allocation!$I$12*(CF!L16+CF!L15)</f>
        <v>-14386.302657416432</v>
      </c>
      <c r="L66" s="262">
        <f>Allocation!$I$12*(CF!M16+CF!M15)</f>
        <v>-14479.811201629045</v>
      </c>
      <c r="M66" s="262">
        <f>Allocation!$I$12*(CF!N16+CF!N15)</f>
        <v>-14808.101570488903</v>
      </c>
      <c r="N66" s="262">
        <f>Allocation!$I$12*(CF!O16+CF!O15)</f>
        <v>-14994.03671502175</v>
      </c>
      <c r="O66" s="262">
        <f>Allocation!$I$12*(CF!P16+CF!P15)</f>
        <v>-15296.763305313158</v>
      </c>
      <c r="P66" s="262">
        <f>Allocation!$I$12*(CF!Q16+CF!Q15)</f>
        <v>-13336.085708536693</v>
      </c>
      <c r="Q66" s="262">
        <f>Allocation!$I$12*(CF!R16+CF!R15)</f>
        <v>-12740.899979301399</v>
      </c>
      <c r="R66" s="262">
        <f>Allocation!$I$12*(CF!S16+CF!S15)</f>
        <v>-12708.522142572418</v>
      </c>
      <c r="S66" s="262">
        <f>Allocation!$I$12*(CF!T16+CF!T15)</f>
        <v>-12444.542975217742</v>
      </c>
      <c r="T66" s="262">
        <f>Allocation!$I$12*(CF!U16+CF!U15)</f>
        <v>-12178.557002235182</v>
      </c>
      <c r="U66" s="262">
        <f>Allocation!$I$12*(CF!V16+CF!V15)</f>
        <v>-12050.689987185595</v>
      </c>
      <c r="V66" s="262">
        <f>Allocation!$I$12*(CF!W16+CF!W15)</f>
        <v>-11345.727425285928</v>
      </c>
      <c r="W66" s="262">
        <f>Allocation!$I$12*(CF!X16+CF!X15)</f>
        <v>-10276.519667873861</v>
      </c>
      <c r="X66" s="262">
        <f>Allocation!$I$12*(CF!Y16+CF!Y15)</f>
        <v>-8469.7838964445873</v>
      </c>
      <c r="Y66" s="262">
        <f>Allocation!$I$12*(CF!Z16+CF!Z15)</f>
        <v>-6710.0634227038763</v>
      </c>
      <c r="Z66" s="262">
        <f>Allocation!$I$12*(CF!AA16+CF!AA15)</f>
        <v>0</v>
      </c>
    </row>
    <row r="67" spans="1:26" s="138" customFormat="1" outlineLevel="1">
      <c r="A67" s="14" t="s">
        <v>194</v>
      </c>
      <c r="B67" s="1"/>
      <c r="C67" s="1"/>
      <c r="D67" s="1"/>
      <c r="E67" s="263">
        <f t="shared" ref="E67:Z67" si="11">SUM(E64:E66)</f>
        <v>0</v>
      </c>
      <c r="F67" s="263">
        <f t="shared" ca="1" si="11"/>
        <v>5672.985120682989</v>
      </c>
      <c r="G67" s="263">
        <f t="shared" si="11"/>
        <v>6190.0003919381397</v>
      </c>
      <c r="H67" s="263">
        <f t="shared" si="11"/>
        <v>6218.4711016983238</v>
      </c>
      <c r="I67" s="263">
        <f t="shared" si="11"/>
        <v>16539.117149401456</v>
      </c>
      <c r="J67" s="263">
        <f t="shared" si="11"/>
        <v>16674.255932898122</v>
      </c>
      <c r="K67" s="263">
        <f t="shared" si="11"/>
        <v>16723.042179543358</v>
      </c>
      <c r="L67" s="263">
        <f t="shared" si="11"/>
        <v>16919.493231085275</v>
      </c>
      <c r="M67" s="263">
        <f t="shared" si="11"/>
        <v>17549.251045051456</v>
      </c>
      <c r="N67" s="263">
        <f t="shared" si="11"/>
        <v>17650.558890859331</v>
      </c>
      <c r="O67" s="263">
        <f t="shared" si="11"/>
        <v>18343.239218588962</v>
      </c>
      <c r="P67" s="263">
        <f t="shared" si="11"/>
        <v>20626.74063403935</v>
      </c>
      <c r="Q67" s="263">
        <f t="shared" si="11"/>
        <v>22267.741602773494</v>
      </c>
      <c r="R67" s="263">
        <f t="shared" si="11"/>
        <v>22578.20479699134</v>
      </c>
      <c r="S67" s="263">
        <f t="shared" si="11"/>
        <v>23109.661762847645</v>
      </c>
      <c r="T67" s="263">
        <f t="shared" si="11"/>
        <v>23626.701150321824</v>
      </c>
      <c r="U67" s="263">
        <f t="shared" si="11"/>
        <v>23985.135828833118</v>
      </c>
      <c r="V67" s="263">
        <f t="shared" si="11"/>
        <v>24913.380965879864</v>
      </c>
      <c r="W67" s="263">
        <f t="shared" si="11"/>
        <v>26192.93253360072</v>
      </c>
      <c r="X67" s="263">
        <f t="shared" si="11"/>
        <v>28203.22533739742</v>
      </c>
      <c r="Y67" s="263">
        <f t="shared" si="11"/>
        <v>30142.355937170745</v>
      </c>
      <c r="Z67" s="263">
        <f t="shared" si="11"/>
        <v>36926.481412562192</v>
      </c>
    </row>
    <row r="68" spans="1:26" outlineLevel="1">
      <c r="A68" s="14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</row>
    <row r="69" spans="1:26" ht="15" outlineLevel="1">
      <c r="A69" s="15" t="s">
        <v>382</v>
      </c>
      <c r="E69" s="486">
        <v>0</v>
      </c>
      <c r="F69" s="486">
        <f ca="1">Allocation!$I$12*CF!G24*7/12</f>
        <v>0</v>
      </c>
      <c r="G69" s="486">
        <f>Allocation!$I$12*CF!H24</f>
        <v>0</v>
      </c>
      <c r="H69" s="486">
        <f>Allocation!$I$12*CF!I24</f>
        <v>0</v>
      </c>
      <c r="I69" s="486">
        <f ca="1">Allocation!$I$12*CF!J24</f>
        <v>0</v>
      </c>
      <c r="J69" s="486">
        <f ca="1">Allocation!$I$12*CF!K24</f>
        <v>0</v>
      </c>
      <c r="K69" s="486">
        <f ca="1">Allocation!$I$12*CF!L24</f>
        <v>0</v>
      </c>
      <c r="L69" s="486">
        <f ca="1">Allocation!$I$12*CF!M24</f>
        <v>-659.62884902962503</v>
      </c>
      <c r="M69" s="486">
        <f ca="1">Allocation!$I$12*CF!N24</f>
        <v>-746.25206848067262</v>
      </c>
      <c r="N69" s="486">
        <f ca="1">Allocation!$I$12*CF!O24</f>
        <v>-803.74189721954679</v>
      </c>
      <c r="O69" s="486">
        <f ca="1">Allocation!$I$12*CF!P24</f>
        <v>-894.08881391121872</v>
      </c>
      <c r="P69" s="486">
        <f ca="1">Allocation!$I$12*CF!Q24</f>
        <v>-942.07464620401015</v>
      </c>
      <c r="Q69" s="486">
        <f ca="1">Allocation!$I$12*CF!R24</f>
        <v>-1026.6943631334429</v>
      </c>
      <c r="R69" s="486">
        <f ca="1">Allocation!$I$12*CF!S24</f>
        <v>-1090.3353522955338</v>
      </c>
      <c r="S69" s="486">
        <f ca="1">Allocation!$I$12*CF!T24</f>
        <v>-1146.881987874571</v>
      </c>
      <c r="T69" s="486">
        <f ca="1">Allocation!$I$12*CF!U24</f>
        <v>-1212.0083470627219</v>
      </c>
      <c r="U69" s="486">
        <f ca="1">Allocation!$I$12*CF!V24</f>
        <v>-1647.2035995956417</v>
      </c>
      <c r="V69" s="486">
        <f ca="1">Allocation!$I$12*CF!W24</f>
        <v>-2084.5210617529065</v>
      </c>
      <c r="W69" s="486">
        <f>Allocation!$I$12*CF!X24</f>
        <v>-2156.5595559911026</v>
      </c>
      <c r="X69" s="486">
        <f>Allocation!$I$12*CF!Y24</f>
        <v>-2221.3069011187913</v>
      </c>
      <c r="Y69" s="486">
        <f>Allocation!$I$12*CF!Z24</f>
        <v>-2255.7377407569511</v>
      </c>
      <c r="Z69" s="486">
        <f ca="1">Allocation!$I$12*CF!AA24</f>
        <v>-2308.9344705984581</v>
      </c>
    </row>
    <row r="70" spans="1:26" ht="15" outlineLevel="1">
      <c r="A70" s="15" t="s">
        <v>383</v>
      </c>
      <c r="E70" s="486">
        <v>0</v>
      </c>
      <c r="F70" s="486">
        <f ca="1">Allocation!$I$12*(-Tax!E39)*7/12</f>
        <v>794.31124906115758</v>
      </c>
      <c r="G70" s="486">
        <f>Allocation!$I$12*CF!H25</f>
        <v>3591.4702844480562</v>
      </c>
      <c r="H70" s="486">
        <f>Allocation!$I$12*CF!I25</f>
        <v>2816.9407042417815</v>
      </c>
      <c r="I70" s="486">
        <f ca="1">Allocation!$I$12*CF!J25</f>
        <v>-1771.0260335992732</v>
      </c>
      <c r="J70" s="486">
        <f ca="1">Allocation!$I$12*CF!K25</f>
        <v>-2545.7279773750001</v>
      </c>
      <c r="K70" s="486">
        <f ca="1">Allocation!$I$12*CF!L25</f>
        <v>-3388.8892548819708</v>
      </c>
      <c r="L70" s="486">
        <f ca="1">Allocation!$I$12*CF!M25</f>
        <v>-3618.6672049138365</v>
      </c>
      <c r="M70" s="486">
        <f ca="1">Allocation!$I$12*CF!N25</f>
        <v>-4020.967716353739</v>
      </c>
      <c r="N70" s="486">
        <f ca="1">Allocation!$I$12*CF!O25</f>
        <v>-4330.7353607481555</v>
      </c>
      <c r="O70" s="486">
        <f ca="1">Allocation!$I$12*CF!P25</f>
        <v>-4817.5441089355281</v>
      </c>
      <c r="P70" s="486">
        <f ca="1">Allocation!$I$12*CF!Q25</f>
        <v>-5076.1021627637911</v>
      </c>
      <c r="Q70" s="486">
        <f ca="1">Allocation!$I$12*CF!R25</f>
        <v>-5532.0515186335542</v>
      </c>
      <c r="R70" s="486">
        <f ca="1">Allocation!$I$12*CF!S25</f>
        <v>-5874.9629471788448</v>
      </c>
      <c r="S70" s="486">
        <f ca="1">Allocation!$I$12*CF!T25</f>
        <v>-6179.6484626168731</v>
      </c>
      <c r="T70" s="486">
        <f ca="1">Allocation!$I$12*CF!U25</f>
        <v>-6530.5633864607262</v>
      </c>
      <c r="U70" s="486">
        <f ca="1">Allocation!$I$12*CF!V25</f>
        <v>-8875.4896314331436</v>
      </c>
      <c r="V70" s="486">
        <f ca="1">Allocation!$I$12*CF!W25</f>
        <v>-11231.850801342121</v>
      </c>
      <c r="W70" s="486">
        <f>Allocation!$I$12*CF!X25</f>
        <v>-11620.009805385163</v>
      </c>
      <c r="X70" s="486">
        <f>Allocation!$I$12*CF!Y25</f>
        <v>-11968.882519410739</v>
      </c>
      <c r="Y70" s="486">
        <f>Allocation!$I$12*CF!Z25</f>
        <v>-12154.403338018128</v>
      </c>
      <c r="Z70" s="486">
        <f ca="1">Allocation!$I$12*CF!AA25</f>
        <v>-12441.038836052705</v>
      </c>
    </row>
    <row r="71" spans="1:26" outlineLevel="1">
      <c r="A71" s="15"/>
      <c r="E71" s="156"/>
      <c r="F71" s="228"/>
      <c r="G71" s="228"/>
      <c r="H71" s="228"/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</row>
    <row r="72" spans="1:26" s="150" customFormat="1" ht="15.75" outlineLevel="1">
      <c r="A72" s="108" t="s">
        <v>197</v>
      </c>
      <c r="B72" s="106"/>
      <c r="C72" s="106"/>
      <c r="D72" s="106"/>
      <c r="E72" s="264">
        <f t="shared" ref="E72:Z72" si="12">E67+E70+E69</f>
        <v>0</v>
      </c>
      <c r="F72" s="264">
        <f t="shared" ca="1" si="12"/>
        <v>6467.2963697441464</v>
      </c>
      <c r="G72" s="264">
        <f t="shared" si="12"/>
        <v>9781.4706763861959</v>
      </c>
      <c r="H72" s="264">
        <f t="shared" si="12"/>
        <v>9035.4118059401044</v>
      </c>
      <c r="I72" s="264">
        <f t="shared" ca="1" si="12"/>
        <v>14768.091115802183</v>
      </c>
      <c r="J72" s="264">
        <f t="shared" ca="1" si="12"/>
        <v>14128.527955523123</v>
      </c>
      <c r="K72" s="264">
        <f t="shared" ca="1" si="12"/>
        <v>13334.152924661386</v>
      </c>
      <c r="L72" s="264">
        <f t="shared" ca="1" si="12"/>
        <v>12641.197177141814</v>
      </c>
      <c r="M72" s="264">
        <f t="shared" ca="1" si="12"/>
        <v>12782.031260217045</v>
      </c>
      <c r="N72" s="264">
        <f t="shared" ca="1" si="12"/>
        <v>12516.081632891628</v>
      </c>
      <c r="O72" s="264">
        <f t="shared" ca="1" si="12"/>
        <v>12631.606295742215</v>
      </c>
      <c r="P72" s="264">
        <f t="shared" ca="1" si="12"/>
        <v>14608.563825071549</v>
      </c>
      <c r="Q72" s="264">
        <f t="shared" ca="1" si="12"/>
        <v>15708.995721006497</v>
      </c>
      <c r="R72" s="264">
        <f t="shared" ca="1" si="12"/>
        <v>15612.906497516964</v>
      </c>
      <c r="S72" s="264">
        <f t="shared" ca="1" si="12"/>
        <v>15783.131312356199</v>
      </c>
      <c r="T72" s="264">
        <f t="shared" ca="1" si="12"/>
        <v>15884.129416798376</v>
      </c>
      <c r="U72" s="264">
        <f t="shared" ca="1" si="12"/>
        <v>13462.442597804333</v>
      </c>
      <c r="V72" s="264">
        <f t="shared" ca="1" si="12"/>
        <v>11597.009102784836</v>
      </c>
      <c r="W72" s="264">
        <f t="shared" si="12"/>
        <v>12416.363172224454</v>
      </c>
      <c r="X72" s="264">
        <f t="shared" si="12"/>
        <v>14013.03591686789</v>
      </c>
      <c r="Y72" s="264">
        <f t="shared" si="12"/>
        <v>15732.214858395666</v>
      </c>
      <c r="Z72" s="264">
        <f t="shared" ca="1" si="12"/>
        <v>22176.508105911027</v>
      </c>
    </row>
    <row r="73" spans="1:26" outlineLevel="1">
      <c r="A73" s="17"/>
      <c r="E73" s="156"/>
      <c r="F73" s="156"/>
      <c r="G73" s="156"/>
      <c r="H73" s="255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spans="1:26" outlineLevel="1">
      <c r="A74" s="16"/>
      <c r="E74" s="156"/>
      <c r="F74" s="156"/>
      <c r="G74" s="156"/>
      <c r="H74" s="255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spans="1:26" ht="12.75" customHeight="1" outlineLevel="1">
      <c r="A75" s="16" t="s">
        <v>293</v>
      </c>
      <c r="B75" s="151"/>
      <c r="C75" s="123">
        <f>$C$60</f>
        <v>0.5</v>
      </c>
      <c r="D75" s="123"/>
      <c r="E75" s="155">
        <f t="shared" ref="E75:Z75" si="13">$C$75*E54</f>
        <v>0</v>
      </c>
      <c r="F75" s="155">
        <f t="shared" ca="1" si="13"/>
        <v>-136.17748285005177</v>
      </c>
      <c r="G75" s="155">
        <f t="shared" si="13"/>
        <v>1075.7583213311859</v>
      </c>
      <c r="H75" s="263">
        <f t="shared" si="13"/>
        <v>1167.9114759791951</v>
      </c>
      <c r="I75" s="155">
        <f t="shared" si="13"/>
        <v>3835.4477494098433</v>
      </c>
      <c r="J75" s="155">
        <f t="shared" si="13"/>
        <v>3999.9665870946337</v>
      </c>
      <c r="K75" s="155">
        <f t="shared" si="13"/>
        <v>4211.0882899064181</v>
      </c>
      <c r="L75" s="155">
        <f t="shared" si="13"/>
        <v>4430.9592333377741</v>
      </c>
      <c r="M75" s="155">
        <f t="shared" si="13"/>
        <v>4870.7634157080956</v>
      </c>
      <c r="N75" s="155">
        <f t="shared" si="13"/>
        <v>5132.8289612607514</v>
      </c>
      <c r="O75" s="155">
        <f t="shared" si="13"/>
        <v>5643.7284532378189</v>
      </c>
      <c r="P75" s="155">
        <f t="shared" si="13"/>
        <v>5929.0935074948011</v>
      </c>
      <c r="Q75" s="155">
        <f t="shared" si="13"/>
        <v>6422.5222166038529</v>
      </c>
      <c r="R75" s="155">
        <f t="shared" si="13"/>
        <v>6706.042354436755</v>
      </c>
      <c r="S75" s="155">
        <f t="shared" si="13"/>
        <v>7001.9251556965073</v>
      </c>
      <c r="T75" s="155">
        <f t="shared" si="13"/>
        <v>7307.5903722191324</v>
      </c>
      <c r="U75" s="155">
        <f t="shared" si="13"/>
        <v>7626.3203431367356</v>
      </c>
      <c r="V75" s="155">
        <f t="shared" si="13"/>
        <v>7953.2847263173371</v>
      </c>
      <c r="W75" s="155">
        <f t="shared" si="13"/>
        <v>8274.0084924043877</v>
      </c>
      <c r="X75" s="155">
        <f t="shared" si="13"/>
        <v>8570.4826642695662</v>
      </c>
      <c r="Y75" s="155">
        <f t="shared" si="13"/>
        <v>8828.2961685164864</v>
      </c>
      <c r="Z75" s="155">
        <f t="shared" si="13"/>
        <v>8969.7782802810871</v>
      </c>
    </row>
    <row r="76" spans="1:26" outlineLevel="1">
      <c r="A76" s="16" t="s">
        <v>294</v>
      </c>
      <c r="B76" s="151"/>
      <c r="C76" s="123">
        <f>$C$60</f>
        <v>0.5</v>
      </c>
      <c r="D76" s="123"/>
      <c r="E76" s="155">
        <f t="shared" ref="E76:Z76" si="14">$C$76*E72</f>
        <v>0</v>
      </c>
      <c r="F76" s="155">
        <f t="shared" ca="1" si="14"/>
        <v>3233.6481848720732</v>
      </c>
      <c r="G76" s="155">
        <f t="shared" si="14"/>
        <v>4890.735338193098</v>
      </c>
      <c r="H76" s="263">
        <f t="shared" si="14"/>
        <v>4517.7059029700522</v>
      </c>
      <c r="I76" s="155">
        <f t="shared" ca="1" si="14"/>
        <v>7384.0455579010913</v>
      </c>
      <c r="J76" s="155">
        <f t="shared" ca="1" si="14"/>
        <v>7064.2639777615614</v>
      </c>
      <c r="K76" s="155">
        <f t="shared" ca="1" si="14"/>
        <v>6667.0764623306932</v>
      </c>
      <c r="L76" s="155">
        <f t="shared" ca="1" si="14"/>
        <v>6320.5985885709069</v>
      </c>
      <c r="M76" s="155">
        <f t="shared" ca="1" si="14"/>
        <v>6391.0156301085226</v>
      </c>
      <c r="N76" s="155">
        <f t="shared" ca="1" si="14"/>
        <v>6258.040816445814</v>
      </c>
      <c r="O76" s="155">
        <f t="shared" ca="1" si="14"/>
        <v>6315.8031478711073</v>
      </c>
      <c r="P76" s="155">
        <f t="shared" ca="1" si="14"/>
        <v>7304.2819125357746</v>
      </c>
      <c r="Q76" s="155">
        <f t="shared" ca="1" si="14"/>
        <v>7854.4978605032484</v>
      </c>
      <c r="R76" s="155">
        <f t="shared" ca="1" si="14"/>
        <v>7806.453248758482</v>
      </c>
      <c r="S76" s="155">
        <f t="shared" ca="1" si="14"/>
        <v>7891.5656561780997</v>
      </c>
      <c r="T76" s="155">
        <f t="shared" ca="1" si="14"/>
        <v>7942.064708399188</v>
      </c>
      <c r="U76" s="155">
        <f t="shared" ca="1" si="14"/>
        <v>6731.2212989021664</v>
      </c>
      <c r="V76" s="155">
        <f t="shared" ca="1" si="14"/>
        <v>5798.5045513924179</v>
      </c>
      <c r="W76" s="155">
        <f t="shared" si="14"/>
        <v>6208.1815861122268</v>
      </c>
      <c r="X76" s="155">
        <f t="shared" si="14"/>
        <v>7006.5179584339448</v>
      </c>
      <c r="Y76" s="155">
        <f t="shared" si="14"/>
        <v>7866.107429197833</v>
      </c>
      <c r="Z76" s="155">
        <f t="shared" ca="1" si="14"/>
        <v>11088.254052955514</v>
      </c>
    </row>
    <row r="77" spans="1:26" outlineLevel="1">
      <c r="A77" s="16"/>
      <c r="E77" s="135"/>
      <c r="F77" s="135"/>
      <c r="G77" s="135"/>
      <c r="H77" s="142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57"/>
      <c r="E78" s="135"/>
      <c r="F78" s="135"/>
      <c r="G78" s="135"/>
      <c r="H78" s="142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outlineLevel="1">
      <c r="A79" s="157"/>
      <c r="E79" s="135"/>
      <c r="F79" s="135"/>
      <c r="G79" s="135"/>
      <c r="H79" s="142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outlineLevel="1">
      <c r="A80" s="157"/>
      <c r="E80" s="135"/>
      <c r="F80" s="135"/>
      <c r="G80" s="135"/>
      <c r="H80" s="142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outlineLevel="1">
      <c r="A81" s="158"/>
      <c r="B81" s="8"/>
      <c r="C81" s="8"/>
      <c r="D81" s="8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5" outlineLevel="1">
      <c r="A82" s="159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 outlineLevel="1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5.75" outlineLevel="1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 outlineLevel="1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 outlineLevel="1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 outlineLevel="1">
      <c r="A87" s="8"/>
      <c r="B87" s="8"/>
      <c r="C87" s="163"/>
      <c r="D87" s="163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outlineLevel="1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 outlineLevel="1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 outlineLevel="1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 outlineLevel="1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 outlineLevel="1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 outlineLevel="1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 outlineLevel="1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4.25" outlineLevel="1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4.25" outlineLevel="1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5.75" outlineLevel="1">
      <c r="A105" s="162"/>
      <c r="B105" s="8"/>
      <c r="C105" s="8"/>
      <c r="D105" s="8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outlineLevel="1">
      <c r="A106" s="138"/>
      <c r="B106" s="8"/>
      <c r="C106" s="166"/>
      <c r="D106" s="166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outlineLevel="1">
      <c r="A107" s="138"/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169"/>
      <c r="B108" s="169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169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169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4.25" outlineLevel="1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171"/>
      <c r="B117" s="8"/>
      <c r="C117" s="8"/>
      <c r="D117" s="8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outlineLevel="1">
      <c r="A118" s="172"/>
      <c r="B118" s="8"/>
      <c r="C118" s="8"/>
      <c r="D118" s="8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2"/>
      <c r="B119" s="8"/>
      <c r="C119" s="8"/>
      <c r="D119" s="8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 outlineLevel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outlineLevel="1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 outlineLevel="1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 outlineLevel="1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8.75" outlineLevel="1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outlineLevel="1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outlineLevel="1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 outlineLevel="1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 outlineLevel="1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 outlineLevel="1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 outlineLevel="1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8.75" outlineLevel="1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outlineLevel="1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outlineLevel="1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8.75" outlineLevel="1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outlineLevel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 outlineLevel="1">
      <c r="A260" s="185"/>
    </row>
    <row r="261" spans="1:26" outlineLevel="1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outlineLevel="1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outlineLevel="1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8.75" hidden="1" outlineLevel="2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idden="1" outlineLevel="2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idden="1" outlineLevel="2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2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hidden="1" outlineLevel="2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idden="1" outlineLevel="2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hidden="1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2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hidden="1" outlineLevel="2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</row>
    <row r="322" spans="1:31" hidden="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hidden="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1" hidden="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hidden="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1" hidden="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hidden="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hidden="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outlineLevel="1" collapsed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1" outlineLevel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 outlineLevel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ht="18.75" outlineLevel="1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 outlineLevel="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 outlineLevel="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 outlineLevel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 outlineLevel="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outlineLevel="1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outlineLevel="1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outlineLevel="1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outlineLevel="1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outlineLevel="1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outlineLevel="1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outlineLevel="1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outlineLevel="1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outlineLevel="1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outlineLevel="1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outlineLevel="1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outlineLevel="1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outlineLevel="1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outlineLevel="1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outlineLevel="1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outlineLevel="1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outlineLevel="1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outlineLevel="1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outlineLevel="1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outlineLevel="1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outlineLevel="1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outlineLevel="1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outlineLevel="1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outlineLevel="1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outlineLevel="1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outlineLevel="1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outlineLevel="1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outlineLevel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outlineLevel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8.75" outlineLevel="1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outlineLevel="1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outlineLevel="1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 outlineLevel="1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 outlineLevel="1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 outlineLevel="1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 outlineLevel="1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 outlineLevel="1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 outlineLevel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8.75" outlineLevel="1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outlineLevel="1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outlineLevel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outlineLevel="1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 outlineLevel="1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 outlineLevel="1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 outlineLevel="1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 outlineLevel="1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outlineLevel="1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 outlineLevel="1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outlineLevel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8.75" outlineLevel="1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 outlineLevel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 outlineLevel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 outlineLevel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 outlineLevel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 outlineLevel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 outlineLevel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 outlineLevel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 outlineLevel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" customHeight="1" outlineLevel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 outlineLevel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outlineLevel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 outlineLevel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 outlineLevel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 outlineLevel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 outlineLevel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 outlineLevel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 outlineLevel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 outlineLevel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outlineLevel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outlineLevel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8.75" outlineLevel="1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outlineLevel="1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idden="1" outlineLevel="2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idden="1" outlineLevel="2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2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2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2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2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2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2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2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2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2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2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2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2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outlineLevel="1" collapsed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outlineLevel="1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</sheetData>
  <pageMargins left="0.18" right="0.17" top="0.37" bottom="0.4" header="0.17" footer="0.21"/>
  <pageSetup scale="43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79"/>
  <sheetViews>
    <sheetView zoomScale="75" workbookViewId="0">
      <selection activeCell="I21" sqref="I21"/>
    </sheetView>
  </sheetViews>
  <sheetFormatPr defaultRowHeight="12.75" outlineLevelRow="2" outlineLevelCol="1"/>
  <cols>
    <col min="1" max="1" width="53.42578125" style="7" customWidth="1"/>
    <col min="2" max="4" width="8.42578125" style="7" customWidth="1"/>
    <col min="5" max="6" width="10.140625" style="7" customWidth="1" outlineLevel="1"/>
    <col min="7" max="8" width="10.7109375" style="7" customWidth="1" outlineLevel="1"/>
    <col min="9" max="26" width="10.7109375" style="7" customWidth="1"/>
    <col min="27" max="16384" width="9.140625" style="8"/>
  </cols>
  <sheetData>
    <row r="2" spans="1:29" ht="18.75">
      <c r="A2" s="126" t="s">
        <v>302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29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29">
      <c r="A4" s="1"/>
      <c r="J4" s="8"/>
      <c r="K4" s="8"/>
      <c r="L4" s="8"/>
      <c r="M4" s="8"/>
      <c r="N4" s="8"/>
      <c r="O4" s="8"/>
    </row>
    <row r="5" spans="1:29" ht="13.5" thickBot="1">
      <c r="A5" s="422" t="s">
        <v>164</v>
      </c>
      <c r="B5" s="9"/>
      <c r="C5" s="9"/>
      <c r="D5" s="9"/>
      <c r="E5" s="9">
        <v>1999</v>
      </c>
      <c r="F5" s="9">
        <f t="shared" ref="F5:Z5" si="0">E5+1</f>
        <v>2000</v>
      </c>
      <c r="G5" s="9">
        <f t="shared" si="0"/>
        <v>2001</v>
      </c>
      <c r="H5" s="9">
        <f t="shared" si="0"/>
        <v>2002</v>
      </c>
      <c r="I5" s="9">
        <f>H5+1</f>
        <v>2003</v>
      </c>
      <c r="J5" s="9">
        <f>I5+1</f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>O5+1</f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29">
      <c r="A6" s="3"/>
      <c r="B6" s="10"/>
      <c r="C6" s="10"/>
      <c r="D6" s="10"/>
      <c r="E6" s="10"/>
      <c r="F6" s="10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9">
      <c r="A7" s="3"/>
      <c r="B7" s="10"/>
      <c r="C7" s="10"/>
      <c r="D7" s="10"/>
      <c r="E7" s="10"/>
      <c r="F7" s="10"/>
      <c r="G7" s="11"/>
      <c r="H7" s="11"/>
      <c r="I7" s="12"/>
      <c r="J7" s="12"/>
      <c r="K7" s="12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9">
      <c r="A8" s="1" t="s">
        <v>165</v>
      </c>
      <c r="B8" s="12"/>
      <c r="C8" s="12"/>
      <c r="D8" s="12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29">
      <c r="A9" s="575" t="s">
        <v>166</v>
      </c>
      <c r="B9" s="12"/>
      <c r="C9" s="12"/>
      <c r="D9" s="12"/>
      <c r="E9" s="12"/>
      <c r="F9" s="12"/>
      <c r="H9" s="8"/>
      <c r="AA9" s="140"/>
      <c r="AB9" s="140"/>
      <c r="AC9" s="140"/>
    </row>
    <row r="10" spans="1:29">
      <c r="A10" s="4" t="s">
        <v>167</v>
      </c>
      <c r="B10" s="12"/>
      <c r="C10" s="12"/>
      <c r="D10" s="12"/>
      <c r="E10" s="253">
        <v>0</v>
      </c>
      <c r="F10" s="253">
        <f>Assumptions!$Q$30*Assumptions!$Q$53*'Power Price Assumption'!F61</f>
        <v>11280</v>
      </c>
      <c r="G10" s="253">
        <f>Assumptions!$Q$30*12*'Power Price Assumption'!G61</f>
        <v>22560</v>
      </c>
      <c r="H10" s="253">
        <f>Assumptions!$Q$30*12*'Power Price Assumption'!H61</f>
        <v>22560</v>
      </c>
      <c r="I10" s="253">
        <v>0</v>
      </c>
      <c r="J10" s="253">
        <f>Assumptions!$P$30*12*'Power Price Assumption'!J23</f>
        <v>0</v>
      </c>
      <c r="K10" s="253">
        <f>Assumptions!$P$30*12*'Power Price Assumption'!K23</f>
        <v>0</v>
      </c>
      <c r="L10" s="253">
        <f>Assumptions!$P$30*12*'Power Price Assumption'!L23</f>
        <v>0</v>
      </c>
      <c r="M10" s="253">
        <f>Assumptions!$P$30*12*'Power Price Assumption'!M23</f>
        <v>0</v>
      </c>
      <c r="N10" s="253">
        <f>Assumptions!$P$30*12*'Power Price Assumption'!N23</f>
        <v>0</v>
      </c>
      <c r="O10" s="253">
        <f>Assumptions!$P$30*12*'Power Price Assumption'!O23</f>
        <v>0</v>
      </c>
      <c r="P10" s="253">
        <f>Assumptions!$P$30*12*'Power Price Assumption'!P23</f>
        <v>0</v>
      </c>
      <c r="Q10" s="253">
        <f>Assumptions!$P$30*12*'Power Price Assumption'!Q23</f>
        <v>0</v>
      </c>
      <c r="R10" s="253">
        <f>Assumptions!$P$30*12*'Power Price Assumption'!R23</f>
        <v>0</v>
      </c>
      <c r="S10" s="253">
        <f>Assumptions!$P$30*12*'Power Price Assumption'!S23</f>
        <v>0</v>
      </c>
      <c r="T10" s="253">
        <f>Assumptions!$P$30*12*'Power Price Assumption'!T23</f>
        <v>0</v>
      </c>
      <c r="U10" s="253">
        <f>Assumptions!$P$30*12*'Power Price Assumption'!U23</f>
        <v>0</v>
      </c>
      <c r="V10" s="253">
        <f>Assumptions!$P$30*12*'Power Price Assumption'!V23</f>
        <v>0</v>
      </c>
      <c r="W10" s="253">
        <f>Assumptions!$P$30*12*'Power Price Assumption'!W23</f>
        <v>0</v>
      </c>
      <c r="X10" s="253">
        <f>Assumptions!$P$30*12*'Power Price Assumption'!X23</f>
        <v>0</v>
      </c>
      <c r="Y10" s="253">
        <f>Assumptions!$P$30*12*'Power Price Assumption'!Y23</f>
        <v>0</v>
      </c>
      <c r="Z10" s="253">
        <f>Assumptions!$P$30*12*'Power Price Assumption'!Z23</f>
        <v>0</v>
      </c>
      <c r="AA10" s="140"/>
      <c r="AB10" s="140"/>
      <c r="AC10" s="140"/>
    </row>
    <row r="11" spans="1:29">
      <c r="A11" s="4" t="s">
        <v>168</v>
      </c>
      <c r="B11" s="12"/>
      <c r="C11" s="12"/>
      <c r="D11" s="12"/>
      <c r="E11" s="253">
        <f>E26</f>
        <v>0</v>
      </c>
      <c r="F11" s="253">
        <f>Assumptions!Q$26*Assumptions!Q$30*Assumptions!Q$14/1000*(1+Assumptions!$Q$39)</f>
        <v>675.88600000000008</v>
      </c>
      <c r="G11" s="253">
        <f>F11*(1+Assumptions!$Q$39)</f>
        <v>696.16258000000005</v>
      </c>
      <c r="H11" s="253">
        <f>G11*(1+Assumptions!$Q$39)</f>
        <v>717.0474574000001</v>
      </c>
      <c r="I11" s="253">
        <v>0</v>
      </c>
      <c r="J11" s="253">
        <f>Assumptions!$P$30*12*'Power Price Assumption'!J24</f>
        <v>0</v>
      </c>
      <c r="K11" s="253">
        <f>Assumptions!$P$30*12*'Power Price Assumption'!K24</f>
        <v>0</v>
      </c>
      <c r="L11" s="253">
        <f>Assumptions!$P$30*12*'Power Price Assumption'!L24</f>
        <v>0</v>
      </c>
      <c r="M11" s="253">
        <f>Assumptions!$P$30*12*'Power Price Assumption'!M24</f>
        <v>0</v>
      </c>
      <c r="N11" s="253">
        <f>Assumptions!$P$30*12*'Power Price Assumption'!N24</f>
        <v>0</v>
      </c>
      <c r="O11" s="253">
        <f>Assumptions!$P$30*12*'Power Price Assumption'!O24</f>
        <v>0</v>
      </c>
      <c r="P11" s="253">
        <f>Assumptions!$P$30*12*'Power Price Assumption'!P24</f>
        <v>0</v>
      </c>
      <c r="Q11" s="253">
        <f>Assumptions!$P$30*12*'Power Price Assumption'!Q24</f>
        <v>0</v>
      </c>
      <c r="R11" s="253">
        <f>Assumptions!$P$30*12*'Power Price Assumption'!R24</f>
        <v>0</v>
      </c>
      <c r="S11" s="253">
        <f>Assumptions!$P$30*12*'Power Price Assumption'!S24</f>
        <v>0</v>
      </c>
      <c r="T11" s="253">
        <f>Assumptions!$P$30*12*'Power Price Assumption'!T24</f>
        <v>0</v>
      </c>
      <c r="U11" s="253">
        <f>Assumptions!$P$30*12*'Power Price Assumption'!U24</f>
        <v>0</v>
      </c>
      <c r="V11" s="253">
        <f>Assumptions!$P$30*12*'Power Price Assumption'!V24</f>
        <v>0</v>
      </c>
      <c r="W11" s="253">
        <f>Assumptions!$P$30*12*'Power Price Assumption'!W24</f>
        <v>0</v>
      </c>
      <c r="X11" s="253">
        <f>Assumptions!$P$30*12*'Power Price Assumption'!X24</f>
        <v>0</v>
      </c>
      <c r="Y11" s="253">
        <f>Assumptions!$P$30*12*'Power Price Assumption'!Y24</f>
        <v>0</v>
      </c>
      <c r="Z11" s="253">
        <f>Assumptions!$P$30*12*'Power Price Assumption'!Z24</f>
        <v>0</v>
      </c>
      <c r="AA11" s="140"/>
      <c r="AB11" s="140"/>
      <c r="AC11" s="140"/>
    </row>
    <row r="12" spans="1:29">
      <c r="A12" s="4" t="s">
        <v>169</v>
      </c>
      <c r="B12" s="12"/>
      <c r="C12" s="12"/>
      <c r="D12" s="12"/>
      <c r="E12" s="253">
        <v>0</v>
      </c>
      <c r="F12" s="253">
        <f>VLOOKUP(Assumptions!$Q$19,'EGC Start Charge Matrix'!$A$10:$S$35,18)*(1+Assumptions!$Q$39)</f>
        <v>2140.752</v>
      </c>
      <c r="G12" s="253">
        <f>F12*(1+Assumptions!$Q$39)</f>
        <v>2204.9745600000001</v>
      </c>
      <c r="H12" s="253">
        <f>G12*(1+Assumptions!$Q$39)</f>
        <v>2271.1237968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 s="140"/>
      <c r="AC12" s="140"/>
    </row>
    <row r="13" spans="1:29">
      <c r="A13" s="8"/>
      <c r="B13" s="12"/>
      <c r="C13" s="12"/>
      <c r="D13" s="12"/>
      <c r="E13" s="12"/>
      <c r="F13" s="12"/>
      <c r="H13" s="8"/>
      <c r="AA13" s="140"/>
      <c r="AB13" s="140"/>
      <c r="AC13" s="140"/>
    </row>
    <row r="14" spans="1:29">
      <c r="A14" s="575" t="s">
        <v>170</v>
      </c>
      <c r="B14" s="12"/>
      <c r="C14" s="12"/>
      <c r="D14" s="12"/>
      <c r="E14" s="12"/>
      <c r="F14" s="12"/>
      <c r="H14" s="8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140"/>
      <c r="AB14" s="140"/>
      <c r="AC14" s="140"/>
    </row>
    <row r="15" spans="1:29">
      <c r="A15" s="4" t="s">
        <v>167</v>
      </c>
      <c r="B15" s="12"/>
      <c r="C15" s="12"/>
      <c r="D15" s="12"/>
      <c r="E15" s="253">
        <v>0</v>
      </c>
      <c r="F15" s="253">
        <v>0</v>
      </c>
      <c r="G15" s="253">
        <v>0</v>
      </c>
      <c r="H15" s="253">
        <v>0</v>
      </c>
      <c r="I15" s="253">
        <f>IF(Assumptions!$Q$19=120,Assumptions!$Q$33*(1-Assumptions!$Q$35)*'Power Price Assumption'!I63*12,Assumptions!$Q$33*(1-Assumptions!$Q$35)*'Power Price Assumption'!I63*12-2/3*VLOOKUP(120,'EGC Start Charge Matrix'!$U$10:$AM$35,18)*(1+Assumptions!$Q$52)^(I5-Brownsville!$E$5))</f>
        <v>37241.006794214773</v>
      </c>
      <c r="J15" s="253">
        <f>IF(Assumptions!$Q$19=120,Assumptions!$Q$33*(1-Assumptions!$Q$35)*'Power Price Assumption'!J63*12,Assumptions!$Q$33*(1-Assumptions!$Q$35)*'Power Price Assumption'!J63*12-2/3*VLOOKUP(120,'EGC Start Charge Matrix'!$U$10:$AM$35,18)*(1+Assumptions!$Q$52)^(J5-Brownsville!$E$5))</f>
        <v>38358.236998041211</v>
      </c>
      <c r="K15" s="253">
        <f>IF(Assumptions!$Q$19=120,Assumptions!$Q$33*(1-Assumptions!$Q$35)*'Power Price Assumption'!K63*12,Assumptions!$Q$33*(1-Assumptions!$Q$35)*'Power Price Assumption'!K63*12-2/3*VLOOKUP(120,'EGC Start Charge Matrix'!$U$10:$AM$35,18)*(1+Assumptions!$Q$52)^(K5-Brownsville!$E$5))</f>
        <v>39508.984107982447</v>
      </c>
      <c r="L15" s="253">
        <f>IF(Assumptions!$Q$19=120,Assumptions!$Q$33*(1-Assumptions!$Q$35)*'Power Price Assumption'!L63*12,Assumptions!$Q$33*(1-Assumptions!$Q$35)*'Power Price Assumption'!L63*12-2/3*VLOOKUP(120,'EGC Start Charge Matrix'!$U$10:$AM$35,18)*(1+Assumptions!$Q$52)^(L5-Brownsville!$E$5))</f>
        <v>40068.188190741588</v>
      </c>
      <c r="M15" s="253">
        <f>IF(Assumptions!$Q$19=120,Assumptions!$Q$33*(1-Assumptions!$Q$35)*'Power Price Assumption'!M63*12,Assumptions!$Q$33*(1-Assumptions!$Q$35)*'Power Price Assumption'!M63*12-2/3*VLOOKUP(120,'EGC Start Charge Matrix'!$U$10:$AM$35,18)*(1+Assumptions!$Q$52)^(M5-Brownsville!$E$5))</f>
        <v>40625.386432769097</v>
      </c>
      <c r="N15" s="253">
        <f>IF(Assumptions!$Q$19=120,Assumptions!$Q$33*(1-Assumptions!$Q$35)*'Power Price Assumption'!N63*12,Assumptions!$Q$33*(1-Assumptions!$Q$35)*'Power Price Assumption'!N63*12-2/3*VLOOKUP(120,'EGC Start Charge Matrix'!$U$10:$AM$35,18)*(1+Assumptions!$Q$52)^(N5-Brownsville!$E$5))</f>
        <v>41179.955199946577</v>
      </c>
      <c r="O15" s="253">
        <f>IF(Assumptions!$Q$19=120,Assumptions!$Q$33*(1-Assumptions!$Q$35)*'Power Price Assumption'!O63*12,Assumptions!$Q$33*(1-Assumptions!$Q$35)*'Power Price Assumption'!O63*12-2/3*VLOOKUP(120,'EGC Start Charge Matrix'!$U$10:$AM$35,18)*(1+Assumptions!$Q$52)^(O5-Brownsville!$E$5))</f>
        <v>41731.235245365213</v>
      </c>
      <c r="P15" s="253">
        <f>IF(Assumptions!$Q$19=120,Assumptions!$Q$33*(1-Assumptions!$Q$35)*'Power Price Assumption'!P63*12,Assumptions!$Q$33*(1-Assumptions!$Q$35)*'Power Price Assumption'!P63*12-2/3*VLOOKUP(120,'EGC Start Charge Matrix'!$U$10:$AM$35,18)*(1+Assumptions!$Q$52)^(P5-Brownsville!$E$5))</f>
        <v>42278.530133829016</v>
      </c>
      <c r="Q15" s="253">
        <f>IF(Assumptions!$Q$19=120,Assumptions!$Q$33*(1-Assumptions!$Q$35)*'Power Price Assumption'!Q63*12,Assumptions!$Q$33*(1-Assumptions!$Q$35)*'Power Price Assumption'!Q63*12-2/3*VLOOKUP(120,'EGC Start Charge Matrix'!$U$10:$AM$35,18)*(1+Assumptions!$Q$52)^(Q5-Brownsville!$E$5))</f>
        <v>42821.104603879816</v>
      </c>
      <c r="R15" s="253">
        <f>IF(Assumptions!$Q$19=120,Assumptions!$Q$33*(1-Assumptions!$Q$35)*'Power Price Assumption'!R63*12,Assumptions!$Q$33*(1-Assumptions!$Q$35)*'Power Price Assumption'!R63*12-2/3*VLOOKUP(120,'EGC Start Charge Matrix'!$U$10:$AM$35,18)*(1+Assumptions!$Q$52)^(R5-Brownsville!$E$5))</f>
        <v>43358.18286501323</v>
      </c>
      <c r="S15" s="253">
        <f>IF(Assumptions!$Q$19=120,Assumptions!$Q$33*(1-Assumptions!$Q$35)*'Power Price Assumption'!S63*12,Assumptions!$Q$33*(1-Assumptions!$Q$35)*'Power Price Assumption'!S63*12-2/3*VLOOKUP(120,'EGC Start Charge Matrix'!$U$10:$AM$35,18)*(1+Assumptions!$Q$52)^(S5-Brownsville!$E$5))</f>
        <v>43118.965304378675</v>
      </c>
      <c r="T15" s="253">
        <f>IF(Assumptions!$Q$19=120,Assumptions!$Q$33*(1-Assumptions!$Q$35)*'Power Price Assumption'!T63*12,Assumptions!$Q$33*(1-Assumptions!$Q$35)*'Power Price Assumption'!T63*12-2/3*VLOOKUP(120,'EGC Start Charge Matrix'!$U$10:$AM$35,18)*(1+Assumptions!$Q$52)^(T5-Brownsville!$E$5))</f>
        <v>43619.453294518782</v>
      </c>
      <c r="U15" s="253">
        <f>IF(Assumptions!$Q$19=120,Assumptions!$Q$33*(1-Assumptions!$Q$35)*'Power Price Assumption'!U63*12,Assumptions!$Q$33*(1-Assumptions!$Q$35)*'Power Price Assumption'!U63*12-2/3*VLOOKUP(120,'EGC Start Charge Matrix'!$U$10:$AM$35,18)*(1+Assumptions!$Q$52)^(U5-Brownsville!$E$5))</f>
        <v>44111.163495293353</v>
      </c>
      <c r="V15" s="253">
        <f>IF(Assumptions!$Q$19=120,Assumptions!$Q$33*(1-Assumptions!$Q$35)*'Power Price Assumption'!V63*12,Assumptions!$Q$33*(1-Assumptions!$Q$35)*'Power Price Assumption'!V63*12-2/3*VLOOKUP(120,'EGC Start Charge Matrix'!$U$10:$AM$35,18)*(1+Assumptions!$Q$52)^(V5-Brownsville!$E$5))</f>
        <v>44593.118800149328</v>
      </c>
      <c r="W15" s="253">
        <f>IF(Assumptions!$Q$19=120,Assumptions!$Q$33*(1-Assumptions!$Q$35)*'Power Price Assumption'!W63*12,Assumptions!$Q$33*(1-Assumptions!$Q$35)*'Power Price Assumption'!W63*12-2/3*VLOOKUP(120,'EGC Start Charge Matrix'!$U$10:$AM$35,18)*(1+Assumptions!$Q$52)^(W5-Brownsville!$E$5))</f>
        <v>45064.291376150912</v>
      </c>
      <c r="X15" s="253">
        <f>IF(Assumptions!$Q$19=120,Assumptions!$Q$33*(1-Assumptions!$Q$35)*'Power Price Assumption'!X63*12,Assumptions!$Q$33*(1-Assumptions!$Q$35)*'Power Price Assumption'!X63*12-2/3*VLOOKUP(120,'EGC Start Charge Matrix'!$U$10:$AM$35,18)*(1+Assumptions!$Q$52)^(X5-Brownsville!$E$5))</f>
        <v>45523.600499792446</v>
      </c>
      <c r="Y15" s="253">
        <f>IF(Assumptions!$Q$19=120,Assumptions!$Q$33*(1-Assumptions!$Q$35)*'Power Price Assumption'!Y63*12,Assumptions!$Q$33*(1-Assumptions!$Q$35)*'Power Price Assumption'!Y63*12-2/3*VLOOKUP(120,'EGC Start Charge Matrix'!$U$10:$AM$35,18)*(1+Assumptions!$Q$52)^(Y5-Brownsville!$E$5))</f>
        <v>45050.512102441658</v>
      </c>
      <c r="Z15" s="253">
        <f>IF(Assumptions!$Q$19=120,Assumptions!$Q$33*(1-Assumptions!$Q$35)*'Power Price Assumption'!Z63*12,Assumptions!$Q$33*(1-Assumptions!$Q$35)*'Power Price Assumption'!Z63*12-2/3*VLOOKUP(120,'EGC Start Charge Matrix'!$U$10:$AM$35,18)*(1+Assumptions!$Q$52)^(Z5-Brownsville!$E$5))</f>
        <v>45455.047313157469</v>
      </c>
      <c r="AA15" s="140"/>
      <c r="AB15" s="140"/>
      <c r="AC15" s="140"/>
    </row>
    <row r="16" spans="1:29">
      <c r="A16" s="4" t="s">
        <v>171</v>
      </c>
      <c r="B16" s="12"/>
      <c r="C16" s="12"/>
      <c r="D16" s="12"/>
      <c r="E16" s="253">
        <v>0</v>
      </c>
      <c r="F16" s="253">
        <v>0</v>
      </c>
      <c r="G16" s="253">
        <v>0</v>
      </c>
      <c r="H16" s="253">
        <v>0</v>
      </c>
      <c r="I16" s="253">
        <f>(Assumptions!$Q$26*Assumptions!$Q$34/1000)*(1+Assumptions!$Q$39)^(I5-$E$5)+$F$12*(1+Assumptions!$Q$39)^(I5-$F$5)*1/3</f>
        <v>1572.2230402081564</v>
      </c>
      <c r="J16" s="253">
        <f>(Assumptions!$Q$26*Assumptions!$Q$34/1000)*(1+Assumptions!$Q$39)^(J5-$E$5)+$F$12*(1+Assumptions!$Q$39)^(J5-$F$5)*1/3</f>
        <v>1619.389731414401</v>
      </c>
      <c r="K16" s="253">
        <f>J16*(1+Assumptions!$Q$39)</f>
        <v>1667.9714233568332</v>
      </c>
      <c r="L16" s="253">
        <f>K16*(1+Assumptions!$Q$39)</f>
        <v>1718.0105660575382</v>
      </c>
      <c r="M16" s="253">
        <f>L16*(1+Assumptions!$Q$39)</f>
        <v>1769.5508830392644</v>
      </c>
      <c r="N16" s="253">
        <f>M16*(1+Assumptions!$Q$39)</f>
        <v>1822.6374095304423</v>
      </c>
      <c r="O16" s="253">
        <f>N16*(1+Assumptions!$Q$39)</f>
        <v>1877.3165318163556</v>
      </c>
      <c r="P16" s="253">
        <f>O16*(1+Assumptions!$Q$39)</f>
        <v>1933.6360277708463</v>
      </c>
      <c r="Q16" s="253">
        <f>P16*(1+Assumptions!$Q$39)</f>
        <v>1991.6451086039717</v>
      </c>
      <c r="R16" s="253">
        <f>Q16*(1+Assumptions!$Q$39)</f>
        <v>2051.3944618620908</v>
      </c>
      <c r="S16" s="253">
        <f>R16*(1+Assumptions!$Q$39)</f>
        <v>2112.9362957179537</v>
      </c>
      <c r="T16" s="253">
        <f>S16*(1+Assumptions!$Q$39)</f>
        <v>2176.3243845894922</v>
      </c>
      <c r="U16" s="253">
        <f>T16*(1+Assumptions!$Q$39)</f>
        <v>2241.6141161271771</v>
      </c>
      <c r="V16" s="253">
        <f>U16*(1+Assumptions!$Q$39)</f>
        <v>2308.8625396109924</v>
      </c>
      <c r="W16" s="253">
        <f>V16*(1+Assumptions!$Q$39)</f>
        <v>2378.1284157993223</v>
      </c>
      <c r="X16" s="253">
        <f>W16*(1+Assumptions!$Q$39)</f>
        <v>2449.4722682733022</v>
      </c>
      <c r="Y16" s="253">
        <f>X16*(1+Assumptions!$Q$39)</f>
        <v>2522.9564363215013</v>
      </c>
      <c r="Z16" s="253">
        <f>Y16*(1+Assumptions!$Q$39)</f>
        <v>2598.6451294111466</v>
      </c>
      <c r="AA16" s="140"/>
      <c r="AB16" s="140"/>
      <c r="AC16" s="140"/>
    </row>
    <row r="17" spans="1:29">
      <c r="A17" s="4" t="s">
        <v>172</v>
      </c>
      <c r="B17" s="12"/>
      <c r="C17" s="12"/>
      <c r="D17" s="12"/>
      <c r="E17" s="253">
        <v>0</v>
      </c>
      <c r="F17" s="253">
        <v>0</v>
      </c>
      <c r="G17" s="253">
        <v>0</v>
      </c>
      <c r="H17" s="253">
        <v>0</v>
      </c>
      <c r="I17" s="253">
        <f>Assumptions!$Q$33*Assumptions!$Q$35*Assumptions!$Q$36*Assumptions!$Q$14/1000</f>
        <v>12.103391999999999</v>
      </c>
      <c r="J17" s="253">
        <f>Assumptions!$Q$33*Assumptions!$Q$35*Assumptions!$Q$36*Assumptions!$Q$14/1000</f>
        <v>12.103391999999999</v>
      </c>
      <c r="K17" s="253">
        <f>Assumptions!$Q$33*Assumptions!$Q$35*Assumptions!$Q$36*Assumptions!$Q$14/1000</f>
        <v>12.103391999999999</v>
      </c>
      <c r="L17" s="253">
        <f>Assumptions!$Q$33*Assumptions!$Q$35*Assumptions!$Q$36*Assumptions!$Q$14/1000</f>
        <v>12.103391999999999</v>
      </c>
      <c r="M17" s="253">
        <f>Assumptions!$Q$33*Assumptions!$Q$35*Assumptions!$Q$36*Assumptions!$Q$14/1000</f>
        <v>12.103391999999999</v>
      </c>
      <c r="N17" s="253">
        <f>Assumptions!$Q$33*Assumptions!$Q$35*Assumptions!$Q$36*Assumptions!$Q$14/1000</f>
        <v>12.103391999999999</v>
      </c>
      <c r="O17" s="253">
        <f>Assumptions!$Q$33*Assumptions!$Q$35*Assumptions!$Q$36*Assumptions!$Q$14/1000</f>
        <v>12.103391999999999</v>
      </c>
      <c r="P17" s="253">
        <f>Assumptions!$Q$33*Assumptions!$Q$35*Assumptions!$Q$36*Assumptions!$Q$14/1000</f>
        <v>12.103391999999999</v>
      </c>
      <c r="Q17" s="253">
        <f>Assumptions!$Q$33*Assumptions!$Q$35*Assumptions!$Q$36*Assumptions!$Q$14/1000</f>
        <v>12.103391999999999</v>
      </c>
      <c r="R17" s="253">
        <f>Assumptions!$Q$33*Assumptions!$Q$35*Assumptions!$Q$36*Assumptions!$Q$14/1000</f>
        <v>12.103391999999999</v>
      </c>
      <c r="S17" s="253">
        <f>Assumptions!$Q$33*Assumptions!$Q$35*Assumptions!$Q$36*Assumptions!$Q$14/1000</f>
        <v>12.103391999999999</v>
      </c>
      <c r="T17" s="253">
        <f>Assumptions!$Q$33*Assumptions!$Q$35*Assumptions!$Q$36*Assumptions!$Q$14/1000</f>
        <v>12.103391999999999</v>
      </c>
      <c r="U17" s="253">
        <f>Assumptions!$Q$33*Assumptions!$Q$35*Assumptions!$Q$36*Assumptions!$Q$14/1000</f>
        <v>12.103391999999999</v>
      </c>
      <c r="V17" s="253">
        <f>Assumptions!$Q$33*Assumptions!$Q$35*Assumptions!$Q$36*Assumptions!$Q$14/1000</f>
        <v>12.103391999999999</v>
      </c>
      <c r="W17" s="253">
        <f>Assumptions!$Q$33*Assumptions!$Q$35*Assumptions!$Q$36*Assumptions!$Q$14/1000</f>
        <v>12.103391999999999</v>
      </c>
      <c r="X17" s="253">
        <f>Assumptions!$Q$33*Assumptions!$Q$35*Assumptions!$Q$36*Assumptions!$Q$14/1000</f>
        <v>12.103391999999999</v>
      </c>
      <c r="Y17" s="253">
        <f>Assumptions!$Q$33*Assumptions!$Q$35*Assumptions!$Q$36*Assumptions!$Q$14/1000</f>
        <v>12.103391999999999</v>
      </c>
      <c r="Z17" s="253">
        <f>Assumptions!$Q$33*Assumptions!$Q$35*Assumptions!$Q$36*Assumptions!$Q$14/1000</f>
        <v>12.103391999999999</v>
      </c>
      <c r="AA17" s="140"/>
      <c r="AB17" s="140"/>
      <c r="AC17" s="140"/>
    </row>
    <row r="18" spans="1:29">
      <c r="A18" s="8"/>
      <c r="B18" s="12"/>
      <c r="C18" s="12"/>
      <c r="D18" s="12"/>
      <c r="E18" s="12"/>
      <c r="F18" s="12"/>
      <c r="H18" s="8"/>
      <c r="AA18" s="140"/>
      <c r="AB18" s="140"/>
      <c r="AC18" s="140"/>
    </row>
    <row r="19" spans="1:29">
      <c r="A19" s="4" t="s">
        <v>173</v>
      </c>
      <c r="E19" s="254">
        <f>(SUM(E10:E17)-SUM(E25:E35))*Assumptions!$B$34/4</f>
        <v>0</v>
      </c>
      <c r="F19" s="254">
        <f ca="1">(SUM(F10:F17)-SUM(F25:F35))*Assumptions!$B$34/4</f>
        <v>119.35103278591524</v>
      </c>
      <c r="G19" s="254">
        <f>(SUM(G10:G17)-SUM(G25:G35))*Assumptions!$B$34/4</f>
        <v>244.25783309919063</v>
      </c>
      <c r="H19" s="254">
        <f>(SUM(H10:H17)-SUM(H25:H35))*Assumptions!$B$34/4</f>
        <v>242.2745571804434</v>
      </c>
      <c r="I19" s="254">
        <f>(SUM(I10:I17)-SUM(I25:I35))*Assumptions!$B$34/4</f>
        <v>396.9243899882328</v>
      </c>
      <c r="J19" s="254">
        <f>(SUM(J10:J17)-SUM(J25:J35))*Assumptions!$B$34/4</f>
        <v>405.52375025533951</v>
      </c>
      <c r="K19" s="254">
        <f>(SUM(K10:K17)-SUM(K25:K35))*Assumptions!$B$34/4</f>
        <v>416.92691743643354</v>
      </c>
      <c r="L19" s="254">
        <f>(SUM(L10:L17)-SUM(L25:L35))*Assumptions!$B$34/4</f>
        <v>420.67635455213599</v>
      </c>
      <c r="M19" s="254">
        <f>(SUM(M10:M17)-SUM(M25:M35))*Assumptions!$B$34/4</f>
        <v>424.12477257067115</v>
      </c>
      <c r="N19" s="254">
        <f>(SUM(N10:N17)-SUM(N25:N35))*Assumptions!$B$34/4</f>
        <v>427.96628008542513</v>
      </c>
      <c r="O19" s="254">
        <f>(SUM(O10:O17)-SUM(O25:O35))*Assumptions!$B$34/4</f>
        <v>432.51126911813628</v>
      </c>
      <c r="P19" s="254">
        <f>(SUM(P10:P17)-SUM(P25:P35))*Assumptions!$B$34/4</f>
        <v>437.33331535098682</v>
      </c>
      <c r="Q19" s="254">
        <f>(SUM(Q10:Q17)-SUM(Q25:Q35))*Assumptions!$B$34/4</f>
        <v>439.91818534802371</v>
      </c>
      <c r="R19" s="254">
        <f>(SUM(R10:R17)-SUM(R25:R35))*Assumptions!$B$34/4</f>
        <v>444.22248902001979</v>
      </c>
      <c r="S19" s="254">
        <f>(SUM(S10:S17)-SUM(S25:S35))*Assumptions!$B$34/4</f>
        <v>439.15183391112879</v>
      </c>
      <c r="T19" s="254">
        <f>(SUM(T10:T17)-SUM(T25:T35))*Assumptions!$B$34/4</f>
        <v>442.94545876673186</v>
      </c>
      <c r="U19" s="254">
        <f>(SUM(U10:U17)-SUM(U25:U35))*Assumptions!$B$34/4</f>
        <v>446.53296116624392</v>
      </c>
      <c r="V19" s="254">
        <f>(SUM(V10:V17)-SUM(V25:V35))*Assumptions!$B$34/4</f>
        <v>450.07673343010106</v>
      </c>
      <c r="W19" s="254">
        <f>(SUM(W10:W17)-SUM(W25:W35))*Assumptions!$B$34/4</f>
        <v>453.40247294113891</v>
      </c>
      <c r="X19" s="254">
        <f>(SUM(X10:X17)-SUM(X25:X35))*Assumptions!$B$34/4</f>
        <v>456.65143082962499</v>
      </c>
      <c r="Y19" s="254">
        <f>(SUM(Y10:Y17)-SUM(Y25:Y35))*Assumptions!$B$34/4</f>
        <v>448.49614774622427</v>
      </c>
      <c r="Z19" s="254">
        <f>(SUM(Z10:Z17)-SUM(Z25:Z35))*Assumptions!$B$34/4</f>
        <v>461.23536908778345</v>
      </c>
      <c r="AC19" s="141"/>
    </row>
    <row r="20" spans="1:29">
      <c r="A20" s="4" t="s">
        <v>174</v>
      </c>
      <c r="E20" s="253">
        <f t="shared" ref="E20:Z20" si="1">SUM(E10:E19)</f>
        <v>0</v>
      </c>
      <c r="F20" s="253">
        <f t="shared" ca="1" si="1"/>
        <v>14215.989032785916</v>
      </c>
      <c r="G20" s="253">
        <f t="shared" si="1"/>
        <v>25705.394973099188</v>
      </c>
      <c r="H20" s="253">
        <f t="shared" si="1"/>
        <v>25790.445811380443</v>
      </c>
      <c r="I20" s="253">
        <f t="shared" si="1"/>
        <v>39222.25761641116</v>
      </c>
      <c r="J20" s="253">
        <f t="shared" si="1"/>
        <v>40395.253871710949</v>
      </c>
      <c r="K20" s="253">
        <f t="shared" si="1"/>
        <v>41605.985840775706</v>
      </c>
      <c r="L20" s="253">
        <f t="shared" si="1"/>
        <v>42218.97850335126</v>
      </c>
      <c r="M20" s="253">
        <f t="shared" si="1"/>
        <v>42831.16548037903</v>
      </c>
      <c r="N20" s="253">
        <f t="shared" si="1"/>
        <v>43442.662281562443</v>
      </c>
      <c r="O20" s="253">
        <f t="shared" si="1"/>
        <v>44053.166438299697</v>
      </c>
      <c r="P20" s="253">
        <f t="shared" si="1"/>
        <v>44661.602868950846</v>
      </c>
      <c r="Q20" s="253">
        <f t="shared" si="1"/>
        <v>45264.771289831813</v>
      </c>
      <c r="R20" s="253">
        <f t="shared" si="1"/>
        <v>45865.903207895339</v>
      </c>
      <c r="S20" s="253">
        <f t="shared" si="1"/>
        <v>45683.156826007755</v>
      </c>
      <c r="T20" s="253">
        <f t="shared" si="1"/>
        <v>46250.826529875005</v>
      </c>
      <c r="U20" s="253">
        <f t="shared" si="1"/>
        <v>46811.413964586776</v>
      </c>
      <c r="V20" s="253">
        <f t="shared" si="1"/>
        <v>47364.161465190416</v>
      </c>
      <c r="W20" s="253">
        <f t="shared" si="1"/>
        <v>47907.92565689137</v>
      </c>
      <c r="X20" s="253">
        <f t="shared" si="1"/>
        <v>48441.827590895373</v>
      </c>
      <c r="Y20" s="253">
        <f t="shared" si="1"/>
        <v>48034.068078509386</v>
      </c>
      <c r="Z20" s="253">
        <f t="shared" si="1"/>
        <v>48527.031203656399</v>
      </c>
      <c r="AC20" s="141"/>
    </row>
    <row r="21" spans="1:29">
      <c r="A21" s="4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C21" s="141"/>
    </row>
    <row r="22" spans="1:29" s="146" customFormat="1" ht="12" customHeight="1">
      <c r="A22" s="5"/>
      <c r="B22" s="5"/>
      <c r="C22" s="5"/>
      <c r="D22" s="5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9">
      <c r="A23" s="1" t="s">
        <v>175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9">
      <c r="A24" s="4" t="s">
        <v>176</v>
      </c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29">
      <c r="A25" s="4" t="s">
        <v>128</v>
      </c>
      <c r="E25" s="253">
        <v>0</v>
      </c>
      <c r="F25" s="253">
        <f>Assumptions!$Q56*Assumptions!Q53/12*(1+Assumptions!$Q$52)</f>
        <v>599.97500000000002</v>
      </c>
      <c r="G25" s="253">
        <f>Assumptions!$Q56*(1+Assumptions!$Q$52)^2</f>
        <v>1235.9485</v>
      </c>
      <c r="H25" s="187">
        <f>G25*(1+Assumptions!$Q$52)</f>
        <v>1273.026955</v>
      </c>
      <c r="I25" s="253">
        <f>H25*(1+Assumptions!$Q$52)</f>
        <v>1311.2177636500001</v>
      </c>
      <c r="J25" s="253">
        <f>I25*(1+Assumptions!$Q$52)</f>
        <v>1350.5542965595</v>
      </c>
      <c r="K25" s="253">
        <f>J25*(1+Assumptions!$Q$52)</f>
        <v>1391.0709254562851</v>
      </c>
      <c r="L25" s="253">
        <f>K25*(1+Assumptions!$Q$52)</f>
        <v>1432.8030532199737</v>
      </c>
      <c r="M25" s="253">
        <f>L25*(1+Assumptions!$Q$52)</f>
        <v>1475.7871448165729</v>
      </c>
      <c r="N25" s="253">
        <f>M25*(1+Assumptions!$Q$52)</f>
        <v>1520.0607591610701</v>
      </c>
      <c r="O25" s="253">
        <f>N25*(1+Assumptions!$Q$52)</f>
        <v>1565.6625819359022</v>
      </c>
      <c r="P25" s="253">
        <f>O25*(1+Assumptions!$Q$52)</f>
        <v>1612.6324593939792</v>
      </c>
      <c r="Q25" s="253">
        <f>P25*(1+Assumptions!$Q$52)</f>
        <v>1661.0114331757986</v>
      </c>
      <c r="R25" s="253">
        <f>Q25*(1+Assumptions!$Q$52)</f>
        <v>1710.8417761710725</v>
      </c>
      <c r="S25" s="253">
        <f>R25*(1+Assumptions!$Q$52)</f>
        <v>1762.1670294562048</v>
      </c>
      <c r="T25" s="253">
        <f>S25*(1+Assumptions!$Q$52)</f>
        <v>1815.032040339891</v>
      </c>
      <c r="U25" s="253">
        <f>T25*(1+Assumptions!$Q$52)</f>
        <v>1869.4830015500877</v>
      </c>
      <c r="V25" s="253">
        <f>U25*(1+Assumptions!$Q$52)</f>
        <v>1925.5674915965903</v>
      </c>
      <c r="W25" s="253">
        <f>V25*(1+Assumptions!$Q$52)</f>
        <v>1983.3345163444881</v>
      </c>
      <c r="X25" s="253">
        <f>W25*(1+Assumptions!$Q$52)</f>
        <v>2042.8345518348228</v>
      </c>
      <c r="Y25" s="253">
        <f>X25*(1+Assumptions!$Q$52)</f>
        <v>2104.1195883898677</v>
      </c>
      <c r="Z25" s="253">
        <f>Y25*(1+Assumptions!$Q$52)</f>
        <v>2167.2431760415639</v>
      </c>
    </row>
    <row r="26" spans="1:29">
      <c r="A26" s="4" t="s">
        <v>177</v>
      </c>
      <c r="E26" s="253">
        <v>0</v>
      </c>
      <c r="F26" s="253">
        <f>Assumptions!$Q59*(1+Assumptions!$Q$52)</f>
        <v>675.88600000000008</v>
      </c>
      <c r="G26" s="253">
        <f>F26*(1+Assumptions!$Q$52)</f>
        <v>696.16258000000005</v>
      </c>
      <c r="H26" s="187">
        <f>G26*(1+Assumptions!$Q$52)</f>
        <v>717.0474574000001</v>
      </c>
      <c r="I26" s="253">
        <f>Assumptions!$Q$60*(1+Assumptions!$Q$52)^(I5-$E$5)</f>
        <v>792.47053664015652</v>
      </c>
      <c r="J26" s="253">
        <f>Assumptions!$Q$60*(1+Assumptions!$Q$52)^(J5-$E$5)</f>
        <v>816.24465273936119</v>
      </c>
      <c r="K26" s="253">
        <f>J26*(1+Assumptions!$Q$52)</f>
        <v>840.73199232154207</v>
      </c>
      <c r="L26" s="253">
        <f>K26*(1+Assumptions!$Q$52)</f>
        <v>865.9539520911884</v>
      </c>
      <c r="M26" s="253">
        <f>L26*(1+Assumptions!$Q$52)</f>
        <v>891.93257065392402</v>
      </c>
      <c r="N26" s="253">
        <f>M26*(1+Assumptions!$Q$52)</f>
        <v>918.69054777354177</v>
      </c>
      <c r="O26" s="253">
        <f>N26*(1+Assumptions!$Q$52)</f>
        <v>946.25126420674803</v>
      </c>
      <c r="P26" s="253">
        <f>O26*(1+Assumptions!$Q$52)</f>
        <v>974.63880213295045</v>
      </c>
      <c r="Q26" s="253">
        <f>P26*(1+Assumptions!$Q$52)</f>
        <v>1003.8779661969389</v>
      </c>
      <c r="R26" s="253">
        <f>Q26*(1+Assumptions!$Q$52)</f>
        <v>1033.994305182847</v>
      </c>
      <c r="S26" s="253">
        <f>R26*(1+Assumptions!$Q$52)</f>
        <v>1065.0141343383325</v>
      </c>
      <c r="T26" s="253">
        <f>S26*(1+Assumptions!$Q$52)</f>
        <v>1096.9645583684826</v>
      </c>
      <c r="U26" s="253">
        <f>T26*(1+Assumptions!$Q$52)</f>
        <v>1129.873495119537</v>
      </c>
      <c r="V26" s="253">
        <f>U26*(1+Assumptions!$Q$52)</f>
        <v>1163.7696999731231</v>
      </c>
      <c r="W26" s="253">
        <f>V26*(1+Assumptions!$Q$52)</f>
        <v>1198.6827909723168</v>
      </c>
      <c r="X26" s="253">
        <f>W26*(1+Assumptions!$Q$52)</f>
        <v>1234.6432747014862</v>
      </c>
      <c r="Y26" s="253">
        <f>X26*(1+Assumptions!$Q$52)</f>
        <v>1271.6825729425309</v>
      </c>
      <c r="Z26" s="253">
        <f>Y26*(1+Assumptions!$Q$52)</f>
        <v>1309.8330501308069</v>
      </c>
    </row>
    <row r="27" spans="1:29">
      <c r="A27" s="4" t="s">
        <v>131</v>
      </c>
      <c r="E27" s="253">
        <v>0</v>
      </c>
      <c r="F27" s="253">
        <f>VLOOKUP(Assumptions!Q19,'EGC Start Charge Matrix'!$U$10:$AM$35,18)*(1+Assumptions!$Q$52)</f>
        <v>2140.752</v>
      </c>
      <c r="G27" s="253">
        <f>F27*(1+Assumptions!$Q$52)</f>
        <v>2204.9745600000001</v>
      </c>
      <c r="H27" s="253">
        <f>G27*(1+Assumptions!$Q$52)</f>
        <v>2271.1237968</v>
      </c>
      <c r="I27" s="253">
        <f>H27*(1+Assumptions!$Q$52)</f>
        <v>2339.2575107040002</v>
      </c>
      <c r="J27" s="253">
        <f>I27*(1+Assumptions!$Q$52)</f>
        <v>2409.43523602512</v>
      </c>
      <c r="K27" s="253">
        <f>J27*(1+Assumptions!$Q$52)</f>
        <v>2481.7182931058737</v>
      </c>
      <c r="L27" s="253">
        <f>K27*(1+Assumptions!$Q$52)</f>
        <v>2556.16984189905</v>
      </c>
      <c r="M27" s="253">
        <f>L27*(1+Assumptions!$Q$52)</f>
        <v>2632.8549371560216</v>
      </c>
      <c r="N27" s="253">
        <f>M27*(1+Assumptions!$Q$52)</f>
        <v>2711.8405852707024</v>
      </c>
      <c r="O27" s="253">
        <f>N27*(1+Assumptions!$Q$52)</f>
        <v>2793.1958028288236</v>
      </c>
      <c r="P27" s="253">
        <f>O27*(1+Assumptions!$Q$52)</f>
        <v>2876.9916769136885</v>
      </c>
      <c r="Q27" s="253">
        <f>P27*(1+Assumptions!$Q$52)</f>
        <v>2963.3014272210994</v>
      </c>
      <c r="R27" s="253">
        <f>Q27*(1+Assumptions!$Q$52)</f>
        <v>3052.2004700377324</v>
      </c>
      <c r="S27" s="253">
        <f>R27*(1+Assumptions!$Q$52)</f>
        <v>3143.7664841388646</v>
      </c>
      <c r="T27" s="253">
        <f>S27*(1+Assumptions!$Q$52)</f>
        <v>3238.0794786630308</v>
      </c>
      <c r="U27" s="253">
        <f>T27*(1+Assumptions!$Q$52)</f>
        <v>3335.2218630229218</v>
      </c>
      <c r="V27" s="253">
        <f>U27*(1+Assumptions!$Q$52)</f>
        <v>3435.2785189136093</v>
      </c>
      <c r="W27" s="253">
        <f>V27*(1+Assumptions!$Q$52)</f>
        <v>3538.3368744810177</v>
      </c>
      <c r="X27" s="253">
        <f>W27*(1+Assumptions!$Q$52)</f>
        <v>3644.4869807154482</v>
      </c>
      <c r="Y27" s="253">
        <f>X27*(1+Assumptions!$Q$52)</f>
        <v>3753.8215901369117</v>
      </c>
      <c r="Z27" s="253">
        <f>Y27*(1+Assumptions!$Q$52)</f>
        <v>3866.4362378410192</v>
      </c>
    </row>
    <row r="28" spans="1:29">
      <c r="A28" s="4" t="s">
        <v>133</v>
      </c>
      <c r="E28" s="253">
        <v>0</v>
      </c>
      <c r="F28" s="253">
        <f>Assumptions!$Q62*Assumptions!Q53/12*(1+Assumptions!$Q$52)</f>
        <v>136.47499999999999</v>
      </c>
      <c r="G28" s="253">
        <f>Assumptions!$Q62*(1+Assumptions!$Q$52)^2</f>
        <v>281.13849999999996</v>
      </c>
      <c r="H28" s="187">
        <f>G28*(1+Assumptions!$Q$52)</f>
        <v>289.572655</v>
      </c>
      <c r="I28" s="253">
        <f>H28*(1+Assumptions!$Q$52)</f>
        <v>298.25983465000002</v>
      </c>
      <c r="J28" s="253">
        <f>I28*(1+Assumptions!$Q$52)</f>
        <v>307.20762968950004</v>
      </c>
      <c r="K28" s="253">
        <f>J28*(1+Assumptions!$Q$52)</f>
        <v>316.42385858018503</v>
      </c>
      <c r="L28" s="253">
        <f>K28*(1+Assumptions!$Q$52)</f>
        <v>325.91657433759059</v>
      </c>
      <c r="M28" s="253">
        <f>L28*(1+Assumptions!$Q$52)</f>
        <v>335.69407156771831</v>
      </c>
      <c r="N28" s="253">
        <f>M28*(1+Assumptions!$Q$52)</f>
        <v>345.76489371474986</v>
      </c>
      <c r="O28" s="253">
        <f>N28*(1+Assumptions!$Q$52)</f>
        <v>356.13784052619235</v>
      </c>
      <c r="P28" s="253">
        <f>O28*(1+Assumptions!$Q$52)</f>
        <v>366.82197574197812</v>
      </c>
      <c r="Q28" s="253">
        <f>P28*(1+Assumptions!$Q$52)</f>
        <v>377.82663501423747</v>
      </c>
      <c r="R28" s="253">
        <f>Q28*(1+Assumptions!$Q$52)</f>
        <v>389.1614340646646</v>
      </c>
      <c r="S28" s="253">
        <f>R28*(1+Assumptions!$Q$52)</f>
        <v>400.83627708660453</v>
      </c>
      <c r="T28" s="253">
        <f>S28*(1+Assumptions!$Q$52)</f>
        <v>412.86136539920267</v>
      </c>
      <c r="U28" s="253">
        <f>T28*(1+Assumptions!$Q$52)</f>
        <v>425.24720636117877</v>
      </c>
      <c r="V28" s="253">
        <f>U28*(1+Assumptions!$Q$52)</f>
        <v>438.00462255201415</v>
      </c>
      <c r="W28" s="253">
        <f>V28*(1+Assumptions!$Q$52)</f>
        <v>451.14476122857457</v>
      </c>
      <c r="X28" s="253">
        <f>W28*(1+Assumptions!$Q$52)</f>
        <v>464.67910406543183</v>
      </c>
      <c r="Y28" s="253">
        <f>X28*(1+Assumptions!$Q$52)</f>
        <v>478.61947718739481</v>
      </c>
      <c r="Z28" s="253">
        <f>Y28*(1+Assumptions!$Q$52)</f>
        <v>492.97806150301665</v>
      </c>
    </row>
    <row r="29" spans="1:29">
      <c r="A29" s="4" t="s">
        <v>134</v>
      </c>
      <c r="E29" s="253">
        <v>0</v>
      </c>
      <c r="F29" s="253">
        <f>Assumptions!$Q63*Assumptions!Q53/12*(1+Assumptions!$Q$52)</f>
        <v>168.405</v>
      </c>
      <c r="G29" s="253">
        <f>(Assumptions!$Q63)*(1+Assumptions!$Q$52)^2</f>
        <v>346.91429999999997</v>
      </c>
      <c r="H29" s="187">
        <f>G29*(1+Assumptions!$Q$52)</f>
        <v>357.321729</v>
      </c>
      <c r="I29" s="253">
        <f>H29*(1+Assumptions!$Q$52)</f>
        <v>368.04138087000001</v>
      </c>
      <c r="J29" s="253">
        <f>I29*(1+Assumptions!$Q$52)</f>
        <v>379.0826222961</v>
      </c>
      <c r="K29" s="253">
        <f>J29*(1+Assumptions!$Q$52)</f>
        <v>390.45510096498299</v>
      </c>
      <c r="L29" s="253">
        <f>K29*(1+Assumptions!$Q$52)</f>
        <v>402.16875399393251</v>
      </c>
      <c r="M29" s="253">
        <f>L29*(1+Assumptions!$Q$52)</f>
        <v>414.23381661375049</v>
      </c>
      <c r="N29" s="253">
        <f>M29*(1+Assumptions!$Q$52)</f>
        <v>426.66083111216301</v>
      </c>
      <c r="O29" s="253">
        <f>N29*(1+Assumptions!$Q$52)</f>
        <v>439.46065604552791</v>
      </c>
      <c r="P29" s="253">
        <f>O29*(1+Assumptions!$Q$52)</f>
        <v>452.64447572689375</v>
      </c>
      <c r="Q29" s="253">
        <f>P29*(1+Assumptions!$Q$52)</f>
        <v>466.22380999870057</v>
      </c>
      <c r="R29" s="253">
        <f>Q29*(1+Assumptions!$Q$52)</f>
        <v>480.2105242986616</v>
      </c>
      <c r="S29" s="253">
        <f>R29*(1+Assumptions!$Q$52)</f>
        <v>494.61684002762144</v>
      </c>
      <c r="T29" s="253">
        <f>S29*(1+Assumptions!$Q$52)</f>
        <v>509.45534522845008</v>
      </c>
      <c r="U29" s="253">
        <f>T29*(1+Assumptions!$Q$52)</f>
        <v>524.73900558530363</v>
      </c>
      <c r="V29" s="253">
        <f>U29*(1+Assumptions!$Q$52)</f>
        <v>540.48117575286278</v>
      </c>
      <c r="W29" s="253">
        <f>V29*(1+Assumptions!$Q$52)</f>
        <v>556.69561102544867</v>
      </c>
      <c r="X29" s="253">
        <f>W29*(1+Assumptions!$Q$52)</f>
        <v>573.39647935621213</v>
      </c>
      <c r="Y29" s="253">
        <f>X29*(1+Assumptions!$Q$52)</f>
        <v>590.59837373689845</v>
      </c>
      <c r="Z29" s="253">
        <f>Y29*(1+Assumptions!$Q$52)</f>
        <v>608.31632494900543</v>
      </c>
    </row>
    <row r="30" spans="1:29">
      <c r="A30" s="4" t="s">
        <v>287</v>
      </c>
      <c r="E30" s="253">
        <v>0</v>
      </c>
      <c r="F30" s="253">
        <f>+Assumptions!Q64*(1+Assumptions!$Q$52)</f>
        <v>97.850000000000009</v>
      </c>
      <c r="G30" s="253">
        <f>(Assumptions!$Q64)*(1+Assumptions!$Q$52)^2</f>
        <v>100.7855</v>
      </c>
      <c r="H30" s="253">
        <f>G30*(1+Assumptions!$Q$52)</f>
        <v>103.809065</v>
      </c>
      <c r="I30" s="253">
        <f>H30*(1+Assumptions!$Q$52)</f>
        <v>106.92333695000001</v>
      </c>
      <c r="J30" s="253">
        <f>I30*(1+Assumptions!$Q$52)</f>
        <v>110.13103705850001</v>
      </c>
      <c r="K30" s="253">
        <f>J30*(1+Assumptions!$Q$52)</f>
        <v>113.43496817025502</v>
      </c>
      <c r="L30" s="253">
        <f>K30*(1+Assumptions!$Q$52)</f>
        <v>116.83801721536267</v>
      </c>
      <c r="M30" s="253">
        <f>L30*(1+Assumptions!$Q$52)</f>
        <v>120.34315773182355</v>
      </c>
      <c r="N30" s="253">
        <f>M30*(1+Assumptions!$Q$52)</f>
        <v>123.95345246377826</v>
      </c>
      <c r="O30" s="253">
        <f>N30*(1+Assumptions!$Q$52)</f>
        <v>127.67205603769162</v>
      </c>
      <c r="P30" s="253">
        <f>O30*(1+Assumptions!$Q$52)</f>
        <v>131.50221771882238</v>
      </c>
      <c r="Q30" s="253">
        <f>P30*(1+Assumptions!$Q$52)</f>
        <v>135.44728425038704</v>
      </c>
      <c r="R30" s="253">
        <f>Q30*(1+Assumptions!$Q$52)</f>
        <v>139.51070277789864</v>
      </c>
      <c r="S30" s="253">
        <f>R30*(1+Assumptions!$Q$52)</f>
        <v>143.6960238612356</v>
      </c>
      <c r="T30" s="253">
        <f>S30*(1+Assumptions!$Q$52)</f>
        <v>148.00690457707267</v>
      </c>
      <c r="U30" s="253">
        <f>T30*(1+Assumptions!$Q$52)</f>
        <v>152.44711171438485</v>
      </c>
      <c r="V30" s="253">
        <f>U30*(1+Assumptions!$Q$52)</f>
        <v>157.0205250658164</v>
      </c>
      <c r="W30" s="253">
        <f>V30*(1+Assumptions!$Q$52)</f>
        <v>161.7311408177909</v>
      </c>
      <c r="X30" s="253">
        <f>W30*(1+Assumptions!$Q$52)</f>
        <v>166.58307504232462</v>
      </c>
      <c r="Y30" s="253">
        <f>X30*(1+Assumptions!$Q$52)</f>
        <v>171.58056729359436</v>
      </c>
      <c r="Z30" s="253">
        <f>Y30*(1+Assumptions!$Q$52)</f>
        <v>176.72798431240219</v>
      </c>
    </row>
    <row r="31" spans="1:29">
      <c r="A31" s="4" t="s">
        <v>288</v>
      </c>
      <c r="E31" s="253">
        <v>0</v>
      </c>
      <c r="F31" s="253">
        <v>335.11988732968001</v>
      </c>
      <c r="G31" s="253">
        <v>305.53364568000001</v>
      </c>
      <c r="H31" s="187">
        <v>393.96724110845196</v>
      </c>
      <c r="I31" s="253">
        <v>665.74477949137747</v>
      </c>
      <c r="J31" s="253">
        <v>959.06662782192916</v>
      </c>
      <c r="K31" s="253">
        <v>1057.5220431244693</v>
      </c>
      <c r="L31" s="253">
        <v>1172.5316868717089</v>
      </c>
      <c r="M31" s="253">
        <v>1305.2898335680304</v>
      </c>
      <c r="N31" s="253">
        <v>1399.5143461013572</v>
      </c>
      <c r="O31" s="253">
        <v>1429.580905835357</v>
      </c>
      <c r="P31" s="253">
        <v>1467.4053530156434</v>
      </c>
      <c r="Q31" s="253">
        <v>1647.7055532999468</v>
      </c>
      <c r="R31" s="253">
        <v>1668.8480706844998</v>
      </c>
      <c r="S31" s="253">
        <v>1663.088395112042</v>
      </c>
      <c r="T31" s="253">
        <v>1682.609527553574</v>
      </c>
      <c r="U31" s="253">
        <v>1701.6394223576256</v>
      </c>
      <c r="V31" s="253">
        <v>1720.138770763951</v>
      </c>
      <c r="W31" s="253">
        <v>1746.6602556005637</v>
      </c>
      <c r="X31" s="253">
        <v>1776.004310876915</v>
      </c>
      <c r="Y31" s="253">
        <v>1778.1941350779553</v>
      </c>
      <c r="Z31" s="253">
        <v>945.41649859800009</v>
      </c>
    </row>
    <row r="32" spans="1:29">
      <c r="A32" s="4" t="s">
        <v>289</v>
      </c>
      <c r="E32" s="253">
        <v>0</v>
      </c>
      <c r="F32" s="253">
        <f ca="1">Allocation!$I$14*IS!E31*7/12</f>
        <v>181.5881645375853</v>
      </c>
      <c r="G32" s="253">
        <f>Allocation!$I$14*IS!F31</f>
        <v>311.29399635014624</v>
      </c>
      <c r="H32" s="253">
        <f>Allocation!$I$14*IS!G31</f>
        <v>309.44610312043477</v>
      </c>
      <c r="I32" s="253">
        <f>Allocation!$I$14*IS!H31</f>
        <v>301.42973675306013</v>
      </c>
      <c r="J32" s="253">
        <f>Allocation!$I$14*IS!I31</f>
        <v>301.42973675306013</v>
      </c>
      <c r="K32" s="253">
        <f>Allocation!$I$14*IS!J31</f>
        <v>301.42973675306013</v>
      </c>
      <c r="L32" s="253">
        <f>Allocation!$I$14*IS!K31</f>
        <v>301.42973675306013</v>
      </c>
      <c r="M32" s="253">
        <f>Allocation!$I$14*IS!L31</f>
        <v>301.42973675306013</v>
      </c>
      <c r="N32" s="253">
        <f>Allocation!$I$14*IS!M31</f>
        <v>301.42973675306013</v>
      </c>
      <c r="O32" s="253">
        <f>Allocation!$I$14*IS!N31</f>
        <v>301.42973675306013</v>
      </c>
      <c r="P32" s="253">
        <f>Allocation!$I$14*IS!O31</f>
        <v>262.79368544875098</v>
      </c>
      <c r="Q32" s="253">
        <f>Allocation!$I$14*IS!P31</f>
        <v>251.06527767373771</v>
      </c>
      <c r="R32" s="253">
        <f>Allocation!$I$14*IS!Q31</f>
        <v>250.42725755098007</v>
      </c>
      <c r="S32" s="253">
        <f>Allocation!$I$14*IS!R31</f>
        <v>245.22542698487763</v>
      </c>
      <c r="T32" s="253">
        <f>Allocation!$I$14*IS!S31</f>
        <v>239.98405139346144</v>
      </c>
      <c r="U32" s="253">
        <f>Allocation!$I$14*IS!T31</f>
        <v>237.46437321602573</v>
      </c>
      <c r="V32" s="253">
        <f>Allocation!$I$14*IS!U31</f>
        <v>223.57276260449385</v>
      </c>
      <c r="W32" s="253">
        <f>Allocation!$I$14*IS!V31</f>
        <v>202.50353335525097</v>
      </c>
      <c r="X32" s="253">
        <f>Allocation!$I$14*IS!W31</f>
        <v>166.90097632443778</v>
      </c>
      <c r="Y32" s="253">
        <f>Allocation!$I$14*IS!X31</f>
        <v>132.22487729802523</v>
      </c>
      <c r="Z32" s="253">
        <f>Allocation!$I$14*IS!Y31</f>
        <v>132.22487729802523</v>
      </c>
    </row>
    <row r="33" spans="1:26">
      <c r="A33" s="4" t="s">
        <v>180</v>
      </c>
      <c r="E33" s="253">
        <v>0</v>
      </c>
      <c r="F33" s="253">
        <v>0</v>
      </c>
      <c r="G33" s="253">
        <v>0</v>
      </c>
      <c r="H33" s="253">
        <v>0</v>
      </c>
      <c r="I33" s="135">
        <f>Assumptions!$Q$50*Assumptions!$Q$33*12</f>
        <v>423.61872000000005</v>
      </c>
      <c r="J33" s="135">
        <f>Assumptions!$Q$50*Assumptions!$Q$33*12*(1+Assumptions!Q52)</f>
        <v>436.32728160000005</v>
      </c>
      <c r="K33" s="135">
        <f>J33*(1+Assumptions!$Q$52)</f>
        <v>449.41710004800007</v>
      </c>
      <c r="L33" s="135">
        <f>K33*(1+Assumptions!$Q$52)</f>
        <v>462.89961304944006</v>
      </c>
      <c r="M33" s="135">
        <f>L33*(1+Assumptions!$Q$52)</f>
        <v>476.78660144092328</v>
      </c>
      <c r="N33" s="135">
        <f>M33*(1+Assumptions!$Q$52)</f>
        <v>491.09019948415101</v>
      </c>
      <c r="O33" s="135">
        <f>N33*(1+Assumptions!$Q$52)</f>
        <v>505.82290546867557</v>
      </c>
      <c r="P33" s="135">
        <f>O33*(1+Assumptions!$Q$52)</f>
        <v>520.99759263273586</v>
      </c>
      <c r="Q33" s="135">
        <f>P33*(1+Assumptions!$Q$52)</f>
        <v>536.62752041171791</v>
      </c>
      <c r="R33" s="135">
        <f>Q33*(1+Assumptions!$Q$52)</f>
        <v>552.72634602406947</v>
      </c>
      <c r="S33" s="135">
        <f>R33*(1+Assumptions!$Q$52)</f>
        <v>569.30813640479153</v>
      </c>
      <c r="T33" s="135">
        <f>S33*(1+Assumptions!$Q$52)</f>
        <v>586.38738049693529</v>
      </c>
      <c r="U33" s="135">
        <f>T33*(1+Assumptions!$Q$52)</f>
        <v>603.9790019118434</v>
      </c>
      <c r="V33" s="135">
        <f>U33*(1+Assumptions!$Q$52)</f>
        <v>622.09837196919875</v>
      </c>
      <c r="W33" s="135">
        <f>V33*(1+Assumptions!$Q$52)</f>
        <v>640.76132312827474</v>
      </c>
      <c r="X33" s="135">
        <f>W33*(1+Assumptions!$Q$52)</f>
        <v>659.98416282212304</v>
      </c>
      <c r="Y33" s="135">
        <f>X33*(1+Assumptions!$Q$52)</f>
        <v>679.78368770678674</v>
      </c>
      <c r="Z33" s="135">
        <f>Y33*(1+Assumptions!$Q$52)</f>
        <v>700.17719833799038</v>
      </c>
    </row>
    <row r="34" spans="1:26">
      <c r="A34" s="4" t="s">
        <v>181</v>
      </c>
      <c r="E34" s="253">
        <v>0</v>
      </c>
      <c r="F34" s="253">
        <f>Assumptions!$Q65*Assumptions!Q53/12*(1+Assumptions!$Q$52)</f>
        <v>83.754325259515568</v>
      </c>
      <c r="G34" s="255">
        <f>Assumptions!$Q65*(1+Assumptions!$Q$52)^2</f>
        <v>172.53391003460206</v>
      </c>
      <c r="H34" s="255">
        <f>G34*(1+Assumptions!$Q$52)</f>
        <v>177.70992733564012</v>
      </c>
      <c r="I34" s="255">
        <f>H34*(1+Assumptions!$Q$52)</f>
        <v>183.04122515570933</v>
      </c>
      <c r="J34" s="255">
        <f>I34*(1+Assumptions!$Q$52)</f>
        <v>188.53246191038062</v>
      </c>
      <c r="K34" s="255">
        <f>J34*(1+Assumptions!$Q$52)</f>
        <v>194.18843576769206</v>
      </c>
      <c r="L34" s="255">
        <f>K34*(1+Assumptions!$Q$52)</f>
        <v>200.01408884072282</v>
      </c>
      <c r="M34" s="255">
        <f>L34*(1+Assumptions!$Q$52)</f>
        <v>206.01451150594451</v>
      </c>
      <c r="N34" s="255">
        <f>M34*(1+Assumptions!$Q$52)</f>
        <v>212.19494685112286</v>
      </c>
      <c r="O34" s="255">
        <f>N34*(1+Assumptions!$Q$52)</f>
        <v>218.56079525665655</v>
      </c>
      <c r="P34" s="255">
        <f>O34*(1+Assumptions!$Q$52)</f>
        <v>225.11761911435624</v>
      </c>
      <c r="Q34" s="255">
        <f>P34*(1+Assumptions!$Q$52)</f>
        <v>231.87114768778693</v>
      </c>
      <c r="R34" s="255">
        <f>Q34*(1+Assumptions!$Q$52)</f>
        <v>238.82728211842056</v>
      </c>
      <c r="S34" s="255">
        <f>R34*(1+Assumptions!$Q$52)</f>
        <v>245.99210058197318</v>
      </c>
      <c r="T34" s="255">
        <f>S34*(1+Assumptions!$Q$52)</f>
        <v>253.37186359943237</v>
      </c>
      <c r="U34" s="255">
        <f>T34*(1+Assumptions!$Q$52)</f>
        <v>260.97301950741536</v>
      </c>
      <c r="V34" s="255">
        <f>U34*(1+Assumptions!$Q$52)</f>
        <v>268.80221009263784</v>
      </c>
      <c r="W34" s="255">
        <f>V34*(1+Assumptions!$Q$52)</f>
        <v>276.866276395417</v>
      </c>
      <c r="X34" s="255">
        <f>W34*(1+Assumptions!$Q$52)</f>
        <v>285.17226468727949</v>
      </c>
      <c r="Y34" s="255">
        <f>X34*(1+Assumptions!$Q$52)</f>
        <v>293.72743262789788</v>
      </c>
      <c r="Z34" s="255">
        <f>Y34*(1+Assumptions!$Q$52)</f>
        <v>302.53925560673486</v>
      </c>
    </row>
    <row r="35" spans="1:26">
      <c r="A35" s="4" t="s">
        <v>182</v>
      </c>
      <c r="B35" s="8"/>
      <c r="C35" s="8"/>
      <c r="D35" s="8"/>
      <c r="E35" s="254">
        <v>0</v>
      </c>
      <c r="F35" s="254">
        <f>Assumptions!$Q66*Assumptions!Q53/12*(1+Assumptions!$Q$52)</f>
        <v>128.75</v>
      </c>
      <c r="G35" s="254">
        <f>Assumptions!$Q66*(1+Assumptions!$Q$52)^2</f>
        <v>265.22499999999997</v>
      </c>
      <c r="H35" s="254">
        <f>G35*(1+Assumptions!$Q$52)</f>
        <v>273.18174999999997</v>
      </c>
      <c r="I35" s="254">
        <f>H35*(1+Assumptions!$Q$52)</f>
        <v>281.37720249999995</v>
      </c>
      <c r="J35" s="254">
        <f>I35*(1+Assumptions!$Q$52)</f>
        <v>289.81851857499998</v>
      </c>
      <c r="K35" s="254">
        <f>J35*(1+Assumptions!$Q$52)</f>
        <v>298.51307413224998</v>
      </c>
      <c r="L35" s="254">
        <f>K35*(1+Assumptions!$Q$52)</f>
        <v>307.4684663562175</v>
      </c>
      <c r="M35" s="254">
        <f>L35*(1+Assumptions!$Q$52)</f>
        <v>316.69252034690402</v>
      </c>
      <c r="N35" s="254">
        <f>M35*(1+Assumptions!$Q$52)</f>
        <v>326.19329595731114</v>
      </c>
      <c r="O35" s="254">
        <f>N35*(1+Assumptions!$Q$52)</f>
        <v>335.97909483603047</v>
      </c>
      <c r="P35" s="254">
        <f>O35*(1+Assumptions!$Q$52)</f>
        <v>346.05846768111138</v>
      </c>
      <c r="Q35" s="254">
        <f>P35*(1+Assumptions!$Q$52)</f>
        <v>356.44022171154472</v>
      </c>
      <c r="R35" s="254">
        <f>Q35*(1+Assumptions!$Q$52)</f>
        <v>367.1334283628911</v>
      </c>
      <c r="S35" s="254">
        <f>R35*(1+Assumptions!$Q$52)</f>
        <v>378.14743121377785</v>
      </c>
      <c r="T35" s="254">
        <f>S35*(1+Assumptions!$Q$52)</f>
        <v>389.49185415019122</v>
      </c>
      <c r="U35" s="254">
        <f>T35*(1+Assumptions!$Q$52)</f>
        <v>401.17660977469694</v>
      </c>
      <c r="V35" s="254">
        <f>U35*(1+Assumptions!$Q$52)</f>
        <v>413.21190806793788</v>
      </c>
      <c r="W35" s="254">
        <f>V35*(1+Assumptions!$Q$52)</f>
        <v>425.60826530997605</v>
      </c>
      <c r="X35" s="254">
        <f>W35*(1+Assumptions!$Q$52)</f>
        <v>438.37651326927534</v>
      </c>
      <c r="Y35" s="254">
        <f>X35*(1+Assumptions!$Q$52)</f>
        <v>451.52780866735361</v>
      </c>
      <c r="Z35" s="254">
        <f>Y35*(1+Assumptions!$Q$52)</f>
        <v>465.07364292737424</v>
      </c>
    </row>
    <row r="36" spans="1:26">
      <c r="A36" s="4" t="s">
        <v>183</v>
      </c>
      <c r="B36" s="8"/>
      <c r="C36" s="8"/>
      <c r="D36" s="8"/>
      <c r="E36" s="253">
        <f t="shared" ref="E36:Z36" si="2">SUM(E24:E35)</f>
        <v>0</v>
      </c>
      <c r="F36" s="253">
        <f t="shared" ca="1" si="2"/>
        <v>4548.5553771267823</v>
      </c>
      <c r="G36" s="253">
        <f t="shared" si="2"/>
        <v>5920.5104920647491</v>
      </c>
      <c r="H36" s="187">
        <f t="shared" si="2"/>
        <v>6166.2066797645266</v>
      </c>
      <c r="I36" s="253">
        <f t="shared" si="2"/>
        <v>7071.3820273643032</v>
      </c>
      <c r="J36" s="253">
        <f t="shared" si="2"/>
        <v>7547.8301010284495</v>
      </c>
      <c r="K36" s="253">
        <f t="shared" si="2"/>
        <v>7834.9055284245951</v>
      </c>
      <c r="L36" s="253">
        <f t="shared" si="2"/>
        <v>8144.1937846282472</v>
      </c>
      <c r="M36" s="253">
        <f t="shared" si="2"/>
        <v>8477.058902154673</v>
      </c>
      <c r="N36" s="253">
        <f t="shared" si="2"/>
        <v>8777.3935946430083</v>
      </c>
      <c r="O36" s="253">
        <f t="shared" si="2"/>
        <v>9019.7536397306649</v>
      </c>
      <c r="P36" s="253">
        <f t="shared" si="2"/>
        <v>9237.6043255209115</v>
      </c>
      <c r="Q36" s="253">
        <f t="shared" si="2"/>
        <v>9631.398276641894</v>
      </c>
      <c r="R36" s="253">
        <f t="shared" si="2"/>
        <v>9883.8815972737375</v>
      </c>
      <c r="S36" s="253">
        <f t="shared" si="2"/>
        <v>10111.858279206326</v>
      </c>
      <c r="T36" s="253">
        <f t="shared" si="2"/>
        <v>10372.244369769724</v>
      </c>
      <c r="U36" s="253">
        <f t="shared" si="2"/>
        <v>10642.244110121021</v>
      </c>
      <c r="V36" s="253">
        <f t="shared" si="2"/>
        <v>10907.946057352237</v>
      </c>
      <c r="W36" s="253">
        <f t="shared" si="2"/>
        <v>11182.325348659118</v>
      </c>
      <c r="X36" s="253">
        <f t="shared" si="2"/>
        <v>11453.061693695756</v>
      </c>
      <c r="Y36" s="253">
        <f t="shared" si="2"/>
        <v>11705.880111065218</v>
      </c>
      <c r="Z36" s="253">
        <f t="shared" si="2"/>
        <v>11166.966307545939</v>
      </c>
    </row>
    <row r="37" spans="1:26" s="146" customFormat="1" ht="9" outlineLevel="1">
      <c r="A37" s="6"/>
      <c r="B37" s="143"/>
      <c r="C37" s="143"/>
      <c r="D37" s="143"/>
      <c r="E37" s="256"/>
      <c r="F37" s="257"/>
      <c r="G37" s="276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 s="5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>
      <c r="A39" s="1" t="s">
        <v>184</v>
      </c>
      <c r="B39" s="1"/>
      <c r="C39" s="1"/>
      <c r="D39" s="1"/>
      <c r="E39" s="259">
        <f t="shared" ref="E39:Z39" si="3">E20-E36</f>
        <v>0</v>
      </c>
      <c r="F39" s="259">
        <f t="shared" ca="1" si="3"/>
        <v>9667.4336556591334</v>
      </c>
      <c r="G39" s="259">
        <f t="shared" si="3"/>
        <v>19784.884481034438</v>
      </c>
      <c r="H39" s="260">
        <f t="shared" si="3"/>
        <v>19624.239131615916</v>
      </c>
      <c r="I39" s="259">
        <f t="shared" si="3"/>
        <v>32150.875589046856</v>
      </c>
      <c r="J39" s="259">
        <f t="shared" si="3"/>
        <v>32847.423770682501</v>
      </c>
      <c r="K39" s="259">
        <f t="shared" si="3"/>
        <v>33771.080312351114</v>
      </c>
      <c r="L39" s="259">
        <f t="shared" si="3"/>
        <v>34074.784718723015</v>
      </c>
      <c r="M39" s="259">
        <f t="shared" si="3"/>
        <v>34354.106578224353</v>
      </c>
      <c r="N39" s="259">
        <f t="shared" si="3"/>
        <v>34665.268686919437</v>
      </c>
      <c r="O39" s="259">
        <f t="shared" si="3"/>
        <v>35033.412798569028</v>
      </c>
      <c r="P39" s="259">
        <f t="shared" si="3"/>
        <v>35423.998543429931</v>
      </c>
      <c r="Q39" s="259">
        <f t="shared" si="3"/>
        <v>35633.373013189921</v>
      </c>
      <c r="R39" s="259">
        <f t="shared" si="3"/>
        <v>35982.021610621603</v>
      </c>
      <c r="S39" s="259">
        <f t="shared" si="3"/>
        <v>35571.29854680143</v>
      </c>
      <c r="T39" s="259">
        <f t="shared" si="3"/>
        <v>35878.582160105281</v>
      </c>
      <c r="U39" s="259">
        <f t="shared" si="3"/>
        <v>36169.169854465756</v>
      </c>
      <c r="V39" s="259">
        <f t="shared" si="3"/>
        <v>36456.215407838179</v>
      </c>
      <c r="W39" s="259">
        <f t="shared" si="3"/>
        <v>36725.60030823225</v>
      </c>
      <c r="X39" s="259">
        <f t="shared" si="3"/>
        <v>36988.765897199613</v>
      </c>
      <c r="Y39" s="259">
        <f t="shared" si="3"/>
        <v>36328.187967444166</v>
      </c>
      <c r="Z39" s="259">
        <f t="shared" si="3"/>
        <v>37360.06489611046</v>
      </c>
    </row>
    <row r="40" spans="1:26" s="138" customFormat="1">
      <c r="A40" s="1"/>
      <c r="B40" s="1"/>
      <c r="C40" s="1"/>
      <c r="D40" s="1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E41" s="253">
        <v>0</v>
      </c>
      <c r="F41" s="253">
        <f>Allocation!$G$14*IS!E40</f>
        <v>4832.1998879851062</v>
      </c>
      <c r="G41" s="253">
        <f>Allocation!$G$14*IS!F40</f>
        <v>6641.7822009920192</v>
      </c>
      <c r="H41" s="253">
        <f>Allocation!$G$14*IS!G40</f>
        <v>6641.7822009920192</v>
      </c>
      <c r="I41" s="253">
        <f>Allocation!$G$14*IS!H40</f>
        <v>6641.7822009920192</v>
      </c>
      <c r="J41" s="253">
        <f>Allocation!$G$14*IS!I40</f>
        <v>6641.7822009920192</v>
      </c>
      <c r="K41" s="253">
        <f>Allocation!$G$14*IS!J40</f>
        <v>6641.7822009920192</v>
      </c>
      <c r="L41" s="253">
        <f>Allocation!$G$14*IS!K40</f>
        <v>6641.7822009920192</v>
      </c>
      <c r="M41" s="253">
        <f>Allocation!$G$14*IS!L40</f>
        <v>6641.7822009920192</v>
      </c>
      <c r="N41" s="253">
        <f>Allocation!$G$14*IS!M40</f>
        <v>6641.7822009920192</v>
      </c>
      <c r="O41" s="253">
        <f>Allocation!$G$14*IS!N40</f>
        <v>6641.7822009920192</v>
      </c>
      <c r="P41" s="253">
        <f>Allocation!$G$14*IS!O40</f>
        <v>6641.7822009920192</v>
      </c>
      <c r="Q41" s="253">
        <f>Allocation!$G$14*IS!P40</f>
        <v>6641.7822009920192</v>
      </c>
      <c r="R41" s="253">
        <f>Allocation!$G$14*IS!Q40</f>
        <v>6641.7822009920192</v>
      </c>
      <c r="S41" s="253">
        <f>Allocation!$G$14*IS!R40</f>
        <v>6641.7822009920192</v>
      </c>
      <c r="T41" s="253">
        <f>Allocation!$G$14*IS!S40</f>
        <v>6641.7822009920192</v>
      </c>
      <c r="U41" s="253">
        <f>Allocation!$G$14*IS!T40</f>
        <v>6641.7822009920192</v>
      </c>
      <c r="V41" s="253">
        <f>Allocation!$G$14*IS!U40</f>
        <v>6641.7822009920192</v>
      </c>
      <c r="W41" s="253">
        <f>Allocation!$G$14*IS!V40</f>
        <v>6641.7822009920192</v>
      </c>
      <c r="X41" s="253">
        <f>Allocation!$G$14*IS!W40</f>
        <v>6641.7822009920192</v>
      </c>
      <c r="Y41" s="253">
        <f>Allocation!$G$14*IS!X40</f>
        <v>6641.7822009920192</v>
      </c>
      <c r="Z41" s="253">
        <f>Allocation!$G$14*IS!Y40</f>
        <v>6467.972952437106</v>
      </c>
    </row>
    <row r="42" spans="1:26">
      <c r="A42" s="4"/>
      <c r="E42" s="253"/>
      <c r="F42" s="253"/>
      <c r="G42" s="253"/>
      <c r="H42" s="187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7.5" customHeight="1">
      <c r="A43" s="4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1"/>
      <c r="E44" s="259">
        <f t="shared" ref="E44:Z44" si="4">E39-E41</f>
        <v>0</v>
      </c>
      <c r="F44" s="259">
        <f t="shared" ca="1" si="4"/>
        <v>4835.2337676740271</v>
      </c>
      <c r="G44" s="259">
        <f t="shared" si="4"/>
        <v>13143.102280042418</v>
      </c>
      <c r="H44" s="259">
        <f t="shared" si="4"/>
        <v>12982.456930623895</v>
      </c>
      <c r="I44" s="259">
        <f t="shared" si="4"/>
        <v>25509.093388054836</v>
      </c>
      <c r="J44" s="259">
        <f t="shared" si="4"/>
        <v>26205.641569690481</v>
      </c>
      <c r="K44" s="259">
        <f t="shared" si="4"/>
        <v>27129.298111359094</v>
      </c>
      <c r="L44" s="259">
        <f t="shared" si="4"/>
        <v>27433.002517730994</v>
      </c>
      <c r="M44" s="259">
        <f t="shared" si="4"/>
        <v>27712.324377232333</v>
      </c>
      <c r="N44" s="259">
        <f t="shared" si="4"/>
        <v>28023.486485927417</v>
      </c>
      <c r="O44" s="259">
        <f t="shared" si="4"/>
        <v>28391.630597577008</v>
      </c>
      <c r="P44" s="259">
        <f t="shared" si="4"/>
        <v>28782.21634243791</v>
      </c>
      <c r="Q44" s="259">
        <f t="shared" si="4"/>
        <v>28991.590812197901</v>
      </c>
      <c r="R44" s="259">
        <f t="shared" si="4"/>
        <v>29340.239409629583</v>
      </c>
      <c r="S44" s="259">
        <f t="shared" si="4"/>
        <v>28929.51634580941</v>
      </c>
      <c r="T44" s="259">
        <f t="shared" si="4"/>
        <v>29236.799959113261</v>
      </c>
      <c r="U44" s="259">
        <f t="shared" si="4"/>
        <v>29527.387653473736</v>
      </c>
      <c r="V44" s="259">
        <f t="shared" si="4"/>
        <v>29814.433206846159</v>
      </c>
      <c r="W44" s="259">
        <f t="shared" si="4"/>
        <v>30083.818107240229</v>
      </c>
      <c r="X44" s="259">
        <f t="shared" si="4"/>
        <v>30346.983696207593</v>
      </c>
      <c r="Y44" s="259">
        <f t="shared" si="4"/>
        <v>29686.405766452146</v>
      </c>
      <c r="Z44" s="259">
        <f t="shared" si="4"/>
        <v>30892.091943673353</v>
      </c>
    </row>
    <row r="45" spans="1:26" s="138" customFormat="1">
      <c r="A45" s="1"/>
      <c r="B45" s="1"/>
      <c r="C45" s="1"/>
      <c r="D45" s="1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148"/>
      <c r="E46" s="228">
        <v>0</v>
      </c>
      <c r="F46" s="156">
        <f>Allocation!$I$14*(IS!$E$44-Debt!C136)+Debt!C136*Allocation!$K$14</f>
        <v>6095.170915267292</v>
      </c>
      <c r="G46" s="253">
        <f>Allocation!$I$14*IS!F44</f>
        <v>11183.100638334936</v>
      </c>
      <c r="H46" s="253">
        <f>Allocation!$I$14*IS!G44</f>
        <v>10814.264388258045</v>
      </c>
      <c r="I46" s="253">
        <f>Allocation!$I$14*IS!H44</f>
        <v>10451.471643175302</v>
      </c>
      <c r="J46" s="253">
        <f>Allocation!$I$14*IS!I44</f>
        <v>10212.830008441371</v>
      </c>
      <c r="K46" s="253">
        <f>Allocation!$I$14*IS!J44</f>
        <v>9810.9802404135098</v>
      </c>
      <c r="L46" s="253">
        <f>Allocation!$I$14*IS!K44</f>
        <v>9370.1706868420533</v>
      </c>
      <c r="M46" s="253">
        <f>Allocation!$I$14*IS!L44</f>
        <v>8860.9060025983254</v>
      </c>
      <c r="N46" s="253">
        <f>Allocation!$I$14*IS!M44</f>
        <v>8278.0001929344235</v>
      </c>
      <c r="O46" s="253">
        <f>Allocation!$I$14*IS!N44</f>
        <v>7570.630509320933</v>
      </c>
      <c r="P46" s="253">
        <f>Allocation!$I$14*IS!O44</f>
        <v>6945.7951498180919</v>
      </c>
      <c r="Q46" s="253">
        <f>Allocation!$I$14*IS!P44</f>
        <v>6345.8184868371009</v>
      </c>
      <c r="R46" s="253">
        <f>Allocation!$I$14*IS!Q44</f>
        <v>5682.9995164460752</v>
      </c>
      <c r="S46" s="253">
        <f>Allocation!$I$14*IS!R44</f>
        <v>4968.880418397056</v>
      </c>
      <c r="T46" s="253">
        <f>Allocation!$I$14*IS!S44</f>
        <v>4206.2557039573876</v>
      </c>
      <c r="U46" s="253">
        <f>Allocation!$I$14*IS!T44</f>
        <v>3380.2782934163129</v>
      </c>
      <c r="V46" s="253">
        <f>Allocation!$I$14*IS!U44</f>
        <v>2519.9148879842605</v>
      </c>
      <c r="W46" s="253">
        <f>Allocation!$I$14*IS!V44</f>
        <v>1667.4235523432187</v>
      </c>
      <c r="X46" s="253">
        <f>Allocation!$I$14*IS!W44</f>
        <v>888.37104329150361</v>
      </c>
      <c r="Y46" s="253">
        <f>Allocation!$I$14*IS!X44</f>
        <v>213.27005168112052</v>
      </c>
      <c r="Z46" s="253">
        <v>0</v>
      </c>
    </row>
    <row r="47" spans="1:26" ht="6" customHeight="1"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E49" s="259">
        <f t="shared" ref="E49:Z49" si="5">E44-E46</f>
        <v>0</v>
      </c>
      <c r="F49" s="259">
        <f t="shared" ca="1" si="5"/>
        <v>-1259.9371475932649</v>
      </c>
      <c r="G49" s="259">
        <f t="shared" si="5"/>
        <v>1960.0016417074821</v>
      </c>
      <c r="H49" s="259">
        <f t="shared" si="5"/>
        <v>2168.1925423658504</v>
      </c>
      <c r="I49" s="259">
        <f t="shared" si="5"/>
        <v>15057.621744879534</v>
      </c>
      <c r="J49" s="259">
        <f t="shared" si="5"/>
        <v>15992.811561249109</v>
      </c>
      <c r="K49" s="259">
        <f t="shared" si="5"/>
        <v>17318.317870945582</v>
      </c>
      <c r="L49" s="259">
        <f t="shared" si="5"/>
        <v>18062.831830888943</v>
      </c>
      <c r="M49" s="259">
        <f t="shared" si="5"/>
        <v>18851.418374634006</v>
      </c>
      <c r="N49" s="259">
        <f t="shared" si="5"/>
        <v>19745.486292992995</v>
      </c>
      <c r="O49" s="259">
        <f t="shared" si="5"/>
        <v>20821.000088256074</v>
      </c>
      <c r="P49" s="259">
        <f t="shared" si="5"/>
        <v>21836.421192619819</v>
      </c>
      <c r="Q49" s="259">
        <f t="shared" si="5"/>
        <v>22645.772325360798</v>
      </c>
      <c r="R49" s="259">
        <f t="shared" si="5"/>
        <v>23657.239893183509</v>
      </c>
      <c r="S49" s="259">
        <f t="shared" si="5"/>
        <v>23960.635927412353</v>
      </c>
      <c r="T49" s="259">
        <f t="shared" si="5"/>
        <v>25030.544255155874</v>
      </c>
      <c r="U49" s="259">
        <f t="shared" si="5"/>
        <v>26147.109360057424</v>
      </c>
      <c r="V49" s="259">
        <f t="shared" si="5"/>
        <v>27294.518318861898</v>
      </c>
      <c r="W49" s="259">
        <f t="shared" si="5"/>
        <v>28416.394554897011</v>
      </c>
      <c r="X49" s="259">
        <f t="shared" si="5"/>
        <v>29458.61265291609</v>
      </c>
      <c r="Y49" s="259">
        <f t="shared" si="5"/>
        <v>29473.135714771026</v>
      </c>
      <c r="Z49" s="259">
        <f t="shared" si="5"/>
        <v>30892.091943673353</v>
      </c>
    </row>
    <row r="50" spans="1:26" s="138" customFormat="1">
      <c r="A50" s="1"/>
      <c r="B50" s="1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Assumptions!$Q$44</f>
        <v>4.4999999999999998E-2</v>
      </c>
      <c r="D51" s="149"/>
      <c r="E51" s="253">
        <f t="shared" ref="E51:Z51" si="6">E49*-$C$51</f>
        <v>0</v>
      </c>
      <c r="F51" s="253">
        <f t="shared" ca="1" si="6"/>
        <v>56.697171641696919</v>
      </c>
      <c r="G51" s="253">
        <f t="shared" si="6"/>
        <v>-88.200073876836697</v>
      </c>
      <c r="H51" s="187">
        <f t="shared" si="6"/>
        <v>-97.56866440646327</v>
      </c>
      <c r="I51" s="253">
        <f t="shared" si="6"/>
        <v>-677.59297851957899</v>
      </c>
      <c r="J51" s="253">
        <f t="shared" si="6"/>
        <v>-719.67652025620987</v>
      </c>
      <c r="K51" s="253">
        <f t="shared" si="6"/>
        <v>-779.32430419255115</v>
      </c>
      <c r="L51" s="253">
        <f t="shared" si="6"/>
        <v>-812.8274323900024</v>
      </c>
      <c r="M51" s="253">
        <f t="shared" si="6"/>
        <v>-848.31382685853021</v>
      </c>
      <c r="N51" s="253">
        <f t="shared" si="6"/>
        <v>-888.5468831846847</v>
      </c>
      <c r="O51" s="253">
        <f t="shared" si="6"/>
        <v>-936.94500397152331</v>
      </c>
      <c r="P51" s="253">
        <f t="shared" si="6"/>
        <v>-982.63895366789177</v>
      </c>
      <c r="Q51" s="253">
        <f t="shared" si="6"/>
        <v>-1019.0597546412359</v>
      </c>
      <c r="R51" s="253">
        <f t="shared" si="6"/>
        <v>-1064.5757951932578</v>
      </c>
      <c r="S51" s="253">
        <f t="shared" si="6"/>
        <v>-1078.2286167335558</v>
      </c>
      <c r="T51" s="253">
        <f t="shared" si="6"/>
        <v>-1126.3744914820143</v>
      </c>
      <c r="U51" s="253">
        <f t="shared" si="6"/>
        <v>-1176.619921202584</v>
      </c>
      <c r="V51" s="253">
        <f t="shared" si="6"/>
        <v>-1228.2533243487853</v>
      </c>
      <c r="W51" s="253">
        <f t="shared" si="6"/>
        <v>-1278.7377549703654</v>
      </c>
      <c r="X51" s="253">
        <f t="shared" si="6"/>
        <v>-1325.637569381224</v>
      </c>
      <c r="Y51" s="253">
        <f t="shared" si="6"/>
        <v>-1326.2911071646961</v>
      </c>
      <c r="Z51" s="253">
        <f t="shared" si="6"/>
        <v>-1390.1441374653009</v>
      </c>
    </row>
    <row r="52" spans="1:26">
      <c r="A52" s="4" t="s">
        <v>190</v>
      </c>
      <c r="C52" s="149">
        <f>Assumptions!$Q$43</f>
        <v>0.35</v>
      </c>
      <c r="D52" s="149"/>
      <c r="E52" s="228">
        <v>0</v>
      </c>
      <c r="F52" s="228">
        <f t="shared" ref="F52:Z52" ca="1" si="7">(F49+F51)*-$C$52</f>
        <v>421.13399158304873</v>
      </c>
      <c r="G52" s="228">
        <f t="shared" si="7"/>
        <v>-655.13054874072589</v>
      </c>
      <c r="H52" s="228">
        <f t="shared" si="7"/>
        <v>-724.71835728578549</v>
      </c>
      <c r="I52" s="228">
        <f t="shared" si="7"/>
        <v>-5033.0100682259845</v>
      </c>
      <c r="J52" s="228">
        <f t="shared" si="7"/>
        <v>-5345.5972643475143</v>
      </c>
      <c r="K52" s="228">
        <f t="shared" si="7"/>
        <v>-5788.6477483635599</v>
      </c>
      <c r="L52" s="228">
        <f t="shared" si="7"/>
        <v>-6037.5015394746279</v>
      </c>
      <c r="M52" s="228">
        <f t="shared" si="7"/>
        <v>-6301.086591721416</v>
      </c>
      <c r="N52" s="228">
        <f t="shared" si="7"/>
        <v>-6599.9287934329086</v>
      </c>
      <c r="O52" s="228">
        <f t="shared" si="7"/>
        <v>-6959.4192794995924</v>
      </c>
      <c r="P52" s="228">
        <f t="shared" si="7"/>
        <v>-7298.8237836331746</v>
      </c>
      <c r="Q52" s="228">
        <f t="shared" si="7"/>
        <v>-7569.3493997518462</v>
      </c>
      <c r="R52" s="228">
        <f t="shared" si="7"/>
        <v>-7907.4324342965874</v>
      </c>
      <c r="S52" s="228">
        <f t="shared" si="7"/>
        <v>-8008.8425587375787</v>
      </c>
      <c r="T52" s="228">
        <f t="shared" si="7"/>
        <v>-8366.4594172858506</v>
      </c>
      <c r="U52" s="228">
        <f t="shared" si="7"/>
        <v>-8739.6713035991943</v>
      </c>
      <c r="V52" s="228">
        <f t="shared" si="7"/>
        <v>-9123.1927480795894</v>
      </c>
      <c r="W52" s="228">
        <f t="shared" si="7"/>
        <v>-9498.1798799743246</v>
      </c>
      <c r="X52" s="228">
        <f t="shared" si="7"/>
        <v>-9846.5412792372026</v>
      </c>
      <c r="Y52" s="228">
        <f t="shared" si="7"/>
        <v>-9851.3956126622143</v>
      </c>
      <c r="Z52" s="228">
        <f t="shared" si="7"/>
        <v>-10325.681732172818</v>
      </c>
    </row>
    <row r="53" spans="1:26" ht="6" customHeight="1">
      <c r="E53" s="253"/>
      <c r="F53" s="253"/>
      <c r="G53" s="253"/>
      <c r="H53" s="187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75">
      <c r="A54" s="106" t="s">
        <v>303</v>
      </c>
      <c r="B54" s="106"/>
      <c r="C54" s="106"/>
      <c r="D54" s="106"/>
      <c r="E54" s="261">
        <f t="shared" ref="E54:Z54" si="8">SUM(E49:E52)</f>
        <v>0</v>
      </c>
      <c r="F54" s="261">
        <f t="shared" ca="1" si="8"/>
        <v>-782.1059843685191</v>
      </c>
      <c r="G54" s="261">
        <f t="shared" si="8"/>
        <v>1216.6710190899194</v>
      </c>
      <c r="H54" s="261">
        <f t="shared" si="8"/>
        <v>1345.9055206736018</v>
      </c>
      <c r="I54" s="261">
        <f t="shared" si="8"/>
        <v>9347.0186981339721</v>
      </c>
      <c r="J54" s="261">
        <f t="shared" si="8"/>
        <v>9927.5377766453857</v>
      </c>
      <c r="K54" s="261">
        <f t="shared" si="8"/>
        <v>10750.345818389469</v>
      </c>
      <c r="L54" s="261">
        <f t="shared" si="8"/>
        <v>11212.502859024311</v>
      </c>
      <c r="M54" s="261">
        <f t="shared" si="8"/>
        <v>11702.017956054058</v>
      </c>
      <c r="N54" s="261">
        <f t="shared" si="8"/>
        <v>12257.010616375403</v>
      </c>
      <c r="O54" s="261">
        <f t="shared" si="8"/>
        <v>12924.635804784959</v>
      </c>
      <c r="P54" s="261">
        <f t="shared" si="8"/>
        <v>13554.958455318752</v>
      </c>
      <c r="Q54" s="261">
        <f t="shared" si="8"/>
        <v>14057.363170967717</v>
      </c>
      <c r="R54" s="261">
        <f t="shared" si="8"/>
        <v>14685.231663693663</v>
      </c>
      <c r="S54" s="261">
        <f t="shared" si="8"/>
        <v>14873.56475194122</v>
      </c>
      <c r="T54" s="261">
        <f t="shared" si="8"/>
        <v>15537.71034638801</v>
      </c>
      <c r="U54" s="261">
        <f t="shared" si="8"/>
        <v>16230.818135255648</v>
      </c>
      <c r="V54" s="261">
        <f t="shared" si="8"/>
        <v>16943.072246433523</v>
      </c>
      <c r="W54" s="261">
        <f t="shared" si="8"/>
        <v>17639.476919952322</v>
      </c>
      <c r="X54" s="261">
        <f t="shared" si="8"/>
        <v>18286.433804297667</v>
      </c>
      <c r="Y54" s="261">
        <f t="shared" si="8"/>
        <v>18295.448994944116</v>
      </c>
      <c r="Z54" s="261">
        <f t="shared" si="8"/>
        <v>19176.266074035237</v>
      </c>
    </row>
    <row r="55" spans="1:26" s="146" customFormat="1" ht="9" outlineLevel="1">
      <c r="A55" s="5"/>
      <c r="B55" s="143">
        <f>SUM(I55:Z55)</f>
        <v>0</v>
      </c>
      <c r="C55" s="143"/>
      <c r="D55" s="143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>
      <c r="A56" s="1"/>
      <c r="F56" s="135"/>
      <c r="G56" s="135"/>
      <c r="H56" s="142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outlineLevel="1">
      <c r="A57" s="1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8.75" outlineLevel="1">
      <c r="A58" s="132" t="s">
        <v>304</v>
      </c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52">
        <f>Assumptions!B13</f>
        <v>0.5</v>
      </c>
      <c r="D60" s="152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5" outlineLevel="1" thickBot="1">
      <c r="A62" s="422" t="s">
        <v>164</v>
      </c>
      <c r="B62" s="2"/>
      <c r="C62" s="2"/>
      <c r="D62" s="2"/>
      <c r="E62" s="9">
        <v>1999</v>
      </c>
      <c r="F62" s="9">
        <f t="shared" ref="F62:Z62" si="9">E62+1</f>
        <v>2000</v>
      </c>
      <c r="G62" s="9">
        <f t="shared" si="9"/>
        <v>2001</v>
      </c>
      <c r="H62" s="9">
        <f t="shared" si="9"/>
        <v>2002</v>
      </c>
      <c r="I62" s="9">
        <f t="shared" si="9"/>
        <v>2003</v>
      </c>
      <c r="J62" s="9">
        <f>I62+1</f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>O62+1</f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E64" s="135">
        <f t="shared" ref="E64:Z64" si="10">E39</f>
        <v>0</v>
      </c>
      <c r="F64" s="135">
        <f t="shared" ca="1" si="10"/>
        <v>9667.4336556591334</v>
      </c>
      <c r="G64" s="135">
        <f t="shared" si="10"/>
        <v>19784.884481034438</v>
      </c>
      <c r="H64" s="135">
        <f t="shared" si="10"/>
        <v>19624.239131615916</v>
      </c>
      <c r="I64" s="135">
        <f t="shared" si="10"/>
        <v>32150.875589046856</v>
      </c>
      <c r="J64" s="135">
        <f t="shared" si="10"/>
        <v>32847.423770682501</v>
      </c>
      <c r="K64" s="135">
        <f t="shared" si="10"/>
        <v>33771.080312351114</v>
      </c>
      <c r="L64" s="135">
        <f t="shared" si="10"/>
        <v>34074.784718723015</v>
      </c>
      <c r="M64" s="135">
        <f t="shared" si="10"/>
        <v>34354.106578224353</v>
      </c>
      <c r="N64" s="135">
        <f t="shared" si="10"/>
        <v>34665.268686919437</v>
      </c>
      <c r="O64" s="135">
        <f t="shared" si="10"/>
        <v>35033.412798569028</v>
      </c>
      <c r="P64" s="135">
        <f t="shared" si="10"/>
        <v>35423.998543429931</v>
      </c>
      <c r="Q64" s="135">
        <f t="shared" si="10"/>
        <v>35633.373013189921</v>
      </c>
      <c r="R64" s="135">
        <f t="shared" si="10"/>
        <v>35982.021610621603</v>
      </c>
      <c r="S64" s="135">
        <f t="shared" si="10"/>
        <v>35571.29854680143</v>
      </c>
      <c r="T64" s="135">
        <f t="shared" si="10"/>
        <v>35878.582160105281</v>
      </c>
      <c r="U64" s="135">
        <f t="shared" si="10"/>
        <v>36169.169854465756</v>
      </c>
      <c r="V64" s="135">
        <f t="shared" si="10"/>
        <v>36456.215407838179</v>
      </c>
      <c r="W64" s="135">
        <f t="shared" si="10"/>
        <v>36725.60030823225</v>
      </c>
      <c r="X64" s="135">
        <f t="shared" si="10"/>
        <v>36988.765897199613</v>
      </c>
      <c r="Y64" s="135">
        <f t="shared" si="10"/>
        <v>36328.187967444166</v>
      </c>
      <c r="Z64" s="135">
        <f t="shared" si="10"/>
        <v>37360.06489611046</v>
      </c>
    </row>
    <row r="65" spans="1:26" outlineLevel="1">
      <c r="A65" s="15" t="s">
        <v>192</v>
      </c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</row>
    <row r="66" spans="1:26" ht="15" outlineLevel="1">
      <c r="A66" s="15" t="s">
        <v>193</v>
      </c>
      <c r="E66" s="486">
        <v>0</v>
      </c>
      <c r="F66" s="262">
        <f>Allocation!$I$14*(CF!$G$15+CF!$G$16-CF!$G$14)+CF!$G$14*Allocation!$K$14</f>
        <v>-5094.6909892363192</v>
      </c>
      <c r="G66" s="262">
        <f>Allocation!$I$14*(CF!H16+CF!H15)</f>
        <v>-15564.699817507311</v>
      </c>
      <c r="H66" s="262">
        <f>Allocation!$I$14*(CF!I16+CF!I15)</f>
        <v>-15472.305156021737</v>
      </c>
      <c r="I66" s="262">
        <f>Allocation!$I$14*(CF!J16+CF!J15)</f>
        <v>-13754.948626841542</v>
      </c>
      <c r="J66" s="262">
        <f>Allocation!$I$14*(CF!K16+CF!K15)</f>
        <v>-13926.762540377293</v>
      </c>
      <c r="K66" s="262">
        <f>Allocation!$I$14*(CF!L16+CF!L15)</f>
        <v>-14174.434605288898</v>
      </c>
      <c r="L66" s="262">
        <f>Allocation!$I$14*(CF!M16+CF!M15)</f>
        <v>-14266.566042847258</v>
      </c>
      <c r="M66" s="262">
        <f>Allocation!$I$14*(CF!N16+CF!N15)</f>
        <v>-14590.021657243871</v>
      </c>
      <c r="N66" s="262">
        <f>Allocation!$I$14*(CF!O16+CF!O15)</f>
        <v>-14773.218522329083</v>
      </c>
      <c r="O66" s="262">
        <f>Allocation!$I$14*(CF!P16+CF!P15)</f>
        <v>-15071.486837653005</v>
      </c>
      <c r="P66" s="262">
        <f>Allocation!$I$14*(CF!Q16+CF!Q15)</f>
        <v>-13139.684272437549</v>
      </c>
      <c r="Q66" s="262">
        <f>Allocation!$I$14*(CF!R16+CF!R15)</f>
        <v>-12553.263883686885</v>
      </c>
      <c r="R66" s="262">
        <f>Allocation!$I$14*(CF!S16+CF!S15)</f>
        <v>-12521.362877549001</v>
      </c>
      <c r="S66" s="262">
        <f>Allocation!$I$14*(CF!T16+CF!T15)</f>
        <v>-12261.271349243882</v>
      </c>
      <c r="T66" s="262">
        <f>Allocation!$I$14*(CF!U16+CF!U15)</f>
        <v>-11999.202569673071</v>
      </c>
      <c r="U66" s="262">
        <f>Allocation!$I$14*(CF!V16+CF!V15)</f>
        <v>-11873.218660801285</v>
      </c>
      <c r="V66" s="262">
        <f>Allocation!$I$14*(CF!W16+CF!W15)</f>
        <v>-11178.638130224694</v>
      </c>
      <c r="W66" s="262">
        <f>Allocation!$I$14*(CF!X16+CF!X15)</f>
        <v>-10125.176667762549</v>
      </c>
      <c r="X66" s="262">
        <f>Allocation!$I$14*(CF!Y16+CF!Y15)</f>
        <v>-8345.048816221888</v>
      </c>
      <c r="Y66" s="262">
        <f>Allocation!$I$14*(CF!Z16+CF!Z15)</f>
        <v>-6611.2438649012611</v>
      </c>
      <c r="Z66" s="262">
        <f>Allocation!$I$14*(CF!AA16+CF!AA15)</f>
        <v>0</v>
      </c>
    </row>
    <row r="67" spans="1:26" s="138" customFormat="1" outlineLevel="1">
      <c r="A67" s="14" t="s">
        <v>194</v>
      </c>
      <c r="B67" s="1"/>
      <c r="C67" s="1"/>
      <c r="D67" s="1"/>
      <c r="E67" s="153">
        <f t="shared" ref="E67:Z67" si="11">SUM(E64:E66)</f>
        <v>0</v>
      </c>
      <c r="F67" s="153">
        <f t="shared" ca="1" si="11"/>
        <v>4572.7426664228142</v>
      </c>
      <c r="G67" s="153">
        <f t="shared" si="11"/>
        <v>4220.1846635271268</v>
      </c>
      <c r="H67" s="153">
        <f t="shared" si="11"/>
        <v>4151.9339755941783</v>
      </c>
      <c r="I67" s="153">
        <f t="shared" si="11"/>
        <v>18395.926962205314</v>
      </c>
      <c r="J67" s="153">
        <f t="shared" si="11"/>
        <v>18920.66123030521</v>
      </c>
      <c r="K67" s="153">
        <f t="shared" si="11"/>
        <v>19596.645707062216</v>
      </c>
      <c r="L67" s="153">
        <f t="shared" si="11"/>
        <v>19808.218675875756</v>
      </c>
      <c r="M67" s="153">
        <f t="shared" si="11"/>
        <v>19764.08492098048</v>
      </c>
      <c r="N67" s="153">
        <f t="shared" si="11"/>
        <v>19892.050164590353</v>
      </c>
      <c r="O67" s="153">
        <f t="shared" si="11"/>
        <v>19961.925960916022</v>
      </c>
      <c r="P67" s="153">
        <f t="shared" si="11"/>
        <v>22284.314270992381</v>
      </c>
      <c r="Q67" s="153">
        <f t="shared" si="11"/>
        <v>23080.109129503035</v>
      </c>
      <c r="R67" s="153">
        <f t="shared" si="11"/>
        <v>23460.658733072603</v>
      </c>
      <c r="S67" s="153">
        <f t="shared" si="11"/>
        <v>23310.027197557549</v>
      </c>
      <c r="T67" s="153">
        <f t="shared" si="11"/>
        <v>23879.379590432211</v>
      </c>
      <c r="U67" s="153">
        <f t="shared" si="11"/>
        <v>24295.95119366447</v>
      </c>
      <c r="V67" s="153">
        <f t="shared" si="11"/>
        <v>25277.577277613484</v>
      </c>
      <c r="W67" s="153">
        <f t="shared" si="11"/>
        <v>26600.4236404697</v>
      </c>
      <c r="X67" s="153">
        <f t="shared" si="11"/>
        <v>28643.717080977724</v>
      </c>
      <c r="Y67" s="153">
        <f t="shared" si="11"/>
        <v>29716.944102542904</v>
      </c>
      <c r="Z67" s="153">
        <f t="shared" si="11"/>
        <v>37360.06489611046</v>
      </c>
    </row>
    <row r="68" spans="1:26" outlineLevel="1">
      <c r="A68" s="14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 spans="1:26" ht="15" outlineLevel="1">
      <c r="A69" s="15" t="s">
        <v>382</v>
      </c>
      <c r="E69" s="486">
        <v>0</v>
      </c>
      <c r="F69" s="486">
        <f ca="1">Allocation!$I$14*CF!G24*7/12</f>
        <v>0</v>
      </c>
      <c r="G69" s="486">
        <f>Allocation!$I$14*CF!H24</f>
        <v>0</v>
      </c>
      <c r="H69" s="486">
        <f>Allocation!$I$14*CF!I24</f>
        <v>0</v>
      </c>
      <c r="I69" s="486">
        <f ca="1">Allocation!$I$14*CF!J24</f>
        <v>0</v>
      </c>
      <c r="J69" s="486">
        <f ca="1">Allocation!$I$14*CF!K24</f>
        <v>0</v>
      </c>
      <c r="K69" s="486">
        <f ca="1">Allocation!$I$14*CF!L24</f>
        <v>0</v>
      </c>
      <c r="L69" s="486">
        <f ca="1">Allocation!$I$14*CF!M24</f>
        <v>-649.91445036173741</v>
      </c>
      <c r="M69" s="486">
        <f ca="1">Allocation!$I$14*CF!N24</f>
        <v>-735.2619638019255</v>
      </c>
      <c r="N69" s="486">
        <f ca="1">Allocation!$I$14*CF!O24</f>
        <v>-791.90513594514061</v>
      </c>
      <c r="O69" s="486">
        <f ca="1">Allocation!$I$14*CF!P24</f>
        <v>-880.92150748487063</v>
      </c>
      <c r="P69" s="486">
        <f ca="1">Allocation!$I$14*CF!Q24</f>
        <v>-928.20064918038406</v>
      </c>
      <c r="Q69" s="486">
        <f ca="1">Allocation!$I$14*CF!R24</f>
        <v>-1011.5741658160825</v>
      </c>
      <c r="R69" s="486">
        <f ca="1">Allocation!$I$14*CF!S24</f>
        <v>-1074.2779098269816</v>
      </c>
      <c r="S69" s="486">
        <f ca="1">Allocation!$I$14*CF!T24</f>
        <v>-1129.9917792798092</v>
      </c>
      <c r="T69" s="486">
        <f ca="1">Allocation!$I$14*CF!U24</f>
        <v>-1194.1590181719444</v>
      </c>
      <c r="U69" s="486">
        <f ca="1">Allocation!$I$14*CF!V24</f>
        <v>-1622.945120790187</v>
      </c>
      <c r="V69" s="486">
        <f ca="1">Allocation!$I$14*CF!W24</f>
        <v>-2053.8221791081201</v>
      </c>
      <c r="W69" s="486">
        <f>Allocation!$I$14*CF!X24</f>
        <v>-2124.7997575699765</v>
      </c>
      <c r="X69" s="486">
        <f>Allocation!$I$14*CF!Y24</f>
        <v>-2188.5935641673495</v>
      </c>
      <c r="Y69" s="486">
        <f>Allocation!$I$14*CF!Z24</f>
        <v>-2222.5173385017292</v>
      </c>
      <c r="Z69" s="486">
        <f ca="1">Allocation!$I$14*CF!AA24</f>
        <v>-2274.9306365053649</v>
      </c>
    </row>
    <row r="70" spans="1:26" ht="15" outlineLevel="1">
      <c r="A70" s="15" t="s">
        <v>383</v>
      </c>
      <c r="E70" s="486">
        <v>0</v>
      </c>
      <c r="F70" s="486">
        <f ca="1">Allocation!$I$14*(-Tax!E39)*7/12</f>
        <v>782.61337357993943</v>
      </c>
      <c r="G70" s="486">
        <f>Allocation!$I$14*CF!H25</f>
        <v>3538.5784586913069</v>
      </c>
      <c r="H70" s="486">
        <f>Allocation!$I$14*CF!I25</f>
        <v>2775.4554279912641</v>
      </c>
      <c r="I70" s="486">
        <f ca="1">Allocation!$I$14*CF!J25</f>
        <v>-1744.9440134345996</v>
      </c>
      <c r="J70" s="486">
        <f ca="1">Allocation!$I$14*CF!K25</f>
        <v>-2508.2368692941509</v>
      </c>
      <c r="K70" s="486">
        <f ca="1">Allocation!$I$14*CF!L25</f>
        <v>-3338.9808536474375</v>
      </c>
      <c r="L70" s="486">
        <f ca="1">Allocation!$I$14*CF!M25</f>
        <v>-3565.3748482701617</v>
      </c>
      <c r="M70" s="486">
        <f ca="1">Allocation!$I$14*CF!N25</f>
        <v>-3961.7506528720119</v>
      </c>
      <c r="N70" s="486">
        <f ca="1">Allocation!$I$14*CF!O25</f>
        <v>-4266.9563282190065</v>
      </c>
      <c r="O70" s="486">
        <f ca="1">Allocation!$I$14*CF!P25</f>
        <v>-4746.5958110507718</v>
      </c>
      <c r="P70" s="486">
        <f ca="1">Allocation!$I$14*CF!Q25</f>
        <v>-5001.3460629349929</v>
      </c>
      <c r="Q70" s="486">
        <f ca="1">Allocation!$I$14*CF!R25</f>
        <v>-5450.5806218067155</v>
      </c>
      <c r="R70" s="486">
        <f ca="1">Allocation!$I$14*CF!S25</f>
        <v>-5788.441970554004</v>
      </c>
      <c r="S70" s="486">
        <f ca="1">Allocation!$I$14*CF!T25</f>
        <v>-6088.6403618014356</v>
      </c>
      <c r="T70" s="486">
        <f ca="1">Allocation!$I$14*CF!U25</f>
        <v>-6434.3873378307781</v>
      </c>
      <c r="U70" s="486">
        <f ca="1">Allocation!$I$14*CF!V25</f>
        <v>-8744.7796954149089</v>
      </c>
      <c r="V70" s="486">
        <f ca="1">Allocation!$I$14*CF!W25</f>
        <v>-11066.438575022756</v>
      </c>
      <c r="W70" s="486">
        <f>Allocation!$I$14*CF!X25</f>
        <v>-11448.881135163518</v>
      </c>
      <c r="X70" s="486">
        <f>Allocation!$I$14*CF!Y25</f>
        <v>-11792.615977136684</v>
      </c>
      <c r="Y70" s="486">
        <f>Allocation!$I$14*CF!Z25</f>
        <v>-11975.404618102364</v>
      </c>
      <c r="Z70" s="486">
        <f ca="1">Allocation!$I$14*CF!AA25</f>
        <v>-12257.8188157733</v>
      </c>
    </row>
    <row r="71" spans="1:26" ht="15" outlineLevel="1">
      <c r="A71" s="15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</row>
    <row r="72" spans="1:26" s="150" customFormat="1" ht="15.75" outlineLevel="1">
      <c r="A72" s="108" t="s">
        <v>197</v>
      </c>
      <c r="B72" s="106"/>
      <c r="C72" s="106"/>
      <c r="D72" s="106"/>
      <c r="E72" s="264">
        <f t="shared" ref="E72:Z72" si="12">E67+E70+E69</f>
        <v>0</v>
      </c>
      <c r="F72" s="264">
        <f t="shared" ca="1" si="12"/>
        <v>5355.3560400027536</v>
      </c>
      <c r="G72" s="264">
        <f t="shared" si="12"/>
        <v>7758.7631222184336</v>
      </c>
      <c r="H72" s="264">
        <f t="shared" si="12"/>
        <v>6927.3894035854428</v>
      </c>
      <c r="I72" s="264">
        <f t="shared" ca="1" si="12"/>
        <v>16650.982948770714</v>
      </c>
      <c r="J72" s="264">
        <f t="shared" ca="1" si="12"/>
        <v>16412.424361011057</v>
      </c>
      <c r="K72" s="264">
        <f t="shared" ca="1" si="12"/>
        <v>16257.664853414779</v>
      </c>
      <c r="L72" s="264">
        <f t="shared" ca="1" si="12"/>
        <v>15592.929377243858</v>
      </c>
      <c r="M72" s="264">
        <f t="shared" ca="1" si="12"/>
        <v>15067.072304306543</v>
      </c>
      <c r="N72" s="264">
        <f t="shared" ca="1" si="12"/>
        <v>14833.188700426206</v>
      </c>
      <c r="O72" s="264">
        <f t="shared" ca="1" si="12"/>
        <v>14334.40864238038</v>
      </c>
      <c r="P72" s="264">
        <f t="shared" ca="1" si="12"/>
        <v>16354.767558877003</v>
      </c>
      <c r="Q72" s="264">
        <f t="shared" ca="1" si="12"/>
        <v>16617.954341880235</v>
      </c>
      <c r="R72" s="264">
        <f t="shared" ca="1" si="12"/>
        <v>16597.938852691615</v>
      </c>
      <c r="S72" s="264">
        <f t="shared" ca="1" si="12"/>
        <v>16091.395056476305</v>
      </c>
      <c r="T72" s="264">
        <f t="shared" ca="1" si="12"/>
        <v>16250.83323442949</v>
      </c>
      <c r="U72" s="264">
        <f t="shared" ca="1" si="12"/>
        <v>13928.226377459374</v>
      </c>
      <c r="V72" s="264">
        <f t="shared" ca="1" si="12"/>
        <v>12157.316523482608</v>
      </c>
      <c r="W72" s="264">
        <f t="shared" si="12"/>
        <v>13026.742747736207</v>
      </c>
      <c r="X72" s="264">
        <f t="shared" si="12"/>
        <v>14662.50753967369</v>
      </c>
      <c r="Y72" s="264">
        <f t="shared" si="12"/>
        <v>15519.022145938809</v>
      </c>
      <c r="Z72" s="264">
        <f t="shared" ca="1" si="12"/>
        <v>22827.315443831794</v>
      </c>
    </row>
    <row r="73" spans="1:26" outlineLevel="1">
      <c r="A73" s="17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</row>
    <row r="74" spans="1:26" outlineLevel="1">
      <c r="A74" s="16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</row>
    <row r="75" spans="1:26" ht="12.75" customHeight="1" outlineLevel="1">
      <c r="A75" s="16" t="s">
        <v>293</v>
      </c>
      <c r="C75" s="152">
        <f>$C$60</f>
        <v>0.5</v>
      </c>
      <c r="E75" s="155">
        <f t="shared" ref="E75:Z75" si="13">$C$75*E54</f>
        <v>0</v>
      </c>
      <c r="F75" s="155">
        <f t="shared" ca="1" si="13"/>
        <v>-391.05299218425955</v>
      </c>
      <c r="G75" s="155">
        <f t="shared" si="13"/>
        <v>608.33550954495968</v>
      </c>
      <c r="H75" s="155">
        <f t="shared" si="13"/>
        <v>672.95276033680091</v>
      </c>
      <c r="I75" s="155">
        <f t="shared" si="13"/>
        <v>4673.509349066986</v>
      </c>
      <c r="J75" s="155">
        <f t="shared" si="13"/>
        <v>4963.7688883226929</v>
      </c>
      <c r="K75" s="155">
        <f t="shared" si="13"/>
        <v>5375.1729091947345</v>
      </c>
      <c r="L75" s="155">
        <f t="shared" si="13"/>
        <v>5606.2514295121555</v>
      </c>
      <c r="M75" s="155">
        <f t="shared" si="13"/>
        <v>5851.0089780270291</v>
      </c>
      <c r="N75" s="155">
        <f t="shared" si="13"/>
        <v>6128.5053081877013</v>
      </c>
      <c r="O75" s="155">
        <f t="shared" si="13"/>
        <v>6462.3179023924795</v>
      </c>
      <c r="P75" s="155">
        <f t="shared" si="13"/>
        <v>6777.4792276593762</v>
      </c>
      <c r="Q75" s="155">
        <f t="shared" si="13"/>
        <v>7028.6815854838587</v>
      </c>
      <c r="R75" s="155">
        <f t="shared" si="13"/>
        <v>7342.6158318468315</v>
      </c>
      <c r="S75" s="155">
        <f t="shared" si="13"/>
        <v>7436.7823759706098</v>
      </c>
      <c r="T75" s="155">
        <f t="shared" si="13"/>
        <v>7768.8551731940051</v>
      </c>
      <c r="U75" s="155">
        <f t="shared" si="13"/>
        <v>8115.4090676278238</v>
      </c>
      <c r="V75" s="155">
        <f t="shared" si="13"/>
        <v>8471.5361232167616</v>
      </c>
      <c r="W75" s="155">
        <f t="shared" si="13"/>
        <v>8819.7384599761608</v>
      </c>
      <c r="X75" s="155">
        <f t="shared" si="13"/>
        <v>9143.2169021488335</v>
      </c>
      <c r="Y75" s="155">
        <f t="shared" si="13"/>
        <v>9147.7244974720579</v>
      </c>
      <c r="Z75" s="155">
        <f t="shared" si="13"/>
        <v>9588.1330370176183</v>
      </c>
    </row>
    <row r="76" spans="1:26" outlineLevel="1">
      <c r="A76" s="16" t="s">
        <v>294</v>
      </c>
      <c r="C76" s="152">
        <f>$C$60</f>
        <v>0.5</v>
      </c>
      <c r="E76" s="155">
        <f t="shared" ref="E76:Z76" si="14">$C$76*E72</f>
        <v>0</v>
      </c>
      <c r="F76" s="155">
        <f t="shared" ca="1" si="14"/>
        <v>2677.6780200013768</v>
      </c>
      <c r="G76" s="155">
        <f t="shared" si="14"/>
        <v>3879.3815611092168</v>
      </c>
      <c r="H76" s="155">
        <f t="shared" si="14"/>
        <v>3463.6947017927214</v>
      </c>
      <c r="I76" s="155">
        <f t="shared" ca="1" si="14"/>
        <v>8325.4914743853569</v>
      </c>
      <c r="J76" s="155">
        <f t="shared" ca="1" si="14"/>
        <v>8206.2121805055285</v>
      </c>
      <c r="K76" s="155">
        <f t="shared" ca="1" si="14"/>
        <v>8128.8324267073895</v>
      </c>
      <c r="L76" s="155">
        <f t="shared" ca="1" si="14"/>
        <v>7796.4646886219289</v>
      </c>
      <c r="M76" s="155">
        <f t="shared" ca="1" si="14"/>
        <v>7533.5361521532714</v>
      </c>
      <c r="N76" s="155">
        <f t="shared" ca="1" si="14"/>
        <v>7416.5943502131031</v>
      </c>
      <c r="O76" s="155">
        <f t="shared" ca="1" si="14"/>
        <v>7167.2043211901901</v>
      </c>
      <c r="P76" s="155">
        <f t="shared" ca="1" si="14"/>
        <v>8177.3837794385017</v>
      </c>
      <c r="Q76" s="155">
        <f t="shared" ca="1" si="14"/>
        <v>8308.9771709401175</v>
      </c>
      <c r="R76" s="155">
        <f t="shared" ca="1" si="14"/>
        <v>8298.9694263458077</v>
      </c>
      <c r="S76" s="155">
        <f t="shared" ca="1" si="14"/>
        <v>8045.6975282381527</v>
      </c>
      <c r="T76" s="155">
        <f t="shared" ca="1" si="14"/>
        <v>8125.4166172147452</v>
      </c>
      <c r="U76" s="155">
        <f t="shared" ca="1" si="14"/>
        <v>6964.113188729687</v>
      </c>
      <c r="V76" s="155">
        <f t="shared" ca="1" si="14"/>
        <v>6078.6582617413042</v>
      </c>
      <c r="W76" s="155">
        <f t="shared" si="14"/>
        <v>6513.3713738681035</v>
      </c>
      <c r="X76" s="155">
        <f t="shared" si="14"/>
        <v>7331.2537698368451</v>
      </c>
      <c r="Y76" s="155">
        <f t="shared" si="14"/>
        <v>7759.5110729694043</v>
      </c>
      <c r="Z76" s="155">
        <f t="shared" ca="1" si="14"/>
        <v>11413.657721915897</v>
      </c>
    </row>
    <row r="77" spans="1:26" outlineLevel="1">
      <c r="A77" s="16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6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ht="18.75" hidden="1" outlineLevel="1">
      <c r="A79" s="177" t="s">
        <v>305</v>
      </c>
      <c r="B79" s="8"/>
      <c r="C79" s="8"/>
      <c r="D79" s="8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</row>
    <row r="80" spans="1:26" hidden="1" outlineLevel="1">
      <c r="A80" s="176"/>
      <c r="B80" s="8"/>
      <c r="C80" s="8"/>
      <c r="D80" s="8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</row>
    <row r="81" spans="1:29" ht="15.75" hidden="1" outlineLevel="1">
      <c r="A81" s="512" t="s">
        <v>306</v>
      </c>
      <c r="B81" s="543"/>
      <c r="C81" s="543"/>
      <c r="D81" s="543"/>
      <c r="E81" s="547"/>
      <c r="F81" s="547"/>
      <c r="G81" s="547"/>
      <c r="H81" s="547"/>
      <c r="I81" s="547"/>
      <c r="J81" s="547"/>
      <c r="K81" s="547"/>
      <c r="L81" s="547"/>
      <c r="M81" s="547"/>
      <c r="N81" s="547"/>
      <c r="O81" s="547"/>
      <c r="P81" s="547"/>
      <c r="Q81" s="547"/>
      <c r="R81" s="547"/>
      <c r="S81" s="547"/>
      <c r="T81" s="547"/>
      <c r="U81" s="547"/>
      <c r="V81" s="547"/>
      <c r="W81" s="547"/>
      <c r="X81" s="547"/>
      <c r="Y81" s="547"/>
      <c r="Z81" s="547"/>
      <c r="AA81" s="547"/>
      <c r="AB81" s="547"/>
    </row>
    <row r="82" spans="1:29" hidden="1" outlineLevel="1">
      <c r="A82" s="36" t="s">
        <v>307</v>
      </c>
      <c r="B82" s="543"/>
      <c r="C82" s="543"/>
      <c r="D82" s="543"/>
      <c r="E82" s="8"/>
      <c r="F82" s="32">
        <f ca="1">F49</f>
        <v>-1259.9371475932649</v>
      </c>
      <c r="G82" s="32">
        <f t="shared" ref="G82:Z82" si="15">G49</f>
        <v>1960.0016417074821</v>
      </c>
      <c r="H82" s="32">
        <f t="shared" si="15"/>
        <v>2168.1925423658504</v>
      </c>
      <c r="I82" s="32">
        <f t="shared" si="15"/>
        <v>15057.621744879534</v>
      </c>
      <c r="J82" s="32">
        <f t="shared" si="15"/>
        <v>15992.811561249109</v>
      </c>
      <c r="K82" s="32">
        <f t="shared" si="15"/>
        <v>17318.317870945582</v>
      </c>
      <c r="L82" s="32">
        <f t="shared" si="15"/>
        <v>18062.831830888943</v>
      </c>
      <c r="M82" s="32">
        <f t="shared" si="15"/>
        <v>18851.418374634006</v>
      </c>
      <c r="N82" s="32">
        <f t="shared" si="15"/>
        <v>19745.486292992995</v>
      </c>
      <c r="O82" s="32">
        <f t="shared" si="15"/>
        <v>20821.000088256074</v>
      </c>
      <c r="P82" s="32">
        <f t="shared" si="15"/>
        <v>21836.421192619819</v>
      </c>
      <c r="Q82" s="32">
        <f t="shared" si="15"/>
        <v>22645.772325360798</v>
      </c>
      <c r="R82" s="32">
        <f t="shared" si="15"/>
        <v>23657.239893183509</v>
      </c>
      <c r="S82" s="32">
        <f t="shared" si="15"/>
        <v>23960.635927412353</v>
      </c>
      <c r="T82" s="32">
        <f t="shared" si="15"/>
        <v>25030.544255155874</v>
      </c>
      <c r="U82" s="32">
        <f t="shared" si="15"/>
        <v>26147.109360057424</v>
      </c>
      <c r="V82" s="32">
        <f t="shared" si="15"/>
        <v>27294.518318861898</v>
      </c>
      <c r="W82" s="32">
        <f t="shared" si="15"/>
        <v>28416.394554897011</v>
      </c>
      <c r="X82" s="32">
        <f t="shared" si="15"/>
        <v>29458.61265291609</v>
      </c>
      <c r="Y82" s="32">
        <f t="shared" si="15"/>
        <v>29473.135714771026</v>
      </c>
      <c r="Z82" s="32">
        <f t="shared" si="15"/>
        <v>30892.091943673353</v>
      </c>
      <c r="AA82" s="32"/>
      <c r="AB82" s="32"/>
      <c r="AC82" s="32"/>
    </row>
    <row r="83" spans="1:29" hidden="1" outlineLevel="1">
      <c r="A83" s="36" t="s">
        <v>308</v>
      </c>
      <c r="B83" s="543"/>
      <c r="C83" s="543"/>
      <c r="D83" s="543"/>
      <c r="E83" s="8"/>
      <c r="F83" s="550">
        <v>3.4000000000000002E-2</v>
      </c>
      <c r="G83" s="550">
        <v>3.4000000000000002E-2</v>
      </c>
      <c r="H83" s="550">
        <v>3.4000000000000002E-2</v>
      </c>
      <c r="I83" s="550">
        <v>3.4000000000000002E-2</v>
      </c>
      <c r="J83" s="550">
        <v>3.4000000000000002E-2</v>
      </c>
      <c r="K83" s="550">
        <v>3.4000000000000002E-2</v>
      </c>
      <c r="L83" s="550">
        <v>3.4000000000000002E-2</v>
      </c>
      <c r="M83" s="550">
        <v>3.4000000000000002E-2</v>
      </c>
      <c r="N83" s="550">
        <v>3.4000000000000002E-2</v>
      </c>
      <c r="O83" s="550">
        <v>3.4000000000000002E-2</v>
      </c>
      <c r="P83" s="550">
        <v>3.4000000000000002E-2</v>
      </c>
      <c r="Q83" s="550">
        <v>3.4000000000000002E-2</v>
      </c>
      <c r="R83" s="550">
        <v>3.4000000000000002E-2</v>
      </c>
      <c r="S83" s="550">
        <v>3.4000000000000002E-2</v>
      </c>
      <c r="T83" s="550">
        <v>3.4000000000000002E-2</v>
      </c>
      <c r="U83" s="550">
        <v>3.4000000000000002E-2</v>
      </c>
      <c r="V83" s="550">
        <v>3.4000000000000002E-2</v>
      </c>
      <c r="W83" s="550">
        <v>3.4000000000000002E-2</v>
      </c>
      <c r="X83" s="550">
        <v>3.4000000000000002E-2</v>
      </c>
      <c r="Y83" s="550">
        <v>3.4000000000000002E-2</v>
      </c>
      <c r="Z83" s="550">
        <v>3.4000000000000002E-2</v>
      </c>
      <c r="AA83" s="498"/>
      <c r="AB83" s="498"/>
      <c r="AC83" s="498"/>
    </row>
    <row r="84" spans="1:29" ht="15.75" hidden="1" outlineLevel="1">
      <c r="A84" s="468" t="s">
        <v>309</v>
      </c>
      <c r="B84" s="548"/>
      <c r="C84" s="548"/>
      <c r="D84" s="548"/>
      <c r="E84" s="8"/>
      <c r="F84" s="75">
        <f ca="1">F82*F83</f>
        <v>-42.837863018171007</v>
      </c>
      <c r="G84" s="75">
        <f t="shared" ref="G84:Z84" si="16">G82*G83</f>
        <v>66.640055818054392</v>
      </c>
      <c r="H84" s="75">
        <f t="shared" si="16"/>
        <v>73.718546440438914</v>
      </c>
      <c r="I84" s="75">
        <f t="shared" si="16"/>
        <v>511.95913932590418</v>
      </c>
      <c r="J84" s="75">
        <f t="shared" si="16"/>
        <v>543.75559308246977</v>
      </c>
      <c r="K84" s="75">
        <f t="shared" si="16"/>
        <v>588.82280761214986</v>
      </c>
      <c r="L84" s="75">
        <f t="shared" si="16"/>
        <v>614.1362822502241</v>
      </c>
      <c r="M84" s="75">
        <f t="shared" si="16"/>
        <v>640.9482247375563</v>
      </c>
      <c r="N84" s="75">
        <f t="shared" si="16"/>
        <v>671.34653396176191</v>
      </c>
      <c r="O84" s="75">
        <f t="shared" si="16"/>
        <v>707.91400300070654</v>
      </c>
      <c r="P84" s="75">
        <f t="shared" si="16"/>
        <v>742.43832054907386</v>
      </c>
      <c r="Q84" s="75">
        <f t="shared" si="16"/>
        <v>769.95625906226724</v>
      </c>
      <c r="R84" s="75">
        <f t="shared" si="16"/>
        <v>804.34615636823935</v>
      </c>
      <c r="S84" s="75">
        <f t="shared" si="16"/>
        <v>814.66162153202004</v>
      </c>
      <c r="T84" s="75">
        <f t="shared" si="16"/>
        <v>851.03850467529981</v>
      </c>
      <c r="U84" s="75">
        <f t="shared" si="16"/>
        <v>889.00171824195252</v>
      </c>
      <c r="V84" s="75">
        <f t="shared" si="16"/>
        <v>928.0136228413046</v>
      </c>
      <c r="W84" s="75">
        <f t="shared" si="16"/>
        <v>966.15741486649847</v>
      </c>
      <c r="X84" s="75">
        <f t="shared" si="16"/>
        <v>1001.5928301991471</v>
      </c>
      <c r="Y84" s="75">
        <f t="shared" si="16"/>
        <v>1002.0866143022149</v>
      </c>
      <c r="Z84" s="75">
        <f t="shared" si="16"/>
        <v>1050.3311260848941</v>
      </c>
      <c r="AA84" s="75"/>
      <c r="AB84" s="75"/>
      <c r="AC84" s="75"/>
    </row>
    <row r="85" spans="1:29" ht="15.75" hidden="1" outlineLevel="1">
      <c r="A85" s="338"/>
      <c r="B85" s="543"/>
      <c r="C85" s="549"/>
      <c r="D85" s="549"/>
      <c r="E85" s="8"/>
      <c r="F85" s="497"/>
      <c r="G85" s="497"/>
      <c r="H85" s="497"/>
      <c r="I85" s="497"/>
      <c r="J85" s="497"/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7"/>
      <c r="X85" s="497"/>
      <c r="Y85" s="497"/>
      <c r="Z85" s="497"/>
      <c r="AA85" s="497"/>
      <c r="AB85" s="497"/>
      <c r="AC85" s="497"/>
    </row>
    <row r="86" spans="1:29" ht="15.75" hidden="1" outlineLevel="1">
      <c r="A86" s="512" t="s">
        <v>310</v>
      </c>
      <c r="B86" s="543"/>
      <c r="C86" s="543"/>
      <c r="D86" s="543"/>
      <c r="E86" s="8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 spans="1:29" hidden="1" outlineLevel="1">
      <c r="A87" s="36" t="s">
        <v>311</v>
      </c>
      <c r="B87" s="543"/>
      <c r="C87" s="543"/>
      <c r="D87" s="543"/>
      <c r="E87" s="8"/>
      <c r="F87" s="32">
        <f>F10+G15</f>
        <v>11280</v>
      </c>
      <c r="G87" s="32">
        <f t="shared" ref="G87:Y87" si="17">G10+H15</f>
        <v>22560</v>
      </c>
      <c r="H87" s="32">
        <f t="shared" si="17"/>
        <v>59801.006794214773</v>
      </c>
      <c r="I87" s="32">
        <f t="shared" si="17"/>
        <v>38358.236998041211</v>
      </c>
      <c r="J87" s="32">
        <f t="shared" si="17"/>
        <v>39508.984107982447</v>
      </c>
      <c r="K87" s="32">
        <f t="shared" si="17"/>
        <v>40068.188190741588</v>
      </c>
      <c r="L87" s="32">
        <f t="shared" si="17"/>
        <v>40625.386432769097</v>
      </c>
      <c r="M87" s="32">
        <f t="shared" si="17"/>
        <v>41179.955199946577</v>
      </c>
      <c r="N87" s="32">
        <f t="shared" si="17"/>
        <v>41731.235245365213</v>
      </c>
      <c r="O87" s="32">
        <f t="shared" si="17"/>
        <v>42278.530133829016</v>
      </c>
      <c r="P87" s="32">
        <f t="shared" si="17"/>
        <v>42821.104603879816</v>
      </c>
      <c r="Q87" s="32">
        <f t="shared" si="17"/>
        <v>43358.18286501323</v>
      </c>
      <c r="R87" s="32">
        <f t="shared" si="17"/>
        <v>43118.965304378675</v>
      </c>
      <c r="S87" s="32">
        <f t="shared" si="17"/>
        <v>43619.453294518782</v>
      </c>
      <c r="T87" s="32">
        <f t="shared" si="17"/>
        <v>44111.163495293353</v>
      </c>
      <c r="U87" s="32">
        <f t="shared" si="17"/>
        <v>44593.118800149328</v>
      </c>
      <c r="V87" s="32">
        <f t="shared" si="17"/>
        <v>45064.291376150912</v>
      </c>
      <c r="W87" s="32">
        <f t="shared" si="17"/>
        <v>45523.600499792446</v>
      </c>
      <c r="X87" s="32">
        <f t="shared" si="17"/>
        <v>45050.512102441658</v>
      </c>
      <c r="Y87" s="32">
        <f t="shared" si="17"/>
        <v>45455.047313157469</v>
      </c>
      <c r="Z87" s="32" t="e">
        <f>Z10+#REF!</f>
        <v>#REF!</v>
      </c>
      <c r="AA87" s="32"/>
      <c r="AB87" s="32"/>
      <c r="AC87" s="32"/>
    </row>
    <row r="88" spans="1:29" hidden="1" outlineLevel="1">
      <c r="A88" s="36" t="s">
        <v>312</v>
      </c>
      <c r="B88" s="543"/>
      <c r="C88" s="543"/>
      <c r="D88" s="543"/>
      <c r="E88" s="8"/>
      <c r="F88" s="550">
        <v>1.2E-2</v>
      </c>
      <c r="G88" s="550">
        <v>1.2E-2</v>
      </c>
      <c r="H88" s="550">
        <v>1.2E-2</v>
      </c>
      <c r="I88" s="550">
        <v>1.2E-2</v>
      </c>
      <c r="J88" s="550">
        <v>1.2E-2</v>
      </c>
      <c r="K88" s="550">
        <v>1.2E-2</v>
      </c>
      <c r="L88" s="550">
        <v>1.2E-2</v>
      </c>
      <c r="M88" s="550">
        <v>1.2E-2</v>
      </c>
      <c r="N88" s="550">
        <v>1.2E-2</v>
      </c>
      <c r="O88" s="550">
        <v>1.2E-2</v>
      </c>
      <c r="P88" s="550">
        <v>1.2E-2</v>
      </c>
      <c r="Q88" s="550">
        <v>1.2E-2</v>
      </c>
      <c r="R88" s="550">
        <v>1.2E-2</v>
      </c>
      <c r="S88" s="550">
        <v>1.2E-2</v>
      </c>
      <c r="T88" s="550">
        <v>1.2E-2</v>
      </c>
      <c r="U88" s="550">
        <v>1.2E-2</v>
      </c>
      <c r="V88" s="550">
        <v>1.2E-2</v>
      </c>
      <c r="W88" s="550">
        <v>1.2E-2</v>
      </c>
      <c r="X88" s="550">
        <v>1.2E-2</v>
      </c>
      <c r="Y88" s="550">
        <v>1.2E-2</v>
      </c>
      <c r="Z88" s="550">
        <v>0</v>
      </c>
      <c r="AA88" s="498"/>
      <c r="AB88" s="498"/>
      <c r="AC88" s="498"/>
    </row>
    <row r="89" spans="1:29" ht="15.75" hidden="1" outlineLevel="1">
      <c r="A89" s="530" t="s">
        <v>313</v>
      </c>
      <c r="B89" s="548"/>
      <c r="C89" s="548"/>
      <c r="D89" s="548"/>
      <c r="E89" s="8"/>
      <c r="F89" s="75">
        <f>F87*F88</f>
        <v>135.36000000000001</v>
      </c>
      <c r="G89" s="75">
        <f t="shared" ref="G89:Z89" si="18">G87*G88</f>
        <v>270.72000000000003</v>
      </c>
      <c r="H89" s="75">
        <f t="shared" si="18"/>
        <v>717.61208153057726</v>
      </c>
      <c r="I89" s="75">
        <f t="shared" si="18"/>
        <v>460.29884397649454</v>
      </c>
      <c r="J89" s="75">
        <f t="shared" si="18"/>
        <v>474.10780929578937</v>
      </c>
      <c r="K89" s="75">
        <f t="shared" si="18"/>
        <v>480.81825828889907</v>
      </c>
      <c r="L89" s="75">
        <f t="shared" si="18"/>
        <v>487.5046371932292</v>
      </c>
      <c r="M89" s="75">
        <f t="shared" si="18"/>
        <v>494.15946239935892</v>
      </c>
      <c r="N89" s="75">
        <f t="shared" si="18"/>
        <v>500.77482294438255</v>
      </c>
      <c r="O89" s="75">
        <f t="shared" si="18"/>
        <v>507.34236160594821</v>
      </c>
      <c r="P89" s="75">
        <f t="shared" si="18"/>
        <v>513.85325524655775</v>
      </c>
      <c r="Q89" s="75">
        <f t="shared" si="18"/>
        <v>520.29819438015875</v>
      </c>
      <c r="R89" s="75">
        <f t="shared" si="18"/>
        <v>517.42758365254406</v>
      </c>
      <c r="S89" s="75">
        <f t="shared" si="18"/>
        <v>523.43343953422539</v>
      </c>
      <c r="T89" s="75">
        <f t="shared" si="18"/>
        <v>529.33396194352019</v>
      </c>
      <c r="U89" s="75">
        <f t="shared" si="18"/>
        <v>535.11742560179198</v>
      </c>
      <c r="V89" s="75">
        <f t="shared" si="18"/>
        <v>540.77149651381092</v>
      </c>
      <c r="W89" s="75">
        <f t="shared" si="18"/>
        <v>546.28320599750941</v>
      </c>
      <c r="X89" s="75">
        <f t="shared" si="18"/>
        <v>540.60614522929995</v>
      </c>
      <c r="Y89" s="75">
        <f t="shared" si="18"/>
        <v>545.46056775788963</v>
      </c>
      <c r="Z89" s="75" t="e">
        <f t="shared" si="18"/>
        <v>#REF!</v>
      </c>
      <c r="AA89" s="75"/>
      <c r="AB89" s="75"/>
      <c r="AC89" s="75"/>
    </row>
    <row r="90" spans="1:29" ht="15.75" hidden="1">
      <c r="A90" s="530"/>
      <c r="B90" s="548"/>
      <c r="C90" s="548"/>
      <c r="D90" s="548"/>
      <c r="E90" s="8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</row>
    <row r="91" spans="1:29" ht="15.75" hidden="1" outlineLevel="1">
      <c r="A91" s="530" t="s">
        <v>314</v>
      </c>
      <c r="B91" s="548"/>
      <c r="C91" s="548"/>
      <c r="D91" s="548"/>
      <c r="E91" s="8"/>
      <c r="F91" s="75">
        <f ca="1">MAX(F89,F84)</f>
        <v>135.36000000000001</v>
      </c>
      <c r="G91" s="75">
        <f t="shared" ref="G91:Z91" si="19">MAX(G89,G84)</f>
        <v>270.72000000000003</v>
      </c>
      <c r="H91" s="75">
        <f t="shared" si="19"/>
        <v>717.61208153057726</v>
      </c>
      <c r="I91" s="75">
        <f t="shared" si="19"/>
        <v>511.95913932590418</v>
      </c>
      <c r="J91" s="75">
        <f t="shared" si="19"/>
        <v>543.75559308246977</v>
      </c>
      <c r="K91" s="75">
        <f t="shared" si="19"/>
        <v>588.82280761214986</v>
      </c>
      <c r="L91" s="75">
        <f t="shared" si="19"/>
        <v>614.1362822502241</v>
      </c>
      <c r="M91" s="75">
        <f t="shared" si="19"/>
        <v>640.9482247375563</v>
      </c>
      <c r="N91" s="75">
        <f t="shared" si="19"/>
        <v>671.34653396176191</v>
      </c>
      <c r="O91" s="75">
        <f t="shared" si="19"/>
        <v>707.91400300070654</v>
      </c>
      <c r="P91" s="75">
        <f t="shared" si="19"/>
        <v>742.43832054907386</v>
      </c>
      <c r="Q91" s="75">
        <f t="shared" si="19"/>
        <v>769.95625906226724</v>
      </c>
      <c r="R91" s="75">
        <f t="shared" si="19"/>
        <v>804.34615636823935</v>
      </c>
      <c r="S91" s="75">
        <f t="shared" si="19"/>
        <v>814.66162153202004</v>
      </c>
      <c r="T91" s="75">
        <f t="shared" si="19"/>
        <v>851.03850467529981</v>
      </c>
      <c r="U91" s="75">
        <f t="shared" si="19"/>
        <v>889.00171824195252</v>
      </c>
      <c r="V91" s="75">
        <f t="shared" si="19"/>
        <v>928.0136228413046</v>
      </c>
      <c r="W91" s="75">
        <f t="shared" si="19"/>
        <v>966.15741486649847</v>
      </c>
      <c r="X91" s="75">
        <f t="shared" si="19"/>
        <v>1001.5928301991471</v>
      </c>
      <c r="Y91" s="75">
        <f t="shared" si="19"/>
        <v>1002.0866143022149</v>
      </c>
      <c r="Z91" s="75" t="e">
        <f t="shared" si="19"/>
        <v>#REF!</v>
      </c>
      <c r="AA91" s="75"/>
      <c r="AB91" s="75"/>
      <c r="AC91" s="75"/>
    </row>
    <row r="92" spans="1:29" outlineLevel="1">
      <c r="A92" s="8"/>
      <c r="B92" s="8"/>
      <c r="C92" s="163"/>
      <c r="D92" s="163"/>
      <c r="E92" s="163"/>
      <c r="F92" s="163"/>
      <c r="G92" s="163"/>
      <c r="H92" s="8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9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9" outlineLevel="1">
      <c r="A94" s="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9" outlineLevel="1">
      <c r="A95" s="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9" outlineLevel="1">
      <c r="A96" s="13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138"/>
      <c r="B99" s="8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8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8"/>
      <c r="B102" s="13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outlineLevel="1">
      <c r="A103" s="138"/>
      <c r="B103" s="13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outlineLevel="1">
      <c r="A104" s="138"/>
      <c r="B104" s="8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4.25" outlineLevel="1">
      <c r="A105" s="165"/>
      <c r="B105" s="8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ht="14.25" outlineLevel="1">
      <c r="A106" s="8"/>
      <c r="B106" s="165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ht="15.75" outlineLevel="1">
      <c r="A107" s="162"/>
      <c r="B107" s="8"/>
      <c r="C107" s="8"/>
      <c r="D107" s="8"/>
      <c r="E107" s="163"/>
      <c r="F107" s="8"/>
      <c r="G107" s="8"/>
      <c r="H107" s="163"/>
      <c r="I107" s="8"/>
      <c r="J107" s="8"/>
      <c r="K107" s="8"/>
      <c r="L107" s="8"/>
      <c r="M107" s="8"/>
      <c r="N107" s="8"/>
      <c r="O107" s="8"/>
      <c r="P107" s="8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138"/>
      <c r="B108" s="8"/>
      <c r="C108" s="166"/>
      <c r="D108" s="166"/>
      <c r="E108" s="163"/>
      <c r="F108" s="163"/>
      <c r="G108" s="163"/>
      <c r="H108" s="167"/>
      <c r="I108" s="168"/>
      <c r="J108" s="168"/>
      <c r="K108" s="168"/>
      <c r="L108" s="168"/>
      <c r="M108" s="168"/>
      <c r="N108" s="168"/>
      <c r="O108" s="168"/>
      <c r="P108" s="168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138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169"/>
      <c r="B110" s="169"/>
      <c r="C110" s="170"/>
      <c r="D110" s="170"/>
      <c r="E110" s="170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169"/>
      <c r="B111" s="169"/>
      <c r="C111" s="170"/>
      <c r="D111" s="170"/>
      <c r="E111" s="170"/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170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69"/>
      <c r="B112" s="8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8"/>
      <c r="B113" s="138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138"/>
      <c r="B114" s="138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13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outlineLevel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8"/>
      <c r="B117" s="138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ht="14.25" outlineLevel="1">
      <c r="A118" s="165"/>
      <c r="B118" s="8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1"/>
      <c r="B119" s="8"/>
      <c r="C119" s="8"/>
      <c r="D119" s="8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2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2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3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4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2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2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5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5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2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2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5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1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outlineLevel="1">
      <c r="A140" s="173"/>
      <c r="B140" s="8"/>
      <c r="C140" s="8"/>
      <c r="D140" s="8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ht="14.25" customHeight="1" outlineLevel="1">
      <c r="A144" s="173"/>
      <c r="B144" s="8"/>
      <c r="C144" s="8"/>
      <c r="D144" s="8"/>
      <c r="E144" s="8"/>
      <c r="F144" s="158"/>
      <c r="G144" s="158"/>
      <c r="H144" s="158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</row>
    <row r="145" spans="1:26" outlineLevel="1">
      <c r="A145" s="173"/>
      <c r="B145" s="8"/>
      <c r="C145" s="8"/>
      <c r="D145" s="8"/>
      <c r="E145" s="8"/>
      <c r="F145" s="158"/>
      <c r="G145" s="158"/>
      <c r="H145" s="158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</row>
    <row r="146" spans="1:26" outlineLevel="1">
      <c r="A146" s="173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76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176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15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outlineLevel="1">
      <c r="A152" s="8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ht="18.75" outlineLevel="1">
      <c r="A154" s="177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13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13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8"/>
      <c r="B157" s="8"/>
      <c r="C157" s="8"/>
      <c r="D157" s="8"/>
      <c r="E157" s="8"/>
      <c r="F157" s="158"/>
      <c r="G157" s="158"/>
      <c r="H157" s="158"/>
      <c r="I157" s="158"/>
      <c r="J157" s="158"/>
      <c r="K157" s="158"/>
      <c r="L157" s="158"/>
      <c r="M157" s="158"/>
      <c r="N157" s="158"/>
      <c r="O157" s="158"/>
      <c r="P157" s="158"/>
      <c r="Q157" s="158"/>
      <c r="R157" s="158"/>
      <c r="S157" s="158"/>
      <c r="T157" s="158"/>
      <c r="U157" s="158"/>
      <c r="V157" s="158"/>
      <c r="W157" s="158"/>
      <c r="X157" s="158"/>
      <c r="Y157" s="158"/>
      <c r="Z157" s="158"/>
    </row>
    <row r="158" spans="1:26" outlineLevel="1">
      <c r="A158" s="8"/>
      <c r="B158" s="8"/>
      <c r="C158" s="8"/>
      <c r="D158" s="8"/>
      <c r="E158" s="8"/>
      <c r="F158" s="158"/>
      <c r="G158" s="158"/>
      <c r="H158" s="158"/>
      <c r="I158" s="158"/>
      <c r="J158" s="158"/>
      <c r="K158" s="158"/>
      <c r="L158" s="158"/>
      <c r="M158" s="158"/>
      <c r="N158" s="158"/>
      <c r="O158" s="158"/>
      <c r="P158" s="158"/>
      <c r="Q158" s="158"/>
      <c r="R158" s="158"/>
      <c r="S158" s="158"/>
      <c r="T158" s="158"/>
      <c r="U158" s="158"/>
      <c r="V158" s="158"/>
      <c r="W158" s="158"/>
      <c r="X158" s="158"/>
      <c r="Y158" s="158"/>
      <c r="Z158" s="158"/>
    </row>
    <row r="159" spans="1:26" outlineLevel="1">
      <c r="A159" s="3"/>
      <c r="B159" s="3"/>
      <c r="C159" s="3"/>
      <c r="D159" s="3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outlineLevel="1">
      <c r="A160" s="173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2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72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1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58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3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8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72"/>
      <c r="B168" s="8"/>
      <c r="C168" s="8"/>
      <c r="D168" s="8"/>
      <c r="E168" s="142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2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58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2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3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5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1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2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2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3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4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2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5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5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2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2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1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173"/>
      <c r="B200" s="8"/>
      <c r="C200" s="8"/>
      <c r="D200" s="8"/>
      <c r="E200" s="8"/>
      <c r="F200" s="158"/>
      <c r="G200" s="158"/>
      <c r="H200" s="158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</row>
    <row r="201" spans="1:26" outlineLevel="1">
      <c r="A201" s="173"/>
      <c r="B201" s="8"/>
      <c r="C201" s="8"/>
      <c r="D201" s="8"/>
      <c r="E201" s="8"/>
      <c r="F201" s="158"/>
      <c r="G201" s="158"/>
      <c r="H201" s="158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</row>
    <row r="202" spans="1:26" outlineLevel="1">
      <c r="A202" s="8"/>
      <c r="B202" s="8"/>
      <c r="C202" s="8"/>
      <c r="D202" s="8"/>
      <c r="E202" s="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outlineLevel="1">
      <c r="A203" s="8"/>
      <c r="B203" s="8"/>
      <c r="C203" s="8"/>
      <c r="D203" s="8"/>
      <c r="E203" s="8"/>
      <c r="F203" s="158"/>
      <c r="G203" s="158"/>
      <c r="H203" s="158"/>
      <c r="I203" s="158"/>
      <c r="J203" s="158"/>
      <c r="K203" s="158"/>
      <c r="L203" s="158"/>
      <c r="M203" s="158"/>
      <c r="N203" s="158"/>
      <c r="O203" s="158"/>
      <c r="P203" s="158"/>
      <c r="Q203" s="158"/>
      <c r="R203" s="158"/>
      <c r="S203" s="158"/>
      <c r="T203" s="158"/>
      <c r="U203" s="158"/>
      <c r="V203" s="158"/>
      <c r="W203" s="158"/>
      <c r="X203" s="158"/>
      <c r="Y203" s="158"/>
      <c r="Z203" s="158"/>
    </row>
    <row r="204" spans="1:26" outlineLevel="1">
      <c r="A204" s="8"/>
      <c r="B204" s="8"/>
      <c r="C204" s="8"/>
      <c r="D204" s="8"/>
      <c r="E204" s="8"/>
      <c r="F204" s="8"/>
      <c r="G204" s="8"/>
      <c r="H204" s="8"/>
      <c r="I204" s="158"/>
      <c r="J204" s="158"/>
      <c r="K204" s="158"/>
      <c r="L204" s="158"/>
      <c r="M204" s="158"/>
      <c r="N204" s="158"/>
      <c r="O204" s="158"/>
      <c r="P204" s="158"/>
      <c r="Q204" s="158"/>
      <c r="R204" s="158"/>
      <c r="S204" s="158"/>
      <c r="T204" s="158"/>
      <c r="U204" s="158"/>
      <c r="V204" s="158"/>
      <c r="W204" s="158"/>
      <c r="X204" s="158"/>
      <c r="Y204" s="158"/>
      <c r="Z204" s="158"/>
    </row>
    <row r="205" spans="1:26" ht="18.75" outlineLevel="1">
      <c r="A205" s="178"/>
      <c r="B205" s="178"/>
      <c r="C205" s="178"/>
      <c r="D205" s="17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138"/>
      <c r="B206" s="138"/>
      <c r="C206" s="138"/>
      <c r="D206" s="13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138"/>
      <c r="B207" s="179"/>
      <c r="C207" s="179"/>
      <c r="D207" s="179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38"/>
      <c r="B210" s="138"/>
      <c r="C210" s="138"/>
      <c r="D210" s="138"/>
      <c r="E210" s="13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38"/>
      <c r="C211" s="138"/>
      <c r="D211" s="138"/>
      <c r="E211" s="138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38"/>
      <c r="C212" s="138"/>
      <c r="D212" s="138"/>
      <c r="E212" s="138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180"/>
      <c r="C213" s="180"/>
      <c r="D213" s="180"/>
      <c r="E213" s="180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180"/>
      <c r="B214" s="180"/>
      <c r="C214" s="180"/>
      <c r="D214" s="180"/>
      <c r="E214" s="180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80"/>
      <c r="B215" s="3"/>
      <c r="C215" s="3"/>
      <c r="D215" s="3"/>
      <c r="E215" s="3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8"/>
      <c r="B216" s="8"/>
      <c r="C216" s="8"/>
      <c r="D216" s="8"/>
      <c r="E216" s="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38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38"/>
      <c r="C225" s="138"/>
      <c r="D225" s="138"/>
      <c r="E225" s="138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38"/>
      <c r="C226" s="138"/>
      <c r="D226" s="138"/>
      <c r="E226" s="138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80"/>
      <c r="B227" s="180"/>
      <c r="C227" s="180"/>
      <c r="D227" s="180"/>
      <c r="E227" s="180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38"/>
      <c r="B229" s="138"/>
      <c r="C229" s="138"/>
      <c r="D229" s="138"/>
      <c r="E229" s="138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80"/>
      <c r="B230" s="180"/>
      <c r="C230" s="180"/>
      <c r="D230" s="180"/>
      <c r="E230" s="180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80"/>
      <c r="B231" s="180"/>
      <c r="C231" s="180"/>
      <c r="D231" s="180"/>
      <c r="E231" s="180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13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138"/>
      <c r="B233" s="138"/>
      <c r="C233" s="138"/>
      <c r="D233" s="138"/>
      <c r="E233" s="138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8"/>
      <c r="B234" s="138"/>
      <c r="C234" s="138"/>
      <c r="D234" s="138"/>
      <c r="E234" s="138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8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82"/>
      <c r="C236" s="182"/>
      <c r="D236" s="182"/>
      <c r="E236" s="182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180"/>
      <c r="B237" s="182"/>
      <c r="C237" s="182"/>
      <c r="D237" s="182"/>
      <c r="E237" s="182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8"/>
      <c r="B239" s="8"/>
      <c r="C239" s="8"/>
      <c r="D239" s="8"/>
      <c r="E239" s="8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38"/>
      <c r="B240" s="138"/>
      <c r="C240" s="138"/>
      <c r="D240" s="138"/>
      <c r="E240" s="138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180"/>
      <c r="C244" s="180"/>
      <c r="D244" s="180"/>
      <c r="E244" s="180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80"/>
      <c r="B245" s="180"/>
      <c r="C245" s="180"/>
      <c r="D245" s="180"/>
      <c r="E245" s="180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80"/>
      <c r="B246" s="8"/>
      <c r="C246" s="8"/>
      <c r="D246" s="8"/>
      <c r="E246" s="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138"/>
      <c r="B247" s="138"/>
      <c r="C247" s="138"/>
      <c r="D247" s="138"/>
      <c r="E247" s="13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38"/>
      <c r="C248" s="138"/>
      <c r="D248" s="138"/>
      <c r="E248" s="13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8"/>
      <c r="B249" s="8"/>
      <c r="C249" s="8"/>
      <c r="D249" s="8"/>
      <c r="E249" s="8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138"/>
      <c r="B250" s="183"/>
      <c r="C250" s="183"/>
      <c r="D250" s="183"/>
      <c r="E250" s="8"/>
      <c r="F250" s="181"/>
      <c r="G250" s="181"/>
      <c r="H250" s="181"/>
      <c r="I250" s="181"/>
      <c r="J250" s="181"/>
      <c r="K250" s="181"/>
      <c r="L250" s="181"/>
      <c r="M250" s="181"/>
      <c r="N250" s="8"/>
      <c r="O250" s="181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79"/>
      <c r="C251" s="179"/>
      <c r="D251" s="179"/>
      <c r="E251" s="179"/>
      <c r="F251" s="181"/>
      <c r="G251" s="181"/>
      <c r="H251" s="181"/>
      <c r="I251" s="181"/>
      <c r="J251" s="181"/>
      <c r="K251" s="181"/>
      <c r="L251" s="181"/>
      <c r="M251" s="181"/>
      <c r="N251" s="8"/>
      <c r="O251" s="181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184"/>
      <c r="C253" s="184"/>
      <c r="D253" s="184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138"/>
      <c r="B255" s="8"/>
      <c r="C255" s="8"/>
      <c r="D255" s="8"/>
      <c r="E255" s="8"/>
      <c r="F255" s="8"/>
      <c r="G255" s="8"/>
      <c r="H255" s="142"/>
      <c r="I255" s="142"/>
      <c r="J255" s="142"/>
      <c r="K255" s="142"/>
      <c r="L255" s="142"/>
      <c r="M255" s="142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outlineLevel="1">
      <c r="A256" s="138"/>
      <c r="B256" s="8"/>
      <c r="C256" s="8"/>
      <c r="D256" s="8"/>
      <c r="E256" s="8"/>
      <c r="F256" s="8"/>
      <c r="G256" s="8"/>
      <c r="H256" s="142"/>
      <c r="I256" s="142"/>
      <c r="J256" s="142"/>
      <c r="K256" s="142"/>
      <c r="L256" s="142"/>
      <c r="M256" s="142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8.75" outlineLevel="1">
      <c r="A258" s="177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13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outlineLevel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outlineLevel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s="186" customFormat="1" outlineLevel="1">
      <c r="A262" s="185"/>
    </row>
    <row r="263" spans="1:26" outlineLevel="1">
      <c r="A263" s="13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138"/>
      <c r="B264" s="8"/>
      <c r="C264" s="8"/>
      <c r="D264" s="8"/>
      <c r="E264" s="8"/>
      <c r="F264" s="8"/>
      <c r="G264" s="8"/>
      <c r="H264" s="187"/>
      <c r="I264" s="187"/>
      <c r="J264" s="187"/>
      <c r="K264" s="187"/>
      <c r="L264" s="187"/>
      <c r="M264" s="187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8"/>
      <c r="C265" s="8"/>
      <c r="D265" s="8"/>
      <c r="E265" s="8"/>
      <c r="F265" s="8"/>
      <c r="G265" s="8"/>
      <c r="H265" s="187"/>
      <c r="I265" s="187"/>
      <c r="J265" s="187"/>
      <c r="K265" s="187"/>
      <c r="L265" s="187"/>
      <c r="M265" s="187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8"/>
      <c r="B266" s="188"/>
      <c r="C266" s="188"/>
      <c r="D266" s="188"/>
      <c r="E266" s="188"/>
      <c r="F266" s="8"/>
      <c r="G266" s="8"/>
      <c r="H266" s="189"/>
      <c r="I266" s="189"/>
      <c r="J266" s="189"/>
      <c r="K266" s="189"/>
      <c r="L266" s="189"/>
      <c r="M266" s="189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38"/>
      <c r="B267" s="190"/>
      <c r="C267" s="190"/>
      <c r="D267" s="190"/>
      <c r="E267" s="190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85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42"/>
      <c r="I271" s="142"/>
      <c r="J271" s="142"/>
      <c r="K271" s="142"/>
      <c r="L271" s="142"/>
      <c r="M271" s="142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91"/>
      <c r="B272" s="8"/>
      <c r="C272" s="8"/>
      <c r="D272" s="8"/>
      <c r="E272" s="8"/>
      <c r="F272" s="8"/>
      <c r="G272" s="8"/>
      <c r="H272" s="142"/>
      <c r="I272" s="142"/>
      <c r="J272" s="142"/>
      <c r="K272" s="142"/>
      <c r="L272" s="142"/>
      <c r="M272" s="14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8"/>
      <c r="C273" s="8"/>
      <c r="D273" s="8"/>
      <c r="E273" s="8"/>
      <c r="F273" s="8"/>
      <c r="G273" s="8"/>
      <c r="H273" s="187"/>
      <c r="I273" s="187"/>
      <c r="J273" s="187"/>
      <c r="K273" s="187"/>
      <c r="L273" s="187"/>
      <c r="M273" s="187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38"/>
      <c r="B274" s="8"/>
      <c r="C274" s="8"/>
      <c r="D274" s="8"/>
      <c r="E274" s="8"/>
      <c r="F274" s="8"/>
      <c r="G274" s="8"/>
      <c r="H274" s="192"/>
      <c r="I274" s="192"/>
      <c r="J274" s="192"/>
      <c r="K274" s="192"/>
      <c r="L274" s="192"/>
      <c r="M274" s="192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35"/>
      <c r="C275" s="35"/>
      <c r="D275" s="35"/>
      <c r="E275" s="35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3"/>
      <c r="I277" s="193"/>
      <c r="J277" s="193"/>
      <c r="K277" s="193"/>
      <c r="L277" s="193"/>
      <c r="M277" s="193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91"/>
      <c r="B278" s="8"/>
      <c r="C278" s="8"/>
      <c r="D278" s="8"/>
      <c r="E278" s="8"/>
      <c r="F278" s="8"/>
      <c r="G278" s="8"/>
      <c r="H278" s="193"/>
      <c r="I278" s="193"/>
      <c r="J278" s="193"/>
      <c r="K278" s="193"/>
      <c r="L278" s="193"/>
      <c r="M278" s="193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191"/>
      <c r="B279" s="8"/>
      <c r="C279" s="8"/>
      <c r="D279" s="8"/>
      <c r="E279" s="8"/>
      <c r="F279" s="8"/>
      <c r="G279" s="8"/>
      <c r="H279" s="192"/>
      <c r="I279" s="192"/>
      <c r="J279" s="192"/>
      <c r="K279" s="192"/>
      <c r="L279" s="192"/>
      <c r="M279" s="19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13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8"/>
      <c r="G282" s="8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142"/>
      <c r="I283" s="142"/>
      <c r="J283" s="142"/>
      <c r="K283" s="142"/>
      <c r="L283" s="142"/>
      <c r="M283" s="142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8"/>
      <c r="B284" s="8"/>
      <c r="C284" s="8"/>
      <c r="D284" s="8"/>
      <c r="E284" s="8"/>
      <c r="F284" s="194"/>
      <c r="G284" s="194"/>
      <c r="H284" s="142"/>
      <c r="I284" s="142"/>
      <c r="J284" s="142"/>
      <c r="K284" s="142"/>
      <c r="L284" s="142"/>
      <c r="M284" s="142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3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8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8"/>
      <c r="G288" s="8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191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191"/>
      <c r="B290" s="8"/>
      <c r="C290" s="8"/>
      <c r="D290" s="8"/>
      <c r="E290" s="8"/>
      <c r="F290" s="194"/>
      <c r="G290" s="194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187"/>
      <c r="I295" s="187"/>
      <c r="J295" s="187"/>
      <c r="K295" s="187"/>
      <c r="L295" s="187"/>
      <c r="M295" s="187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8"/>
      <c r="B296" s="8"/>
      <c r="C296" s="8"/>
      <c r="D296" s="8"/>
      <c r="E296" s="8"/>
      <c r="F296" s="8"/>
      <c r="G296" s="8"/>
      <c r="H296" s="187"/>
      <c r="I296" s="187"/>
      <c r="J296" s="187"/>
      <c r="K296" s="187"/>
      <c r="L296" s="187"/>
      <c r="M296" s="187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35"/>
      <c r="F299" s="194"/>
      <c r="G299" s="194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138"/>
      <c r="B300" s="8"/>
      <c r="C300" s="8"/>
      <c r="D300" s="8"/>
      <c r="E300" s="8"/>
      <c r="F300" s="195"/>
      <c r="G300" s="195"/>
      <c r="H300" s="195"/>
      <c r="I300" s="195"/>
      <c r="J300" s="195"/>
      <c r="K300" s="195"/>
      <c r="L300" s="195"/>
      <c r="M300" s="195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195"/>
      <c r="I301" s="195"/>
      <c r="J301" s="195"/>
      <c r="K301" s="195"/>
      <c r="L301" s="195"/>
      <c r="M301" s="195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13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13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81"/>
      <c r="I306" s="181"/>
      <c r="J306" s="181"/>
      <c r="K306" s="181"/>
      <c r="L306" s="181"/>
      <c r="M306" s="181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95"/>
      <c r="I307" s="195"/>
      <c r="J307" s="195"/>
      <c r="K307" s="195"/>
      <c r="L307" s="195"/>
      <c r="M307" s="195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81"/>
      <c r="I309" s="181"/>
      <c r="J309" s="181"/>
      <c r="K309" s="181"/>
      <c r="L309" s="181"/>
      <c r="M309" s="181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6"/>
      <c r="I310" s="196"/>
      <c r="J310" s="196"/>
      <c r="K310" s="196"/>
      <c r="L310" s="196"/>
      <c r="M310" s="196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outlineLevel="1">
      <c r="A311" s="8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outlineLevel="1">
      <c r="A312" s="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8.75" hidden="1" outlineLevel="2">
      <c r="A313" s="177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2">
      <c r="A314" s="138"/>
      <c r="B314" s="8"/>
      <c r="C314" s="8"/>
      <c r="D314" s="8"/>
      <c r="E314" s="8"/>
      <c r="F314" s="8"/>
      <c r="G314" s="8"/>
      <c r="H314" s="197"/>
      <c r="I314" s="197"/>
      <c r="J314" s="197"/>
      <c r="K314" s="197"/>
      <c r="L314" s="197"/>
      <c r="M314" s="197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idden="1" outlineLevel="2">
      <c r="A315" s="8"/>
      <c r="B315" s="8"/>
      <c r="C315" s="8"/>
      <c r="D315" s="8"/>
      <c r="E315" s="8"/>
      <c r="F315" s="8"/>
      <c r="G315" s="8"/>
      <c r="H315" s="197"/>
      <c r="I315" s="197"/>
      <c r="J315" s="197"/>
      <c r="K315" s="197"/>
      <c r="L315" s="197"/>
      <c r="M315" s="197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2">
      <c r="A316" s="138"/>
      <c r="B316" s="12"/>
      <c r="C316" s="12"/>
      <c r="D316" s="12"/>
      <c r="E316" s="12"/>
      <c r="F316" s="13"/>
      <c r="G316" s="13"/>
      <c r="H316" s="13"/>
      <c r="I316" s="12"/>
      <c r="J316" s="12"/>
      <c r="K316" s="13"/>
      <c r="L316" s="13"/>
      <c r="M316" s="12"/>
      <c r="N316" s="13"/>
      <c r="O316" s="13"/>
      <c r="P316" s="13"/>
      <c r="Q316" s="12"/>
      <c r="R316" s="13"/>
      <c r="S316" s="13"/>
      <c r="T316" s="8"/>
      <c r="U316" s="8"/>
      <c r="V316" s="8"/>
      <c r="W316" s="8"/>
      <c r="X316" s="8"/>
      <c r="Y316" s="13"/>
      <c r="Z316" s="8"/>
    </row>
    <row r="317" spans="1:26" hidden="1" outlineLevel="2">
      <c r="A317" s="13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idden="1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2">
      <c r="A319" s="8"/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hidden="1" outlineLevel="2">
      <c r="A321" s="8"/>
      <c r="B321" s="195"/>
      <c r="C321" s="195"/>
      <c r="D321" s="195"/>
      <c r="E321" s="195"/>
      <c r="F321" s="195"/>
      <c r="G321" s="195"/>
      <c r="H321" s="195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8"/>
    </row>
    <row r="322" spans="1:31" hidden="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hidden="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181"/>
      <c r="AA323" s="181"/>
      <c r="AB323" s="181"/>
      <c r="AC323" s="181"/>
      <c r="AD323" s="181"/>
      <c r="AE323" s="181"/>
    </row>
    <row r="324" spans="1:31" hidden="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hidden="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8"/>
    </row>
    <row r="326" spans="1:31" hidden="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hidden="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hidden="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hidden="1" outlineLevel="2">
      <c r="A329" s="8"/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8"/>
      <c r="U329" s="8"/>
      <c r="V329" s="8"/>
      <c r="W329" s="8"/>
      <c r="X329" s="8"/>
      <c r="Y329" s="181"/>
      <c r="Z329" s="181"/>
    </row>
    <row r="330" spans="1:31" hidden="1" outlineLevel="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 outlineLevel="1" collapsed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outlineLevel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 outlineLevel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 ht="18.75" outlineLevel="1">
      <c r="A334" s="178"/>
      <c r="B334" s="178"/>
      <c r="C334" s="178"/>
      <c r="D334" s="17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 outlineLevel="1">
      <c r="A335" s="138"/>
      <c r="B335" s="138"/>
      <c r="C335" s="138"/>
      <c r="D335" s="13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 outlineLevel="1">
      <c r="A336" s="138"/>
      <c r="B336" s="179"/>
      <c r="C336" s="179"/>
      <c r="D336" s="179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outlineLevel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outlineLevel="1">
      <c r="A338" s="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outlineLevel="1">
      <c r="A339" s="138"/>
      <c r="B339" s="138"/>
      <c r="C339" s="138"/>
      <c r="D339" s="13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outlineLevel="1">
      <c r="A340" s="180"/>
      <c r="B340" s="138"/>
      <c r="C340" s="138"/>
      <c r="D340" s="138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outlineLevel="1">
      <c r="A341" s="180"/>
      <c r="B341" s="138"/>
      <c r="C341" s="138"/>
      <c r="D341" s="138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outlineLevel="1">
      <c r="A342" s="180"/>
      <c r="B342" s="180"/>
      <c r="C342" s="180"/>
      <c r="D342" s="180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outlineLevel="1">
      <c r="A343" s="180"/>
      <c r="B343" s="180"/>
      <c r="C343" s="180"/>
      <c r="D343" s="180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outlineLevel="1">
      <c r="A344" s="180"/>
      <c r="B344" s="3"/>
      <c r="C344" s="3"/>
      <c r="D344" s="3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outlineLevel="1">
      <c r="A345" s="8"/>
      <c r="B345" s="8"/>
      <c r="C345" s="8"/>
      <c r="D345" s="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outlineLevel="1">
      <c r="A346" s="138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outlineLevel="1">
      <c r="A354" s="180"/>
      <c r="B354" s="138"/>
      <c r="C354" s="138"/>
      <c r="D354" s="138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outlineLevel="1">
      <c r="A355" s="180"/>
      <c r="B355" s="138"/>
      <c r="C355" s="138"/>
      <c r="D355" s="138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outlineLevel="1">
      <c r="A356" s="180"/>
      <c r="B356" s="180"/>
      <c r="C356" s="180"/>
      <c r="D356" s="180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outlineLevel="1">
      <c r="A359" s="180"/>
      <c r="B359" s="180"/>
      <c r="C359" s="180"/>
      <c r="D359" s="180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outlineLevel="1">
      <c r="A361" s="180"/>
      <c r="B361" s="182"/>
      <c r="C361" s="182"/>
      <c r="D361" s="182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outlineLevel="1">
      <c r="A363" s="8"/>
      <c r="B363" s="8"/>
      <c r="C363" s="8"/>
      <c r="D363" s="8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outlineLevel="1">
      <c r="A364" s="138"/>
      <c r="B364" s="138"/>
      <c r="C364" s="138"/>
      <c r="D364" s="138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outlineLevel="1">
      <c r="A366" s="180"/>
      <c r="B366" s="180"/>
      <c r="C366" s="180"/>
      <c r="D366" s="180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outlineLevel="1">
      <c r="A367" s="180"/>
      <c r="B367" s="180"/>
      <c r="C367" s="180"/>
      <c r="D367" s="180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outlineLevel="1">
      <c r="A368" s="180"/>
      <c r="B368" s="8"/>
      <c r="C368" s="8"/>
      <c r="D368" s="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outlineLevel="1">
      <c r="A369" s="138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outlineLevel="1">
      <c r="A370" s="138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outlineLevel="1">
      <c r="A374" s="180"/>
      <c r="B374" s="138"/>
      <c r="C374" s="138"/>
      <c r="D374" s="138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outlineLevel="1">
      <c r="A375" s="180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outlineLevel="1">
      <c r="A376" s="3"/>
      <c r="B376" s="182"/>
      <c r="C376" s="182"/>
      <c r="D376" s="182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outlineLevel="1">
      <c r="A377" s="138"/>
      <c r="B377" s="138"/>
      <c r="C377" s="138"/>
      <c r="D377" s="138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outlineLevel="1">
      <c r="A378" s="8"/>
      <c r="B378" s="8"/>
      <c r="C378" s="8"/>
      <c r="D378" s="8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outlineLevel="1">
      <c r="A380" s="138"/>
      <c r="B380" s="179"/>
      <c r="C380" s="179"/>
      <c r="D380" s="179"/>
      <c r="E380" s="181"/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 spans="1:26" outlineLevel="1">
      <c r="A381" s="138"/>
      <c r="B381" s="179"/>
      <c r="C381" s="179"/>
      <c r="D381" s="179"/>
      <c r="E381" s="181"/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 spans="1:26" outlineLevel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outlineLevel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8.75" outlineLevel="1">
      <c r="A384" s="178"/>
      <c r="B384" s="178"/>
      <c r="C384" s="178"/>
      <c r="D384" s="17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138"/>
      <c r="B385" s="138"/>
      <c r="C385" s="138"/>
      <c r="D385" s="13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138"/>
      <c r="B386" s="179"/>
      <c r="C386" s="179"/>
      <c r="D386" s="179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outlineLevel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8"/>
      <c r="U388" s="8"/>
      <c r="V388" s="8"/>
      <c r="W388" s="8"/>
      <c r="X388" s="8"/>
      <c r="Y388" s="8"/>
      <c r="Z388" s="8"/>
    </row>
    <row r="389" spans="1:26" outlineLevel="1">
      <c r="A389" s="138"/>
      <c r="B389" s="138"/>
      <c r="C389" s="138"/>
      <c r="D389" s="138"/>
      <c r="E389" s="13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38"/>
      <c r="C390" s="138"/>
      <c r="D390" s="138"/>
      <c r="E390" s="138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38"/>
      <c r="C391" s="138"/>
      <c r="D391" s="138"/>
      <c r="E391" s="138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180"/>
      <c r="C392" s="180"/>
      <c r="D392" s="180"/>
      <c r="E392" s="180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180"/>
      <c r="C393" s="180"/>
      <c r="D393" s="180"/>
      <c r="E393" s="180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80"/>
      <c r="B394" s="3"/>
      <c r="C394" s="3"/>
      <c r="D394" s="3"/>
      <c r="E394" s="3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3"/>
      <c r="C395" s="3"/>
      <c r="D395" s="3"/>
      <c r="E395" s="3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38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38"/>
      <c r="C405" s="138"/>
      <c r="D405" s="138"/>
      <c r="E405" s="138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38"/>
      <c r="C406" s="138"/>
      <c r="D406" s="138"/>
      <c r="E406" s="138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80"/>
      <c r="B407" s="180"/>
      <c r="C407" s="180"/>
      <c r="D407" s="180"/>
      <c r="E407" s="180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180"/>
      <c r="B408" s="180"/>
      <c r="C408" s="180"/>
      <c r="D408" s="180"/>
      <c r="E408" s="180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38"/>
      <c r="B409" s="138"/>
      <c r="C409" s="138"/>
      <c r="D409" s="138"/>
      <c r="E409" s="138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0"/>
      <c r="C411" s="180"/>
      <c r="D411" s="180"/>
      <c r="E411" s="180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80"/>
      <c r="B413" s="182"/>
      <c r="C413" s="182"/>
      <c r="D413" s="182"/>
      <c r="E413" s="182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38"/>
      <c r="C415" s="138"/>
      <c r="D415" s="138"/>
      <c r="E415" s="138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38"/>
      <c r="C416" s="138"/>
      <c r="D416" s="138"/>
      <c r="E416" s="138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13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8"/>
      <c r="U420" s="8"/>
      <c r="V420" s="8"/>
      <c r="W420" s="8"/>
      <c r="X420" s="8"/>
      <c r="Y420" s="8"/>
      <c r="Z420" s="8"/>
    </row>
    <row r="421" spans="1:26" outlineLevel="1">
      <c r="A421" s="138"/>
      <c r="B421" s="179"/>
      <c r="C421" s="179"/>
      <c r="D421" s="179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8"/>
      <c r="U421" s="8"/>
      <c r="V421" s="8"/>
      <c r="W421" s="8"/>
      <c r="X421" s="8"/>
      <c r="Y421" s="8"/>
      <c r="Z421" s="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98"/>
      <c r="C423" s="198"/>
      <c r="D423" s="198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13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13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13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198"/>
      <c r="U438" s="198"/>
      <c r="V438" s="198"/>
      <c r="W438" s="198"/>
      <c r="X438" s="198"/>
      <c r="Y438" s="198"/>
      <c r="Z438" s="198"/>
    </row>
    <row r="439" spans="1:26" outlineLevel="1">
      <c r="A439" s="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198"/>
      <c r="U439" s="198"/>
      <c r="V439" s="198"/>
      <c r="W439" s="198"/>
      <c r="X439" s="198"/>
      <c r="Y439" s="198"/>
      <c r="Z439" s="198"/>
    </row>
    <row r="440" spans="1:26" outlineLevel="1">
      <c r="A440" s="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8"/>
      <c r="G443" s="198"/>
      <c r="H443" s="198"/>
      <c r="I443" s="198"/>
      <c r="J443" s="198"/>
      <c r="K443" s="198"/>
      <c r="L443" s="198"/>
      <c r="M443" s="198"/>
      <c r="N443" s="198"/>
      <c r="O443" s="198"/>
      <c r="P443" s="198"/>
      <c r="Q443" s="198"/>
      <c r="R443" s="198"/>
      <c r="S443" s="198"/>
      <c r="T443" s="8"/>
      <c r="U443" s="8"/>
      <c r="V443" s="8"/>
      <c r="W443" s="8"/>
      <c r="X443" s="8"/>
      <c r="Y443" s="8"/>
      <c r="Z443" s="8"/>
    </row>
    <row r="444" spans="1:26" outlineLevel="1">
      <c r="A444" s="138"/>
      <c r="B444" s="179"/>
      <c r="C444" s="179"/>
      <c r="D444" s="179"/>
      <c r="E444" s="179"/>
      <c r="F444" s="198"/>
      <c r="G444" s="198"/>
      <c r="H444" s="198"/>
      <c r="I444" s="198"/>
      <c r="J444" s="198"/>
      <c r="K444" s="198"/>
      <c r="L444" s="198"/>
      <c r="M444" s="198"/>
      <c r="N444" s="198"/>
      <c r="O444" s="198"/>
      <c r="P444" s="198"/>
      <c r="Q444" s="198"/>
      <c r="R444" s="198"/>
      <c r="S444" s="198"/>
      <c r="T444" s="8"/>
      <c r="U444" s="8"/>
      <c r="V444" s="8"/>
      <c r="W444" s="8"/>
      <c r="X444" s="8"/>
      <c r="Y444" s="8"/>
      <c r="Z444" s="8"/>
    </row>
    <row r="445" spans="1:26" outlineLevel="1">
      <c r="A445" s="138"/>
      <c r="B445" s="179"/>
      <c r="C445" s="179"/>
      <c r="D445" s="179"/>
      <c r="E445" s="179"/>
      <c r="F445" s="199"/>
      <c r="G445" s="199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8"/>
      <c r="U445" s="8"/>
      <c r="V445" s="8"/>
      <c r="W445" s="8"/>
      <c r="X445" s="8"/>
      <c r="Y445" s="8"/>
      <c r="Z445" s="8"/>
    </row>
    <row r="446" spans="1:26" outlineLevel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8.75" outlineLevel="1">
      <c r="A447" s="177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13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outlineLevel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outlineLevel="1">
      <c r="A453" s="13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81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8"/>
      <c r="U455" s="8"/>
      <c r="V455" s="8"/>
      <c r="W455" s="8"/>
      <c r="X455" s="8"/>
      <c r="Y455" s="8"/>
      <c r="Z455" s="8"/>
    </row>
    <row r="456" spans="1:26" outlineLevel="1">
      <c r="A456" s="8"/>
      <c r="B456" s="8"/>
      <c r="C456" s="8"/>
      <c r="D456" s="8"/>
      <c r="E456" s="8"/>
      <c r="F456" s="8"/>
      <c r="G456" s="8"/>
      <c r="H456" s="163"/>
      <c r="I456" s="163"/>
      <c r="J456" s="163"/>
      <c r="K456" s="163"/>
      <c r="L456" s="163"/>
      <c r="M456" s="163"/>
      <c r="N456" s="163"/>
      <c r="O456" s="163"/>
      <c r="P456" s="163"/>
      <c r="Q456" s="163"/>
      <c r="R456" s="163"/>
      <c r="S456" s="163"/>
      <c r="T456" s="8"/>
      <c r="U456" s="8"/>
      <c r="V456" s="8"/>
      <c r="W456" s="8"/>
      <c r="X456" s="8"/>
      <c r="Y456" s="8"/>
      <c r="Z456" s="8"/>
    </row>
    <row r="457" spans="1:26" outlineLevel="1">
      <c r="A457" s="8"/>
      <c r="B457" s="8"/>
      <c r="C457" s="8"/>
      <c r="D457" s="8"/>
      <c r="E457" s="8"/>
      <c r="F457" s="8"/>
      <c r="G457" s="8"/>
      <c r="H457" s="163"/>
      <c r="I457" s="163"/>
      <c r="J457" s="163"/>
      <c r="K457" s="163"/>
      <c r="L457" s="163"/>
      <c r="M457" s="163"/>
      <c r="N457" s="163"/>
      <c r="O457" s="163"/>
      <c r="P457" s="163"/>
      <c r="Q457" s="163"/>
      <c r="R457" s="163"/>
      <c r="S457" s="163"/>
      <c r="T457" s="8"/>
      <c r="U457" s="8"/>
      <c r="V457" s="8"/>
      <c r="W457" s="8"/>
      <c r="X457" s="8"/>
      <c r="Y457" s="8"/>
      <c r="Z457" s="8"/>
    </row>
    <row r="458" spans="1:26" outlineLevel="1">
      <c r="A458" s="191"/>
      <c r="B458" s="8"/>
      <c r="C458" s="8"/>
      <c r="D458" s="8"/>
      <c r="E458" s="8"/>
      <c r="F458" s="8"/>
      <c r="G458" s="8"/>
      <c r="H458" s="163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8"/>
      <c r="U458" s="8"/>
      <c r="V458" s="8"/>
      <c r="W458" s="8"/>
      <c r="X458" s="8"/>
      <c r="Y458" s="8"/>
      <c r="Z458" s="8"/>
    </row>
    <row r="459" spans="1:26" outlineLevel="1">
      <c r="A459" s="191"/>
      <c r="B459" s="8"/>
      <c r="C459" s="8"/>
      <c r="D459" s="8"/>
      <c r="E459" s="8"/>
      <c r="F459" s="8"/>
      <c r="G459" s="8"/>
      <c r="H459" s="163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8"/>
      <c r="U459" s="8"/>
      <c r="V459" s="8"/>
      <c r="W459" s="8"/>
      <c r="X459" s="8"/>
      <c r="Y459" s="8"/>
      <c r="Z459" s="8"/>
    </row>
    <row r="460" spans="1:26" outlineLevel="1">
      <c r="A460" s="13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8"/>
      <c r="B461" s="8"/>
      <c r="C461" s="8"/>
      <c r="D461" s="8"/>
      <c r="E461" s="199"/>
      <c r="F461" s="199"/>
      <c r="G461" s="199"/>
      <c r="H461" s="200"/>
      <c r="I461" s="200"/>
      <c r="J461" s="200"/>
      <c r="K461" s="200"/>
      <c r="L461" s="200"/>
      <c r="M461" s="200"/>
      <c r="N461" s="200"/>
      <c r="O461" s="200"/>
      <c r="P461" s="200"/>
      <c r="Q461" s="200"/>
      <c r="R461" s="200"/>
      <c r="S461" s="200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8"/>
      <c r="C462" s="8"/>
      <c r="D462" s="8"/>
      <c r="E462" s="8"/>
      <c r="F462" s="8"/>
      <c r="G462" s="8"/>
      <c r="H462" s="163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95"/>
      <c r="J463" s="195"/>
      <c r="K463" s="195"/>
      <c r="L463" s="195"/>
      <c r="M463" s="195"/>
      <c r="N463" s="195"/>
      <c r="O463" s="195"/>
      <c r="P463" s="195"/>
      <c r="Q463" s="195"/>
      <c r="R463" s="195"/>
      <c r="S463" s="195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201"/>
      <c r="C464" s="201"/>
      <c r="D464" s="201"/>
      <c r="E464" s="8"/>
      <c r="F464" s="8"/>
      <c r="G464" s="8"/>
      <c r="H464" s="163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8"/>
      <c r="U464" s="8"/>
      <c r="V464" s="8"/>
      <c r="W464" s="8"/>
      <c r="X464" s="8"/>
      <c r="Y464" s="8"/>
      <c r="Z464" s="8"/>
    </row>
    <row r="465" spans="1:26" outlineLevel="1">
      <c r="A465" s="138"/>
      <c r="B465" s="8"/>
      <c r="C465" s="8"/>
      <c r="D465" s="8"/>
      <c r="E465" s="8"/>
      <c r="F465" s="8"/>
      <c r="G465" s="8"/>
      <c r="H465" s="163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8"/>
      <c r="U465" s="8"/>
      <c r="V465" s="8"/>
      <c r="W465" s="8"/>
      <c r="X465" s="8"/>
      <c r="Y465" s="8"/>
      <c r="Z465" s="8"/>
    </row>
    <row r="466" spans="1:26" outlineLevel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outlineLevel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s="204" customFormat="1" ht="18.75" outlineLevel="1">
      <c r="A468" s="202"/>
      <c r="B468" s="203"/>
      <c r="C468" s="203"/>
      <c r="D468" s="203"/>
      <c r="E468" s="203"/>
      <c r="F468" s="203"/>
      <c r="G468" s="203"/>
      <c r="H468" s="203"/>
    </row>
    <row r="469" spans="1:26" s="204" customFormat="1" outlineLevel="1">
      <c r="A469" s="203"/>
      <c r="B469" s="203"/>
      <c r="C469" s="203"/>
      <c r="D469" s="203"/>
      <c r="E469" s="203"/>
      <c r="F469" s="203"/>
      <c r="G469" s="205"/>
      <c r="H469" s="206"/>
      <c r="I469" s="203"/>
      <c r="J469" s="207"/>
    </row>
    <row r="470" spans="1:26" s="204" customFormat="1" outlineLevel="1">
      <c r="A470" s="203"/>
      <c r="B470" s="206"/>
      <c r="C470" s="206"/>
      <c r="D470" s="206"/>
      <c r="E470" s="206"/>
      <c r="F470" s="206"/>
      <c r="G470" s="208"/>
      <c r="H470" s="183"/>
      <c r="I470" s="183"/>
      <c r="J470" s="207"/>
    </row>
    <row r="471" spans="1:26" s="204" customFormat="1" outlineLevel="1">
      <c r="A471" s="203"/>
      <c r="B471" s="183"/>
      <c r="C471" s="183"/>
      <c r="D471" s="183"/>
      <c r="E471" s="183"/>
      <c r="F471" s="183"/>
      <c r="G471" s="183"/>
      <c r="H471" s="207"/>
      <c r="I471" s="183"/>
      <c r="J471" s="208"/>
    </row>
    <row r="472" spans="1:26" s="204" customFormat="1" outlineLevel="1">
      <c r="A472" s="209"/>
      <c r="B472" s="205"/>
      <c r="C472" s="205"/>
      <c r="D472" s="205"/>
      <c r="E472" s="205"/>
      <c r="F472" s="205"/>
      <c r="G472" s="205"/>
      <c r="H472" s="205"/>
      <c r="I472" s="205"/>
      <c r="J472" s="205"/>
      <c r="K472" s="205"/>
      <c r="L472" s="205"/>
      <c r="M472" s="205"/>
      <c r="N472" s="205"/>
      <c r="O472" s="205"/>
      <c r="P472" s="205"/>
      <c r="Q472" s="205"/>
      <c r="R472" s="205"/>
      <c r="S472" s="205"/>
      <c r="T472" s="205"/>
      <c r="U472" s="205"/>
      <c r="V472" s="205"/>
      <c r="W472" s="205"/>
      <c r="X472" s="205"/>
      <c r="Y472" s="205"/>
      <c r="Z472" s="205"/>
    </row>
    <row r="473" spans="1:26" s="204" customFormat="1" outlineLevel="1">
      <c r="A473" s="173"/>
      <c r="B473" s="203"/>
      <c r="C473" s="203"/>
      <c r="D473" s="203"/>
      <c r="E473" s="203"/>
      <c r="F473" s="203"/>
      <c r="G473" s="203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03"/>
      <c r="C474" s="203"/>
      <c r="D474" s="203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2"/>
      <c r="B475" s="211"/>
      <c r="C475" s="211"/>
      <c r="D475" s="211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72"/>
      <c r="B476" s="212"/>
      <c r="C476" s="212"/>
      <c r="D476" s="212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1"/>
      <c r="B477" s="209"/>
      <c r="C477" s="209"/>
      <c r="D477" s="209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158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173"/>
      <c r="B479" s="203"/>
      <c r="C479" s="203"/>
      <c r="D479" s="203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213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176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4"/>
      <c r="C488" s="214"/>
      <c r="D488" s="214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21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213"/>
      <c r="B490" s="215"/>
      <c r="C490" s="215"/>
      <c r="D490" s="215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3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3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2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2"/>
      <c r="B496" s="214"/>
      <c r="C496" s="214"/>
      <c r="D496" s="214"/>
      <c r="E496" s="210"/>
      <c r="F496" s="210"/>
      <c r="G496" s="210"/>
      <c r="H496" s="210"/>
      <c r="I496" s="210"/>
      <c r="J496" s="210"/>
      <c r="K496" s="210"/>
      <c r="L496" s="210"/>
      <c r="M496" s="210"/>
      <c r="N496" s="210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</row>
    <row r="497" spans="1:26" s="204" customFormat="1" outlineLevel="1">
      <c r="A497" s="173"/>
      <c r="B497" s="214"/>
      <c r="C497" s="214"/>
      <c r="D497" s="214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outlineLevel="1">
      <c r="A498" s="175"/>
      <c r="B498" s="214"/>
      <c r="C498" s="214"/>
      <c r="D498" s="214"/>
      <c r="E498" s="216"/>
      <c r="F498" s="216"/>
      <c r="G498" s="216"/>
      <c r="H498" s="216"/>
      <c r="I498" s="216"/>
      <c r="J498" s="216"/>
      <c r="K498" s="216"/>
      <c r="L498" s="216"/>
      <c r="M498" s="216"/>
      <c r="N498" s="216"/>
      <c r="O498" s="216"/>
      <c r="P498" s="216"/>
      <c r="Q498" s="216"/>
      <c r="R498" s="216"/>
      <c r="S498" s="216"/>
      <c r="T498" s="216"/>
      <c r="U498" s="216"/>
      <c r="V498" s="216"/>
      <c r="W498" s="216"/>
      <c r="X498" s="216"/>
      <c r="Y498" s="216"/>
      <c r="Z498" s="216"/>
    </row>
    <row r="499" spans="1:26" s="204" customFormat="1" outlineLevel="1">
      <c r="A499" s="172"/>
      <c r="B499" s="217"/>
      <c r="C499" s="217"/>
      <c r="D499" s="217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ht="13.9" customHeight="1" outlineLevel="1">
      <c r="A500" s="171"/>
      <c r="B500" s="217"/>
      <c r="C500" s="217"/>
      <c r="D500" s="217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20" customFormat="1" outlineLevel="1">
      <c r="A501" s="218"/>
      <c r="B501" s="219"/>
      <c r="C501" s="219"/>
      <c r="D501" s="219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1"/>
      <c r="B502" s="211"/>
      <c r="C502" s="211"/>
      <c r="D502" s="21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11"/>
      <c r="C503" s="211"/>
      <c r="D503" s="21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2"/>
      <c r="B505" s="221"/>
      <c r="C505" s="221"/>
      <c r="D505" s="221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04" customFormat="1" outlineLevel="1">
      <c r="A506" s="172"/>
      <c r="B506" s="221"/>
      <c r="C506" s="221"/>
      <c r="D506" s="221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20" customFormat="1" outlineLevel="1">
      <c r="A508" s="222"/>
      <c r="B508" s="223"/>
      <c r="C508" s="223"/>
      <c r="D508" s="22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2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5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04" customFormat="1" outlineLevel="1">
      <c r="A512" s="175"/>
      <c r="B512" s="203"/>
      <c r="C512" s="203"/>
      <c r="D512" s="20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03"/>
      <c r="C513" s="203"/>
      <c r="D513" s="203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20" customFormat="1" outlineLevel="1">
      <c r="A514" s="218"/>
      <c r="B514" s="223"/>
      <c r="C514" s="223"/>
      <c r="D514" s="223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2"/>
      <c r="B515" s="224"/>
      <c r="C515" s="224"/>
      <c r="D515" s="224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04" customFormat="1" outlineLevel="1">
      <c r="A516" s="175"/>
      <c r="B516" s="224"/>
      <c r="C516" s="224"/>
      <c r="D516" s="224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1"/>
      <c r="B517" s="217"/>
      <c r="C517" s="217"/>
      <c r="D517" s="217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03"/>
      <c r="C519" s="203"/>
      <c r="D519" s="203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20" customFormat="1" outlineLevel="1">
      <c r="A520" s="222"/>
      <c r="B520" s="223"/>
      <c r="C520" s="223"/>
      <c r="D520" s="223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s="204" customFormat="1" outlineLevel="1">
      <c r="A522" s="173"/>
      <c r="B522" s="217"/>
      <c r="C522" s="217"/>
      <c r="D522" s="217"/>
      <c r="E522" s="210"/>
      <c r="F522" s="210"/>
      <c r="G522" s="210"/>
      <c r="H522" s="210"/>
      <c r="I522" s="210"/>
      <c r="J522" s="210"/>
      <c r="K522" s="210"/>
      <c r="L522" s="210"/>
      <c r="M522" s="210"/>
      <c r="N522" s="210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</row>
    <row r="523" spans="1:26" s="204" customFormat="1" outlineLevel="1">
      <c r="A523" s="173"/>
      <c r="B523" s="217"/>
      <c r="C523" s="217"/>
      <c r="D523" s="217"/>
      <c r="E523" s="210"/>
      <c r="F523" s="210"/>
      <c r="G523" s="210"/>
      <c r="H523" s="210"/>
      <c r="I523" s="210"/>
      <c r="J523" s="210"/>
      <c r="K523" s="210"/>
      <c r="L523" s="210"/>
      <c r="M523" s="210"/>
      <c r="N523" s="210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outlineLevel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8.75" outlineLevel="1">
      <c r="A527" s="17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13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225"/>
      <c r="B529" s="8"/>
      <c r="C529" s="8"/>
      <c r="D529" s="8"/>
      <c r="E529" s="8"/>
      <c r="F529" s="188"/>
      <c r="G529" s="188"/>
      <c r="H529" s="188"/>
      <c r="I529" s="188"/>
      <c r="J529" s="188"/>
      <c r="K529" s="188"/>
      <c r="L529" s="188"/>
      <c r="M529" s="188"/>
      <c r="N529" s="188"/>
      <c r="O529" s="188"/>
      <c r="P529" s="188"/>
      <c r="Q529" s="18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outlineLevel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outlineLevel="1">
      <c r="A531" s="3"/>
      <c r="B531" s="3"/>
      <c r="C531" s="3"/>
      <c r="D531" s="3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2">
      <c r="A532" s="13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2">
      <c r="A533" s="180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2">
      <c r="A535" s="226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2">
      <c r="A536" s="180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2">
      <c r="A537" s="8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2">
      <c r="A538" s="138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2">
      <c r="A547" s="180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2">
      <c r="A548" s="180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2">
      <c r="A550" s="8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2">
      <c r="A552" s="180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2">
      <c r="A553" s="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2">
      <c r="A554" s="8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idden="1" outlineLevel="2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idden="1" outlineLevel="2">
      <c r="A556" s="180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 collapsed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13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13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 outlineLevel="1">
      <c r="A564" s="138"/>
      <c r="B564" s="8"/>
      <c r="C564" s="8"/>
      <c r="D564" s="8"/>
      <c r="E564" s="8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 outlineLevel="1">
      <c r="A565" s="138"/>
      <c r="B565" s="8"/>
      <c r="C565" s="8"/>
      <c r="D565" s="8"/>
      <c r="E565" s="8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181"/>
      <c r="J569" s="181"/>
      <c r="K569" s="181"/>
      <c r="L569" s="181"/>
      <c r="M569" s="181"/>
      <c r="N569" s="181"/>
      <c r="O569" s="181"/>
      <c r="P569" s="181"/>
      <c r="Q569" s="181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181"/>
      <c r="J570" s="181"/>
      <c r="K570" s="181"/>
      <c r="L570" s="181"/>
      <c r="M570" s="181"/>
      <c r="N570" s="181"/>
      <c r="O570" s="181"/>
      <c r="P570" s="181"/>
      <c r="Q570" s="181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</sheetData>
  <pageMargins left="0.18" right="0.17" top="0.37" bottom="0.4" header="0.17" footer="0.21"/>
  <pageSetup scale="38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5" max="65535" man="1"/>
    <brk id="296" max="65535" man="1"/>
    <brk id="347" max="65535" man="1"/>
    <brk id="400" max="65535" man="1"/>
    <brk id="455" max="65535" man="1"/>
    <brk id="476" max="65535" man="1"/>
    <brk id="526" max="65535" man="1"/>
    <brk id="589" max="65535" man="1"/>
    <brk id="610" max="6553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777"/>
  <sheetViews>
    <sheetView zoomScale="75" workbookViewId="0">
      <selection activeCell="I21" sqref="I21"/>
    </sheetView>
  </sheetViews>
  <sheetFormatPr defaultRowHeight="12.75" outlineLevelRow="2" outlineLevelCol="1"/>
  <cols>
    <col min="1" max="1" width="53.42578125" style="7" customWidth="1"/>
    <col min="2" max="2" width="8.42578125" style="7" customWidth="1"/>
    <col min="3" max="4" width="9.85546875" style="7" customWidth="1"/>
    <col min="5" max="5" width="9.28515625" style="7" customWidth="1" outlineLevel="1"/>
    <col min="6" max="6" width="10.140625" style="7" customWidth="1" outlineLevel="1"/>
    <col min="7" max="8" width="10.7109375" style="7" customWidth="1" outlineLevel="1"/>
    <col min="9" max="26" width="10.7109375" style="7" customWidth="1"/>
    <col min="27" max="16384" width="9.140625" style="8"/>
  </cols>
  <sheetData>
    <row r="2" spans="1:29" ht="18.75">
      <c r="A2" s="126" t="s">
        <v>352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29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29">
      <c r="A4" s="1"/>
    </row>
    <row r="5" spans="1:29" ht="13.5" thickBot="1">
      <c r="A5" s="422" t="s">
        <v>164</v>
      </c>
      <c r="B5" s="9"/>
      <c r="C5" s="9"/>
      <c r="D5" s="9"/>
      <c r="E5" s="9">
        <v>1999</v>
      </c>
      <c r="F5" s="9">
        <f t="shared" ref="F5:Z5" si="0">E5+1</f>
        <v>2000</v>
      </c>
      <c r="G5" s="9">
        <f t="shared" si="0"/>
        <v>2001</v>
      </c>
      <c r="H5" s="9">
        <f>G5+1</f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29">
      <c r="A6" s="3"/>
      <c r="B6" s="10"/>
      <c r="C6" s="10"/>
      <c r="D6" s="10"/>
      <c r="E6" s="10"/>
      <c r="F6" s="10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9">
      <c r="A7" s="3"/>
      <c r="B7" s="10"/>
      <c r="C7" s="10"/>
      <c r="D7" s="10"/>
      <c r="E7" s="10"/>
      <c r="F7" s="10"/>
      <c r="G7" s="11"/>
      <c r="H7" s="11"/>
      <c r="I7" s="12"/>
      <c r="J7" s="12"/>
      <c r="K7" s="12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9">
      <c r="A8" s="1" t="s">
        <v>165</v>
      </c>
      <c r="B8" s="12"/>
      <c r="C8" s="12"/>
      <c r="D8" s="12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29">
      <c r="A9" s="575" t="s">
        <v>166</v>
      </c>
      <c r="B9" s="12"/>
      <c r="C9" s="12"/>
      <c r="D9" s="12"/>
      <c r="E9" s="12"/>
      <c r="F9" s="12"/>
      <c r="H9" s="8"/>
      <c r="AA9" s="140"/>
      <c r="AB9" s="140"/>
      <c r="AC9" s="140"/>
    </row>
    <row r="10" spans="1:29">
      <c r="A10" s="4" t="s">
        <v>167</v>
      </c>
      <c r="B10" s="12"/>
      <c r="C10" s="12"/>
      <c r="D10" s="12"/>
      <c r="E10" s="253">
        <v>0</v>
      </c>
      <c r="F10" s="253">
        <f>Assumptions!$R$30*Assumptions!$R$53*'Power Price Assumption'!F42</f>
        <v>17024</v>
      </c>
      <c r="G10" s="253">
        <f>Assumptions!$R$30*'Power Price Assumption'!G42*12</f>
        <v>29184</v>
      </c>
      <c r="H10" s="253">
        <f>Assumptions!$R$30*'Power Price Assumption'!H42*12</f>
        <v>29184</v>
      </c>
      <c r="I10" s="253">
        <v>0</v>
      </c>
      <c r="J10" s="253">
        <v>0</v>
      </c>
      <c r="K10" s="253">
        <v>0</v>
      </c>
      <c r="L10" s="253">
        <v>0</v>
      </c>
      <c r="M10" s="253">
        <v>0</v>
      </c>
      <c r="N10" s="253">
        <v>0</v>
      </c>
      <c r="O10" s="253">
        <v>0</v>
      </c>
      <c r="P10" s="253">
        <v>0</v>
      </c>
      <c r="Q10" s="253">
        <v>0</v>
      </c>
      <c r="R10" s="253">
        <v>0</v>
      </c>
      <c r="S10" s="253">
        <v>0</v>
      </c>
      <c r="T10" s="253">
        <v>0</v>
      </c>
      <c r="U10" s="253">
        <v>0</v>
      </c>
      <c r="V10" s="253">
        <v>0</v>
      </c>
      <c r="W10" s="253">
        <v>0</v>
      </c>
      <c r="X10" s="253">
        <v>0</v>
      </c>
      <c r="Y10" s="253">
        <v>0</v>
      </c>
      <c r="Z10" s="253">
        <v>0</v>
      </c>
      <c r="AA10" s="140"/>
      <c r="AB10" s="140"/>
      <c r="AC10" s="140"/>
    </row>
    <row r="11" spans="1:29">
      <c r="A11" s="4" t="s">
        <v>168</v>
      </c>
      <c r="B11" s="12"/>
      <c r="C11" s="12"/>
      <c r="D11" s="12"/>
      <c r="E11" s="253">
        <v>0</v>
      </c>
      <c r="F11" s="253">
        <f>Assumptions!R$26*Assumptions!R$30*Assumptions!R$14/1000*(1+Assumptions!$R$39)</f>
        <v>648.36440000000016</v>
      </c>
      <c r="G11" s="253">
        <f>F11*(1+Assumptions!$R$39)</f>
        <v>667.81533200000013</v>
      </c>
      <c r="H11" s="187">
        <f>G11*(1+Assumptions!$R$39)</f>
        <v>687.84979196000018</v>
      </c>
      <c r="I11" s="253">
        <v>0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  <c r="R11" s="253">
        <v>0</v>
      </c>
      <c r="S11" s="253">
        <v>0</v>
      </c>
      <c r="T11" s="253">
        <v>0</v>
      </c>
      <c r="U11" s="253">
        <v>0</v>
      </c>
      <c r="V11" s="253">
        <v>0</v>
      </c>
      <c r="W11" s="253">
        <v>0</v>
      </c>
      <c r="X11" s="253">
        <v>0</v>
      </c>
      <c r="Y11" s="253">
        <v>0</v>
      </c>
      <c r="Z11" s="253">
        <v>0</v>
      </c>
      <c r="AA11" s="140"/>
      <c r="AB11" s="140"/>
      <c r="AC11" s="140"/>
    </row>
    <row r="12" spans="1:29">
      <c r="A12" s="4" t="s">
        <v>169</v>
      </c>
      <c r="B12" s="12"/>
      <c r="C12" s="12"/>
      <c r="D12" s="12"/>
      <c r="E12" s="253">
        <v>0</v>
      </c>
      <c r="F12" s="253">
        <f>VLOOKUP(Assumptions!$R$19,'EGC Start Charge Matrix'!$A$10:$S$35,19)*(1+Assumptions!$R$39)</f>
        <v>1853.0111999999999</v>
      </c>
      <c r="G12" s="253">
        <f>F12*(1+Assumptions!$R$39)</f>
        <v>1908.6015359999999</v>
      </c>
      <c r="H12" s="253">
        <f>G12*(1+Assumptions!$R$39)</f>
        <v>1965.8595820799999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 s="140"/>
      <c r="AC12" s="140"/>
    </row>
    <row r="13" spans="1:29">
      <c r="A13" s="8"/>
      <c r="B13" s="12"/>
      <c r="C13" s="12"/>
      <c r="D13" s="12"/>
      <c r="E13" s="12"/>
      <c r="F13" s="12"/>
      <c r="H13" s="8"/>
      <c r="AA13" s="140"/>
      <c r="AB13" s="140"/>
      <c r="AC13" s="140"/>
    </row>
    <row r="14" spans="1:29">
      <c r="A14" s="575" t="s">
        <v>170</v>
      </c>
      <c r="B14" s="12"/>
      <c r="C14" s="12"/>
      <c r="D14" s="12"/>
      <c r="E14" s="12"/>
      <c r="F14" s="12"/>
      <c r="H14" s="8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140"/>
      <c r="AB14" s="140"/>
      <c r="AC14" s="140"/>
    </row>
    <row r="15" spans="1:29">
      <c r="A15" s="4" t="s">
        <v>167</v>
      </c>
      <c r="B15" s="12"/>
      <c r="C15" s="12"/>
      <c r="D15" s="12"/>
      <c r="E15" s="253">
        <v>0</v>
      </c>
      <c r="F15" s="253">
        <v>0</v>
      </c>
      <c r="G15" s="253">
        <v>0</v>
      </c>
      <c r="H15" s="253">
        <v>0</v>
      </c>
      <c r="I15" s="253">
        <f>IF(Assumptions!$R$19=120,Assumptions!$R$33*(1-Assumptions!$R$35)*'Power Price Assumption'!I44*(12),Assumptions!$R$33*(1-Assumptions!$R$35)*'Power Price Assumption'!I44*(12)-2/3*VLOOKUP(120,'EGC Start Charge Matrix'!$U$10:$AM$35,19)*(1+Assumptions!$R$52)^(I5-Brownsville!$E$5))</f>
        <v>48190.412794923468</v>
      </c>
      <c r="J15" s="253">
        <f>IF(Assumptions!$R$19=120,Assumptions!$R$33*(1-Assumptions!$R$35)*'Power Price Assumption'!J44*(12),Assumptions!$R$33*(1-Assumptions!$R$35)*'Power Price Assumption'!J44*(12)-2/3*VLOOKUP(120,'EGC Start Charge Matrix'!$U$10:$AM$35,19)*(1+Assumptions!$R$52)^(J5-Brownsville!$E$5))</f>
        <v>48872.492483713148</v>
      </c>
      <c r="K15" s="253">
        <f>IF(Assumptions!$R$19=120,Assumptions!$R$33*(1-Assumptions!$R$35)*'Power Price Assumption'!K44*(12),Assumptions!$R$33*(1-Assumptions!$R$35)*'Power Price Assumption'!K44*(12)-2/3*VLOOKUP(120,'EGC Start Charge Matrix'!$U$10:$AM$35,19)*(1+Assumptions!$R$52)^(K5-Brownsville!$E$5))</f>
        <v>50338.667258224545</v>
      </c>
      <c r="L15" s="253">
        <f>IF(Assumptions!$R$19=120,Assumptions!$R$33*(1-Assumptions!$R$35)*'Power Price Assumption'!L44*(12),Assumptions!$R$33*(1-Assumptions!$R$35)*'Power Price Assumption'!L44*(12)-2/3*VLOOKUP(120,'EGC Start Charge Matrix'!$U$10:$AM$35,19)*(1+Assumptions!$R$52)^(L5-Brownsville!$E$5))</f>
        <v>50228.551423597179</v>
      </c>
      <c r="M15" s="253">
        <f>IF(Assumptions!$R$19=120,Assumptions!$R$33*(1-Assumptions!$R$35)*'Power Price Assumption'!M44*(12),Assumptions!$R$33*(1-Assumptions!$R$35)*'Power Price Assumption'!M44*(12)-2/3*VLOOKUP(120,'EGC Start Charge Matrix'!$U$10:$AM$35,19)*(1+Assumptions!$R$52)^(M5-Brownsville!$E$5))</f>
        <v>50900.965902332435</v>
      </c>
      <c r="N15" s="253">
        <f>IF(Assumptions!$R$19=120,Assumptions!$R$33*(1-Assumptions!$R$35)*'Power Price Assumption'!N44*(12),Assumptions!$R$33*(1-Assumptions!$R$35)*'Power Price Assumption'!N44*(12)-2/3*VLOOKUP(120,'EGC Start Charge Matrix'!$U$10:$AM$35,19)*(1+Assumptions!$R$52)^(N5-Brownsville!$E$5))</f>
        <v>51568.519553510559</v>
      </c>
      <c r="O15" s="253">
        <f>IF(Assumptions!$R$19=120,Assumptions!$R$33*(1-Assumptions!$R$35)*'Power Price Assumption'!O44*(12),Assumptions!$R$33*(1-Assumptions!$R$35)*'Power Price Assumption'!O44*(12)-2/3*VLOOKUP(120,'EGC Start Charge Matrix'!$U$10:$AM$35,19)*(1+Assumptions!$R$52)^(O5-Brownsville!$E$5))</f>
        <v>52230.315554447283</v>
      </c>
      <c r="P15" s="253">
        <f>IF(Assumptions!$R$19=120,Assumptions!$R$33*(1-Assumptions!$R$35)*'Power Price Assumption'!P44*(12),Assumptions!$R$33*(1-Assumptions!$R$35)*'Power Price Assumption'!P44*(12)-2/3*VLOOKUP(120,'EGC Start Charge Matrix'!$U$10:$AM$35,19)*(1+Assumptions!$R$52)^(P5-Brownsville!$E$5))</f>
        <v>52885.407647842032</v>
      </c>
      <c r="Q15" s="253">
        <f>IF(Assumptions!$R$19=120,Assumptions!$R$33*(1-Assumptions!$R$35)*'Power Price Assumption'!Q44*(12),Assumptions!$R$33*(1-Assumptions!$R$35)*'Power Price Assumption'!Q44*(12)-2/3*VLOOKUP(120,'EGC Start Charge Matrix'!$U$10:$AM$35,19)*(1+Assumptions!$R$52)^(Q5-Brownsville!$E$5))</f>
        <v>53532.79798284149</v>
      </c>
      <c r="R15" s="253">
        <f>IF(Assumptions!$R$19=120,Assumptions!$R$33*(1-Assumptions!$R$35)*'Power Price Assumption'!R44*(12),Assumptions!$R$33*(1-Assumptions!$R$35)*'Power Price Assumption'!R44*(12)-2/3*VLOOKUP(120,'EGC Start Charge Matrix'!$U$10:$AM$35,19)*(1+Assumptions!$R$52)^(R5-Brownsville!$E$5))</f>
        <v>54171.434871057834</v>
      </c>
      <c r="S15" s="253">
        <f>IF(Assumptions!$R$19=120,Assumptions!$R$33*(1-Assumptions!$R$35)*'Power Price Assumption'!S44*(12),Assumptions!$R$33*(1-Assumptions!$R$35)*'Power Price Assumption'!S44*(12)-2/3*VLOOKUP(120,'EGC Start Charge Matrix'!$U$10:$AM$35,19)*(1+Assumptions!$R$52)^(S5-Brownsville!$E$5))</f>
        <v>54800.210454382635</v>
      </c>
      <c r="T15" s="253">
        <f>IF(Assumptions!$R$19=120,Assumptions!$R$33*(1-Assumptions!$R$35)*'Power Price Assumption'!T44*(12),Assumptions!$R$33*(1-Assumptions!$R$35)*'Power Price Assumption'!T44*(12)-2/3*VLOOKUP(120,'EGC Start Charge Matrix'!$U$10:$AM$35,19)*(1+Assumptions!$R$52)^(T5-Brownsville!$E$5))</f>
        <v>55417.958281322935</v>
      </c>
      <c r="U15" s="253">
        <f>IF(Assumptions!$R$19=120,Assumptions!$R$33*(1-Assumptions!$R$35)*'Power Price Assumption'!U44*(12),Assumptions!$R$33*(1-Assumptions!$R$35)*'Power Price Assumption'!U44*(12)-2/3*VLOOKUP(120,'EGC Start Charge Matrix'!$U$10:$AM$35,19)*(1+Assumptions!$R$52)^(U5-Brownsville!$E$5))</f>
        <v>56023.450788470727</v>
      </c>
      <c r="V15" s="253">
        <f>IF(Assumptions!$R$19=120,Assumptions!$R$33*(1-Assumptions!$R$35)*'Power Price Assumption'!V44*(12),Assumptions!$R$33*(1-Assumptions!$R$35)*'Power Price Assumption'!V44*(12)-2/3*VLOOKUP(120,'EGC Start Charge Matrix'!$U$10:$AM$35,19)*(1+Assumptions!$R$52)^(V5-Brownsville!$E$5))</f>
        <v>56615.396683594176</v>
      </c>
      <c r="W15" s="253">
        <f>IF(Assumptions!$R$19=120,Assumptions!$R$33*(1-Assumptions!$R$35)*'Power Price Assumption'!W44*(12),Assumptions!$R$33*(1-Assumptions!$R$35)*'Power Price Assumption'!W44*(12)-2/3*VLOOKUP(120,'EGC Start Charge Matrix'!$U$10:$AM$35,19)*(1+Assumptions!$R$52)^(W5-Brownsville!$E$5))</f>
        <v>57192.438226715421</v>
      </c>
      <c r="X15" s="253">
        <f>IF(Assumptions!$R$19=120,Assumptions!$R$33*(1-Assumptions!$R$35)*'Power Price Assumption'!X44*(12),Assumptions!$R$33*(1-Assumptions!$R$35)*'Power Price Assumption'!X44*(12)-2/3*VLOOKUP(120,'EGC Start Charge Matrix'!$U$10:$AM$35,19)*(1+Assumptions!$R$52)^(X5-Brownsville!$E$5))</f>
        <v>57753.14840540872</v>
      </c>
      <c r="Y15" s="253">
        <f>IF(Assumptions!$R$19=120,Assumptions!$R$33*(1-Assumptions!$R$35)*'Power Price Assumption'!Y44*(12),Assumptions!$R$33*(1-Assumptions!$R$35)*'Power Price Assumption'!Y44*(12)-2/3*VLOOKUP(120,'EGC Start Charge Matrix'!$U$10:$AM$35,19)*(1+Assumptions!$R$52)^(Y5-Brownsville!$E$5))</f>
        <v>57106.313143268133</v>
      </c>
      <c r="Z15" s="253">
        <f>IF(Assumptions!$R$19=120,Assumptions!$R$33*(1-Assumptions!$R$35)*'Power Price Assumption'!Z44*(12),Assumptions!$R$33*(1-Assumptions!$R$35)*'Power Price Assumption'!Z44*(12)-2/3*VLOOKUP(120,'EGC Start Charge Matrix'!$U$10:$AM$35,19)*(1+Assumptions!$R$52)^(Z5-Brownsville!$E$5))</f>
        <v>57594.096234700221</v>
      </c>
      <c r="AA15" s="140"/>
      <c r="AB15" s="140"/>
      <c r="AC15" s="140"/>
    </row>
    <row r="16" spans="1:29">
      <c r="A16" s="4" t="s">
        <v>171</v>
      </c>
      <c r="B16" s="12"/>
      <c r="C16" s="12"/>
      <c r="D16" s="12"/>
      <c r="E16" s="253">
        <v>0</v>
      </c>
      <c r="F16" s="253">
        <v>0</v>
      </c>
      <c r="G16" s="253">
        <v>0</v>
      </c>
      <c r="H16" s="253">
        <v>0</v>
      </c>
      <c r="I16" s="253">
        <f>(Assumptions!$R$26*Assumptions!$R$34/1000)*(1+Assumptions!$R$39)^(I5-$E$5)+$F$12*(1+Assumptions!$Q$39)^(I5-Caledonia!$F$5)*1/3</f>
        <v>1435.3805585836717</v>
      </c>
      <c r="J16" s="253">
        <f>(Assumptions!$R$26*Assumptions!$R$34/1000)*(1+Assumptions!$R$39)^(J5-$E$5)+$F$12*(1+Assumptions!$Q$39)^(J5-Caledonia!$F$5)*1/3</f>
        <v>1478.4419753411817</v>
      </c>
      <c r="K16" s="253">
        <f>J16*(1+Assumptions!$R$39)</f>
        <v>1522.7952346014172</v>
      </c>
      <c r="L16" s="253">
        <f>K16*(1+Assumptions!$R$39)</f>
        <v>1568.4790916394597</v>
      </c>
      <c r="M16" s="253">
        <f>L16*(1+Assumptions!$R$39)</f>
        <v>1615.5334643886436</v>
      </c>
      <c r="N16" s="253">
        <f>M16*(1+Assumptions!$R$39)</f>
        <v>1663.9994683203029</v>
      </c>
      <c r="O16" s="253">
        <f>N16*(1+Assumptions!$R$39)</f>
        <v>1713.9194523699121</v>
      </c>
      <c r="P16" s="253">
        <f>O16*(1+Assumptions!$R$39)</f>
        <v>1765.3370359410094</v>
      </c>
      <c r="Q16" s="253">
        <f>P16*(1+Assumptions!$R$39)</f>
        <v>1818.2971470192397</v>
      </c>
      <c r="R16" s="253">
        <f>Q16*(1+Assumptions!$R$39)</f>
        <v>1872.8460614298169</v>
      </c>
      <c r="S16" s="253">
        <f>R16*(1+Assumptions!$R$39)</f>
        <v>1929.0314432727114</v>
      </c>
      <c r="T16" s="253">
        <f>S16*(1+Assumptions!$R$39)</f>
        <v>1986.9023865708928</v>
      </c>
      <c r="U16" s="253">
        <f>T16*(1+Assumptions!$R$39)</f>
        <v>2046.5094581680196</v>
      </c>
      <c r="V16" s="253">
        <f>U16*(1+Assumptions!$R$39)</f>
        <v>2107.9047419130602</v>
      </c>
      <c r="W16" s="253">
        <f>V16*(1+Assumptions!$R$39)</f>
        <v>2171.1418841704522</v>
      </c>
      <c r="X16" s="253">
        <f>W16*(1+Assumptions!$R$39)</f>
        <v>2236.2761406955656</v>
      </c>
      <c r="Y16" s="253">
        <f>X16*(1+Assumptions!$R$39)</f>
        <v>2303.3644249164327</v>
      </c>
      <c r="Z16" s="253">
        <f>Y16*(1+Assumptions!$R$39)</f>
        <v>2372.4653576639257</v>
      </c>
      <c r="AA16" s="140"/>
      <c r="AB16" s="140"/>
      <c r="AC16" s="140"/>
    </row>
    <row r="17" spans="1:29">
      <c r="A17" s="4" t="s">
        <v>172</v>
      </c>
      <c r="B17" s="12"/>
      <c r="C17" s="12"/>
      <c r="D17" s="12"/>
      <c r="E17" s="253">
        <v>0</v>
      </c>
      <c r="F17" s="253">
        <v>0</v>
      </c>
      <c r="G17" s="253">
        <v>0</v>
      </c>
      <c r="H17" s="253">
        <v>0</v>
      </c>
      <c r="I17" s="253">
        <f>Assumptions!$R$33*Assumptions!$R$35*Assumptions!$R$36*Assumptions!$R$14/1000</f>
        <v>15.661968</v>
      </c>
      <c r="J17" s="253">
        <f>Assumptions!$R$33*Assumptions!$R$35*Assumptions!$R$36*Assumptions!$R$14/1000</f>
        <v>15.661968</v>
      </c>
      <c r="K17" s="253">
        <f>Assumptions!$R$33*Assumptions!$R$35*Assumptions!$R$36*Assumptions!$R$14/1000</f>
        <v>15.661968</v>
      </c>
      <c r="L17" s="253">
        <f>Assumptions!$R$33*Assumptions!$R$35*Assumptions!$R$36*Assumptions!$R$14/1000</f>
        <v>15.661968</v>
      </c>
      <c r="M17" s="253">
        <f>Assumptions!$R$33*Assumptions!$R$35*Assumptions!$R$36*Assumptions!$R$14/1000</f>
        <v>15.661968</v>
      </c>
      <c r="N17" s="253">
        <f>Assumptions!$R$33*Assumptions!$R$35*Assumptions!$R$36*Assumptions!$R$14/1000</f>
        <v>15.661968</v>
      </c>
      <c r="O17" s="253">
        <f>Assumptions!$R$33*Assumptions!$R$35*Assumptions!$R$36*Assumptions!$R$14/1000</f>
        <v>15.661968</v>
      </c>
      <c r="P17" s="253">
        <f>Assumptions!$R$33*Assumptions!$R$35*Assumptions!$R$36*Assumptions!$R$14/1000</f>
        <v>15.661968</v>
      </c>
      <c r="Q17" s="253">
        <f>Assumptions!$R$33*Assumptions!$R$35*Assumptions!$R$36*Assumptions!$R$14/1000</f>
        <v>15.661968</v>
      </c>
      <c r="R17" s="253">
        <f>Assumptions!$R$33*Assumptions!$R$35*Assumptions!$R$36*Assumptions!$R$14/1000</f>
        <v>15.661968</v>
      </c>
      <c r="S17" s="253">
        <f>Assumptions!$R$33*Assumptions!$R$35*Assumptions!$R$36*Assumptions!$R$14/1000</f>
        <v>15.661968</v>
      </c>
      <c r="T17" s="253">
        <f>Assumptions!$R$33*Assumptions!$R$35*Assumptions!$R$36*Assumptions!$R$14/1000</f>
        <v>15.661968</v>
      </c>
      <c r="U17" s="253">
        <f>Assumptions!$R$33*Assumptions!$R$35*Assumptions!$R$36*Assumptions!$R$14/1000</f>
        <v>15.661968</v>
      </c>
      <c r="V17" s="253">
        <f>Assumptions!$R$33*Assumptions!$R$35*Assumptions!$R$36*Assumptions!$R$14/1000</f>
        <v>15.661968</v>
      </c>
      <c r="W17" s="253">
        <f>Assumptions!$R$33*Assumptions!$R$35*Assumptions!$R$36*Assumptions!$R$14/1000</f>
        <v>15.661968</v>
      </c>
      <c r="X17" s="253">
        <f>Assumptions!$R$33*Assumptions!$R$35*Assumptions!$R$36*Assumptions!$R$14/1000</f>
        <v>15.661968</v>
      </c>
      <c r="Y17" s="253">
        <f>Assumptions!$R$33*Assumptions!$R$35*Assumptions!$R$36*Assumptions!$R$14/1000</f>
        <v>15.661968</v>
      </c>
      <c r="Z17" s="253">
        <f>Assumptions!$R$33*Assumptions!$R$35*Assumptions!$R$36*Assumptions!$R$14/1000</f>
        <v>15.661968</v>
      </c>
      <c r="AA17" s="140"/>
      <c r="AB17" s="140"/>
      <c r="AC17" s="140"/>
    </row>
    <row r="18" spans="1:29">
      <c r="A18" s="8"/>
      <c r="B18" s="12"/>
      <c r="C18" s="12"/>
      <c r="D18" s="12"/>
      <c r="E18" s="12"/>
      <c r="F18" s="12"/>
      <c r="H18" s="8"/>
      <c r="AA18" s="140"/>
      <c r="AB18" s="140"/>
      <c r="AC18" s="140"/>
    </row>
    <row r="19" spans="1:29">
      <c r="A19" s="4" t="s">
        <v>173</v>
      </c>
      <c r="B19" s="12"/>
      <c r="C19" s="12"/>
      <c r="D19" s="12"/>
      <c r="E19" s="254">
        <f>(SUM(E10:E17)-SUM(E25:E35))*Assumptions!$B$34/4</f>
        <v>0</v>
      </c>
      <c r="F19" s="254">
        <f ca="1">(SUM(F10:F17)-SUM(F25:F35))*Assumptions!$B$34/4</f>
        <v>191.94527140209664</v>
      </c>
      <c r="G19" s="254">
        <f>(SUM(G10:G17)-SUM(G25:G35))*Assumptions!$B$34/4</f>
        <v>324.01944363237999</v>
      </c>
      <c r="H19" s="254">
        <f>(SUM(H10:H17)-SUM(H25:H35))*Assumptions!$B$34/4</f>
        <v>323.13378010063673</v>
      </c>
      <c r="I19" s="254">
        <f>(SUM(I10:I17)-SUM(I25:I35))*Assumptions!$B$34/4</f>
        <v>536.37385290046336</v>
      </c>
      <c r="J19" s="254">
        <f>(SUM(J10:J17)-SUM(J25:J35))*Assumptions!$B$34/4</f>
        <v>543.21572981770714</v>
      </c>
      <c r="K19" s="254">
        <f>(SUM(K10:K17)-SUM(K25:K35))*Assumptions!$B$34/4</f>
        <v>560.33345438775893</v>
      </c>
      <c r="L19" s="254">
        <f>(SUM(L10:L17)-SUM(L25:L35))*Assumptions!$B$34/4</f>
        <v>557.17032440345872</v>
      </c>
      <c r="M19" s="254">
        <f>(SUM(M10:M17)-SUM(M25:M35))*Assumptions!$B$34/4</f>
        <v>563.73522287464755</v>
      </c>
      <c r="N19" s="254">
        <f>(SUM(N10:N17)-SUM(N25:N35))*Assumptions!$B$34/4</f>
        <v>570.1841525259822</v>
      </c>
      <c r="O19" s="254">
        <f>(SUM(O10:O17)-SUM(O25:O35))*Assumptions!$B$34/4</f>
        <v>577.02942947671272</v>
      </c>
      <c r="P19" s="254">
        <f>(SUM(P10:P17)-SUM(P25:P35))*Assumptions!$B$34/4</f>
        <v>583.85252214281832</v>
      </c>
      <c r="Q19" s="254">
        <f>(SUM(Q10:Q17)-SUM(Q25:Q35))*Assumptions!$B$34/4</f>
        <v>590.06955582766534</v>
      </c>
      <c r="R19" s="254">
        <f>(SUM(R10:R17)-SUM(R25:R35))*Assumptions!$B$34/4</f>
        <v>595.92978246791097</v>
      </c>
      <c r="S19" s="254">
        <f>(SUM(S10:S17)-SUM(S25:S35))*Assumptions!$B$34/4</f>
        <v>602.20415656034697</v>
      </c>
      <c r="T19" s="254">
        <f>(SUM(T10:T17)-SUM(T25:T35))*Assumptions!$B$34/4</f>
        <v>607.75023978526929</v>
      </c>
      <c r="U19" s="254">
        <f>(SUM(U10:U17)-SUM(U25:U35))*Assumptions!$B$34/4</f>
        <v>613.02976943191379</v>
      </c>
      <c r="V19" s="254">
        <f>(SUM(V10:V17)-SUM(V25:V35))*Assumptions!$B$34/4</f>
        <v>618.25998417831067</v>
      </c>
      <c r="W19" s="254">
        <f>(SUM(W10:W17)-SUM(W25:W35))*Assumptions!$B$34/4</f>
        <v>623.87693596665144</v>
      </c>
      <c r="X19" s="254">
        <f>(SUM(X10:X17)-SUM(X25:X35))*Assumptions!$B$34/4</f>
        <v>628.93312889810693</v>
      </c>
      <c r="Y19" s="254">
        <f>(SUM(Y10:Y17)-SUM(Y25:Y35))*Assumptions!$B$34/4</f>
        <v>618.80310703197074</v>
      </c>
      <c r="Z19" s="254">
        <f>(SUM(Z10:Z17)-SUM(Z25:Z35))*Assumptions!$B$34/4</f>
        <v>621.35694237746964</v>
      </c>
      <c r="AA19" s="140"/>
      <c r="AB19" s="140"/>
      <c r="AC19" s="140"/>
    </row>
    <row r="20" spans="1:29">
      <c r="A20" s="4" t="s">
        <v>174</v>
      </c>
      <c r="B20" s="12"/>
      <c r="C20" s="12"/>
      <c r="D20" s="12"/>
      <c r="E20" s="253">
        <f t="shared" ref="E20:Z20" si="1">SUM(E10:E19)</f>
        <v>0</v>
      </c>
      <c r="F20" s="253">
        <f t="shared" ca="1" si="1"/>
        <v>19717.320871402095</v>
      </c>
      <c r="G20" s="253">
        <f t="shared" si="1"/>
        <v>32084.436311632377</v>
      </c>
      <c r="H20" s="253">
        <f t="shared" si="1"/>
        <v>32160.843154140639</v>
      </c>
      <c r="I20" s="253">
        <f t="shared" si="1"/>
        <v>50177.829174407605</v>
      </c>
      <c r="J20" s="253">
        <f t="shared" si="1"/>
        <v>50909.812156872031</v>
      </c>
      <c r="K20" s="253">
        <f t="shared" si="1"/>
        <v>52437.457915213716</v>
      </c>
      <c r="L20" s="253">
        <f t="shared" si="1"/>
        <v>52369.8628076401</v>
      </c>
      <c r="M20" s="253">
        <f t="shared" si="1"/>
        <v>53095.896557595726</v>
      </c>
      <c r="N20" s="253">
        <f t="shared" si="1"/>
        <v>53818.365142356844</v>
      </c>
      <c r="O20" s="253">
        <f t="shared" si="1"/>
        <v>54536.92640429391</v>
      </c>
      <c r="P20" s="253">
        <f t="shared" si="1"/>
        <v>55250.259173925864</v>
      </c>
      <c r="Q20" s="253">
        <f t="shared" si="1"/>
        <v>55956.826653688397</v>
      </c>
      <c r="R20" s="253">
        <f t="shared" si="1"/>
        <v>56655.87268295556</v>
      </c>
      <c r="S20" s="253">
        <f t="shared" si="1"/>
        <v>57347.108022215696</v>
      </c>
      <c r="T20" s="253">
        <f t="shared" si="1"/>
        <v>58028.272875679097</v>
      </c>
      <c r="U20" s="253">
        <f t="shared" si="1"/>
        <v>58698.651984070661</v>
      </c>
      <c r="V20" s="253">
        <f t="shared" si="1"/>
        <v>59357.223377685543</v>
      </c>
      <c r="W20" s="253">
        <f t="shared" si="1"/>
        <v>60003.119014852527</v>
      </c>
      <c r="X20" s="253">
        <f t="shared" si="1"/>
        <v>60634.019643002393</v>
      </c>
      <c r="Y20" s="253">
        <f t="shared" si="1"/>
        <v>60044.142643216539</v>
      </c>
      <c r="Z20" s="253">
        <f t="shared" si="1"/>
        <v>60603.580502741614</v>
      </c>
      <c r="AA20" s="140"/>
      <c r="AB20" s="140"/>
      <c r="AC20" s="140"/>
    </row>
    <row r="21" spans="1:29">
      <c r="A21" s="1"/>
      <c r="B21" s="12"/>
      <c r="C21" s="12"/>
      <c r="D21" s="12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 s="140"/>
      <c r="AB21" s="140"/>
      <c r="AC21" s="140"/>
    </row>
    <row r="22" spans="1:29" s="146" customFormat="1" ht="12" customHeight="1">
      <c r="A22" s="5"/>
      <c r="B22" s="5"/>
      <c r="C22" s="5"/>
      <c r="D22" s="5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9">
      <c r="A23" s="1" t="s">
        <v>175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9">
      <c r="A24" s="4" t="s">
        <v>176</v>
      </c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29">
      <c r="A25" s="4" t="s">
        <v>128</v>
      </c>
      <c r="E25" s="253">
        <v>0</v>
      </c>
      <c r="F25" s="253">
        <f>Assumptions!$R56*Assumptions!R53/12*(1+Assumptions!$R$52)</f>
        <v>599.03083333333336</v>
      </c>
      <c r="G25" s="253">
        <f>Assumptions!$R56*(1+Assumptions!$R$52)^2</f>
        <v>1057.7173</v>
      </c>
      <c r="H25" s="187">
        <f>G25*(1+Assumptions!$R$52)</f>
        <v>1089.448819</v>
      </c>
      <c r="I25" s="187">
        <f>H25*(1+Assumptions!$R$52)</f>
        <v>1122.13228357</v>
      </c>
      <c r="J25" s="187">
        <f>I25*(1+Assumptions!$R$52)</f>
        <v>1155.7962520771</v>
      </c>
      <c r="K25" s="187">
        <f>J25*(1+Assumptions!$R$52)</f>
        <v>1190.470139639413</v>
      </c>
      <c r="L25" s="187">
        <f>K25*(1+Assumptions!$R$52)</f>
        <v>1226.1842438285953</v>
      </c>
      <c r="M25" s="187">
        <f>L25*(1+Assumptions!$R$52)</f>
        <v>1262.9697711434533</v>
      </c>
      <c r="N25" s="187">
        <f>M25*(1+Assumptions!$R$52)</f>
        <v>1300.858864277757</v>
      </c>
      <c r="O25" s="187">
        <f>N25*(1+Assumptions!$R$52)</f>
        <v>1339.8846302060897</v>
      </c>
      <c r="P25" s="187">
        <f>O25*(1+Assumptions!$R$52)</f>
        <v>1380.0811691122724</v>
      </c>
      <c r="Q25" s="187">
        <f>P25*(1+Assumptions!$R$52)</f>
        <v>1421.4836041856406</v>
      </c>
      <c r="R25" s="187">
        <f>Q25*(1+Assumptions!$R$52)</f>
        <v>1464.1281123112099</v>
      </c>
      <c r="S25" s="187">
        <f>R25*(1+Assumptions!$R$52)</f>
        <v>1508.0519556805461</v>
      </c>
      <c r="T25" s="187">
        <f>S25*(1+Assumptions!$R$52)</f>
        <v>1553.2935143509626</v>
      </c>
      <c r="U25" s="187">
        <f>T25*(1+Assumptions!$R$52)</f>
        <v>1599.8923197814916</v>
      </c>
      <c r="V25" s="187">
        <f>U25*(1+Assumptions!$R$52)</f>
        <v>1647.8890893749362</v>
      </c>
      <c r="W25" s="187">
        <f>V25*(1+Assumptions!$R$52)</f>
        <v>1697.3257620561844</v>
      </c>
      <c r="X25" s="187">
        <f>W25*(1+Assumptions!$R$52)</f>
        <v>1748.2455349178699</v>
      </c>
      <c r="Y25" s="187">
        <f>X25*(1+Assumptions!$R$52)</f>
        <v>1800.6929009654061</v>
      </c>
      <c r="Z25" s="187">
        <f>Y25*(1+Assumptions!$R$52)</f>
        <v>1854.7136879943685</v>
      </c>
    </row>
    <row r="26" spans="1:29">
      <c r="A26" s="4" t="s">
        <v>177</v>
      </c>
      <c r="E26" s="253">
        <v>0</v>
      </c>
      <c r="F26" s="253">
        <f>Assumptions!$R59*(1+Assumptions!$R$52)</f>
        <v>648.36440000000005</v>
      </c>
      <c r="G26" s="253">
        <f>F26*(1+Assumptions!$R$52)</f>
        <v>667.81533200000001</v>
      </c>
      <c r="H26" s="187">
        <f>G26*(1+Assumptions!$R$52)</f>
        <v>687.84979196000006</v>
      </c>
      <c r="I26" s="253">
        <f>Assumptions!$R$60*(1+Assumptions!$R$52)^(I5-$E$5)</f>
        <v>760.43543540287169</v>
      </c>
      <c r="J26" s="253">
        <f>Assumptions!$R$60*(1+Assumptions!$R$52)^(J5-$E$5)</f>
        <v>783.24849846495783</v>
      </c>
      <c r="K26" s="187">
        <f>J26*(1+Assumptions!$R$52)</f>
        <v>806.74595341890654</v>
      </c>
      <c r="L26" s="187">
        <f>K26*(1+Assumptions!$R$52)</f>
        <v>830.94833202147379</v>
      </c>
      <c r="M26" s="187">
        <f>L26*(1+Assumptions!$R$52)</f>
        <v>855.87678198211802</v>
      </c>
      <c r="N26" s="187">
        <f>M26*(1+Assumptions!$R$52)</f>
        <v>881.55308544158163</v>
      </c>
      <c r="O26" s="187">
        <f>N26*(1+Assumptions!$R$52)</f>
        <v>907.99967800482909</v>
      </c>
      <c r="P26" s="187">
        <f>O26*(1+Assumptions!$R$52)</f>
        <v>935.23966834497401</v>
      </c>
      <c r="Q26" s="187">
        <f>P26*(1+Assumptions!$R$52)</f>
        <v>963.29685839532328</v>
      </c>
      <c r="R26" s="187">
        <f>Q26*(1+Assumptions!$R$52)</f>
        <v>992.19576414718301</v>
      </c>
      <c r="S26" s="187">
        <f>R26*(1+Assumptions!$R$52)</f>
        <v>1021.9616370715985</v>
      </c>
      <c r="T26" s="187">
        <f>S26*(1+Assumptions!$R$52)</f>
        <v>1052.6204861837464</v>
      </c>
      <c r="U26" s="187">
        <f>T26*(1+Assumptions!$R$52)</f>
        <v>1084.1991007692588</v>
      </c>
      <c r="V26" s="187">
        <f>U26*(1+Assumptions!$R$52)</f>
        <v>1116.7250737923366</v>
      </c>
      <c r="W26" s="187">
        <f>V26*(1+Assumptions!$R$52)</f>
        <v>1150.2268260061066</v>
      </c>
      <c r="X26" s="187">
        <f>W26*(1+Assumptions!$R$52)</f>
        <v>1184.73363078629</v>
      </c>
      <c r="Y26" s="187">
        <f>X26*(1+Assumptions!$R$52)</f>
        <v>1220.2756397098788</v>
      </c>
      <c r="Z26" s="187">
        <f>Y26*(1+Assumptions!$R$52)</f>
        <v>1256.8839089011751</v>
      </c>
    </row>
    <row r="27" spans="1:29">
      <c r="A27" s="4" t="s">
        <v>131</v>
      </c>
      <c r="E27" s="253">
        <v>0</v>
      </c>
      <c r="F27" s="253">
        <f>VLOOKUP(Assumptions!R19,'EGC Start Charge Matrix'!$U$10:$AM$35,19)*(1+Assumptions!$R$52)</f>
        <v>1853.0111999999999</v>
      </c>
      <c r="G27" s="253">
        <f>F27*(1+Assumptions!$R$52)</f>
        <v>1908.6015359999999</v>
      </c>
      <c r="H27" s="253">
        <f>G27*(1+Assumptions!$R$52)</f>
        <v>1965.8595820799999</v>
      </c>
      <c r="I27" s="253">
        <f>H27*(1+Assumptions!$R$52)</f>
        <v>2024.8353695424</v>
      </c>
      <c r="J27" s="253">
        <f>I27*(1+Assumptions!$R$52)</f>
        <v>2085.5804306286723</v>
      </c>
      <c r="K27" s="253">
        <f>J27*(1+Assumptions!$R$52)</f>
        <v>2148.1478435475324</v>
      </c>
      <c r="L27" s="253">
        <f>K27*(1+Assumptions!$R$52)</f>
        <v>2212.5922788539583</v>
      </c>
      <c r="M27" s="253">
        <f>L27*(1+Assumptions!$R$52)</f>
        <v>2278.9700472195773</v>
      </c>
      <c r="N27" s="253">
        <f>M27*(1+Assumptions!$R$52)</f>
        <v>2347.3391486361647</v>
      </c>
      <c r="O27" s="253">
        <f>N27*(1+Assumptions!$R$52)</f>
        <v>2417.7593230952498</v>
      </c>
      <c r="P27" s="253">
        <f>O27*(1+Assumptions!$R$52)</f>
        <v>2490.2921027881075</v>
      </c>
      <c r="Q27" s="253">
        <f>P27*(1+Assumptions!$R$52)</f>
        <v>2565.0008658717506</v>
      </c>
      <c r="R27" s="253">
        <f>Q27*(1+Assumptions!$R$52)</f>
        <v>2641.9508918479032</v>
      </c>
      <c r="S27" s="253">
        <f>R27*(1+Assumptions!$R$52)</f>
        <v>2721.2094186033405</v>
      </c>
      <c r="T27" s="253">
        <f>S27*(1+Assumptions!$R$52)</f>
        <v>2802.845701161441</v>
      </c>
      <c r="U27" s="253">
        <f>T27*(1+Assumptions!$R$52)</f>
        <v>2886.9310721962843</v>
      </c>
      <c r="V27" s="253">
        <f>U27*(1+Assumptions!$R$52)</f>
        <v>2973.5390043621728</v>
      </c>
      <c r="W27" s="253">
        <f>V27*(1+Assumptions!$R$52)</f>
        <v>3062.7451744930381</v>
      </c>
      <c r="X27" s="253">
        <f>W27*(1+Assumptions!$R$52)</f>
        <v>3154.6275297278294</v>
      </c>
      <c r="Y27" s="253">
        <f>X27*(1+Assumptions!$R$52)</f>
        <v>3249.2663556196644</v>
      </c>
      <c r="Z27" s="253">
        <f>Y27*(1+Assumptions!$R$52)</f>
        <v>3346.7443462882543</v>
      </c>
    </row>
    <row r="28" spans="1:29">
      <c r="A28" s="4" t="s">
        <v>133</v>
      </c>
      <c r="E28" s="253">
        <v>0</v>
      </c>
      <c r="F28" s="253">
        <f>Assumptions!$R62*Assumptions!$Q$53*(1+Assumptions!$R$52)/12</f>
        <v>149.86500000000001</v>
      </c>
      <c r="G28" s="253">
        <f>Assumptions!$R62*(1+Assumptions!$R$52)^2</f>
        <v>308.72190000000001</v>
      </c>
      <c r="H28" s="187">
        <f>G28*(1+Assumptions!$R$52)</f>
        <v>317.98355700000002</v>
      </c>
      <c r="I28" s="187">
        <f>H28*(1+Assumptions!$R$52)</f>
        <v>327.52306371000003</v>
      </c>
      <c r="J28" s="187">
        <f>I28*(1+Assumptions!$R$52)</f>
        <v>337.34875562130003</v>
      </c>
      <c r="K28" s="187">
        <f>J28*(1+Assumptions!$R$52)</f>
        <v>347.46921828993902</v>
      </c>
      <c r="L28" s="187">
        <f>K28*(1+Assumptions!$R$52)</f>
        <v>357.89329483863719</v>
      </c>
      <c r="M28" s="187">
        <f>L28*(1+Assumptions!$R$52)</f>
        <v>368.6300936837963</v>
      </c>
      <c r="N28" s="187">
        <f>M28*(1+Assumptions!$R$52)</f>
        <v>379.68899649431017</v>
      </c>
      <c r="O28" s="187">
        <f>N28*(1+Assumptions!$R$52)</f>
        <v>391.0796663891395</v>
      </c>
      <c r="P28" s="187">
        <f>O28*(1+Assumptions!$R$52)</f>
        <v>402.81205638081371</v>
      </c>
      <c r="Q28" s="187">
        <f>P28*(1+Assumptions!$R$52)</f>
        <v>414.89641807223813</v>
      </c>
      <c r="R28" s="187">
        <f>Q28*(1+Assumptions!$R$52)</f>
        <v>427.34331061440531</v>
      </c>
      <c r="S28" s="187">
        <f>R28*(1+Assumptions!$R$52)</f>
        <v>440.16360993283746</v>
      </c>
      <c r="T28" s="187">
        <f>S28*(1+Assumptions!$R$52)</f>
        <v>453.36851823082259</v>
      </c>
      <c r="U28" s="187">
        <f>T28*(1+Assumptions!$R$52)</f>
        <v>466.96957377774726</v>
      </c>
      <c r="V28" s="187">
        <f>U28*(1+Assumptions!$R$52)</f>
        <v>480.97866099107966</v>
      </c>
      <c r="W28" s="187">
        <f>V28*(1+Assumptions!$R$52)</f>
        <v>495.40802082081206</v>
      </c>
      <c r="X28" s="187">
        <f>W28*(1+Assumptions!$R$52)</f>
        <v>510.2702614454364</v>
      </c>
      <c r="Y28" s="187">
        <f>X28*(1+Assumptions!$R$52)</f>
        <v>525.57836928879954</v>
      </c>
      <c r="Z28" s="187">
        <f>Y28*(1+Assumptions!$R$52)</f>
        <v>541.34572036746351</v>
      </c>
    </row>
    <row r="29" spans="1:29">
      <c r="A29" s="4" t="s">
        <v>134</v>
      </c>
      <c r="E29" s="253">
        <v>0</v>
      </c>
      <c r="F29" s="253">
        <f>Assumptions!$R63*Assumptions!R53/12*(1+Assumptions!$R$52)</f>
        <v>295.00916666666672</v>
      </c>
      <c r="G29" s="253">
        <f>(Assumptions!$R63)*(1+Assumptions!$R$52)^2</f>
        <v>520.90189999999996</v>
      </c>
      <c r="H29" s="187">
        <f>G29*(1+Assumptions!$R$52)</f>
        <v>536.52895699999999</v>
      </c>
      <c r="I29" s="187">
        <f>H29*(1+Assumptions!$R$52)</f>
        <v>552.62482570999998</v>
      </c>
      <c r="J29" s="187">
        <f>I29*(1+Assumptions!$R$52)</f>
        <v>569.20357048129995</v>
      </c>
      <c r="K29" s="187">
        <f>J29*(1+Assumptions!$R$52)</f>
        <v>586.27967759573892</v>
      </c>
      <c r="L29" s="187">
        <f>K29*(1+Assumptions!$R$52)</f>
        <v>603.86806792361108</v>
      </c>
      <c r="M29" s="187">
        <f>L29*(1+Assumptions!$R$52)</f>
        <v>621.9841099613194</v>
      </c>
      <c r="N29" s="187">
        <f>M29*(1+Assumptions!$R$52)</f>
        <v>640.64363326015905</v>
      </c>
      <c r="O29" s="187">
        <f>N29*(1+Assumptions!$R$52)</f>
        <v>659.86294225796382</v>
      </c>
      <c r="P29" s="187">
        <f>O29*(1+Assumptions!$R$52)</f>
        <v>679.6588305257028</v>
      </c>
      <c r="Q29" s="187">
        <f>P29*(1+Assumptions!$R$52)</f>
        <v>700.04859544147394</v>
      </c>
      <c r="R29" s="187">
        <f>Q29*(1+Assumptions!$R$52)</f>
        <v>721.05005330471818</v>
      </c>
      <c r="S29" s="187">
        <f>R29*(1+Assumptions!$R$52)</f>
        <v>742.68155490385971</v>
      </c>
      <c r="T29" s="187">
        <f>S29*(1+Assumptions!$R$52)</f>
        <v>764.96200155097551</v>
      </c>
      <c r="U29" s="187">
        <f>T29*(1+Assumptions!$R$52)</f>
        <v>787.91086159750478</v>
      </c>
      <c r="V29" s="187">
        <f>U29*(1+Assumptions!$R$52)</f>
        <v>811.5481874454299</v>
      </c>
      <c r="W29" s="187">
        <f>V29*(1+Assumptions!$R$52)</f>
        <v>835.89463306879281</v>
      </c>
      <c r="X29" s="187">
        <f>W29*(1+Assumptions!$R$52)</f>
        <v>860.97147206085663</v>
      </c>
      <c r="Y29" s="187">
        <f>X29*(1+Assumptions!$R$52)</f>
        <v>886.80061622268238</v>
      </c>
      <c r="Z29" s="187">
        <f>Y29*(1+Assumptions!$R$52)</f>
        <v>913.40463470936288</v>
      </c>
    </row>
    <row r="30" spans="1:29">
      <c r="A30" s="4" t="s">
        <v>287</v>
      </c>
      <c r="E30" s="253">
        <v>0</v>
      </c>
      <c r="F30" s="253">
        <f>+Assumptions!R64*(1+Assumptions!$R$52)</f>
        <v>66.332000000000008</v>
      </c>
      <c r="G30" s="253">
        <f>(Assumptions!$R64)*(1+Assumptions!$R$52)^2</f>
        <v>68.321960000000004</v>
      </c>
      <c r="H30" s="253">
        <f>G30*(1+Assumptions!$R$52)</f>
        <v>70.371618800000007</v>
      </c>
      <c r="I30" s="253">
        <f>H30*(1+Assumptions!$R$52)</f>
        <v>72.482767364000011</v>
      </c>
      <c r="J30" s="253">
        <f>I30*(1+Assumptions!$R$52)</f>
        <v>74.657250384920019</v>
      </c>
      <c r="K30" s="253">
        <f>J30*(1+Assumptions!$R$52)</f>
        <v>76.896967896467615</v>
      </c>
      <c r="L30" s="253">
        <f>K30*(1+Assumptions!$R$52)</f>
        <v>79.203876933361641</v>
      </c>
      <c r="M30" s="253">
        <f>L30*(1+Assumptions!$R$52)</f>
        <v>81.579993241362487</v>
      </c>
      <c r="N30" s="253">
        <f>M30*(1+Assumptions!$R$52)</f>
        <v>84.027393038603364</v>
      </c>
      <c r="O30" s="253">
        <f>N30*(1+Assumptions!$R$52)</f>
        <v>86.548214829761463</v>
      </c>
      <c r="P30" s="253">
        <f>O30*(1+Assumptions!$R$52)</f>
        <v>89.144661274654311</v>
      </c>
      <c r="Q30" s="253">
        <f>P30*(1+Assumptions!$R$52)</f>
        <v>91.819001112893943</v>
      </c>
      <c r="R30" s="253">
        <f>Q30*(1+Assumptions!$R$52)</f>
        <v>94.57357114628077</v>
      </c>
      <c r="S30" s="253">
        <f>R30*(1+Assumptions!$R$52)</f>
        <v>97.410778280669192</v>
      </c>
      <c r="T30" s="253">
        <f>S30*(1+Assumptions!$R$52)</f>
        <v>100.33310162908927</v>
      </c>
      <c r="U30" s="253">
        <f>T30*(1+Assumptions!$R$52)</f>
        <v>103.34309467796196</v>
      </c>
      <c r="V30" s="253">
        <f>U30*(1+Assumptions!$R$52)</f>
        <v>106.44338751830082</v>
      </c>
      <c r="W30" s="253">
        <f>V30*(1+Assumptions!$R$52)</f>
        <v>109.63668914384985</v>
      </c>
      <c r="X30" s="253">
        <f>W30*(1+Assumptions!$R$52)</f>
        <v>112.92578981816534</v>
      </c>
      <c r="Y30" s="253">
        <f>X30*(1+Assumptions!$R$52)</f>
        <v>116.3135635127103</v>
      </c>
      <c r="Z30" s="253">
        <f>Y30*(1+Assumptions!$R$52)</f>
        <v>119.80297041809162</v>
      </c>
    </row>
    <row r="31" spans="1:29">
      <c r="A31" s="4" t="s">
        <v>288</v>
      </c>
      <c r="E31" s="253">
        <v>0</v>
      </c>
      <c r="F31" s="253">
        <v>78.388646999999992</v>
      </c>
      <c r="G31" s="253">
        <v>402.3808693768251</v>
      </c>
      <c r="H31" s="187">
        <v>402.3808693768251</v>
      </c>
      <c r="I31" s="253">
        <v>402.3808693768251</v>
      </c>
      <c r="J31" s="253">
        <v>402.3808693768251</v>
      </c>
      <c r="K31" s="253">
        <v>360.36625681160609</v>
      </c>
      <c r="L31" s="253">
        <v>360.36625681160609</v>
      </c>
      <c r="M31" s="253">
        <v>360.36625681160609</v>
      </c>
      <c r="N31" s="253">
        <v>360.36625681160609</v>
      </c>
      <c r="O31" s="253">
        <v>318.35164424638714</v>
      </c>
      <c r="P31" s="253">
        <v>318.35164424638714</v>
      </c>
      <c r="Q31" s="253">
        <v>318.35164424638714</v>
      </c>
      <c r="R31" s="253">
        <v>318.35164424638714</v>
      </c>
      <c r="S31" s="253">
        <v>276.33703168116813</v>
      </c>
      <c r="T31" s="253">
        <v>276.33703168116813</v>
      </c>
      <c r="U31" s="253">
        <v>276.33703168116813</v>
      </c>
      <c r="V31" s="253">
        <v>276.33703168116813</v>
      </c>
      <c r="W31" s="253">
        <v>234.32241911594906</v>
      </c>
      <c r="X31" s="253">
        <v>234.32241911594906</v>
      </c>
      <c r="Y31" s="253">
        <v>234.32241911594906</v>
      </c>
      <c r="Z31" s="253">
        <v>301.59732989863613</v>
      </c>
    </row>
    <row r="32" spans="1:29">
      <c r="A32" s="4" t="s">
        <v>289</v>
      </c>
      <c r="E32" s="253">
        <v>0</v>
      </c>
      <c r="F32" s="253">
        <f ca="1">Allocation!$I$13*IS!E31*7/12</f>
        <v>242.65662007102205</v>
      </c>
      <c r="G32" s="253">
        <f>Allocation!$I$13*IS!F31</f>
        <v>415.98277726460924</v>
      </c>
      <c r="H32" s="253">
        <f>Allocation!$I$13*IS!G31</f>
        <v>413.51343392102854</v>
      </c>
      <c r="I32" s="253">
        <f>Allocation!$I$13*IS!H31</f>
        <v>402.80114783723189</v>
      </c>
      <c r="J32" s="253">
        <f>Allocation!$I$13*IS!I31</f>
        <v>402.80114783723189</v>
      </c>
      <c r="K32" s="253">
        <f>Allocation!$I$13*IS!J31</f>
        <v>402.80114783723189</v>
      </c>
      <c r="L32" s="253">
        <f>Allocation!$I$13*IS!K31</f>
        <v>402.80114783723189</v>
      </c>
      <c r="M32" s="253">
        <f>Allocation!$I$13*IS!L31</f>
        <v>402.80114783723189</v>
      </c>
      <c r="N32" s="253">
        <f>Allocation!$I$13*IS!M31</f>
        <v>402.80114783723189</v>
      </c>
      <c r="O32" s="253">
        <f>Allocation!$I$13*IS!N31</f>
        <v>402.80114783723189</v>
      </c>
      <c r="P32" s="253">
        <f>Allocation!$I$13*IS!O31</f>
        <v>351.1717167767415</v>
      </c>
      <c r="Q32" s="253">
        <f>Allocation!$I$13*IS!P31</f>
        <v>335.49902248663341</v>
      </c>
      <c r="R32" s="253">
        <f>Allocation!$I$13*IS!Q31</f>
        <v>334.64643494647117</v>
      </c>
      <c r="S32" s="253">
        <f>Allocation!$I$13*IS!R31</f>
        <v>327.69521856864787</v>
      </c>
      <c r="T32" s="253">
        <f>Allocation!$I$13*IS!S31</f>
        <v>320.69115809601414</v>
      </c>
      <c r="U32" s="253">
        <f>Allocation!$I$13*IS!T31</f>
        <v>317.32410721051048</v>
      </c>
      <c r="V32" s="253">
        <f>Allocation!$I$13*IS!U31</f>
        <v>298.76072073143541</v>
      </c>
      <c r="W32" s="253">
        <f>Allocation!$I$13*IS!V31</f>
        <v>270.60586840313522</v>
      </c>
      <c r="X32" s="253">
        <f>Allocation!$I$13*IS!W31</f>
        <v>223.03010168407252</v>
      </c>
      <c r="Y32" s="253">
        <f>Allocation!$I$13*IS!X31</f>
        <v>176.69236261156973</v>
      </c>
      <c r="Z32" s="253">
        <f>Allocation!$I$13*IS!Y31</f>
        <v>176.69236261156973</v>
      </c>
    </row>
    <row r="33" spans="1:26">
      <c r="A33" s="4" t="s">
        <v>180</v>
      </c>
      <c r="E33" s="253">
        <v>0</v>
      </c>
      <c r="F33" s="253">
        <v>0</v>
      </c>
      <c r="G33" s="253">
        <v>0</v>
      </c>
      <c r="H33" s="253">
        <v>0</v>
      </c>
      <c r="I33" s="135">
        <f>Assumptions!$R$50*Assumptions!$R$33*12</f>
        <v>548.16888000000006</v>
      </c>
      <c r="J33" s="135">
        <f>Assumptions!$R$50*Assumptions!$R$33*12*(1+Assumptions!R52)</f>
        <v>564.61394640000003</v>
      </c>
      <c r="K33" s="135">
        <f>J33*(1+Assumptions!$R$39)</f>
        <v>581.55236479200005</v>
      </c>
      <c r="L33" s="135">
        <f>K33*(1+Assumptions!$R$39)</f>
        <v>598.99893573576003</v>
      </c>
      <c r="M33" s="135">
        <f>L33*(1+Assumptions!$R$39)</f>
        <v>616.96890380783282</v>
      </c>
      <c r="N33" s="135">
        <f>M33*(1+Assumptions!$R$39)</f>
        <v>635.47797092206781</v>
      </c>
      <c r="O33" s="135">
        <f>N33*(1+Assumptions!$R$39)</f>
        <v>654.54231004972985</v>
      </c>
      <c r="P33" s="135">
        <f>O33*(1+Assumptions!$R$39)</f>
        <v>674.17857935122174</v>
      </c>
      <c r="Q33" s="135">
        <f>P33*(1+Assumptions!$R$39)</f>
        <v>694.40393673175845</v>
      </c>
      <c r="R33" s="135">
        <f>Q33*(1+Assumptions!$R$39)</f>
        <v>715.23605483371125</v>
      </c>
      <c r="S33" s="135">
        <f>R33*(1+Assumptions!$R$39)</f>
        <v>736.69313647872264</v>
      </c>
      <c r="T33" s="135">
        <f>S33*(1+Assumptions!$R$39)</f>
        <v>758.79393057308437</v>
      </c>
      <c r="U33" s="135">
        <f>T33*(1+Assumptions!$R$39)</f>
        <v>781.55774849027694</v>
      </c>
      <c r="V33" s="135">
        <f>U33*(1+Assumptions!$R$39)</f>
        <v>805.00448094498529</v>
      </c>
      <c r="W33" s="135">
        <f>V33*(1+Assumptions!$R$39)</f>
        <v>829.15461537333488</v>
      </c>
      <c r="X33" s="135">
        <f>W33*(1+Assumptions!$R$39)</f>
        <v>854.02925383453498</v>
      </c>
      <c r="Y33" s="135">
        <f>X33*(1+Assumptions!$R$39)</f>
        <v>879.65013144957106</v>
      </c>
      <c r="Z33" s="135">
        <f>Y33*(1+Assumptions!$R$39)</f>
        <v>906.03963539305823</v>
      </c>
    </row>
    <row r="34" spans="1:26">
      <c r="A34" s="4" t="s">
        <v>181</v>
      </c>
      <c r="E34" s="253"/>
      <c r="F34" s="253">
        <f>Assumptions!$R65*(1+Assumptions!$R$52)*Assumptions!$Q$53/12</f>
        <v>108.3460207612457</v>
      </c>
      <c r="G34" s="253">
        <f>Assumptions!$R65*(1+Assumptions!$R$52)^2</f>
        <v>223.1928027681661</v>
      </c>
      <c r="H34" s="253">
        <f>G34*(1+Assumptions!$R$52)</f>
        <v>229.8885868512111</v>
      </c>
      <c r="I34" s="253">
        <f>H34*(1+Assumptions!$R$52)</f>
        <v>236.78524445674745</v>
      </c>
      <c r="J34" s="253">
        <f>I34*(1+Assumptions!$R$52)</f>
        <v>243.88880179044989</v>
      </c>
      <c r="K34" s="253">
        <f>J34*(1+Assumptions!$R$52)</f>
        <v>251.2054658441634</v>
      </c>
      <c r="L34" s="253">
        <f>K34*(1+Assumptions!$R$52)</f>
        <v>258.74162981948831</v>
      </c>
      <c r="M34" s="253">
        <f>L34*(1+Assumptions!$R$52)</f>
        <v>266.50387871407298</v>
      </c>
      <c r="N34" s="253">
        <f>M34*(1+Assumptions!$R$52)</f>
        <v>274.4989950754952</v>
      </c>
      <c r="O34" s="253">
        <f>N34*(1+Assumptions!$R$52)</f>
        <v>282.73396492776004</v>
      </c>
      <c r="P34" s="253">
        <f>O34*(1+Assumptions!$R$52)</f>
        <v>291.21598387559283</v>
      </c>
      <c r="Q34" s="253">
        <f>P34*(1+Assumptions!$R$52)</f>
        <v>299.95246339186065</v>
      </c>
      <c r="R34" s="253">
        <f>Q34*(1+Assumptions!$R$52)</f>
        <v>308.95103729361648</v>
      </c>
      <c r="S34" s="253">
        <f>R34*(1+Assumptions!$R$52)</f>
        <v>318.21956841242496</v>
      </c>
      <c r="T34" s="253">
        <f>S34*(1+Assumptions!$R$52)</f>
        <v>327.76615546479769</v>
      </c>
      <c r="U34" s="253">
        <f>T34*(1+Assumptions!$R$52)</f>
        <v>337.59914012874162</v>
      </c>
      <c r="V34" s="253">
        <f>U34*(1+Assumptions!$R$52)</f>
        <v>347.72711433260389</v>
      </c>
      <c r="W34" s="253">
        <f>V34*(1+Assumptions!$R$52)</f>
        <v>358.15892776258204</v>
      </c>
      <c r="X34" s="253">
        <f>W34*(1+Assumptions!$R$52)</f>
        <v>368.90369559545951</v>
      </c>
      <c r="Y34" s="253">
        <f>X34*(1+Assumptions!$R$52)</f>
        <v>379.9708064633233</v>
      </c>
      <c r="Z34" s="253">
        <f>Y34*(1+Assumptions!$R$52)</f>
        <v>391.36993065722299</v>
      </c>
    </row>
    <row r="35" spans="1:26">
      <c r="A35" s="4" t="s">
        <v>182</v>
      </c>
      <c r="B35" s="8"/>
      <c r="C35" s="8"/>
      <c r="D35" s="8"/>
      <c r="E35" s="254">
        <v>0</v>
      </c>
      <c r="F35" s="254">
        <f>Assumptions!$R66*Assumptions!$Q$53*(1+Assumptions!$R$52)/12</f>
        <v>128.75</v>
      </c>
      <c r="G35" s="254">
        <f>Assumptions!$R66*(1+Assumptions!$R$52)^2</f>
        <v>265.22499999999997</v>
      </c>
      <c r="H35" s="254">
        <f>G35*(1+Assumptions!$R$52)</f>
        <v>273.18174999999997</v>
      </c>
      <c r="I35" s="254">
        <f>H35*(1+Assumptions!$R$52)</f>
        <v>281.37720249999995</v>
      </c>
      <c r="J35" s="254">
        <f>I35*(1+Assumptions!$R$52)</f>
        <v>289.81851857499998</v>
      </c>
      <c r="K35" s="254">
        <f>J35*(1+Assumptions!$R$52)</f>
        <v>298.51307413224998</v>
      </c>
      <c r="L35" s="254">
        <f>K35*(1+Assumptions!$R$52)</f>
        <v>307.4684663562175</v>
      </c>
      <c r="M35" s="254">
        <f>L35*(1+Assumptions!$R$52)</f>
        <v>316.69252034690402</v>
      </c>
      <c r="N35" s="254">
        <f>M35*(1+Assumptions!$R$52)</f>
        <v>326.19329595731114</v>
      </c>
      <c r="O35" s="254">
        <f>N35*(1+Assumptions!$R$52)</f>
        <v>335.97909483603047</v>
      </c>
      <c r="P35" s="254">
        <f>O35*(1+Assumptions!$R$52)</f>
        <v>346.05846768111138</v>
      </c>
      <c r="Q35" s="254">
        <f>P35*(1+Assumptions!$R$52)</f>
        <v>356.44022171154472</v>
      </c>
      <c r="R35" s="254">
        <f>Q35*(1+Assumptions!$R$52)</f>
        <v>367.1334283628911</v>
      </c>
      <c r="S35" s="254">
        <f>R35*(1+Assumptions!$R$52)</f>
        <v>378.14743121377785</v>
      </c>
      <c r="T35" s="254">
        <f>S35*(1+Assumptions!$R$52)</f>
        <v>389.49185415019122</v>
      </c>
      <c r="U35" s="254">
        <f>T35*(1+Assumptions!$R$52)</f>
        <v>401.17660977469694</v>
      </c>
      <c r="V35" s="254">
        <f>U35*(1+Assumptions!$R$52)</f>
        <v>413.21190806793788</v>
      </c>
      <c r="W35" s="254">
        <f>V35*(1+Assumptions!$R$52)</f>
        <v>425.60826530997605</v>
      </c>
      <c r="X35" s="254">
        <f>W35*(1+Assumptions!$R$52)</f>
        <v>438.37651326927534</v>
      </c>
      <c r="Y35" s="254">
        <f>X35*(1+Assumptions!$R$52)</f>
        <v>451.52780866735361</v>
      </c>
      <c r="Z35" s="254">
        <f>Y35*(1+Assumptions!$R$52)</f>
        <v>465.07364292737424</v>
      </c>
    </row>
    <row r="36" spans="1:26">
      <c r="A36" s="4" t="s">
        <v>183</v>
      </c>
      <c r="B36" s="8"/>
      <c r="C36" s="8"/>
      <c r="D36" s="8"/>
      <c r="E36" s="253">
        <f t="shared" ref="E36:Z36" si="2">SUM(E24:E35)</f>
        <v>0</v>
      </c>
      <c r="F36" s="253">
        <f t="shared" ca="1" si="2"/>
        <v>4169.7538878322684</v>
      </c>
      <c r="G36" s="253">
        <f t="shared" si="2"/>
        <v>5838.8613774096011</v>
      </c>
      <c r="H36" s="187">
        <f t="shared" si="2"/>
        <v>5987.0069659890642</v>
      </c>
      <c r="I36" s="253">
        <f t="shared" si="2"/>
        <v>6731.5470894700757</v>
      </c>
      <c r="J36" s="253">
        <f t="shared" si="2"/>
        <v>6909.3380416377568</v>
      </c>
      <c r="K36" s="253">
        <f t="shared" si="2"/>
        <v>7050.4481098052484</v>
      </c>
      <c r="L36" s="253">
        <f t="shared" si="2"/>
        <v>7239.0665309599408</v>
      </c>
      <c r="M36" s="253">
        <f t="shared" si="2"/>
        <v>7433.3435047492749</v>
      </c>
      <c r="N36" s="253">
        <f t="shared" si="2"/>
        <v>7633.4487877522888</v>
      </c>
      <c r="O36" s="253">
        <f t="shared" si="2"/>
        <v>7797.5426166801735</v>
      </c>
      <c r="P36" s="253">
        <f t="shared" si="2"/>
        <v>7958.2048803575781</v>
      </c>
      <c r="Q36" s="253">
        <f t="shared" si="2"/>
        <v>8161.1926316475046</v>
      </c>
      <c r="R36" s="253">
        <f t="shared" si="2"/>
        <v>8385.5603030547773</v>
      </c>
      <c r="S36" s="253">
        <f t="shared" si="2"/>
        <v>8568.5713408275933</v>
      </c>
      <c r="T36" s="253">
        <f t="shared" si="2"/>
        <v>8800.5034530722933</v>
      </c>
      <c r="U36" s="253">
        <f t="shared" si="2"/>
        <v>9043.2406600856411</v>
      </c>
      <c r="V36" s="253">
        <f t="shared" si="2"/>
        <v>9278.1646592423858</v>
      </c>
      <c r="W36" s="253">
        <f t="shared" si="2"/>
        <v>9469.0872015537625</v>
      </c>
      <c r="X36" s="253">
        <f t="shared" si="2"/>
        <v>9690.436202255738</v>
      </c>
      <c r="Y36" s="253">
        <f t="shared" si="2"/>
        <v>9921.0909736269077</v>
      </c>
      <c r="Z36" s="253">
        <f t="shared" si="2"/>
        <v>10273.668170166577</v>
      </c>
    </row>
    <row r="37" spans="1:26" s="146" customFormat="1" ht="9" outlineLevel="1">
      <c r="A37" s="6"/>
      <c r="B37" s="143"/>
      <c r="C37" s="143"/>
      <c r="D37" s="143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 s="5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 ht="18.75" customHeight="1">
      <c r="A39" s="1" t="s">
        <v>184</v>
      </c>
      <c r="B39" s="1"/>
      <c r="C39" s="1"/>
      <c r="D39" s="1"/>
      <c r="E39" s="259">
        <f t="shared" ref="E39:Z39" si="3">E20-E36</f>
        <v>0</v>
      </c>
      <c r="F39" s="259">
        <f t="shared" ca="1" si="3"/>
        <v>15547.566983569826</v>
      </c>
      <c r="G39" s="259">
        <f t="shared" si="3"/>
        <v>26245.574934222775</v>
      </c>
      <c r="H39" s="260">
        <f t="shared" si="3"/>
        <v>26173.836188151574</v>
      </c>
      <c r="I39" s="259">
        <f t="shared" si="3"/>
        <v>43446.282084937528</v>
      </c>
      <c r="J39" s="259">
        <f t="shared" si="3"/>
        <v>44000.474115234276</v>
      </c>
      <c r="K39" s="259">
        <f t="shared" si="3"/>
        <v>45387.009805408466</v>
      </c>
      <c r="L39" s="259">
        <f t="shared" si="3"/>
        <v>45130.796276680157</v>
      </c>
      <c r="M39" s="259">
        <f t="shared" si="3"/>
        <v>45662.553052846451</v>
      </c>
      <c r="N39" s="259">
        <f t="shared" si="3"/>
        <v>46184.916354604553</v>
      </c>
      <c r="O39" s="259">
        <f t="shared" si="3"/>
        <v>46739.38378761374</v>
      </c>
      <c r="P39" s="259">
        <f t="shared" si="3"/>
        <v>47292.05429356829</v>
      </c>
      <c r="Q39" s="259">
        <f t="shared" si="3"/>
        <v>47795.634022040889</v>
      </c>
      <c r="R39" s="259">
        <f t="shared" si="3"/>
        <v>48270.312379900781</v>
      </c>
      <c r="S39" s="259">
        <f t="shared" si="3"/>
        <v>48778.536681388105</v>
      </c>
      <c r="T39" s="259">
        <f t="shared" si="3"/>
        <v>49227.769422606805</v>
      </c>
      <c r="U39" s="259">
        <f t="shared" si="3"/>
        <v>49655.411323985019</v>
      </c>
      <c r="V39" s="259">
        <f t="shared" si="3"/>
        <v>50079.058718443157</v>
      </c>
      <c r="W39" s="259">
        <f t="shared" si="3"/>
        <v>50534.031813298767</v>
      </c>
      <c r="X39" s="259">
        <f t="shared" si="3"/>
        <v>50943.583440746654</v>
      </c>
      <c r="Y39" s="259">
        <f t="shared" si="3"/>
        <v>50123.051669589629</v>
      </c>
      <c r="Z39" s="259">
        <f t="shared" si="3"/>
        <v>50329.912332575041</v>
      </c>
    </row>
    <row r="40" spans="1:26" s="138" customFormat="1" ht="18.75" customHeight="1">
      <c r="A40" s="1"/>
      <c r="B40" s="1"/>
      <c r="C40" s="1"/>
      <c r="D40" s="1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E41" s="253">
        <v>0</v>
      </c>
      <c r="F41" s="253">
        <f>Allocation!$G$13*IS!E40</f>
        <v>6317.5842893501776</v>
      </c>
      <c r="G41" s="253">
        <f>Allocation!$G$13*IS!F40</f>
        <v>8683.4195312580468</v>
      </c>
      <c r="H41" s="253">
        <f>Allocation!$G$13*IS!G40</f>
        <v>8683.4195312580468</v>
      </c>
      <c r="I41" s="253">
        <f>Allocation!$G$13*IS!H40</f>
        <v>8683.4195312580468</v>
      </c>
      <c r="J41" s="253">
        <f>Allocation!$G$13*IS!I40</f>
        <v>8683.4195312580468</v>
      </c>
      <c r="K41" s="253">
        <f>Allocation!$G$13*IS!J40</f>
        <v>8683.4195312580468</v>
      </c>
      <c r="L41" s="253">
        <f>Allocation!$G$13*IS!K40</f>
        <v>8683.4195312580468</v>
      </c>
      <c r="M41" s="253">
        <f>Allocation!$G$13*IS!L40</f>
        <v>8683.4195312580468</v>
      </c>
      <c r="N41" s="253">
        <f>Allocation!$G$13*IS!M40</f>
        <v>8683.4195312580468</v>
      </c>
      <c r="O41" s="253">
        <f>Allocation!$G$13*IS!N40</f>
        <v>8683.4195312580468</v>
      </c>
      <c r="P41" s="253">
        <f>Allocation!$G$13*IS!O40</f>
        <v>8683.4195312580468</v>
      </c>
      <c r="Q41" s="253">
        <f>Allocation!$G$13*IS!P40</f>
        <v>8683.4195312580468</v>
      </c>
      <c r="R41" s="253">
        <f>Allocation!$G$13*IS!Q40</f>
        <v>8683.4195312580468</v>
      </c>
      <c r="S41" s="253">
        <f>Allocation!$G$13*IS!R40</f>
        <v>8683.4195312580468</v>
      </c>
      <c r="T41" s="253">
        <f>Allocation!$G$13*IS!S40</f>
        <v>8683.4195312580468</v>
      </c>
      <c r="U41" s="253">
        <f>Allocation!$G$13*IS!T40</f>
        <v>8683.4195312580468</v>
      </c>
      <c r="V41" s="253">
        <f>Allocation!$G$13*IS!U40</f>
        <v>8683.4195312580468</v>
      </c>
      <c r="W41" s="253">
        <f>Allocation!$G$13*IS!V40</f>
        <v>8683.4195312580468</v>
      </c>
      <c r="X41" s="253">
        <f>Allocation!$G$13*IS!W40</f>
        <v>8683.4195312580468</v>
      </c>
      <c r="Y41" s="253">
        <f>Allocation!$G$13*IS!X40</f>
        <v>8683.4195312580468</v>
      </c>
      <c r="Z41" s="253">
        <f>Allocation!$G$13*IS!Y40</f>
        <v>8456.182537038394</v>
      </c>
    </row>
    <row r="42" spans="1:26">
      <c r="A42" s="4"/>
      <c r="E42" s="253"/>
      <c r="F42" s="253"/>
      <c r="G42" s="253"/>
      <c r="H42" s="187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7.5" customHeight="1">
      <c r="A43" s="4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1"/>
      <c r="E44" s="259">
        <f t="shared" ref="E44:Z44" si="4">E39-E41</f>
        <v>0</v>
      </c>
      <c r="F44" s="259">
        <f t="shared" ca="1" si="4"/>
        <v>9229.9826942196487</v>
      </c>
      <c r="G44" s="259">
        <f t="shared" si="4"/>
        <v>17562.15540296473</v>
      </c>
      <c r="H44" s="259">
        <f t="shared" si="4"/>
        <v>17490.416656893525</v>
      </c>
      <c r="I44" s="259">
        <f t="shared" si="4"/>
        <v>34762.862553679479</v>
      </c>
      <c r="J44" s="259">
        <f t="shared" si="4"/>
        <v>35317.054583976227</v>
      </c>
      <c r="K44" s="259">
        <f t="shared" si="4"/>
        <v>36703.590274150418</v>
      </c>
      <c r="L44" s="259">
        <f t="shared" si="4"/>
        <v>36447.376745422109</v>
      </c>
      <c r="M44" s="259">
        <f t="shared" si="4"/>
        <v>36979.133521588403</v>
      </c>
      <c r="N44" s="259">
        <f t="shared" si="4"/>
        <v>37501.496823346504</v>
      </c>
      <c r="O44" s="259">
        <f t="shared" si="4"/>
        <v>38055.964256355692</v>
      </c>
      <c r="P44" s="259">
        <f t="shared" si="4"/>
        <v>38608.634762310241</v>
      </c>
      <c r="Q44" s="259">
        <f t="shared" si="4"/>
        <v>39112.214490782841</v>
      </c>
      <c r="R44" s="259">
        <f t="shared" si="4"/>
        <v>39586.892848642732</v>
      </c>
      <c r="S44" s="259">
        <f t="shared" si="4"/>
        <v>40095.117150130056</v>
      </c>
      <c r="T44" s="259">
        <f t="shared" si="4"/>
        <v>40544.349891348757</v>
      </c>
      <c r="U44" s="259">
        <f t="shared" si="4"/>
        <v>40971.991792726971</v>
      </c>
      <c r="V44" s="259">
        <f t="shared" si="4"/>
        <v>41395.639187185108</v>
      </c>
      <c r="W44" s="259">
        <f t="shared" si="4"/>
        <v>41850.612282040718</v>
      </c>
      <c r="X44" s="259">
        <f t="shared" si="4"/>
        <v>42260.163909488605</v>
      </c>
      <c r="Y44" s="259">
        <f t="shared" si="4"/>
        <v>41439.632138331581</v>
      </c>
      <c r="Z44" s="259">
        <f t="shared" si="4"/>
        <v>41873.729795536645</v>
      </c>
    </row>
    <row r="45" spans="1:26" s="138" customFormat="1">
      <c r="A45" s="1"/>
      <c r="B45" s="1"/>
      <c r="C45" s="1"/>
      <c r="D45" s="1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148"/>
      <c r="E46" s="253">
        <v>0</v>
      </c>
      <c r="F46" s="156">
        <f>Allocation!$I$13*(IS!$E$44-Debt!C136)+Debt!C136*Allocation!$K$13</f>
        <v>8144.9888368017873</v>
      </c>
      <c r="G46" s="253">
        <f>Allocation!$I$13*IS!F44</f>
        <v>14943.999294903218</v>
      </c>
      <c r="H46" s="253">
        <f>Allocation!$I$13*IS!G44</f>
        <v>14451.122691236664</v>
      </c>
      <c r="I46" s="253">
        <f>Allocation!$I$13*IS!H44</f>
        <v>13966.322035135285</v>
      </c>
      <c r="J46" s="253">
        <f>Allocation!$I$13*IS!I44</f>
        <v>13647.424751051702</v>
      </c>
      <c r="K46" s="253">
        <f>Allocation!$I$13*IS!J44</f>
        <v>13110.432118661376</v>
      </c>
      <c r="L46" s="253">
        <f>Allocation!$I$13*IS!K44</f>
        <v>12521.377448512289</v>
      </c>
      <c r="M46" s="253">
        <f>Allocation!$I$13*IS!L44</f>
        <v>11840.84605311652</v>
      </c>
      <c r="N46" s="253">
        <f>Allocation!$I$13*IS!M44</f>
        <v>11061.907877531137</v>
      </c>
      <c r="O46" s="253">
        <f>Allocation!$I$13*IS!N44</f>
        <v>10116.648383315423</v>
      </c>
      <c r="P46" s="253">
        <f>Allocation!$I$13*IS!O44</f>
        <v>9281.6796681245232</v>
      </c>
      <c r="Q46" s="253">
        <f>Allocation!$I$13*IS!P44</f>
        <v>8479.9296778032985</v>
      </c>
      <c r="R46" s="253">
        <f>Allocation!$I$13*IS!Q44</f>
        <v>7594.2033889583518</v>
      </c>
      <c r="S46" s="253">
        <f>Allocation!$I$13*IS!R44</f>
        <v>6639.9246390078015</v>
      </c>
      <c r="T46" s="253">
        <f>Allocation!$I$13*IS!S44</f>
        <v>5620.8277388336974</v>
      </c>
      <c r="U46" s="253">
        <f>Allocation!$I$13*IS!T44</f>
        <v>4517.072506727548</v>
      </c>
      <c r="V46" s="253">
        <f>Allocation!$I$13*IS!U44</f>
        <v>3367.3672022735004</v>
      </c>
      <c r="W46" s="253">
        <f>Allocation!$I$13*IS!V44</f>
        <v>2228.1813601055233</v>
      </c>
      <c r="X46" s="253">
        <f>Allocation!$I$13*IS!W44</f>
        <v>1187.1319658031189</v>
      </c>
      <c r="Y46" s="253">
        <f>Allocation!$I$13*IS!X44</f>
        <v>284.99318793764962</v>
      </c>
      <c r="Z46" s="253">
        <v>0</v>
      </c>
    </row>
    <row r="47" spans="1:26" ht="6" customHeight="1"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E49" s="259">
        <f t="shared" ref="E49:Z49" si="5">E44-E46</f>
        <v>0</v>
      </c>
      <c r="F49" s="259">
        <f t="shared" ca="1" si="5"/>
        <v>1084.9938574178614</v>
      </c>
      <c r="G49" s="259">
        <f t="shared" si="5"/>
        <v>2618.156108061512</v>
      </c>
      <c r="H49" s="259">
        <f t="shared" si="5"/>
        <v>3039.2939656568615</v>
      </c>
      <c r="I49" s="259">
        <f t="shared" si="5"/>
        <v>20796.540518544192</v>
      </c>
      <c r="J49" s="259">
        <f t="shared" si="5"/>
        <v>21669.629832924526</v>
      </c>
      <c r="K49" s="259">
        <f t="shared" si="5"/>
        <v>23593.158155489044</v>
      </c>
      <c r="L49" s="259">
        <f t="shared" si="5"/>
        <v>23925.99929690982</v>
      </c>
      <c r="M49" s="259">
        <f t="shared" si="5"/>
        <v>25138.287468471884</v>
      </c>
      <c r="N49" s="259">
        <f t="shared" si="5"/>
        <v>26439.588945815369</v>
      </c>
      <c r="O49" s="259">
        <f t="shared" si="5"/>
        <v>27939.315873040268</v>
      </c>
      <c r="P49" s="259">
        <f t="shared" si="5"/>
        <v>29326.955094185716</v>
      </c>
      <c r="Q49" s="259">
        <f t="shared" si="5"/>
        <v>30632.284812979542</v>
      </c>
      <c r="R49" s="259">
        <f t="shared" si="5"/>
        <v>31992.689459684381</v>
      </c>
      <c r="S49" s="259">
        <f t="shared" si="5"/>
        <v>33455.192511122252</v>
      </c>
      <c r="T49" s="259">
        <f t="shared" si="5"/>
        <v>34923.522152515055</v>
      </c>
      <c r="U49" s="259">
        <f t="shared" si="5"/>
        <v>36454.919285999422</v>
      </c>
      <c r="V49" s="259">
        <f t="shared" si="5"/>
        <v>38028.271984911611</v>
      </c>
      <c r="W49" s="259">
        <f t="shared" si="5"/>
        <v>39622.430921935193</v>
      </c>
      <c r="X49" s="259">
        <f t="shared" si="5"/>
        <v>41073.031943685484</v>
      </c>
      <c r="Y49" s="259">
        <f t="shared" si="5"/>
        <v>41154.638950393928</v>
      </c>
      <c r="Z49" s="259">
        <f t="shared" si="5"/>
        <v>41873.729795536645</v>
      </c>
    </row>
    <row r="50" spans="1:26" s="138" customFormat="1">
      <c r="A50" s="1"/>
      <c r="B50" s="1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Assumptions!$R$44</f>
        <v>7.1800000000000003E-2</v>
      </c>
      <c r="D51" s="149"/>
      <c r="E51" s="253">
        <f t="shared" ref="E51:Z51" si="6">E49*-$C$51</f>
        <v>0</v>
      </c>
      <c r="F51" s="253">
        <f t="shared" ca="1" si="6"/>
        <v>-77.902558962602455</v>
      </c>
      <c r="G51" s="253">
        <f t="shared" si="6"/>
        <v>-187.98360855881657</v>
      </c>
      <c r="H51" s="187">
        <f t="shared" si="6"/>
        <v>-218.22130673416265</v>
      </c>
      <c r="I51" s="253">
        <f t="shared" si="6"/>
        <v>-1493.191609231473</v>
      </c>
      <c r="J51" s="253">
        <f t="shared" si="6"/>
        <v>-1555.8794220039811</v>
      </c>
      <c r="K51" s="253">
        <f t="shared" si="6"/>
        <v>-1693.9887555641135</v>
      </c>
      <c r="L51" s="253">
        <f t="shared" si="6"/>
        <v>-1717.8867495181253</v>
      </c>
      <c r="M51" s="253">
        <f t="shared" si="6"/>
        <v>-1804.9290402362815</v>
      </c>
      <c r="N51" s="253">
        <f t="shared" si="6"/>
        <v>-1898.3624863095436</v>
      </c>
      <c r="O51" s="253">
        <f t="shared" si="6"/>
        <v>-2006.0428796842914</v>
      </c>
      <c r="P51" s="253">
        <f t="shared" si="6"/>
        <v>-2105.6753757625347</v>
      </c>
      <c r="Q51" s="253">
        <f t="shared" si="6"/>
        <v>-2199.3980495719311</v>
      </c>
      <c r="R51" s="253">
        <f t="shared" si="6"/>
        <v>-2297.0751032053386</v>
      </c>
      <c r="S51" s="253">
        <f t="shared" si="6"/>
        <v>-2402.0828222985779</v>
      </c>
      <c r="T51" s="253">
        <f t="shared" si="6"/>
        <v>-2507.5088905505809</v>
      </c>
      <c r="U51" s="253">
        <f t="shared" si="6"/>
        <v>-2617.4632047347586</v>
      </c>
      <c r="V51" s="253">
        <f t="shared" si="6"/>
        <v>-2730.4299285166539</v>
      </c>
      <c r="W51" s="253">
        <f t="shared" si="6"/>
        <v>-2844.8905401949469</v>
      </c>
      <c r="X51" s="253">
        <f t="shared" si="6"/>
        <v>-2949.0436935566181</v>
      </c>
      <c r="Y51" s="253">
        <f t="shared" si="6"/>
        <v>-2954.9030766382843</v>
      </c>
      <c r="Z51" s="253">
        <f t="shared" si="6"/>
        <v>-3006.5337993195312</v>
      </c>
    </row>
    <row r="52" spans="1:26">
      <c r="A52" s="4" t="s">
        <v>190</v>
      </c>
      <c r="C52" s="149">
        <f>Assumptions!$R$43</f>
        <v>0.35</v>
      </c>
      <c r="D52" s="149"/>
      <c r="E52" s="228">
        <v>0</v>
      </c>
      <c r="F52" s="228">
        <f t="shared" ref="F52:Z52" ca="1" si="7">(F49+F51)*-$C$52</f>
        <v>-352.48195445934061</v>
      </c>
      <c r="G52" s="228">
        <f t="shared" si="7"/>
        <v>-850.56037482594331</v>
      </c>
      <c r="H52" s="228">
        <f t="shared" si="7"/>
        <v>-987.37543062294446</v>
      </c>
      <c r="I52" s="228">
        <f t="shared" si="7"/>
        <v>-6756.172118259452</v>
      </c>
      <c r="J52" s="228">
        <f t="shared" si="7"/>
        <v>-7039.8126438221898</v>
      </c>
      <c r="K52" s="228">
        <f t="shared" si="7"/>
        <v>-7664.7092899737245</v>
      </c>
      <c r="L52" s="228">
        <f t="shared" si="7"/>
        <v>-7772.8393915870929</v>
      </c>
      <c r="M52" s="228">
        <f t="shared" si="7"/>
        <v>-8166.6754498824603</v>
      </c>
      <c r="N52" s="228">
        <f t="shared" si="7"/>
        <v>-8589.4292608270389</v>
      </c>
      <c r="O52" s="228">
        <f t="shared" si="7"/>
        <v>-9076.6455476745923</v>
      </c>
      <c r="P52" s="228">
        <f t="shared" si="7"/>
        <v>-9527.447901448113</v>
      </c>
      <c r="Q52" s="228">
        <f t="shared" si="7"/>
        <v>-9951.5103671926645</v>
      </c>
      <c r="R52" s="228">
        <f t="shared" si="7"/>
        <v>-10393.465024767665</v>
      </c>
      <c r="S52" s="228">
        <f t="shared" si="7"/>
        <v>-10868.588391088286</v>
      </c>
      <c r="T52" s="228">
        <f t="shared" si="7"/>
        <v>-11345.604641687565</v>
      </c>
      <c r="U52" s="228">
        <f t="shared" si="7"/>
        <v>-11843.109628442633</v>
      </c>
      <c r="V52" s="228">
        <f t="shared" si="7"/>
        <v>-12354.244719738233</v>
      </c>
      <c r="W52" s="228">
        <f t="shared" si="7"/>
        <v>-12872.139133609086</v>
      </c>
      <c r="X52" s="228">
        <f t="shared" si="7"/>
        <v>-13343.395887545103</v>
      </c>
      <c r="Y52" s="228">
        <f t="shared" si="7"/>
        <v>-13369.907555814474</v>
      </c>
      <c r="Z52" s="228">
        <f t="shared" si="7"/>
        <v>-13603.51859867599</v>
      </c>
    </row>
    <row r="53" spans="1:26" ht="6" customHeight="1"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75">
      <c r="A54" s="106" t="s">
        <v>315</v>
      </c>
      <c r="B54" s="106"/>
      <c r="C54" s="106"/>
      <c r="D54" s="106"/>
      <c r="E54" s="261">
        <f t="shared" ref="E54:Z54" si="8">SUM(E49:E52)</f>
        <v>0</v>
      </c>
      <c r="F54" s="261">
        <f t="shared" ca="1" si="8"/>
        <v>654.60934399591827</v>
      </c>
      <c r="G54" s="261">
        <f t="shared" si="8"/>
        <v>1579.612124676752</v>
      </c>
      <c r="H54" s="261">
        <f t="shared" si="8"/>
        <v>1833.6972282997544</v>
      </c>
      <c r="I54" s="261">
        <f t="shared" si="8"/>
        <v>12547.176791053269</v>
      </c>
      <c r="J54" s="261">
        <f t="shared" si="8"/>
        <v>13073.937767098354</v>
      </c>
      <c r="K54" s="261">
        <f t="shared" si="8"/>
        <v>14234.460109951204</v>
      </c>
      <c r="L54" s="261">
        <f t="shared" si="8"/>
        <v>14435.273155804602</v>
      </c>
      <c r="M54" s="261">
        <f t="shared" si="8"/>
        <v>15166.682978353143</v>
      </c>
      <c r="N54" s="261">
        <f t="shared" si="8"/>
        <v>15951.797198678787</v>
      </c>
      <c r="O54" s="261">
        <f t="shared" si="8"/>
        <v>16856.627445681384</v>
      </c>
      <c r="P54" s="261">
        <f t="shared" si="8"/>
        <v>17693.831816975071</v>
      </c>
      <c r="Q54" s="261">
        <f t="shared" si="8"/>
        <v>18481.376396214946</v>
      </c>
      <c r="R54" s="261">
        <f t="shared" si="8"/>
        <v>19302.149331711378</v>
      </c>
      <c r="S54" s="261">
        <f t="shared" si="8"/>
        <v>20184.521297735388</v>
      </c>
      <c r="T54" s="261">
        <f t="shared" si="8"/>
        <v>21070.40862027691</v>
      </c>
      <c r="U54" s="261">
        <f t="shared" si="8"/>
        <v>21994.346452822036</v>
      </c>
      <c r="V54" s="261">
        <f t="shared" si="8"/>
        <v>22943.59733665672</v>
      </c>
      <c r="W54" s="261">
        <f t="shared" si="8"/>
        <v>23905.401248131162</v>
      </c>
      <c r="X54" s="261">
        <f t="shared" si="8"/>
        <v>24780.592362583764</v>
      </c>
      <c r="Y54" s="261">
        <f t="shared" si="8"/>
        <v>24829.828317941166</v>
      </c>
      <c r="Z54" s="261">
        <f t="shared" si="8"/>
        <v>25263.677397541127</v>
      </c>
    </row>
    <row r="55" spans="1:26" s="146" customFormat="1" ht="9" outlineLevel="1">
      <c r="A55" s="5"/>
      <c r="B55" s="143">
        <f>SUM(I55:Z55)</f>
        <v>0</v>
      </c>
      <c r="C55" s="143"/>
      <c r="D55" s="143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 s="146" customFormat="1" ht="9" outlineLevel="1">
      <c r="A56" s="5"/>
      <c r="B56" s="143"/>
      <c r="C56" s="143"/>
      <c r="D56" s="143"/>
      <c r="E56" s="5"/>
      <c r="F56" s="144"/>
      <c r="G56" s="144"/>
      <c r="H56" s="145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</row>
    <row r="57" spans="1:26" outlineLevel="1">
      <c r="A57" s="1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8.75" outlineLevel="1">
      <c r="A58" s="132" t="s">
        <v>316</v>
      </c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23">
        <f>Assumptions!B13</f>
        <v>0.5</v>
      </c>
      <c r="D60" s="123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5" outlineLevel="1" thickBot="1">
      <c r="A62" s="422" t="s">
        <v>164</v>
      </c>
      <c r="B62" s="2"/>
      <c r="C62" s="2"/>
      <c r="D62" s="2"/>
      <c r="E62" s="9">
        <v>1999</v>
      </c>
      <c r="F62" s="9">
        <f t="shared" ref="F62:Z62" si="9">E62+1</f>
        <v>2000</v>
      </c>
      <c r="G62" s="9">
        <f t="shared" si="9"/>
        <v>2001</v>
      </c>
      <c r="H62" s="9">
        <f>G62+1</f>
        <v>2002</v>
      </c>
      <c r="I62" s="9">
        <f t="shared" si="9"/>
        <v>2003</v>
      </c>
      <c r="J62" s="9">
        <f t="shared" si="9"/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 t="shared" si="9"/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E64" s="156">
        <f t="shared" ref="E64:Z64" si="10">E39</f>
        <v>0</v>
      </c>
      <c r="F64" s="156">
        <f t="shared" ca="1" si="10"/>
        <v>15547.566983569826</v>
      </c>
      <c r="G64" s="156">
        <f t="shared" si="10"/>
        <v>26245.574934222775</v>
      </c>
      <c r="H64" s="156">
        <f t="shared" si="10"/>
        <v>26173.836188151574</v>
      </c>
      <c r="I64" s="156">
        <f t="shared" si="10"/>
        <v>43446.282084937528</v>
      </c>
      <c r="J64" s="156">
        <f t="shared" si="10"/>
        <v>44000.474115234276</v>
      </c>
      <c r="K64" s="156">
        <f t="shared" si="10"/>
        <v>45387.009805408466</v>
      </c>
      <c r="L64" s="156">
        <f t="shared" si="10"/>
        <v>45130.796276680157</v>
      </c>
      <c r="M64" s="156">
        <f t="shared" si="10"/>
        <v>45662.553052846451</v>
      </c>
      <c r="N64" s="156">
        <f t="shared" si="10"/>
        <v>46184.916354604553</v>
      </c>
      <c r="O64" s="156">
        <f t="shared" si="10"/>
        <v>46739.38378761374</v>
      </c>
      <c r="P64" s="156">
        <f t="shared" si="10"/>
        <v>47292.05429356829</v>
      </c>
      <c r="Q64" s="156">
        <f t="shared" si="10"/>
        <v>47795.634022040889</v>
      </c>
      <c r="R64" s="156">
        <f t="shared" si="10"/>
        <v>48270.312379900781</v>
      </c>
      <c r="S64" s="156">
        <f t="shared" si="10"/>
        <v>48778.536681388105</v>
      </c>
      <c r="T64" s="156">
        <f t="shared" si="10"/>
        <v>49227.769422606805</v>
      </c>
      <c r="U64" s="156">
        <f t="shared" si="10"/>
        <v>49655.411323985019</v>
      </c>
      <c r="V64" s="156">
        <f t="shared" si="10"/>
        <v>50079.058718443157</v>
      </c>
      <c r="W64" s="156">
        <f t="shared" si="10"/>
        <v>50534.031813298767</v>
      </c>
      <c r="X64" s="156">
        <f t="shared" si="10"/>
        <v>50943.583440746654</v>
      </c>
      <c r="Y64" s="156">
        <f t="shared" si="10"/>
        <v>50123.051669589629</v>
      </c>
      <c r="Z64" s="156">
        <f t="shared" si="10"/>
        <v>50329.912332575041</v>
      </c>
    </row>
    <row r="65" spans="1:26" outlineLevel="1">
      <c r="A65" s="15" t="s">
        <v>192</v>
      </c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</row>
    <row r="66" spans="1:26" ht="15" outlineLevel="1">
      <c r="A66" s="15" t="s">
        <v>193</v>
      </c>
      <c r="E66" s="486">
        <v>0</v>
      </c>
      <c r="F66" s="262">
        <f>Allocation!$I$13*(CF!$G$15+CF!$G$16-CF!$G$14)+CF!$G$14*Allocation!$K$13</f>
        <v>-6808.0455513304896</v>
      </c>
      <c r="G66" s="262">
        <f>Allocation!$I$13*(CF!H16+CF!H15)</f>
        <v>-20799.138863230459</v>
      </c>
      <c r="H66" s="262">
        <f>Allocation!$I$13*(CF!I16+CF!I15)</f>
        <v>-20675.671696051428</v>
      </c>
      <c r="I66" s="262">
        <f>Allocation!$I$13*(CF!J16+CF!J15)</f>
        <v>-18380.764801161185</v>
      </c>
      <c r="J66" s="262">
        <f>Allocation!$I$13*(CF!K16+CF!K15)</f>
        <v>-18610.360070467028</v>
      </c>
      <c r="K66" s="262">
        <f>Allocation!$I$13*(CF!L16+CF!L15)</f>
        <v>-18941.324736091043</v>
      </c>
      <c r="L66" s="262">
        <f>Allocation!$I$13*(CF!M16+CF!M15)</f>
        <v>-19064.440156620389</v>
      </c>
      <c r="M66" s="262">
        <f>Allocation!$I$13*(CF!N16+CF!N15)</f>
        <v>-19496.674527909669</v>
      </c>
      <c r="N66" s="262">
        <f>Allocation!$I$13*(CF!O16+CF!O15)</f>
        <v>-19741.480857674534</v>
      </c>
      <c r="O66" s="262">
        <f>Allocation!$I$13*(CF!P16+CF!P15)</f>
        <v>-20140.057391861596</v>
      </c>
      <c r="P66" s="262">
        <f>Allocation!$I$13*(CF!Q16+CF!Q15)</f>
        <v>-17558.585838837073</v>
      </c>
      <c r="Q66" s="262">
        <f>Allocation!$I$13*(CF!R16+CF!R15)</f>
        <v>-16774.95112433167</v>
      </c>
      <c r="R66" s="262">
        <f>Allocation!$I$13*(CF!S16+CF!S15)</f>
        <v>-16732.32174732356</v>
      </c>
      <c r="S66" s="262">
        <f>Allocation!$I$13*(CF!T16+CF!T15)</f>
        <v>-16384.760928432392</v>
      </c>
      <c r="T66" s="262">
        <f>Allocation!$I$13*(CF!U16+CF!U15)</f>
        <v>-16034.557904800706</v>
      </c>
      <c r="U66" s="262">
        <f>Allocation!$I$13*(CF!V16+CF!V15)</f>
        <v>-15866.205360525522</v>
      </c>
      <c r="V66" s="262">
        <f>Allocation!$I$13*(CF!W16+CF!W15)</f>
        <v>-14938.03603657177</v>
      </c>
      <c r="W66" s="262">
        <f>Allocation!$I$13*(CF!X16+CF!X15)</f>
        <v>-13530.29342015676</v>
      </c>
      <c r="X66" s="262">
        <f>Allocation!$I$13*(CF!Y16+CF!Y15)</f>
        <v>-11151.505084203625</v>
      </c>
      <c r="Y66" s="262">
        <f>Allocation!$I$13*(CF!Z16+CF!Z15)</f>
        <v>-8834.6181305784867</v>
      </c>
      <c r="Z66" s="262">
        <f>Allocation!$I$13*(CF!AA16+CF!AA15)</f>
        <v>0</v>
      </c>
    </row>
    <row r="67" spans="1:26" s="138" customFormat="1" outlineLevel="1">
      <c r="A67" s="14" t="s">
        <v>194</v>
      </c>
      <c r="B67" s="1"/>
      <c r="C67" s="1"/>
      <c r="D67" s="1"/>
      <c r="E67" s="263">
        <f t="shared" ref="E67:Z67" si="11">SUM(E64:E66)</f>
        <v>0</v>
      </c>
      <c r="F67" s="263">
        <f t="shared" ca="1" si="11"/>
        <v>8739.5214322393367</v>
      </c>
      <c r="G67" s="263">
        <f t="shared" si="11"/>
        <v>5446.4360709923167</v>
      </c>
      <c r="H67" s="263">
        <f t="shared" si="11"/>
        <v>5498.1644921001462</v>
      </c>
      <c r="I67" s="263">
        <f t="shared" si="11"/>
        <v>25065.517283776342</v>
      </c>
      <c r="J67" s="263">
        <f t="shared" si="11"/>
        <v>25390.114044767248</v>
      </c>
      <c r="K67" s="263">
        <f t="shared" si="11"/>
        <v>26445.685069317424</v>
      </c>
      <c r="L67" s="263">
        <f t="shared" si="11"/>
        <v>26066.356120059769</v>
      </c>
      <c r="M67" s="263">
        <f t="shared" si="11"/>
        <v>26165.878524936783</v>
      </c>
      <c r="N67" s="263">
        <f t="shared" si="11"/>
        <v>26443.435496930018</v>
      </c>
      <c r="O67" s="263">
        <f t="shared" si="11"/>
        <v>26599.326395752145</v>
      </c>
      <c r="P67" s="263">
        <f t="shared" si="11"/>
        <v>29733.468454731217</v>
      </c>
      <c r="Q67" s="263">
        <f t="shared" si="11"/>
        <v>31020.682897709219</v>
      </c>
      <c r="R67" s="263">
        <f t="shared" si="11"/>
        <v>31537.990632577221</v>
      </c>
      <c r="S67" s="263">
        <f t="shared" si="11"/>
        <v>32393.775752955713</v>
      </c>
      <c r="T67" s="263">
        <f t="shared" si="11"/>
        <v>33193.211517806099</v>
      </c>
      <c r="U67" s="263">
        <f t="shared" si="11"/>
        <v>33789.205963459499</v>
      </c>
      <c r="V67" s="263">
        <f t="shared" si="11"/>
        <v>35141.022681871385</v>
      </c>
      <c r="W67" s="263">
        <f t="shared" si="11"/>
        <v>37003.738393142004</v>
      </c>
      <c r="X67" s="263">
        <f t="shared" si="11"/>
        <v>39792.078356543032</v>
      </c>
      <c r="Y67" s="263">
        <f t="shared" si="11"/>
        <v>41288.433539011145</v>
      </c>
      <c r="Z67" s="263">
        <f t="shared" si="11"/>
        <v>50329.912332575041</v>
      </c>
    </row>
    <row r="68" spans="1:26" outlineLevel="1">
      <c r="A68" s="14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</row>
    <row r="69" spans="1:26" ht="15" outlineLevel="1">
      <c r="A69" s="15" t="s">
        <v>382</v>
      </c>
      <c r="E69" s="486">
        <v>0</v>
      </c>
      <c r="F69" s="486">
        <f ca="1">Allocation!$I$13*CF!G24*7/12</f>
        <v>0</v>
      </c>
      <c r="G69" s="486">
        <f>Allocation!$I$13*CF!H24</f>
        <v>0</v>
      </c>
      <c r="H69" s="486">
        <f>Allocation!$I$13*CF!I24</f>
        <v>0</v>
      </c>
      <c r="I69" s="486">
        <f ca="1">Allocation!$I$13*CF!J24</f>
        <v>0</v>
      </c>
      <c r="J69" s="486">
        <f ca="1">Allocation!$I$13*CF!K24</f>
        <v>0</v>
      </c>
      <c r="K69" s="486">
        <f ca="1">Allocation!$I$13*CF!L24</f>
        <v>0</v>
      </c>
      <c r="L69" s="486">
        <f ca="1">Allocation!$I$13*CF!M24</f>
        <v>-868.48195344500584</v>
      </c>
      <c r="M69" s="486">
        <f ca="1">Allocation!$I$13*CF!N24</f>
        <v>-982.53200288297762</v>
      </c>
      <c r="N69" s="486">
        <f ca="1">Allocation!$I$13*CF!O24</f>
        <v>-1058.224384803214</v>
      </c>
      <c r="O69" s="486">
        <f ca="1">Allocation!$I$13*CF!P24</f>
        <v>-1177.1771365082755</v>
      </c>
      <c r="P69" s="486">
        <f ca="1">Allocation!$I$13*CF!Q24</f>
        <v>-1240.3563461935939</v>
      </c>
      <c r="Q69" s="486">
        <f ca="1">Allocation!$I$13*CF!R24</f>
        <v>-1351.7685398339247</v>
      </c>
      <c r="R69" s="486">
        <f ca="1">Allocation!$I$13*CF!S24</f>
        <v>-1435.5596758158849</v>
      </c>
      <c r="S69" s="486">
        <f ca="1">Allocation!$I$13*CF!T24</f>
        <v>-1510.0102287301033</v>
      </c>
      <c r="T69" s="486">
        <f ca="1">Allocation!$I$13*CF!U24</f>
        <v>-1595.7570357893958</v>
      </c>
      <c r="U69" s="486">
        <f ca="1">Allocation!$I$13*CF!V24</f>
        <v>-2168.7447448712464</v>
      </c>
      <c r="V69" s="486">
        <f ca="1">Allocation!$I$13*CF!W24</f>
        <v>-2744.5266021515608</v>
      </c>
      <c r="W69" s="486">
        <f>Allocation!$I$13*CF!X24</f>
        <v>-2839.3740793218863</v>
      </c>
      <c r="X69" s="486">
        <f>Allocation!$I$13*CF!Y24</f>
        <v>-2924.6218680739935</v>
      </c>
      <c r="Y69" s="486">
        <f>Allocation!$I$13*CF!Z24</f>
        <v>-2969.9542741864466</v>
      </c>
      <c r="Z69" s="486">
        <f ca="1">Allocation!$I$13*CF!AA24</f>
        <v>-3039.9942670060495</v>
      </c>
    </row>
    <row r="70" spans="1:26" ht="15" outlineLevel="1">
      <c r="A70" s="15" t="s">
        <v>383</v>
      </c>
      <c r="E70" s="486">
        <v>0</v>
      </c>
      <c r="F70" s="486">
        <f ca="1">Allocation!$I$13*(-Tax!E39)*7/12</f>
        <v>1045.8077845485418</v>
      </c>
      <c r="G70" s="486">
        <f>Allocation!$I$13*CF!H25</f>
        <v>4728.6093277540285</v>
      </c>
      <c r="H70" s="486">
        <f>Allocation!$I$13*CF!I25</f>
        <v>3708.8465265847976</v>
      </c>
      <c r="I70" s="486">
        <f ca="1">Allocation!$I$13*CF!J25</f>
        <v>-2331.7721041536474</v>
      </c>
      <c r="J70" s="486">
        <f ca="1">Allocation!$I$13*CF!K25</f>
        <v>-3351.7618430162806</v>
      </c>
      <c r="K70" s="486">
        <f ca="1">Allocation!$I$13*CF!L25</f>
        <v>-4461.8866570471973</v>
      </c>
      <c r="L70" s="486">
        <f ca="1">Allocation!$I$13*CF!M25</f>
        <v>-4764.4173956524482</v>
      </c>
      <c r="M70" s="486">
        <f ca="1">Allocation!$I$13*CF!N25</f>
        <v>-5294.0951599910413</v>
      </c>
      <c r="N70" s="486">
        <f ca="1">Allocation!$I$13*CF!O25</f>
        <v>-5701.9421019698311</v>
      </c>
      <c r="O70" s="486">
        <f ca="1">Allocation!$I$13*CF!P25</f>
        <v>-6342.8852826718912</v>
      </c>
      <c r="P70" s="486">
        <f ca="1">Allocation!$I$13*CF!Q25</f>
        <v>-6683.308543416244</v>
      </c>
      <c r="Q70" s="486">
        <f ca="1">Allocation!$I$13*CF!R25</f>
        <v>-7283.6215646558285</v>
      </c>
      <c r="R70" s="486">
        <f ca="1">Allocation!$I$13*CF!S25</f>
        <v>-7735.1063469841647</v>
      </c>
      <c r="S70" s="486">
        <f ca="1">Allocation!$I$13*CF!T25</f>
        <v>-8136.2620454095568</v>
      </c>
      <c r="T70" s="486">
        <f ca="1">Allocation!$I$13*CF!U25</f>
        <v>-8598.2844069258099</v>
      </c>
      <c r="U70" s="486">
        <f ca="1">Allocation!$I$13*CF!V25</f>
        <v>-11685.666241292251</v>
      </c>
      <c r="V70" s="486">
        <f ca="1">Allocation!$I$13*CF!W25</f>
        <v>-14788.103551114335</v>
      </c>
      <c r="W70" s="486">
        <f>Allocation!$I$13*CF!X25</f>
        <v>-15299.162293579115</v>
      </c>
      <c r="X70" s="486">
        <f>Allocation!$I$13*CF!Y25</f>
        <v>-15758.495836413571</v>
      </c>
      <c r="Y70" s="486">
        <f>Allocation!$I$13*CF!Z25</f>
        <v>-16002.756655487639</v>
      </c>
      <c r="Z70" s="486">
        <f ca="1">Allocation!$I$13*CF!AA25</f>
        <v>-16380.147301190844</v>
      </c>
    </row>
    <row r="71" spans="1:26" outlineLevel="1">
      <c r="A71" s="15"/>
      <c r="E71" s="156"/>
      <c r="F71" s="228"/>
      <c r="G71" s="228"/>
      <c r="H71" s="228"/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</row>
    <row r="72" spans="1:26" s="150" customFormat="1" ht="15.75" outlineLevel="1">
      <c r="A72" s="108" t="s">
        <v>197</v>
      </c>
      <c r="B72" s="106"/>
      <c r="C72" s="106"/>
      <c r="D72" s="106"/>
      <c r="E72" s="264">
        <f>E67+E70</f>
        <v>0</v>
      </c>
      <c r="F72" s="264">
        <f ca="1">F67+F70+F69</f>
        <v>9785.329216787879</v>
      </c>
      <c r="G72" s="264">
        <f t="shared" ref="G72:Z72" si="12">G67+G70+G69</f>
        <v>10175.045398746344</v>
      </c>
      <c r="H72" s="264">
        <f t="shared" si="12"/>
        <v>9207.0110186849433</v>
      </c>
      <c r="I72" s="264">
        <f t="shared" ca="1" si="12"/>
        <v>22733.745179622696</v>
      </c>
      <c r="J72" s="264">
        <f t="shared" ca="1" si="12"/>
        <v>22038.352201750968</v>
      </c>
      <c r="K72" s="264">
        <f t="shared" ca="1" si="12"/>
        <v>21983.798412270226</v>
      </c>
      <c r="L72" s="264">
        <f t="shared" ca="1" si="12"/>
        <v>20433.456770962315</v>
      </c>
      <c r="M72" s="264">
        <f t="shared" ca="1" si="12"/>
        <v>19889.251362062765</v>
      </c>
      <c r="N72" s="264">
        <f t="shared" ca="1" si="12"/>
        <v>19683.269010156975</v>
      </c>
      <c r="O72" s="264">
        <f t="shared" ca="1" si="12"/>
        <v>19079.26397657198</v>
      </c>
      <c r="P72" s="264">
        <f t="shared" ca="1" si="12"/>
        <v>21809.803565121376</v>
      </c>
      <c r="Q72" s="264">
        <f t="shared" ca="1" si="12"/>
        <v>22385.292793219465</v>
      </c>
      <c r="R72" s="264">
        <f t="shared" ca="1" si="12"/>
        <v>22367.32460977717</v>
      </c>
      <c r="S72" s="264">
        <f t="shared" ca="1" si="12"/>
        <v>22747.503478816056</v>
      </c>
      <c r="T72" s="264">
        <f t="shared" ca="1" si="12"/>
        <v>22999.170075090893</v>
      </c>
      <c r="U72" s="264">
        <f t="shared" ca="1" si="12"/>
        <v>19934.794977295998</v>
      </c>
      <c r="V72" s="264">
        <f t="shared" ca="1" si="12"/>
        <v>17608.392528605491</v>
      </c>
      <c r="W72" s="264">
        <f t="shared" si="12"/>
        <v>18865.202020241002</v>
      </c>
      <c r="X72" s="264">
        <f t="shared" si="12"/>
        <v>21108.960652055466</v>
      </c>
      <c r="Y72" s="264">
        <f t="shared" si="12"/>
        <v>22315.722609337059</v>
      </c>
      <c r="Z72" s="264">
        <f t="shared" ca="1" si="12"/>
        <v>30909.770764378147</v>
      </c>
    </row>
    <row r="73" spans="1:26" outlineLevel="1">
      <c r="A73" s="17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spans="1:26" outlineLevel="1">
      <c r="A74" s="1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spans="1:26" ht="12.75" customHeight="1" outlineLevel="1">
      <c r="A75" s="16" t="s">
        <v>293</v>
      </c>
      <c r="B75" s="151"/>
      <c r="C75" s="123">
        <f>$C$60</f>
        <v>0.5</v>
      </c>
      <c r="D75" s="123"/>
      <c r="E75" s="155">
        <f t="shared" ref="E75:Z75" si="13">$C$75*E54</f>
        <v>0</v>
      </c>
      <c r="F75" s="155">
        <f t="shared" ca="1" si="13"/>
        <v>327.30467199795913</v>
      </c>
      <c r="G75" s="155">
        <f t="shared" si="13"/>
        <v>789.80606233837602</v>
      </c>
      <c r="H75" s="155">
        <f t="shared" si="13"/>
        <v>916.84861414987722</v>
      </c>
      <c r="I75" s="155">
        <f t="shared" si="13"/>
        <v>6273.5883955266345</v>
      </c>
      <c r="J75" s="155">
        <f t="shared" si="13"/>
        <v>6536.968883549177</v>
      </c>
      <c r="K75" s="155">
        <f t="shared" si="13"/>
        <v>7117.2300549756019</v>
      </c>
      <c r="L75" s="155">
        <f t="shared" si="13"/>
        <v>7217.6365779023008</v>
      </c>
      <c r="M75" s="155">
        <f t="shared" si="13"/>
        <v>7583.3414891765715</v>
      </c>
      <c r="N75" s="155">
        <f t="shared" si="13"/>
        <v>7975.8985993393935</v>
      </c>
      <c r="O75" s="155">
        <f t="shared" si="13"/>
        <v>8428.3137228406922</v>
      </c>
      <c r="P75" s="155">
        <f t="shared" si="13"/>
        <v>8846.9159084875355</v>
      </c>
      <c r="Q75" s="155">
        <f t="shared" si="13"/>
        <v>9240.688198107473</v>
      </c>
      <c r="R75" s="155">
        <f t="shared" si="13"/>
        <v>9651.0746658556891</v>
      </c>
      <c r="S75" s="155">
        <f t="shared" si="13"/>
        <v>10092.260648867694</v>
      </c>
      <c r="T75" s="155">
        <f t="shared" si="13"/>
        <v>10535.204310138455</v>
      </c>
      <c r="U75" s="155">
        <f t="shared" si="13"/>
        <v>10997.173226411018</v>
      </c>
      <c r="V75" s="155">
        <f t="shared" si="13"/>
        <v>11471.79866832836</v>
      </c>
      <c r="W75" s="155">
        <f t="shared" si="13"/>
        <v>11952.700624065581</v>
      </c>
      <c r="X75" s="155">
        <f t="shared" si="13"/>
        <v>12390.296181291882</v>
      </c>
      <c r="Y75" s="155">
        <f t="shared" si="13"/>
        <v>12414.914158970583</v>
      </c>
      <c r="Z75" s="155">
        <f t="shared" si="13"/>
        <v>12631.838698770563</v>
      </c>
    </row>
    <row r="76" spans="1:26" outlineLevel="1">
      <c r="A76" s="16" t="s">
        <v>294</v>
      </c>
      <c r="B76" s="151"/>
      <c r="C76" s="123">
        <f>$C$60</f>
        <v>0.5</v>
      </c>
      <c r="D76" s="123"/>
      <c r="E76" s="155">
        <f t="shared" ref="E76:Z76" si="14">$C$76*E72</f>
        <v>0</v>
      </c>
      <c r="F76" s="155">
        <f t="shared" ca="1" si="14"/>
        <v>4892.6646083939395</v>
      </c>
      <c r="G76" s="155">
        <f t="shared" si="14"/>
        <v>5087.5226993731721</v>
      </c>
      <c r="H76" s="155">
        <f t="shared" si="14"/>
        <v>4603.5055093424717</v>
      </c>
      <c r="I76" s="155">
        <f t="shared" ca="1" si="14"/>
        <v>11366.872589811348</v>
      </c>
      <c r="J76" s="155">
        <f t="shared" ca="1" si="14"/>
        <v>11019.176100875484</v>
      </c>
      <c r="K76" s="155">
        <f t="shared" ca="1" si="14"/>
        <v>10991.899206135113</v>
      </c>
      <c r="L76" s="155">
        <f t="shared" ca="1" si="14"/>
        <v>10216.728385481158</v>
      </c>
      <c r="M76" s="155">
        <f t="shared" ca="1" si="14"/>
        <v>9944.6256810313826</v>
      </c>
      <c r="N76" s="155">
        <f t="shared" ca="1" si="14"/>
        <v>9841.6345050784876</v>
      </c>
      <c r="O76" s="155">
        <f t="shared" ca="1" si="14"/>
        <v>9539.6319882859898</v>
      </c>
      <c r="P76" s="155">
        <f t="shared" ca="1" si="14"/>
        <v>10904.901782560688</v>
      </c>
      <c r="Q76" s="155">
        <f t="shared" ca="1" si="14"/>
        <v>11192.646396609733</v>
      </c>
      <c r="R76" s="155">
        <f t="shared" ca="1" si="14"/>
        <v>11183.662304888585</v>
      </c>
      <c r="S76" s="155">
        <f t="shared" ca="1" si="14"/>
        <v>11373.751739408028</v>
      </c>
      <c r="T76" s="155">
        <f t="shared" ca="1" si="14"/>
        <v>11499.585037545447</v>
      </c>
      <c r="U76" s="155">
        <f t="shared" ca="1" si="14"/>
        <v>9967.3974886479991</v>
      </c>
      <c r="V76" s="155">
        <f t="shared" ca="1" si="14"/>
        <v>8804.1962643027455</v>
      </c>
      <c r="W76" s="155">
        <f t="shared" si="14"/>
        <v>9432.6010101205011</v>
      </c>
      <c r="X76" s="155">
        <f t="shared" si="14"/>
        <v>10554.480326027733</v>
      </c>
      <c r="Y76" s="155">
        <f t="shared" si="14"/>
        <v>11157.86130466853</v>
      </c>
      <c r="Z76" s="155">
        <f t="shared" ca="1" si="14"/>
        <v>15454.885382189073</v>
      </c>
    </row>
    <row r="77" spans="1:26" outlineLevel="1">
      <c r="A77" s="16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57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outlineLevel="1">
      <c r="A79" s="157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outlineLevel="1">
      <c r="A80" s="157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outlineLevel="1">
      <c r="A81" s="158"/>
      <c r="B81" s="8"/>
      <c r="C81" s="8"/>
      <c r="D81" s="8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5" outlineLevel="1">
      <c r="A82" s="159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 outlineLevel="1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5.75" outlineLevel="1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 outlineLevel="1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 outlineLevel="1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 outlineLevel="1">
      <c r="A87" s="8"/>
      <c r="B87" s="8"/>
      <c r="C87" s="163"/>
      <c r="D87" s="163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outlineLevel="1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 outlineLevel="1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 outlineLevel="1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 outlineLevel="1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 outlineLevel="1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 outlineLevel="1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 outlineLevel="1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4.25" outlineLevel="1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4.25" outlineLevel="1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5.75" outlineLevel="1">
      <c r="A105" s="162"/>
      <c r="B105" s="8"/>
      <c r="C105" s="8"/>
      <c r="D105" s="8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outlineLevel="1">
      <c r="A106" s="138"/>
      <c r="B106" s="8"/>
      <c r="C106" s="166"/>
      <c r="D106" s="166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outlineLevel="1">
      <c r="A107" s="138"/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169"/>
      <c r="B108" s="169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169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169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4.25" outlineLevel="1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171"/>
      <c r="B117" s="8"/>
      <c r="C117" s="8"/>
      <c r="D117" s="8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outlineLevel="1">
      <c r="A118" s="172"/>
      <c r="B118" s="8"/>
      <c r="C118" s="8"/>
      <c r="D118" s="8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2"/>
      <c r="B119" s="8"/>
      <c r="C119" s="8"/>
      <c r="D119" s="8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 outlineLevel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outlineLevel="1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 outlineLevel="1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 outlineLevel="1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8.75" outlineLevel="1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outlineLevel="1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outlineLevel="1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 outlineLevel="1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 outlineLevel="1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 outlineLevel="1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 outlineLevel="1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8.75" outlineLevel="1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outlineLevel="1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outlineLevel="1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8.75" outlineLevel="1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outlineLevel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 outlineLevel="1">
      <c r="A260" s="185"/>
    </row>
    <row r="261" spans="1:26" outlineLevel="1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outlineLevel="1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outlineLevel="1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8.75" hidden="1" outlineLevel="2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idden="1" outlineLevel="2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idden="1" outlineLevel="2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2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hidden="1" outlineLevel="2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idden="1" outlineLevel="2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hidden="1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2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hidden="1" outlineLevel="2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</row>
    <row r="322" spans="1:31" hidden="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hidden="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1" hidden="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hidden="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1" hidden="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hidden="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hidden="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outlineLevel="1" collapsed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1" outlineLevel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 outlineLevel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ht="18.75" outlineLevel="1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 outlineLevel="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 outlineLevel="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 outlineLevel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 outlineLevel="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outlineLevel="1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outlineLevel="1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outlineLevel="1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outlineLevel="1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outlineLevel="1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outlineLevel="1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outlineLevel="1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outlineLevel="1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outlineLevel="1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outlineLevel="1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outlineLevel="1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outlineLevel="1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outlineLevel="1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outlineLevel="1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outlineLevel="1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outlineLevel="1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outlineLevel="1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outlineLevel="1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outlineLevel="1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outlineLevel="1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outlineLevel="1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outlineLevel="1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outlineLevel="1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outlineLevel="1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outlineLevel="1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outlineLevel="1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outlineLevel="1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outlineLevel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outlineLevel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8.75" outlineLevel="1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outlineLevel="1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outlineLevel="1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 outlineLevel="1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 outlineLevel="1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 outlineLevel="1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 outlineLevel="1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 outlineLevel="1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 outlineLevel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8.75" outlineLevel="1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outlineLevel="1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outlineLevel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outlineLevel="1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 outlineLevel="1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 outlineLevel="1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 outlineLevel="1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 outlineLevel="1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outlineLevel="1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 outlineLevel="1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outlineLevel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8.75" outlineLevel="1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 outlineLevel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 outlineLevel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 outlineLevel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 outlineLevel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 outlineLevel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 outlineLevel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 outlineLevel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 outlineLevel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" customHeight="1" outlineLevel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 outlineLevel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outlineLevel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 outlineLevel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 outlineLevel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 outlineLevel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 outlineLevel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 outlineLevel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 outlineLevel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 outlineLevel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outlineLevel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outlineLevel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8.75" outlineLevel="1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outlineLevel="1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idden="1" outlineLevel="2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idden="1" outlineLevel="2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2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2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2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2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2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2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2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2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2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2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2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2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outlineLevel="1" collapsed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outlineLevel="1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</sheetData>
  <pageMargins left="0.18" right="0.17" top="0.37" bottom="0.4" header="0.17" footer="0.21"/>
  <pageSetup scale="43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D81"/>
  <sheetViews>
    <sheetView zoomScale="75" workbookViewId="0">
      <selection activeCell="I21" sqref="I21"/>
    </sheetView>
  </sheetViews>
  <sheetFormatPr defaultColWidth="15.140625" defaultRowHeight="12.75"/>
  <sheetData>
    <row r="2" spans="1:56" ht="20.25">
      <c r="A2" s="65" t="s">
        <v>317</v>
      </c>
      <c r="B2" s="66"/>
      <c r="C2" s="66"/>
      <c r="D2" s="66"/>
      <c r="E2" s="7"/>
      <c r="F2" s="7"/>
      <c r="G2" s="7"/>
      <c r="H2" s="7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65" t="s">
        <v>318</v>
      </c>
      <c r="V2" s="66"/>
      <c r="W2" s="66"/>
      <c r="X2" s="7"/>
      <c r="Y2" s="7"/>
      <c r="Z2" s="7"/>
      <c r="AA2" s="7"/>
      <c r="AB2" s="7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BB2" s="22"/>
      <c r="BC2" s="22"/>
      <c r="BD2" s="22"/>
    </row>
    <row r="3" spans="1:56" ht="15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BB3" s="22"/>
      <c r="BC3" s="22"/>
      <c r="BD3" s="22"/>
    </row>
    <row r="4" spans="1:56" ht="15.7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574"/>
      <c r="O4" s="574"/>
      <c r="P4" s="574"/>
      <c r="Q4" s="574"/>
      <c r="R4" s="574"/>
      <c r="S4" s="574"/>
      <c r="T4" s="77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BB4" s="22"/>
      <c r="BC4" s="22"/>
      <c r="BD4" s="22"/>
    </row>
    <row r="5" spans="1:56" ht="16.5" thickBot="1">
      <c r="A5" s="398" t="s">
        <v>319</v>
      </c>
      <c r="B5" s="399"/>
      <c r="C5" s="399"/>
      <c r="D5" s="399"/>
      <c r="E5" s="399"/>
      <c r="F5" s="399"/>
      <c r="G5" s="400"/>
      <c r="H5" s="400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77"/>
      <c r="T5" s="77"/>
      <c r="U5" s="398"/>
      <c r="V5" s="399"/>
      <c r="W5" s="399"/>
      <c r="X5" s="399"/>
      <c r="Y5" s="399"/>
      <c r="Z5" s="399"/>
      <c r="AA5" s="400"/>
      <c r="AB5" s="400"/>
      <c r="AC5" s="400"/>
      <c r="AD5" s="400"/>
      <c r="AE5" s="400"/>
      <c r="AF5" s="400"/>
      <c r="AG5" s="400"/>
      <c r="AH5" s="400"/>
      <c r="AI5" s="400"/>
      <c r="AJ5" s="400"/>
      <c r="AK5" s="400"/>
      <c r="AL5" s="400"/>
      <c r="AM5" s="77"/>
      <c r="AN5" s="77"/>
      <c r="AO5" s="77"/>
      <c r="AP5" s="77"/>
      <c r="AQ5" s="77"/>
      <c r="AR5" s="77"/>
      <c r="AS5" s="77"/>
      <c r="AT5" s="77"/>
      <c r="AU5" s="107"/>
      <c r="AV5" s="107"/>
      <c r="BB5" s="22"/>
      <c r="BC5" s="22"/>
      <c r="BD5" s="22"/>
    </row>
    <row r="6" spans="1:56" ht="16.5" thickBot="1">
      <c r="A6" s="401" t="s">
        <v>320</v>
      </c>
      <c r="B6" s="491" t="s">
        <v>321</v>
      </c>
      <c r="C6" s="405"/>
      <c r="D6" s="406"/>
      <c r="E6" s="406"/>
      <c r="G6" s="404" t="s">
        <v>322</v>
      </c>
      <c r="H6" s="405"/>
      <c r="I6" s="405"/>
      <c r="J6" s="405"/>
      <c r="K6" s="405"/>
      <c r="L6" s="406"/>
      <c r="N6" s="407" t="s">
        <v>323</v>
      </c>
      <c r="O6" s="402"/>
      <c r="P6" s="402"/>
      <c r="Q6" s="402"/>
      <c r="R6" s="402"/>
      <c r="S6" s="403"/>
      <c r="U6" s="401" t="s">
        <v>320</v>
      </c>
      <c r="V6" s="491" t="s">
        <v>324</v>
      </c>
      <c r="W6" s="405"/>
      <c r="X6" s="406"/>
      <c r="Y6" s="406"/>
      <c r="AA6" s="404" t="s">
        <v>325</v>
      </c>
      <c r="AB6" s="405"/>
      <c r="AC6" s="405"/>
      <c r="AD6" s="405"/>
      <c r="AE6" s="405"/>
      <c r="AF6" s="406"/>
      <c r="AH6" s="407" t="s">
        <v>326</v>
      </c>
      <c r="AI6" s="402"/>
      <c r="AJ6" s="402"/>
      <c r="AK6" s="402"/>
      <c r="AL6" s="402"/>
      <c r="AM6" s="403"/>
      <c r="AP6" s="77"/>
      <c r="AQ6" s="77"/>
      <c r="AR6" s="77"/>
      <c r="AS6" s="77"/>
      <c r="AT6" s="77"/>
      <c r="AU6" s="107"/>
      <c r="AV6" s="107"/>
      <c r="BB6" s="22"/>
      <c r="BC6" s="22"/>
      <c r="BD6" s="22"/>
    </row>
    <row r="7" spans="1:56" ht="16.5" thickBot="1">
      <c r="A7" s="408"/>
      <c r="B7" s="441" t="s">
        <v>327</v>
      </c>
      <c r="C7" s="442" t="s">
        <v>328</v>
      </c>
      <c r="D7" s="442" t="s">
        <v>329</v>
      </c>
      <c r="E7" s="443" t="s">
        <v>330</v>
      </c>
      <c r="G7" s="444" t="s">
        <v>48</v>
      </c>
      <c r="H7" s="445" t="s">
        <v>49</v>
      </c>
      <c r="I7" s="445" t="s">
        <v>50</v>
      </c>
      <c r="J7" s="445" t="s">
        <v>51</v>
      </c>
      <c r="K7" s="445" t="s">
        <v>52</v>
      </c>
      <c r="L7" s="446" t="s">
        <v>53</v>
      </c>
      <c r="N7" s="441" t="s">
        <v>48</v>
      </c>
      <c r="O7" s="442" t="s">
        <v>49</v>
      </c>
      <c r="P7" s="442" t="s">
        <v>50</v>
      </c>
      <c r="Q7" s="442" t="s">
        <v>51</v>
      </c>
      <c r="R7" s="442" t="s">
        <v>52</v>
      </c>
      <c r="S7" s="443" t="s">
        <v>53</v>
      </c>
      <c r="U7" s="408"/>
      <c r="V7" s="441" t="s">
        <v>327</v>
      </c>
      <c r="W7" s="442" t="s">
        <v>328</v>
      </c>
      <c r="X7" s="442" t="s">
        <v>329</v>
      </c>
      <c r="Y7" s="443" t="s">
        <v>330</v>
      </c>
      <c r="AA7" s="479" t="s">
        <v>48</v>
      </c>
      <c r="AB7" s="480" t="s">
        <v>49</v>
      </c>
      <c r="AC7" s="480" t="s">
        <v>50</v>
      </c>
      <c r="AD7" s="480" t="s">
        <v>51</v>
      </c>
      <c r="AE7" s="480" t="s">
        <v>52</v>
      </c>
      <c r="AF7" s="481" t="s">
        <v>53</v>
      </c>
      <c r="AH7" s="441" t="s">
        <v>48</v>
      </c>
      <c r="AI7" s="442" t="s">
        <v>49</v>
      </c>
      <c r="AJ7" s="442" t="s">
        <v>50</v>
      </c>
      <c r="AK7" s="442" t="s">
        <v>51</v>
      </c>
      <c r="AL7" s="442" t="s">
        <v>52</v>
      </c>
      <c r="AM7" s="443" t="s">
        <v>53</v>
      </c>
      <c r="AP7" s="77"/>
      <c r="AQ7" s="77"/>
      <c r="AR7" s="77"/>
      <c r="AS7" s="77"/>
      <c r="AT7" s="77"/>
      <c r="AU7" s="107"/>
      <c r="AV7" s="107"/>
      <c r="BB7" s="22"/>
      <c r="BC7" s="22"/>
      <c r="BD7" s="22"/>
    </row>
    <row r="8" spans="1:56" ht="15.75">
      <c r="A8" s="487"/>
      <c r="B8" s="351"/>
      <c r="C8" s="338"/>
      <c r="D8" s="338"/>
      <c r="E8" s="352"/>
      <c r="G8" s="409" t="s">
        <v>60</v>
      </c>
      <c r="H8" s="410"/>
      <c r="I8" s="410"/>
      <c r="J8" s="410"/>
      <c r="K8" s="410"/>
      <c r="L8" s="411"/>
      <c r="N8" s="351"/>
      <c r="O8" s="338"/>
      <c r="P8" s="338"/>
      <c r="Q8" s="338"/>
      <c r="R8" s="338"/>
      <c r="S8" s="352"/>
      <c r="U8" s="487"/>
      <c r="V8" s="351"/>
      <c r="W8" s="338"/>
      <c r="X8" s="338"/>
      <c r="Y8" s="352"/>
      <c r="AA8" s="409" t="s">
        <v>60</v>
      </c>
      <c r="AB8" s="410"/>
      <c r="AC8" s="410"/>
      <c r="AD8" s="410"/>
      <c r="AE8" s="410"/>
      <c r="AF8" s="411"/>
      <c r="AH8" s="351"/>
      <c r="AI8" s="338"/>
      <c r="AJ8" s="338"/>
      <c r="AK8" s="338"/>
      <c r="AL8" s="338"/>
      <c r="AM8" s="352"/>
      <c r="AP8" s="77"/>
      <c r="AQ8" s="77"/>
      <c r="AR8" s="77"/>
      <c r="AS8" s="77"/>
      <c r="AT8" s="77"/>
      <c r="AU8" s="107"/>
      <c r="AV8" s="107"/>
      <c r="BB8" s="22"/>
      <c r="BC8" s="22"/>
      <c r="BD8" s="22"/>
    </row>
    <row r="9" spans="1:56" ht="16.5" thickBot="1">
      <c r="A9" s="351"/>
      <c r="B9" s="351"/>
      <c r="C9" s="338"/>
      <c r="D9" s="338"/>
      <c r="E9" s="352"/>
      <c r="G9" s="412">
        <v>4</v>
      </c>
      <c r="H9" s="413">
        <v>6</v>
      </c>
      <c r="I9" s="413">
        <v>6</v>
      </c>
      <c r="J9" s="413">
        <v>3</v>
      </c>
      <c r="K9" s="413">
        <v>4</v>
      </c>
      <c r="L9" s="414">
        <v>8</v>
      </c>
      <c r="N9" s="351"/>
      <c r="O9" s="338"/>
      <c r="P9" s="338"/>
      <c r="Q9" s="338"/>
      <c r="R9" s="338"/>
      <c r="S9" s="352"/>
      <c r="U9" s="351"/>
      <c r="V9" s="351"/>
      <c r="W9" s="338"/>
      <c r="X9" s="338"/>
      <c r="Y9" s="352"/>
      <c r="AA9" s="412">
        <v>4</v>
      </c>
      <c r="AB9" s="413">
        <v>6</v>
      </c>
      <c r="AC9" s="413">
        <v>6</v>
      </c>
      <c r="AD9" s="413">
        <v>3</v>
      </c>
      <c r="AE9" s="413">
        <v>4</v>
      </c>
      <c r="AF9" s="414">
        <v>8</v>
      </c>
      <c r="AH9" s="351"/>
      <c r="AI9" s="338"/>
      <c r="AJ9" s="338"/>
      <c r="AK9" s="338"/>
      <c r="AL9" s="338"/>
      <c r="AM9" s="352"/>
      <c r="AP9" s="77"/>
      <c r="AQ9" s="77"/>
      <c r="AR9" s="77"/>
      <c r="AS9" s="77"/>
      <c r="AT9" s="77"/>
      <c r="AU9" s="107"/>
      <c r="AV9" s="107"/>
      <c r="BB9" s="22"/>
      <c r="BC9" s="22"/>
      <c r="BD9" s="22"/>
    </row>
    <row r="10" spans="1:56" ht="15.75">
      <c r="A10" s="488">
        <v>0</v>
      </c>
      <c r="B10" s="415">
        <v>0</v>
      </c>
      <c r="C10" s="416">
        <v>0</v>
      </c>
      <c r="D10" s="416">
        <v>0</v>
      </c>
      <c r="E10" s="417">
        <v>0</v>
      </c>
      <c r="G10" s="415">
        <f t="shared" ref="G10:G35" si="0">(2*B10+2*D10)/4</f>
        <v>0</v>
      </c>
      <c r="H10" s="416">
        <f t="shared" ref="H10:H35" si="1">C10</f>
        <v>0</v>
      </c>
      <c r="I10" s="416">
        <f t="shared" ref="I10:I35" si="2">C10</f>
        <v>0</v>
      </c>
      <c r="J10" s="416">
        <f t="shared" ref="J10:J35" si="3">E10</f>
        <v>0</v>
      </c>
      <c r="K10" s="416">
        <f t="shared" ref="K10:K35" si="4">D10</f>
        <v>0</v>
      </c>
      <c r="L10" s="417">
        <f t="shared" ref="L10:L35" si="5">C10</f>
        <v>0</v>
      </c>
      <c r="N10" s="351">
        <f t="shared" ref="N10:N35" si="6">G10*$A10*G$9/1000</f>
        <v>0</v>
      </c>
      <c r="O10" s="338">
        <f t="shared" ref="O10:O35" si="7">H10*$A10*H$9/1000</f>
        <v>0</v>
      </c>
      <c r="P10" s="338">
        <f t="shared" ref="P10:P35" si="8">I10*$A10*I$9/1000</f>
        <v>0</v>
      </c>
      <c r="Q10" s="338">
        <f t="shared" ref="Q10:Q35" si="9">J10*$A10*J$9/1000</f>
        <v>0</v>
      </c>
      <c r="R10" s="338">
        <f t="shared" ref="R10:R35" si="10">K10*$A10*K$9/1000</f>
        <v>0</v>
      </c>
      <c r="S10" s="352">
        <f t="shared" ref="S10:S35" si="11">L10*$A10*L$9/1000</f>
        <v>0</v>
      </c>
      <c r="U10" s="488">
        <v>0</v>
      </c>
      <c r="V10" s="415">
        <v>0</v>
      </c>
      <c r="W10" s="416">
        <v>0</v>
      </c>
      <c r="X10" s="416">
        <v>0</v>
      </c>
      <c r="Y10" s="417">
        <v>0</v>
      </c>
      <c r="AA10" s="415">
        <f t="shared" ref="AA10:AA35" si="12">(2*V10+2*X10)/4</f>
        <v>0</v>
      </c>
      <c r="AB10" s="416">
        <f t="shared" ref="AB10:AB35" si="13">W10</f>
        <v>0</v>
      </c>
      <c r="AC10" s="416">
        <f t="shared" ref="AC10:AC35" si="14">W10</f>
        <v>0</v>
      </c>
      <c r="AD10" s="416">
        <f t="shared" ref="AD10:AD35" si="15">Y10</f>
        <v>0</v>
      </c>
      <c r="AE10" s="416">
        <f t="shared" ref="AE10:AE35" si="16">X10</f>
        <v>0</v>
      </c>
      <c r="AF10" s="417">
        <f t="shared" ref="AF10:AF35" si="17">W10</f>
        <v>0</v>
      </c>
      <c r="AH10" s="351">
        <f t="shared" ref="AH10:AH35" si="18">AA10*$A10*AA$9/1000</f>
        <v>0</v>
      </c>
      <c r="AI10" s="338">
        <f t="shared" ref="AI10:AI35" si="19">AB10*$A10*AB$9/1000</f>
        <v>0</v>
      </c>
      <c r="AJ10" s="338">
        <f t="shared" ref="AJ10:AJ35" si="20">AC10*$A10*AC$9/1000</f>
        <v>0</v>
      </c>
      <c r="AK10" s="338">
        <f t="shared" ref="AK10:AK35" si="21">AD10*$A10*AD$9/1000</f>
        <v>0</v>
      </c>
      <c r="AL10" s="338">
        <f t="shared" ref="AL10:AL35" si="22">AE10*$A10*AE$9/1000</f>
        <v>0</v>
      </c>
      <c r="AM10" s="352">
        <f t="shared" ref="AM10:AM35" si="23">AF10*$A10*AF$9/1000</f>
        <v>0</v>
      </c>
      <c r="AP10" s="77"/>
      <c r="AQ10" s="77"/>
      <c r="AR10" s="77"/>
      <c r="AS10" s="77"/>
      <c r="AT10" s="77"/>
      <c r="AU10" s="107"/>
      <c r="AV10" s="107"/>
      <c r="BB10" s="22"/>
      <c r="BC10" s="22"/>
      <c r="BD10" s="22"/>
    </row>
    <row r="11" spans="1:56" ht="15.75">
      <c r="A11" s="488">
        <v>10</v>
      </c>
      <c r="B11" s="415">
        <v>0</v>
      </c>
      <c r="C11" s="416">
        <v>0</v>
      </c>
      <c r="D11" s="416">
        <v>0</v>
      </c>
      <c r="E11" s="417">
        <v>0</v>
      </c>
      <c r="G11" s="415">
        <f t="shared" si="0"/>
        <v>0</v>
      </c>
      <c r="H11" s="416">
        <f t="shared" si="1"/>
        <v>0</v>
      </c>
      <c r="I11" s="416">
        <f t="shared" si="2"/>
        <v>0</v>
      </c>
      <c r="J11" s="416">
        <f t="shared" si="3"/>
        <v>0</v>
      </c>
      <c r="K11" s="416">
        <f t="shared" si="4"/>
        <v>0</v>
      </c>
      <c r="L11" s="417">
        <f t="shared" si="5"/>
        <v>0</v>
      </c>
      <c r="N11" s="415">
        <f t="shared" si="6"/>
        <v>0</v>
      </c>
      <c r="O11" s="416">
        <f t="shared" si="7"/>
        <v>0</v>
      </c>
      <c r="P11" s="416">
        <f t="shared" si="8"/>
        <v>0</v>
      </c>
      <c r="Q11" s="416">
        <f t="shared" si="9"/>
        <v>0</v>
      </c>
      <c r="R11" s="416">
        <f t="shared" si="10"/>
        <v>0</v>
      </c>
      <c r="S11" s="417">
        <f t="shared" si="11"/>
        <v>0</v>
      </c>
      <c r="U11" s="488">
        <v>10</v>
      </c>
      <c r="V11" s="415">
        <v>0</v>
      </c>
      <c r="W11" s="416">
        <v>0</v>
      </c>
      <c r="X11" s="416">
        <v>0</v>
      </c>
      <c r="Y11" s="417">
        <v>0</v>
      </c>
      <c r="AA11" s="415">
        <f t="shared" si="12"/>
        <v>0</v>
      </c>
      <c r="AB11" s="416">
        <f t="shared" si="13"/>
        <v>0</v>
      </c>
      <c r="AC11" s="416">
        <f t="shared" si="14"/>
        <v>0</v>
      </c>
      <c r="AD11" s="416">
        <f t="shared" si="15"/>
        <v>0</v>
      </c>
      <c r="AE11" s="416">
        <f t="shared" si="16"/>
        <v>0</v>
      </c>
      <c r="AF11" s="417">
        <f t="shared" si="17"/>
        <v>0</v>
      </c>
      <c r="AH11" s="415">
        <f t="shared" si="18"/>
        <v>0</v>
      </c>
      <c r="AI11" s="416">
        <f t="shared" si="19"/>
        <v>0</v>
      </c>
      <c r="AJ11" s="416">
        <f t="shared" si="20"/>
        <v>0</v>
      </c>
      <c r="AK11" s="416">
        <f t="shared" si="21"/>
        <v>0</v>
      </c>
      <c r="AL11" s="416">
        <f t="shared" si="22"/>
        <v>0</v>
      </c>
      <c r="AM11" s="417">
        <f t="shared" si="23"/>
        <v>0</v>
      </c>
      <c r="AP11" s="77"/>
      <c r="AQ11" s="77"/>
      <c r="AR11" s="77"/>
      <c r="AS11" s="77"/>
      <c r="AT11" s="77"/>
      <c r="AU11" s="107"/>
      <c r="AV11" s="107"/>
      <c r="BB11" s="22"/>
      <c r="BC11" s="22"/>
      <c r="BD11" s="22"/>
    </row>
    <row r="12" spans="1:56" ht="15.75">
      <c r="A12" s="488">
        <f t="shared" ref="A12:A35" si="24">A11+10</f>
        <v>20</v>
      </c>
      <c r="B12" s="415">
        <v>704</v>
      </c>
      <c r="C12" s="416">
        <v>457</v>
      </c>
      <c r="D12" s="416">
        <v>1164</v>
      </c>
      <c r="E12" s="417">
        <v>1374</v>
      </c>
      <c r="G12" s="415">
        <f t="shared" si="0"/>
        <v>934</v>
      </c>
      <c r="H12" s="416">
        <f t="shared" si="1"/>
        <v>457</v>
      </c>
      <c r="I12" s="416">
        <f t="shared" si="2"/>
        <v>457</v>
      </c>
      <c r="J12" s="416">
        <f t="shared" si="3"/>
        <v>1374</v>
      </c>
      <c r="K12" s="416">
        <f t="shared" si="4"/>
        <v>1164</v>
      </c>
      <c r="L12" s="417">
        <f t="shared" si="5"/>
        <v>457</v>
      </c>
      <c r="N12" s="415">
        <f t="shared" si="6"/>
        <v>74.72</v>
      </c>
      <c r="O12" s="416">
        <f t="shared" si="7"/>
        <v>54.84</v>
      </c>
      <c r="P12" s="416">
        <f t="shared" si="8"/>
        <v>54.84</v>
      </c>
      <c r="Q12" s="416">
        <f t="shared" si="9"/>
        <v>82.44</v>
      </c>
      <c r="R12" s="416">
        <f t="shared" si="10"/>
        <v>93.12</v>
      </c>
      <c r="S12" s="417">
        <f t="shared" si="11"/>
        <v>73.12</v>
      </c>
      <c r="U12" s="488">
        <f t="shared" ref="U12:U35" si="25">U11+10</f>
        <v>20</v>
      </c>
      <c r="V12" s="415">
        <v>704</v>
      </c>
      <c r="W12" s="416">
        <v>457</v>
      </c>
      <c r="X12" s="416">
        <v>1164</v>
      </c>
      <c r="Y12" s="417">
        <v>1374</v>
      </c>
      <c r="AA12" s="415">
        <f t="shared" si="12"/>
        <v>934</v>
      </c>
      <c r="AB12" s="416">
        <f t="shared" si="13"/>
        <v>457</v>
      </c>
      <c r="AC12" s="416">
        <f t="shared" si="14"/>
        <v>457</v>
      </c>
      <c r="AD12" s="416">
        <f t="shared" si="15"/>
        <v>1374</v>
      </c>
      <c r="AE12" s="416">
        <f t="shared" si="16"/>
        <v>1164</v>
      </c>
      <c r="AF12" s="417">
        <f t="shared" si="17"/>
        <v>457</v>
      </c>
      <c r="AH12" s="415">
        <f t="shared" si="18"/>
        <v>74.72</v>
      </c>
      <c r="AI12" s="416">
        <f t="shared" si="19"/>
        <v>54.84</v>
      </c>
      <c r="AJ12" s="416">
        <f t="shared" si="20"/>
        <v>54.84</v>
      </c>
      <c r="AK12" s="416">
        <f t="shared" si="21"/>
        <v>82.44</v>
      </c>
      <c r="AL12" s="416">
        <f t="shared" si="22"/>
        <v>93.12</v>
      </c>
      <c r="AM12" s="417">
        <f t="shared" si="23"/>
        <v>73.12</v>
      </c>
      <c r="AP12" s="77"/>
      <c r="AQ12" s="77"/>
      <c r="AR12" s="77"/>
      <c r="AS12" s="77"/>
      <c r="AT12" s="77"/>
      <c r="AU12" s="107"/>
      <c r="AV12" s="107"/>
      <c r="BB12" s="22"/>
      <c r="BC12" s="22"/>
      <c r="BD12" s="22"/>
    </row>
    <row r="13" spans="1:56" ht="15.75">
      <c r="A13" s="488">
        <f t="shared" si="24"/>
        <v>30</v>
      </c>
      <c r="B13" s="415">
        <v>704</v>
      </c>
      <c r="C13" s="416">
        <v>457</v>
      </c>
      <c r="D13" s="416">
        <v>1164</v>
      </c>
      <c r="E13" s="417">
        <v>1374</v>
      </c>
      <c r="G13" s="415">
        <f t="shared" si="0"/>
        <v>934</v>
      </c>
      <c r="H13" s="416">
        <f t="shared" si="1"/>
        <v>457</v>
      </c>
      <c r="I13" s="416">
        <f t="shared" si="2"/>
        <v>457</v>
      </c>
      <c r="J13" s="416">
        <f t="shared" si="3"/>
        <v>1374</v>
      </c>
      <c r="K13" s="416">
        <f t="shared" si="4"/>
        <v>1164</v>
      </c>
      <c r="L13" s="417">
        <f t="shared" si="5"/>
        <v>457</v>
      </c>
      <c r="N13" s="415">
        <f t="shared" si="6"/>
        <v>112.08</v>
      </c>
      <c r="O13" s="416">
        <f t="shared" si="7"/>
        <v>82.26</v>
      </c>
      <c r="P13" s="416">
        <f t="shared" si="8"/>
        <v>82.26</v>
      </c>
      <c r="Q13" s="416">
        <f t="shared" si="9"/>
        <v>123.66</v>
      </c>
      <c r="R13" s="416">
        <f t="shared" si="10"/>
        <v>139.68</v>
      </c>
      <c r="S13" s="417">
        <f t="shared" si="11"/>
        <v>109.68</v>
      </c>
      <c r="U13" s="488">
        <f t="shared" si="25"/>
        <v>30</v>
      </c>
      <c r="V13" s="415">
        <v>704</v>
      </c>
      <c r="W13" s="416">
        <v>457</v>
      </c>
      <c r="X13" s="416">
        <v>1164</v>
      </c>
      <c r="Y13" s="417">
        <v>1374</v>
      </c>
      <c r="AA13" s="415">
        <f t="shared" si="12"/>
        <v>934</v>
      </c>
      <c r="AB13" s="416">
        <f t="shared" si="13"/>
        <v>457</v>
      </c>
      <c r="AC13" s="416">
        <f t="shared" si="14"/>
        <v>457</v>
      </c>
      <c r="AD13" s="416">
        <f t="shared" si="15"/>
        <v>1374</v>
      </c>
      <c r="AE13" s="416">
        <f t="shared" si="16"/>
        <v>1164</v>
      </c>
      <c r="AF13" s="417">
        <f t="shared" si="17"/>
        <v>457</v>
      </c>
      <c r="AH13" s="415">
        <f t="shared" si="18"/>
        <v>112.08</v>
      </c>
      <c r="AI13" s="416">
        <f t="shared" si="19"/>
        <v>82.26</v>
      </c>
      <c r="AJ13" s="416">
        <f t="shared" si="20"/>
        <v>82.26</v>
      </c>
      <c r="AK13" s="416">
        <f t="shared" si="21"/>
        <v>123.66</v>
      </c>
      <c r="AL13" s="416">
        <f t="shared" si="22"/>
        <v>139.68</v>
      </c>
      <c r="AM13" s="417">
        <f t="shared" si="23"/>
        <v>109.68</v>
      </c>
      <c r="AP13" s="77"/>
      <c r="AQ13" s="77"/>
      <c r="AR13" s="77"/>
      <c r="AS13" s="77"/>
      <c r="AT13" s="77"/>
      <c r="AU13" s="107"/>
      <c r="AV13" s="107"/>
      <c r="BB13" s="22"/>
      <c r="BC13" s="22"/>
      <c r="BD13" s="22"/>
    </row>
    <row r="14" spans="1:56" ht="15.75">
      <c r="A14" s="488">
        <f t="shared" si="24"/>
        <v>40</v>
      </c>
      <c r="B14" s="415">
        <v>1407</v>
      </c>
      <c r="C14" s="416">
        <v>457</v>
      </c>
      <c r="D14" s="416">
        <v>2140</v>
      </c>
      <c r="E14" s="417">
        <v>3334</v>
      </c>
      <c r="G14" s="415">
        <f t="shared" si="0"/>
        <v>1773.5</v>
      </c>
      <c r="H14" s="416">
        <f t="shared" si="1"/>
        <v>457</v>
      </c>
      <c r="I14" s="416">
        <f t="shared" si="2"/>
        <v>457</v>
      </c>
      <c r="J14" s="416">
        <f t="shared" si="3"/>
        <v>3334</v>
      </c>
      <c r="K14" s="416">
        <f t="shared" si="4"/>
        <v>2140</v>
      </c>
      <c r="L14" s="417">
        <f t="shared" si="5"/>
        <v>457</v>
      </c>
      <c r="N14" s="415">
        <f t="shared" si="6"/>
        <v>283.76</v>
      </c>
      <c r="O14" s="416">
        <f t="shared" si="7"/>
        <v>109.68</v>
      </c>
      <c r="P14" s="416">
        <f t="shared" si="8"/>
        <v>109.68</v>
      </c>
      <c r="Q14" s="416">
        <f t="shared" si="9"/>
        <v>400.08</v>
      </c>
      <c r="R14" s="416">
        <f t="shared" si="10"/>
        <v>342.4</v>
      </c>
      <c r="S14" s="417">
        <f t="shared" si="11"/>
        <v>146.24</v>
      </c>
      <c r="U14" s="488">
        <f t="shared" si="25"/>
        <v>40</v>
      </c>
      <c r="V14" s="415">
        <v>1407</v>
      </c>
      <c r="W14" s="416">
        <v>457</v>
      </c>
      <c r="X14" s="416">
        <v>2140</v>
      </c>
      <c r="Y14" s="417">
        <v>3334</v>
      </c>
      <c r="AA14" s="415">
        <f t="shared" si="12"/>
        <v>1773.5</v>
      </c>
      <c r="AB14" s="416">
        <f t="shared" si="13"/>
        <v>457</v>
      </c>
      <c r="AC14" s="416">
        <f t="shared" si="14"/>
        <v>457</v>
      </c>
      <c r="AD14" s="416">
        <f t="shared" si="15"/>
        <v>3334</v>
      </c>
      <c r="AE14" s="416">
        <f t="shared" si="16"/>
        <v>2140</v>
      </c>
      <c r="AF14" s="417">
        <f t="shared" si="17"/>
        <v>457</v>
      </c>
      <c r="AH14" s="415">
        <f t="shared" si="18"/>
        <v>283.76</v>
      </c>
      <c r="AI14" s="416">
        <f t="shared" si="19"/>
        <v>109.68</v>
      </c>
      <c r="AJ14" s="416">
        <f t="shared" si="20"/>
        <v>109.68</v>
      </c>
      <c r="AK14" s="416">
        <f t="shared" si="21"/>
        <v>400.08</v>
      </c>
      <c r="AL14" s="416">
        <f t="shared" si="22"/>
        <v>342.4</v>
      </c>
      <c r="AM14" s="417">
        <f t="shared" si="23"/>
        <v>146.24</v>
      </c>
      <c r="AP14" s="77"/>
      <c r="AQ14" s="77"/>
      <c r="AR14" s="77"/>
      <c r="AS14" s="77"/>
      <c r="AT14" s="77"/>
      <c r="AU14" s="107"/>
      <c r="AV14" s="107"/>
      <c r="BB14" s="22"/>
      <c r="BC14" s="22"/>
      <c r="BD14" s="22"/>
    </row>
    <row r="15" spans="1:56" ht="15.75">
      <c r="A15" s="488">
        <f t="shared" si="24"/>
        <v>50</v>
      </c>
      <c r="B15" s="415">
        <v>1407</v>
      </c>
      <c r="C15" s="416">
        <v>457</v>
      </c>
      <c r="D15" s="416">
        <v>2140</v>
      </c>
      <c r="E15" s="417">
        <v>3334</v>
      </c>
      <c r="G15" s="415">
        <f t="shared" si="0"/>
        <v>1773.5</v>
      </c>
      <c r="H15" s="416">
        <f t="shared" si="1"/>
        <v>457</v>
      </c>
      <c r="I15" s="416">
        <f t="shared" si="2"/>
        <v>457</v>
      </c>
      <c r="J15" s="416">
        <f t="shared" si="3"/>
        <v>3334</v>
      </c>
      <c r="K15" s="416">
        <f t="shared" si="4"/>
        <v>2140</v>
      </c>
      <c r="L15" s="417">
        <f t="shared" si="5"/>
        <v>457</v>
      </c>
      <c r="N15" s="415">
        <f t="shared" si="6"/>
        <v>354.7</v>
      </c>
      <c r="O15" s="416">
        <f t="shared" si="7"/>
        <v>137.1</v>
      </c>
      <c r="P15" s="416">
        <f t="shared" si="8"/>
        <v>137.1</v>
      </c>
      <c r="Q15" s="416">
        <f t="shared" si="9"/>
        <v>500.1</v>
      </c>
      <c r="R15" s="416">
        <f t="shared" si="10"/>
        <v>428</v>
      </c>
      <c r="S15" s="417">
        <f t="shared" si="11"/>
        <v>182.8</v>
      </c>
      <c r="U15" s="488">
        <f t="shared" si="25"/>
        <v>50</v>
      </c>
      <c r="V15" s="415">
        <v>1407</v>
      </c>
      <c r="W15" s="416">
        <v>457</v>
      </c>
      <c r="X15" s="416">
        <v>2140</v>
      </c>
      <c r="Y15" s="417">
        <v>3334</v>
      </c>
      <c r="AA15" s="415">
        <f t="shared" si="12"/>
        <v>1773.5</v>
      </c>
      <c r="AB15" s="416">
        <f t="shared" si="13"/>
        <v>457</v>
      </c>
      <c r="AC15" s="416">
        <f t="shared" si="14"/>
        <v>457</v>
      </c>
      <c r="AD15" s="416">
        <f t="shared" si="15"/>
        <v>3334</v>
      </c>
      <c r="AE15" s="416">
        <f t="shared" si="16"/>
        <v>2140</v>
      </c>
      <c r="AF15" s="417">
        <f t="shared" si="17"/>
        <v>457</v>
      </c>
      <c r="AH15" s="415">
        <f t="shared" si="18"/>
        <v>354.7</v>
      </c>
      <c r="AI15" s="416">
        <f t="shared" si="19"/>
        <v>137.1</v>
      </c>
      <c r="AJ15" s="416">
        <f t="shared" si="20"/>
        <v>137.1</v>
      </c>
      <c r="AK15" s="416">
        <f t="shared" si="21"/>
        <v>500.1</v>
      </c>
      <c r="AL15" s="416">
        <f t="shared" si="22"/>
        <v>428</v>
      </c>
      <c r="AM15" s="417">
        <f t="shared" si="23"/>
        <v>182.8</v>
      </c>
      <c r="AP15" s="77"/>
      <c r="AQ15" s="77"/>
      <c r="AR15" s="77"/>
      <c r="AS15" s="77"/>
      <c r="AT15" s="77"/>
      <c r="AU15" s="107"/>
      <c r="AV15" s="107"/>
      <c r="BB15" s="22"/>
      <c r="BC15" s="22"/>
      <c r="BD15" s="22"/>
    </row>
    <row r="16" spans="1:56" ht="15.75">
      <c r="A16" s="488">
        <f t="shared" si="24"/>
        <v>60</v>
      </c>
      <c r="B16" s="415">
        <v>1407</v>
      </c>
      <c r="C16" s="416">
        <v>1243</v>
      </c>
      <c r="D16" s="416">
        <v>2140</v>
      </c>
      <c r="E16" s="417">
        <v>3334</v>
      </c>
      <c r="G16" s="415">
        <f t="shared" si="0"/>
        <v>1773.5</v>
      </c>
      <c r="H16" s="416">
        <f t="shared" si="1"/>
        <v>1243</v>
      </c>
      <c r="I16" s="416">
        <f t="shared" si="2"/>
        <v>1243</v>
      </c>
      <c r="J16" s="416">
        <f t="shared" si="3"/>
        <v>3334</v>
      </c>
      <c r="K16" s="416">
        <f t="shared" si="4"/>
        <v>2140</v>
      </c>
      <c r="L16" s="417">
        <f t="shared" si="5"/>
        <v>1243</v>
      </c>
      <c r="N16" s="415">
        <f t="shared" si="6"/>
        <v>425.64</v>
      </c>
      <c r="O16" s="416">
        <f t="shared" si="7"/>
        <v>447.48</v>
      </c>
      <c r="P16" s="416">
        <f t="shared" si="8"/>
        <v>447.48</v>
      </c>
      <c r="Q16" s="416">
        <f t="shared" si="9"/>
        <v>600.12</v>
      </c>
      <c r="R16" s="416">
        <f t="shared" si="10"/>
        <v>513.6</v>
      </c>
      <c r="S16" s="417">
        <f t="shared" si="11"/>
        <v>596.64</v>
      </c>
      <c r="U16" s="488">
        <f t="shared" si="25"/>
        <v>60</v>
      </c>
      <c r="V16" s="415">
        <v>1407</v>
      </c>
      <c r="W16" s="416">
        <v>1243</v>
      </c>
      <c r="X16" s="416">
        <v>2140</v>
      </c>
      <c r="Y16" s="417">
        <v>3334</v>
      </c>
      <c r="AA16" s="415">
        <f t="shared" si="12"/>
        <v>1773.5</v>
      </c>
      <c r="AB16" s="416">
        <f t="shared" si="13"/>
        <v>1243</v>
      </c>
      <c r="AC16" s="416">
        <f t="shared" si="14"/>
        <v>1243</v>
      </c>
      <c r="AD16" s="416">
        <f t="shared" si="15"/>
        <v>3334</v>
      </c>
      <c r="AE16" s="416">
        <f t="shared" si="16"/>
        <v>2140</v>
      </c>
      <c r="AF16" s="417">
        <f t="shared" si="17"/>
        <v>1243</v>
      </c>
      <c r="AH16" s="415">
        <f t="shared" si="18"/>
        <v>425.64</v>
      </c>
      <c r="AI16" s="416">
        <f t="shared" si="19"/>
        <v>447.48</v>
      </c>
      <c r="AJ16" s="416">
        <f t="shared" si="20"/>
        <v>447.48</v>
      </c>
      <c r="AK16" s="416">
        <f t="shared" si="21"/>
        <v>600.12</v>
      </c>
      <c r="AL16" s="416">
        <f t="shared" si="22"/>
        <v>513.6</v>
      </c>
      <c r="AM16" s="417">
        <f t="shared" si="23"/>
        <v>596.64</v>
      </c>
      <c r="AP16" s="77"/>
      <c r="AQ16" s="77"/>
      <c r="AR16" s="77"/>
      <c r="AS16" s="77"/>
      <c r="AT16" s="77"/>
      <c r="AU16" s="107"/>
      <c r="AV16" s="107"/>
      <c r="BB16" s="22"/>
      <c r="BC16" s="22"/>
      <c r="BD16" s="22"/>
    </row>
    <row r="17" spans="1:56" ht="15.75">
      <c r="A17" s="488">
        <f t="shared" si="24"/>
        <v>70</v>
      </c>
      <c r="B17" s="415">
        <v>1407</v>
      </c>
      <c r="C17" s="416">
        <v>1243</v>
      </c>
      <c r="D17" s="416">
        <v>2140</v>
      </c>
      <c r="E17" s="417">
        <v>3334</v>
      </c>
      <c r="G17" s="415">
        <f t="shared" si="0"/>
        <v>1773.5</v>
      </c>
      <c r="H17" s="416">
        <f t="shared" si="1"/>
        <v>1243</v>
      </c>
      <c r="I17" s="416">
        <f t="shared" si="2"/>
        <v>1243</v>
      </c>
      <c r="J17" s="416">
        <f t="shared" si="3"/>
        <v>3334</v>
      </c>
      <c r="K17" s="416">
        <f t="shared" si="4"/>
        <v>2140</v>
      </c>
      <c r="L17" s="417">
        <f t="shared" si="5"/>
        <v>1243</v>
      </c>
      <c r="N17" s="415">
        <f t="shared" si="6"/>
        <v>496.58</v>
      </c>
      <c r="O17" s="416">
        <f t="shared" si="7"/>
        <v>522.05999999999995</v>
      </c>
      <c r="P17" s="416">
        <f t="shared" si="8"/>
        <v>522.05999999999995</v>
      </c>
      <c r="Q17" s="416">
        <f t="shared" si="9"/>
        <v>700.14</v>
      </c>
      <c r="R17" s="416">
        <f t="shared" si="10"/>
        <v>599.20000000000005</v>
      </c>
      <c r="S17" s="417">
        <f t="shared" si="11"/>
        <v>696.08</v>
      </c>
      <c r="U17" s="488">
        <f t="shared" si="25"/>
        <v>70</v>
      </c>
      <c r="V17" s="415">
        <v>1407</v>
      </c>
      <c r="W17" s="416">
        <v>1243</v>
      </c>
      <c r="X17" s="416">
        <v>2140</v>
      </c>
      <c r="Y17" s="417">
        <v>3334</v>
      </c>
      <c r="AA17" s="415">
        <f t="shared" si="12"/>
        <v>1773.5</v>
      </c>
      <c r="AB17" s="416">
        <f t="shared" si="13"/>
        <v>1243</v>
      </c>
      <c r="AC17" s="416">
        <f t="shared" si="14"/>
        <v>1243</v>
      </c>
      <c r="AD17" s="416">
        <f t="shared" si="15"/>
        <v>3334</v>
      </c>
      <c r="AE17" s="416">
        <f t="shared" si="16"/>
        <v>2140</v>
      </c>
      <c r="AF17" s="417">
        <f t="shared" si="17"/>
        <v>1243</v>
      </c>
      <c r="AH17" s="415">
        <f t="shared" si="18"/>
        <v>496.58</v>
      </c>
      <c r="AI17" s="416">
        <f t="shared" si="19"/>
        <v>522.05999999999995</v>
      </c>
      <c r="AJ17" s="416">
        <f t="shared" si="20"/>
        <v>522.05999999999995</v>
      </c>
      <c r="AK17" s="416">
        <f t="shared" si="21"/>
        <v>700.14</v>
      </c>
      <c r="AL17" s="416">
        <f t="shared" si="22"/>
        <v>599.20000000000005</v>
      </c>
      <c r="AM17" s="417">
        <f t="shared" si="23"/>
        <v>696.08</v>
      </c>
      <c r="AP17" s="77"/>
      <c r="AQ17" s="77"/>
      <c r="AR17" s="77"/>
      <c r="AS17" s="77"/>
      <c r="AT17" s="77"/>
      <c r="AU17" s="107"/>
      <c r="AV17" s="107"/>
      <c r="BB17" s="22"/>
      <c r="BC17" s="22"/>
      <c r="BD17" s="22"/>
    </row>
    <row r="18" spans="1:56" ht="15.75">
      <c r="A18" s="488">
        <f t="shared" si="24"/>
        <v>80</v>
      </c>
      <c r="B18" s="415">
        <v>3479</v>
      </c>
      <c r="C18" s="416">
        <v>1243</v>
      </c>
      <c r="D18" s="416">
        <v>4330</v>
      </c>
      <c r="E18" s="417">
        <v>5634</v>
      </c>
      <c r="G18" s="415">
        <f t="shared" si="0"/>
        <v>3904.5</v>
      </c>
      <c r="H18" s="416">
        <f t="shared" si="1"/>
        <v>1243</v>
      </c>
      <c r="I18" s="416">
        <f t="shared" si="2"/>
        <v>1243</v>
      </c>
      <c r="J18" s="416">
        <f t="shared" si="3"/>
        <v>5634</v>
      </c>
      <c r="K18" s="416">
        <f t="shared" si="4"/>
        <v>4330</v>
      </c>
      <c r="L18" s="417">
        <f t="shared" si="5"/>
        <v>1243</v>
      </c>
      <c r="N18" s="415">
        <f t="shared" si="6"/>
        <v>1249.44</v>
      </c>
      <c r="O18" s="416">
        <f t="shared" si="7"/>
        <v>596.64</v>
      </c>
      <c r="P18" s="416">
        <f t="shared" si="8"/>
        <v>596.64</v>
      </c>
      <c r="Q18" s="416">
        <f t="shared" si="9"/>
        <v>1352.16</v>
      </c>
      <c r="R18" s="416">
        <f t="shared" si="10"/>
        <v>1385.6</v>
      </c>
      <c r="S18" s="417">
        <f t="shared" si="11"/>
        <v>795.52</v>
      </c>
      <c r="U18" s="488">
        <f t="shared" si="25"/>
        <v>80</v>
      </c>
      <c r="V18" s="415">
        <v>3479</v>
      </c>
      <c r="W18" s="416">
        <v>1243</v>
      </c>
      <c r="X18" s="416">
        <v>4330</v>
      </c>
      <c r="Y18" s="417">
        <v>5634</v>
      </c>
      <c r="AA18" s="415">
        <f t="shared" si="12"/>
        <v>3904.5</v>
      </c>
      <c r="AB18" s="416">
        <f t="shared" si="13"/>
        <v>1243</v>
      </c>
      <c r="AC18" s="416">
        <f t="shared" si="14"/>
        <v>1243</v>
      </c>
      <c r="AD18" s="416">
        <f t="shared" si="15"/>
        <v>5634</v>
      </c>
      <c r="AE18" s="416">
        <f t="shared" si="16"/>
        <v>4330</v>
      </c>
      <c r="AF18" s="417">
        <f t="shared" si="17"/>
        <v>1243</v>
      </c>
      <c r="AH18" s="415">
        <f t="shared" si="18"/>
        <v>1249.44</v>
      </c>
      <c r="AI18" s="416">
        <f t="shared" si="19"/>
        <v>596.64</v>
      </c>
      <c r="AJ18" s="416">
        <f t="shared" si="20"/>
        <v>596.64</v>
      </c>
      <c r="AK18" s="416">
        <f t="shared" si="21"/>
        <v>1352.16</v>
      </c>
      <c r="AL18" s="416">
        <f t="shared" si="22"/>
        <v>1385.6</v>
      </c>
      <c r="AM18" s="417">
        <f t="shared" si="23"/>
        <v>795.52</v>
      </c>
      <c r="AP18" s="77"/>
      <c r="AQ18" s="77"/>
      <c r="AR18" s="77"/>
      <c r="AS18" s="77"/>
      <c r="AT18" s="77"/>
      <c r="AU18" s="107"/>
      <c r="AV18" s="107"/>
      <c r="BB18" s="22"/>
      <c r="BC18" s="22"/>
      <c r="BD18" s="22"/>
    </row>
    <row r="19" spans="1:56" ht="15.75">
      <c r="A19" s="488">
        <f t="shared" si="24"/>
        <v>90</v>
      </c>
      <c r="B19" s="415">
        <v>3479</v>
      </c>
      <c r="C19" s="416">
        <v>1243</v>
      </c>
      <c r="D19" s="416">
        <v>4330</v>
      </c>
      <c r="E19" s="417">
        <v>5634</v>
      </c>
      <c r="G19" s="415">
        <f t="shared" si="0"/>
        <v>3904.5</v>
      </c>
      <c r="H19" s="416">
        <f t="shared" si="1"/>
        <v>1243</v>
      </c>
      <c r="I19" s="416">
        <f t="shared" si="2"/>
        <v>1243</v>
      </c>
      <c r="J19" s="416">
        <f t="shared" si="3"/>
        <v>5634</v>
      </c>
      <c r="K19" s="416">
        <f t="shared" si="4"/>
        <v>4330</v>
      </c>
      <c r="L19" s="417">
        <f t="shared" si="5"/>
        <v>1243</v>
      </c>
      <c r="N19" s="415">
        <f t="shared" si="6"/>
        <v>1405.62</v>
      </c>
      <c r="O19" s="416">
        <f t="shared" si="7"/>
        <v>671.22</v>
      </c>
      <c r="P19" s="416">
        <f t="shared" si="8"/>
        <v>671.22</v>
      </c>
      <c r="Q19" s="416">
        <f t="shared" si="9"/>
        <v>1521.18</v>
      </c>
      <c r="R19" s="416">
        <f t="shared" si="10"/>
        <v>1558.8</v>
      </c>
      <c r="S19" s="417">
        <f t="shared" si="11"/>
        <v>894.96</v>
      </c>
      <c r="U19" s="488">
        <f t="shared" si="25"/>
        <v>90</v>
      </c>
      <c r="V19" s="415">
        <v>3479</v>
      </c>
      <c r="W19" s="416">
        <v>1243</v>
      </c>
      <c r="X19" s="416">
        <v>4330</v>
      </c>
      <c r="Y19" s="417">
        <v>5634</v>
      </c>
      <c r="AA19" s="415">
        <f t="shared" si="12"/>
        <v>3904.5</v>
      </c>
      <c r="AB19" s="416">
        <f t="shared" si="13"/>
        <v>1243</v>
      </c>
      <c r="AC19" s="416">
        <f t="shared" si="14"/>
        <v>1243</v>
      </c>
      <c r="AD19" s="416">
        <f t="shared" si="15"/>
        <v>5634</v>
      </c>
      <c r="AE19" s="416">
        <f t="shared" si="16"/>
        <v>4330</v>
      </c>
      <c r="AF19" s="417">
        <f t="shared" si="17"/>
        <v>1243</v>
      </c>
      <c r="AH19" s="415">
        <f t="shared" si="18"/>
        <v>1405.62</v>
      </c>
      <c r="AI19" s="416">
        <f t="shared" si="19"/>
        <v>671.22</v>
      </c>
      <c r="AJ19" s="416">
        <f t="shared" si="20"/>
        <v>671.22</v>
      </c>
      <c r="AK19" s="416">
        <f t="shared" si="21"/>
        <v>1521.18</v>
      </c>
      <c r="AL19" s="416">
        <f t="shared" si="22"/>
        <v>1558.8</v>
      </c>
      <c r="AM19" s="417">
        <f t="shared" si="23"/>
        <v>894.96</v>
      </c>
      <c r="AP19" s="77"/>
      <c r="AQ19" s="77"/>
      <c r="AR19" s="77"/>
      <c r="AS19" s="77"/>
      <c r="AT19" s="77"/>
      <c r="AU19" s="107"/>
      <c r="AV19" s="107"/>
      <c r="BB19" s="22"/>
      <c r="BC19" s="22"/>
      <c r="BD19" s="22"/>
    </row>
    <row r="20" spans="1:56" ht="15.75">
      <c r="A20" s="488">
        <f t="shared" si="24"/>
        <v>100</v>
      </c>
      <c r="B20" s="415">
        <v>3479</v>
      </c>
      <c r="C20" s="416">
        <v>1243</v>
      </c>
      <c r="D20" s="416">
        <v>4330</v>
      </c>
      <c r="E20" s="417">
        <v>5634</v>
      </c>
      <c r="G20" s="415">
        <f t="shared" si="0"/>
        <v>3904.5</v>
      </c>
      <c r="H20" s="416">
        <f t="shared" si="1"/>
        <v>1243</v>
      </c>
      <c r="I20" s="416">
        <f t="shared" si="2"/>
        <v>1243</v>
      </c>
      <c r="J20" s="416">
        <f t="shared" si="3"/>
        <v>5634</v>
      </c>
      <c r="K20" s="416">
        <f t="shared" si="4"/>
        <v>4330</v>
      </c>
      <c r="L20" s="417">
        <f t="shared" si="5"/>
        <v>1243</v>
      </c>
      <c r="N20" s="415">
        <f t="shared" si="6"/>
        <v>1561.8</v>
      </c>
      <c r="O20" s="416">
        <f t="shared" si="7"/>
        <v>745.8</v>
      </c>
      <c r="P20" s="416">
        <f t="shared" si="8"/>
        <v>745.8</v>
      </c>
      <c r="Q20" s="416">
        <f t="shared" si="9"/>
        <v>1690.2</v>
      </c>
      <c r="R20" s="416">
        <f t="shared" si="10"/>
        <v>1732</v>
      </c>
      <c r="S20" s="417">
        <f t="shared" si="11"/>
        <v>994.4</v>
      </c>
      <c r="U20" s="488">
        <f t="shared" si="25"/>
        <v>100</v>
      </c>
      <c r="V20" s="415">
        <v>3479</v>
      </c>
      <c r="W20" s="416">
        <v>1243</v>
      </c>
      <c r="X20" s="416">
        <v>4330</v>
      </c>
      <c r="Y20" s="417">
        <v>5634</v>
      </c>
      <c r="AA20" s="415">
        <f t="shared" si="12"/>
        <v>3904.5</v>
      </c>
      <c r="AB20" s="416">
        <f t="shared" si="13"/>
        <v>1243</v>
      </c>
      <c r="AC20" s="416">
        <f t="shared" si="14"/>
        <v>1243</v>
      </c>
      <c r="AD20" s="416">
        <f t="shared" si="15"/>
        <v>5634</v>
      </c>
      <c r="AE20" s="416">
        <f t="shared" si="16"/>
        <v>4330</v>
      </c>
      <c r="AF20" s="417">
        <f t="shared" si="17"/>
        <v>1243</v>
      </c>
      <c r="AH20" s="415">
        <f t="shared" si="18"/>
        <v>1561.8</v>
      </c>
      <c r="AI20" s="416">
        <f t="shared" si="19"/>
        <v>745.8</v>
      </c>
      <c r="AJ20" s="416">
        <f t="shared" si="20"/>
        <v>745.8</v>
      </c>
      <c r="AK20" s="416">
        <f t="shared" si="21"/>
        <v>1690.2</v>
      </c>
      <c r="AL20" s="416">
        <f t="shared" si="22"/>
        <v>1732</v>
      </c>
      <c r="AM20" s="417">
        <f t="shared" si="23"/>
        <v>994.4</v>
      </c>
      <c r="AP20" s="77"/>
      <c r="AQ20" s="77"/>
      <c r="AR20" s="77"/>
      <c r="AS20" s="77"/>
      <c r="AT20" s="77"/>
      <c r="AU20" s="107"/>
      <c r="AV20" s="107"/>
      <c r="BB20" s="22"/>
      <c r="BC20" s="22"/>
      <c r="BD20" s="22"/>
    </row>
    <row r="21" spans="1:56" ht="15.75">
      <c r="A21" s="488">
        <f t="shared" si="24"/>
        <v>110</v>
      </c>
      <c r="B21" s="415">
        <v>3479</v>
      </c>
      <c r="C21" s="416">
        <v>1243</v>
      </c>
      <c r="D21" s="416">
        <v>4330</v>
      </c>
      <c r="E21" s="417">
        <v>5634</v>
      </c>
      <c r="G21" s="415">
        <f t="shared" si="0"/>
        <v>3904.5</v>
      </c>
      <c r="H21" s="416">
        <f t="shared" si="1"/>
        <v>1243</v>
      </c>
      <c r="I21" s="416">
        <f t="shared" si="2"/>
        <v>1243</v>
      </c>
      <c r="J21" s="416">
        <f t="shared" si="3"/>
        <v>5634</v>
      </c>
      <c r="K21" s="416">
        <f t="shared" si="4"/>
        <v>4330</v>
      </c>
      <c r="L21" s="417">
        <f t="shared" si="5"/>
        <v>1243</v>
      </c>
      <c r="N21" s="415">
        <f t="shared" si="6"/>
        <v>1717.98</v>
      </c>
      <c r="O21" s="416">
        <f t="shared" si="7"/>
        <v>820.38</v>
      </c>
      <c r="P21" s="416">
        <f t="shared" si="8"/>
        <v>820.38</v>
      </c>
      <c r="Q21" s="416">
        <f t="shared" si="9"/>
        <v>1859.22</v>
      </c>
      <c r="R21" s="416">
        <f t="shared" si="10"/>
        <v>1905.2</v>
      </c>
      <c r="S21" s="417">
        <f t="shared" si="11"/>
        <v>1093.8399999999999</v>
      </c>
      <c r="U21" s="488">
        <f t="shared" si="25"/>
        <v>110</v>
      </c>
      <c r="V21" s="415">
        <v>3479</v>
      </c>
      <c r="W21" s="416">
        <v>1243</v>
      </c>
      <c r="X21" s="416">
        <v>4330</v>
      </c>
      <c r="Y21" s="417">
        <v>5634</v>
      </c>
      <c r="AA21" s="415">
        <f t="shared" si="12"/>
        <v>3904.5</v>
      </c>
      <c r="AB21" s="416">
        <f t="shared" si="13"/>
        <v>1243</v>
      </c>
      <c r="AC21" s="416">
        <f t="shared" si="14"/>
        <v>1243</v>
      </c>
      <c r="AD21" s="416">
        <f t="shared" si="15"/>
        <v>5634</v>
      </c>
      <c r="AE21" s="416">
        <f t="shared" si="16"/>
        <v>4330</v>
      </c>
      <c r="AF21" s="417">
        <f t="shared" si="17"/>
        <v>1243</v>
      </c>
      <c r="AH21" s="415">
        <f t="shared" si="18"/>
        <v>1717.98</v>
      </c>
      <c r="AI21" s="416">
        <f t="shared" si="19"/>
        <v>820.38</v>
      </c>
      <c r="AJ21" s="416">
        <f t="shared" si="20"/>
        <v>820.38</v>
      </c>
      <c r="AK21" s="416">
        <f t="shared" si="21"/>
        <v>1859.22</v>
      </c>
      <c r="AL21" s="416">
        <f t="shared" si="22"/>
        <v>1905.2</v>
      </c>
      <c r="AM21" s="417">
        <f t="shared" si="23"/>
        <v>1093.8399999999999</v>
      </c>
      <c r="AP21" s="77"/>
      <c r="AQ21" s="77"/>
      <c r="AR21" s="77"/>
      <c r="AS21" s="77"/>
      <c r="AT21" s="77"/>
      <c r="AU21" s="107"/>
      <c r="AV21" s="107"/>
      <c r="BB21" s="22"/>
      <c r="BC21" s="22"/>
      <c r="BD21" s="22"/>
    </row>
    <row r="22" spans="1:56" ht="15.75">
      <c r="A22" s="489">
        <f t="shared" si="24"/>
        <v>120</v>
      </c>
      <c r="B22" s="431">
        <v>3892</v>
      </c>
      <c r="C22" s="432">
        <v>1874</v>
      </c>
      <c r="D22" s="432">
        <v>4330</v>
      </c>
      <c r="E22" s="433">
        <v>6379</v>
      </c>
      <c r="G22" s="431">
        <f t="shared" si="0"/>
        <v>4111</v>
      </c>
      <c r="H22" s="432">
        <f t="shared" si="1"/>
        <v>1874</v>
      </c>
      <c r="I22" s="432">
        <f t="shared" si="2"/>
        <v>1874</v>
      </c>
      <c r="J22" s="432">
        <f t="shared" si="3"/>
        <v>6379</v>
      </c>
      <c r="K22" s="432">
        <f t="shared" si="4"/>
        <v>4330</v>
      </c>
      <c r="L22" s="433">
        <f t="shared" si="5"/>
        <v>1874</v>
      </c>
      <c r="N22" s="571">
        <f t="shared" si="6"/>
        <v>1973.28</v>
      </c>
      <c r="O22" s="572">
        <f t="shared" si="7"/>
        <v>1349.28</v>
      </c>
      <c r="P22" s="572">
        <f t="shared" si="8"/>
        <v>1349.28</v>
      </c>
      <c r="Q22" s="572">
        <f t="shared" si="9"/>
        <v>2296.44</v>
      </c>
      <c r="R22" s="572">
        <f t="shared" si="10"/>
        <v>2078.4</v>
      </c>
      <c r="S22" s="573">
        <f t="shared" si="11"/>
        <v>1799.04</v>
      </c>
      <c r="U22" s="489">
        <f t="shared" si="25"/>
        <v>120</v>
      </c>
      <c r="V22" s="431">
        <v>3892</v>
      </c>
      <c r="W22" s="432">
        <v>1874</v>
      </c>
      <c r="X22" s="432">
        <v>4330</v>
      </c>
      <c r="Y22" s="433">
        <v>6379</v>
      </c>
      <c r="AA22" s="431">
        <f t="shared" si="12"/>
        <v>4111</v>
      </c>
      <c r="AB22" s="432">
        <f t="shared" si="13"/>
        <v>1874</v>
      </c>
      <c r="AC22" s="432">
        <f t="shared" si="14"/>
        <v>1874</v>
      </c>
      <c r="AD22" s="432">
        <f t="shared" si="15"/>
        <v>6379</v>
      </c>
      <c r="AE22" s="432">
        <f t="shared" si="16"/>
        <v>4330</v>
      </c>
      <c r="AF22" s="433">
        <f t="shared" si="17"/>
        <v>1874</v>
      </c>
      <c r="AH22" s="571">
        <f t="shared" si="18"/>
        <v>1973.28</v>
      </c>
      <c r="AI22" s="572">
        <f t="shared" si="19"/>
        <v>1349.28</v>
      </c>
      <c r="AJ22" s="572">
        <f t="shared" si="20"/>
        <v>1349.28</v>
      </c>
      <c r="AK22" s="572">
        <f t="shared" si="21"/>
        <v>2296.44</v>
      </c>
      <c r="AL22" s="572">
        <f t="shared" si="22"/>
        <v>2078.4</v>
      </c>
      <c r="AM22" s="573">
        <f t="shared" si="23"/>
        <v>1799.04</v>
      </c>
      <c r="AP22" s="77"/>
      <c r="AQ22" s="77"/>
      <c r="AR22" s="77"/>
      <c r="AS22" s="77"/>
      <c r="AT22" s="77"/>
      <c r="AU22" s="107"/>
      <c r="AV22" s="107"/>
      <c r="BB22" s="22"/>
      <c r="BC22" s="22"/>
      <c r="BD22" s="22"/>
    </row>
    <row r="23" spans="1:56" ht="15.75">
      <c r="A23" s="489">
        <f t="shared" si="24"/>
        <v>130</v>
      </c>
      <c r="B23" s="431">
        <v>3892</v>
      </c>
      <c r="C23" s="432">
        <v>1874</v>
      </c>
      <c r="D23" s="432">
        <v>4330</v>
      </c>
      <c r="E23" s="433">
        <v>6379</v>
      </c>
      <c r="G23" s="431">
        <f t="shared" si="0"/>
        <v>4111</v>
      </c>
      <c r="H23" s="432">
        <f t="shared" si="1"/>
        <v>1874</v>
      </c>
      <c r="I23" s="432">
        <f t="shared" si="2"/>
        <v>1874</v>
      </c>
      <c r="J23" s="432">
        <f t="shared" si="3"/>
        <v>6379</v>
      </c>
      <c r="K23" s="432">
        <f t="shared" si="4"/>
        <v>4330</v>
      </c>
      <c r="L23" s="433">
        <f t="shared" si="5"/>
        <v>1874</v>
      </c>
      <c r="N23" s="415">
        <f t="shared" si="6"/>
        <v>2137.7199999999998</v>
      </c>
      <c r="O23" s="416">
        <f t="shared" si="7"/>
        <v>1461.72</v>
      </c>
      <c r="P23" s="416">
        <f t="shared" si="8"/>
        <v>1461.72</v>
      </c>
      <c r="Q23" s="416">
        <f t="shared" si="9"/>
        <v>2487.81</v>
      </c>
      <c r="R23" s="416">
        <f t="shared" si="10"/>
        <v>2251.6</v>
      </c>
      <c r="S23" s="417">
        <f t="shared" si="11"/>
        <v>1948.96</v>
      </c>
      <c r="U23" s="489">
        <f t="shared" si="25"/>
        <v>130</v>
      </c>
      <c r="V23" s="431">
        <v>3892</v>
      </c>
      <c r="W23" s="432">
        <v>1874</v>
      </c>
      <c r="X23" s="432">
        <v>4330</v>
      </c>
      <c r="Y23" s="433">
        <v>6379</v>
      </c>
      <c r="AA23" s="431">
        <f t="shared" si="12"/>
        <v>4111</v>
      </c>
      <c r="AB23" s="432">
        <f t="shared" si="13"/>
        <v>1874</v>
      </c>
      <c r="AC23" s="432">
        <f t="shared" si="14"/>
        <v>1874</v>
      </c>
      <c r="AD23" s="432">
        <f t="shared" si="15"/>
        <v>6379</v>
      </c>
      <c r="AE23" s="432">
        <f t="shared" si="16"/>
        <v>4330</v>
      </c>
      <c r="AF23" s="433">
        <f t="shared" si="17"/>
        <v>1874</v>
      </c>
      <c r="AH23" s="431">
        <f t="shared" si="18"/>
        <v>2137.7199999999998</v>
      </c>
      <c r="AI23" s="432">
        <f t="shared" si="19"/>
        <v>1461.72</v>
      </c>
      <c r="AJ23" s="432">
        <f t="shared" si="20"/>
        <v>1461.72</v>
      </c>
      <c r="AK23" s="432">
        <f t="shared" si="21"/>
        <v>2487.81</v>
      </c>
      <c r="AL23" s="432">
        <f t="shared" si="22"/>
        <v>2251.6</v>
      </c>
      <c r="AM23" s="433">
        <f t="shared" si="23"/>
        <v>1948.96</v>
      </c>
      <c r="AP23" s="77"/>
      <c r="AQ23" s="77"/>
      <c r="AR23" s="77"/>
      <c r="AS23" s="77"/>
      <c r="AT23" s="77"/>
      <c r="AU23" s="107"/>
      <c r="AV23" s="107"/>
      <c r="BB23" s="22"/>
      <c r="BC23" s="22"/>
      <c r="BD23" s="22"/>
    </row>
    <row r="24" spans="1:56" ht="15.75">
      <c r="A24" s="489">
        <f t="shared" si="24"/>
        <v>140</v>
      </c>
      <c r="B24" s="431">
        <v>3892</v>
      </c>
      <c r="C24" s="432">
        <v>1874</v>
      </c>
      <c r="D24" s="432">
        <v>4330</v>
      </c>
      <c r="E24" s="433">
        <v>6379</v>
      </c>
      <c r="G24" s="431">
        <f t="shared" si="0"/>
        <v>4111</v>
      </c>
      <c r="H24" s="432">
        <f t="shared" si="1"/>
        <v>1874</v>
      </c>
      <c r="I24" s="432">
        <f t="shared" si="2"/>
        <v>1874</v>
      </c>
      <c r="J24" s="432">
        <f t="shared" si="3"/>
        <v>6379</v>
      </c>
      <c r="K24" s="432">
        <f t="shared" si="4"/>
        <v>4330</v>
      </c>
      <c r="L24" s="433">
        <f t="shared" si="5"/>
        <v>1874</v>
      </c>
      <c r="N24" s="431">
        <f t="shared" si="6"/>
        <v>2302.16</v>
      </c>
      <c r="O24" s="432">
        <f t="shared" si="7"/>
        <v>1574.16</v>
      </c>
      <c r="P24" s="432">
        <f t="shared" si="8"/>
        <v>1574.16</v>
      </c>
      <c r="Q24" s="432">
        <f t="shared" si="9"/>
        <v>2679.18</v>
      </c>
      <c r="R24" s="432">
        <f t="shared" si="10"/>
        <v>2424.8000000000002</v>
      </c>
      <c r="S24" s="433">
        <f t="shared" si="11"/>
        <v>2098.88</v>
      </c>
      <c r="U24" s="489">
        <f t="shared" si="25"/>
        <v>140</v>
      </c>
      <c r="V24" s="431">
        <v>3892</v>
      </c>
      <c r="W24" s="432">
        <v>1874</v>
      </c>
      <c r="X24" s="432">
        <v>4330</v>
      </c>
      <c r="Y24" s="433">
        <v>6379</v>
      </c>
      <c r="AA24" s="431">
        <f t="shared" si="12"/>
        <v>4111</v>
      </c>
      <c r="AB24" s="432">
        <f t="shared" si="13"/>
        <v>1874</v>
      </c>
      <c r="AC24" s="432">
        <f t="shared" si="14"/>
        <v>1874</v>
      </c>
      <c r="AD24" s="432">
        <f t="shared" si="15"/>
        <v>6379</v>
      </c>
      <c r="AE24" s="432">
        <f t="shared" si="16"/>
        <v>4330</v>
      </c>
      <c r="AF24" s="433">
        <f t="shared" si="17"/>
        <v>1874</v>
      </c>
      <c r="AH24" s="431">
        <f t="shared" si="18"/>
        <v>2302.16</v>
      </c>
      <c r="AI24" s="432">
        <f t="shared" si="19"/>
        <v>1574.16</v>
      </c>
      <c r="AJ24" s="432">
        <f t="shared" si="20"/>
        <v>1574.16</v>
      </c>
      <c r="AK24" s="432">
        <f t="shared" si="21"/>
        <v>2679.18</v>
      </c>
      <c r="AL24" s="432">
        <f t="shared" si="22"/>
        <v>2424.8000000000002</v>
      </c>
      <c r="AM24" s="433">
        <f t="shared" si="23"/>
        <v>2098.88</v>
      </c>
      <c r="AP24" s="77"/>
      <c r="AQ24" s="77"/>
      <c r="AR24" s="77"/>
      <c r="AS24" s="77"/>
      <c r="AT24" s="77"/>
      <c r="AU24" s="107"/>
      <c r="AV24" s="107"/>
      <c r="BB24" s="22"/>
      <c r="BC24" s="22"/>
      <c r="BD24" s="22"/>
    </row>
    <row r="25" spans="1:56" ht="15.75">
      <c r="A25" s="489">
        <f t="shared" si="24"/>
        <v>150</v>
      </c>
      <c r="B25" s="431">
        <v>3892</v>
      </c>
      <c r="C25" s="432">
        <v>1874</v>
      </c>
      <c r="D25" s="432">
        <v>4330</v>
      </c>
      <c r="E25" s="433">
        <v>6379</v>
      </c>
      <c r="G25" s="431">
        <f t="shared" si="0"/>
        <v>4111</v>
      </c>
      <c r="H25" s="432">
        <f t="shared" si="1"/>
        <v>1874</v>
      </c>
      <c r="I25" s="432">
        <f t="shared" si="2"/>
        <v>1874</v>
      </c>
      <c r="J25" s="432">
        <f t="shared" si="3"/>
        <v>6379</v>
      </c>
      <c r="K25" s="432">
        <f t="shared" si="4"/>
        <v>4330</v>
      </c>
      <c r="L25" s="433">
        <f t="shared" si="5"/>
        <v>1874</v>
      </c>
      <c r="N25" s="431">
        <f t="shared" si="6"/>
        <v>2466.6</v>
      </c>
      <c r="O25" s="432">
        <f t="shared" si="7"/>
        <v>1686.6</v>
      </c>
      <c r="P25" s="432">
        <f t="shared" si="8"/>
        <v>1686.6</v>
      </c>
      <c r="Q25" s="432">
        <f t="shared" si="9"/>
        <v>2870.55</v>
      </c>
      <c r="R25" s="432">
        <f t="shared" si="10"/>
        <v>2598</v>
      </c>
      <c r="S25" s="433">
        <f t="shared" si="11"/>
        <v>2248.8000000000002</v>
      </c>
      <c r="U25" s="489">
        <f t="shared" si="25"/>
        <v>150</v>
      </c>
      <c r="V25" s="431">
        <v>3892</v>
      </c>
      <c r="W25" s="432">
        <v>1874</v>
      </c>
      <c r="X25" s="432">
        <v>4330</v>
      </c>
      <c r="Y25" s="433">
        <v>6379</v>
      </c>
      <c r="AA25" s="431">
        <f t="shared" si="12"/>
        <v>4111</v>
      </c>
      <c r="AB25" s="432">
        <f t="shared" si="13"/>
        <v>1874</v>
      </c>
      <c r="AC25" s="432">
        <f t="shared" si="14"/>
        <v>1874</v>
      </c>
      <c r="AD25" s="432">
        <f t="shared" si="15"/>
        <v>6379</v>
      </c>
      <c r="AE25" s="432">
        <f t="shared" si="16"/>
        <v>4330</v>
      </c>
      <c r="AF25" s="433">
        <f t="shared" si="17"/>
        <v>1874</v>
      </c>
      <c r="AH25" s="431">
        <f t="shared" si="18"/>
        <v>2466.6</v>
      </c>
      <c r="AI25" s="432">
        <f t="shared" si="19"/>
        <v>1686.6</v>
      </c>
      <c r="AJ25" s="432">
        <f t="shared" si="20"/>
        <v>1686.6</v>
      </c>
      <c r="AK25" s="432">
        <f t="shared" si="21"/>
        <v>2870.55</v>
      </c>
      <c r="AL25" s="432">
        <f t="shared" si="22"/>
        <v>2598</v>
      </c>
      <c r="AM25" s="433">
        <f t="shared" si="23"/>
        <v>2248.8000000000002</v>
      </c>
      <c r="AP25" s="77"/>
      <c r="AQ25" s="77"/>
      <c r="AR25" s="77"/>
      <c r="AS25" s="77"/>
      <c r="AT25" s="77"/>
      <c r="AU25" s="107"/>
      <c r="AV25" s="107"/>
      <c r="BB25" s="22"/>
      <c r="BC25" s="22"/>
      <c r="BD25" s="22"/>
    </row>
    <row r="26" spans="1:56" ht="15.75">
      <c r="A26" s="489">
        <f t="shared" si="24"/>
        <v>160</v>
      </c>
      <c r="B26" s="431">
        <v>5022</v>
      </c>
      <c r="C26" s="432">
        <v>1874</v>
      </c>
      <c r="D26" s="432">
        <v>6112</v>
      </c>
      <c r="E26" s="433">
        <v>7118</v>
      </c>
      <c r="G26" s="431">
        <f t="shared" si="0"/>
        <v>5567</v>
      </c>
      <c r="H26" s="432">
        <f t="shared" si="1"/>
        <v>1874</v>
      </c>
      <c r="I26" s="432">
        <f t="shared" si="2"/>
        <v>1874</v>
      </c>
      <c r="J26" s="432">
        <f t="shared" si="3"/>
        <v>7118</v>
      </c>
      <c r="K26" s="432">
        <f t="shared" si="4"/>
        <v>6112</v>
      </c>
      <c r="L26" s="433">
        <f t="shared" si="5"/>
        <v>1874</v>
      </c>
      <c r="N26" s="431">
        <f t="shared" si="6"/>
        <v>3562.88</v>
      </c>
      <c r="O26" s="432">
        <f t="shared" si="7"/>
        <v>1799.04</v>
      </c>
      <c r="P26" s="432">
        <f t="shared" si="8"/>
        <v>1799.04</v>
      </c>
      <c r="Q26" s="432">
        <f t="shared" si="9"/>
        <v>3416.64</v>
      </c>
      <c r="R26" s="432">
        <f t="shared" si="10"/>
        <v>3911.68</v>
      </c>
      <c r="S26" s="433">
        <f t="shared" si="11"/>
        <v>2398.7199999999998</v>
      </c>
      <c r="U26" s="489">
        <f t="shared" si="25"/>
        <v>160</v>
      </c>
      <c r="V26" s="431">
        <v>5022</v>
      </c>
      <c r="W26" s="432">
        <v>1874</v>
      </c>
      <c r="X26" s="432">
        <v>6112</v>
      </c>
      <c r="Y26" s="433">
        <v>7118</v>
      </c>
      <c r="AA26" s="431">
        <f t="shared" si="12"/>
        <v>5567</v>
      </c>
      <c r="AB26" s="432">
        <f t="shared" si="13"/>
        <v>1874</v>
      </c>
      <c r="AC26" s="432">
        <f t="shared" si="14"/>
        <v>1874</v>
      </c>
      <c r="AD26" s="432">
        <f t="shared" si="15"/>
        <v>7118</v>
      </c>
      <c r="AE26" s="432">
        <f t="shared" si="16"/>
        <v>6112</v>
      </c>
      <c r="AF26" s="433">
        <f t="shared" si="17"/>
        <v>1874</v>
      </c>
      <c r="AH26" s="431">
        <f t="shared" si="18"/>
        <v>3562.88</v>
      </c>
      <c r="AI26" s="432">
        <f t="shared" si="19"/>
        <v>1799.04</v>
      </c>
      <c r="AJ26" s="432">
        <f t="shared" si="20"/>
        <v>1799.04</v>
      </c>
      <c r="AK26" s="432">
        <f t="shared" si="21"/>
        <v>3416.64</v>
      </c>
      <c r="AL26" s="432">
        <f t="shared" si="22"/>
        <v>3911.68</v>
      </c>
      <c r="AM26" s="433">
        <f t="shared" si="23"/>
        <v>2398.7199999999998</v>
      </c>
      <c r="AP26" s="77"/>
      <c r="AQ26" s="77"/>
      <c r="AR26" s="77"/>
      <c r="AS26" s="77"/>
      <c r="AT26" s="77"/>
      <c r="AU26" s="107"/>
      <c r="AV26" s="107"/>
      <c r="BB26" s="22"/>
      <c r="BC26" s="22"/>
      <c r="BD26" s="22"/>
    </row>
    <row r="27" spans="1:56" ht="15.75">
      <c r="A27" s="489">
        <f t="shared" si="24"/>
        <v>170</v>
      </c>
      <c r="B27" s="431">
        <v>5022</v>
      </c>
      <c r="C27" s="432">
        <v>1874</v>
      </c>
      <c r="D27" s="432">
        <v>6112</v>
      </c>
      <c r="E27" s="433">
        <v>7118</v>
      </c>
      <c r="G27" s="431">
        <f t="shared" si="0"/>
        <v>5567</v>
      </c>
      <c r="H27" s="432">
        <f t="shared" si="1"/>
        <v>1874</v>
      </c>
      <c r="I27" s="432">
        <f t="shared" si="2"/>
        <v>1874</v>
      </c>
      <c r="J27" s="432">
        <f t="shared" si="3"/>
        <v>7118</v>
      </c>
      <c r="K27" s="432">
        <f t="shared" si="4"/>
        <v>6112</v>
      </c>
      <c r="L27" s="433">
        <f t="shared" si="5"/>
        <v>1874</v>
      </c>
      <c r="N27" s="431">
        <f t="shared" si="6"/>
        <v>3785.56</v>
      </c>
      <c r="O27" s="432">
        <f t="shared" si="7"/>
        <v>1911.48</v>
      </c>
      <c r="P27" s="432">
        <f t="shared" si="8"/>
        <v>1911.48</v>
      </c>
      <c r="Q27" s="432">
        <f t="shared" si="9"/>
        <v>3630.18</v>
      </c>
      <c r="R27" s="432">
        <f t="shared" si="10"/>
        <v>4156.16</v>
      </c>
      <c r="S27" s="433">
        <f t="shared" si="11"/>
        <v>2548.64</v>
      </c>
      <c r="U27" s="489">
        <f t="shared" si="25"/>
        <v>170</v>
      </c>
      <c r="V27" s="431">
        <v>5022</v>
      </c>
      <c r="W27" s="432">
        <v>1874</v>
      </c>
      <c r="X27" s="432">
        <v>6112</v>
      </c>
      <c r="Y27" s="433">
        <v>7118</v>
      </c>
      <c r="AA27" s="431">
        <f t="shared" si="12"/>
        <v>5567</v>
      </c>
      <c r="AB27" s="432">
        <f t="shared" si="13"/>
        <v>1874</v>
      </c>
      <c r="AC27" s="432">
        <f t="shared" si="14"/>
        <v>1874</v>
      </c>
      <c r="AD27" s="432">
        <f t="shared" si="15"/>
        <v>7118</v>
      </c>
      <c r="AE27" s="432">
        <f t="shared" si="16"/>
        <v>6112</v>
      </c>
      <c r="AF27" s="433">
        <f t="shared" si="17"/>
        <v>1874</v>
      </c>
      <c r="AH27" s="431">
        <f t="shared" si="18"/>
        <v>3785.56</v>
      </c>
      <c r="AI27" s="432">
        <f t="shared" si="19"/>
        <v>1911.48</v>
      </c>
      <c r="AJ27" s="432">
        <f t="shared" si="20"/>
        <v>1911.48</v>
      </c>
      <c r="AK27" s="432">
        <f t="shared" si="21"/>
        <v>3630.18</v>
      </c>
      <c r="AL27" s="432">
        <f t="shared" si="22"/>
        <v>4156.16</v>
      </c>
      <c r="AM27" s="433">
        <f t="shared" si="23"/>
        <v>2548.64</v>
      </c>
      <c r="AP27" s="77"/>
      <c r="AQ27" s="77"/>
      <c r="AR27" s="77"/>
      <c r="AS27" s="77"/>
      <c r="AT27" s="77"/>
      <c r="AU27" s="107"/>
      <c r="AV27" s="107"/>
      <c r="BB27" s="22"/>
      <c r="BC27" s="22"/>
      <c r="BD27" s="22"/>
    </row>
    <row r="28" spans="1:56" ht="15.75">
      <c r="A28" s="489">
        <f t="shared" si="24"/>
        <v>180</v>
      </c>
      <c r="B28" s="431">
        <v>5022</v>
      </c>
      <c r="C28" s="432">
        <v>2580</v>
      </c>
      <c r="D28" s="432">
        <v>6112</v>
      </c>
      <c r="E28" s="433">
        <v>7118</v>
      </c>
      <c r="G28" s="431">
        <f t="shared" si="0"/>
        <v>5567</v>
      </c>
      <c r="H28" s="432">
        <f t="shared" si="1"/>
        <v>2580</v>
      </c>
      <c r="I28" s="432">
        <f t="shared" si="2"/>
        <v>2580</v>
      </c>
      <c r="J28" s="432">
        <f t="shared" si="3"/>
        <v>7118</v>
      </c>
      <c r="K28" s="432">
        <f t="shared" si="4"/>
        <v>6112</v>
      </c>
      <c r="L28" s="433">
        <f t="shared" si="5"/>
        <v>2580</v>
      </c>
      <c r="N28" s="431">
        <f t="shared" si="6"/>
        <v>4008.24</v>
      </c>
      <c r="O28" s="432">
        <f t="shared" si="7"/>
        <v>2786.4</v>
      </c>
      <c r="P28" s="432">
        <f t="shared" si="8"/>
        <v>2786.4</v>
      </c>
      <c r="Q28" s="432">
        <f t="shared" si="9"/>
        <v>3843.72</v>
      </c>
      <c r="R28" s="432">
        <f t="shared" si="10"/>
        <v>4400.6400000000003</v>
      </c>
      <c r="S28" s="433">
        <f t="shared" si="11"/>
        <v>3715.2</v>
      </c>
      <c r="U28" s="489">
        <f t="shared" si="25"/>
        <v>180</v>
      </c>
      <c r="V28" s="431">
        <v>5022</v>
      </c>
      <c r="W28" s="432">
        <v>2580</v>
      </c>
      <c r="X28" s="432">
        <v>6112</v>
      </c>
      <c r="Y28" s="433">
        <v>7118</v>
      </c>
      <c r="AA28" s="431">
        <f t="shared" si="12"/>
        <v>5567</v>
      </c>
      <c r="AB28" s="432">
        <f t="shared" si="13"/>
        <v>2580</v>
      </c>
      <c r="AC28" s="432">
        <f t="shared" si="14"/>
        <v>2580</v>
      </c>
      <c r="AD28" s="432">
        <f t="shared" si="15"/>
        <v>7118</v>
      </c>
      <c r="AE28" s="432">
        <f t="shared" si="16"/>
        <v>6112</v>
      </c>
      <c r="AF28" s="433">
        <f t="shared" si="17"/>
        <v>2580</v>
      </c>
      <c r="AH28" s="431">
        <f t="shared" si="18"/>
        <v>4008.24</v>
      </c>
      <c r="AI28" s="432">
        <f t="shared" si="19"/>
        <v>2786.4</v>
      </c>
      <c r="AJ28" s="432">
        <f t="shared" si="20"/>
        <v>2786.4</v>
      </c>
      <c r="AK28" s="432">
        <f t="shared" si="21"/>
        <v>3843.72</v>
      </c>
      <c r="AL28" s="432">
        <f t="shared" si="22"/>
        <v>4400.6400000000003</v>
      </c>
      <c r="AM28" s="433">
        <f t="shared" si="23"/>
        <v>3715.2</v>
      </c>
      <c r="AP28" s="77"/>
      <c r="AQ28" s="77"/>
      <c r="AR28" s="77"/>
      <c r="AS28" s="77"/>
      <c r="AT28" s="77"/>
      <c r="AU28" s="107"/>
      <c r="AV28" s="107"/>
      <c r="BB28" s="22"/>
      <c r="BC28" s="22"/>
      <c r="BD28" s="22"/>
    </row>
    <row r="29" spans="1:56" ht="15.75">
      <c r="A29" s="489">
        <f t="shared" si="24"/>
        <v>190</v>
      </c>
      <c r="B29" s="431">
        <v>5022</v>
      </c>
      <c r="C29" s="432">
        <v>2580</v>
      </c>
      <c r="D29" s="432">
        <v>6112</v>
      </c>
      <c r="E29" s="433">
        <v>7118</v>
      </c>
      <c r="G29" s="431">
        <f t="shared" si="0"/>
        <v>5567</v>
      </c>
      <c r="H29" s="432">
        <f t="shared" si="1"/>
        <v>2580</v>
      </c>
      <c r="I29" s="432">
        <f t="shared" si="2"/>
        <v>2580</v>
      </c>
      <c r="J29" s="432">
        <f t="shared" si="3"/>
        <v>7118</v>
      </c>
      <c r="K29" s="432">
        <f t="shared" si="4"/>
        <v>6112</v>
      </c>
      <c r="L29" s="433">
        <f t="shared" si="5"/>
        <v>2580</v>
      </c>
      <c r="N29" s="431">
        <f t="shared" si="6"/>
        <v>4230.92</v>
      </c>
      <c r="O29" s="432">
        <f t="shared" si="7"/>
        <v>2941.2</v>
      </c>
      <c r="P29" s="432">
        <f t="shared" si="8"/>
        <v>2941.2</v>
      </c>
      <c r="Q29" s="432">
        <f t="shared" si="9"/>
        <v>4057.26</v>
      </c>
      <c r="R29" s="432">
        <f t="shared" si="10"/>
        <v>4645.12</v>
      </c>
      <c r="S29" s="433">
        <f t="shared" si="11"/>
        <v>3921.6</v>
      </c>
      <c r="U29" s="489">
        <f t="shared" si="25"/>
        <v>190</v>
      </c>
      <c r="V29" s="431">
        <v>5022</v>
      </c>
      <c r="W29" s="432">
        <v>2580</v>
      </c>
      <c r="X29" s="432">
        <v>6112</v>
      </c>
      <c r="Y29" s="433">
        <v>7118</v>
      </c>
      <c r="AA29" s="431">
        <f t="shared" si="12"/>
        <v>5567</v>
      </c>
      <c r="AB29" s="432">
        <f t="shared" si="13"/>
        <v>2580</v>
      </c>
      <c r="AC29" s="432">
        <f t="shared" si="14"/>
        <v>2580</v>
      </c>
      <c r="AD29" s="432">
        <f t="shared" si="15"/>
        <v>7118</v>
      </c>
      <c r="AE29" s="432">
        <f t="shared" si="16"/>
        <v>6112</v>
      </c>
      <c r="AF29" s="433">
        <f t="shared" si="17"/>
        <v>2580</v>
      </c>
      <c r="AH29" s="431">
        <f t="shared" si="18"/>
        <v>4230.92</v>
      </c>
      <c r="AI29" s="432">
        <f t="shared" si="19"/>
        <v>2941.2</v>
      </c>
      <c r="AJ29" s="432">
        <f t="shared" si="20"/>
        <v>2941.2</v>
      </c>
      <c r="AK29" s="432">
        <f t="shared" si="21"/>
        <v>4057.26</v>
      </c>
      <c r="AL29" s="432">
        <f t="shared" si="22"/>
        <v>4645.12</v>
      </c>
      <c r="AM29" s="433">
        <f t="shared" si="23"/>
        <v>3921.6</v>
      </c>
      <c r="AP29" s="77"/>
      <c r="AQ29" s="77"/>
      <c r="AR29" s="77"/>
      <c r="AS29" s="77"/>
      <c r="AT29" s="77"/>
      <c r="AU29" s="107"/>
      <c r="AV29" s="107"/>
      <c r="BB29" s="22"/>
      <c r="BC29" s="22"/>
      <c r="BD29" s="22"/>
    </row>
    <row r="30" spans="1:56" ht="15.75">
      <c r="A30" s="489">
        <f t="shared" si="24"/>
        <v>200</v>
      </c>
      <c r="B30" s="431">
        <v>5022</v>
      </c>
      <c r="C30" s="432">
        <v>2580</v>
      </c>
      <c r="D30" s="432">
        <v>6112</v>
      </c>
      <c r="E30" s="433">
        <v>7118</v>
      </c>
      <c r="G30" s="431">
        <f t="shared" si="0"/>
        <v>5567</v>
      </c>
      <c r="H30" s="432">
        <f t="shared" si="1"/>
        <v>2580</v>
      </c>
      <c r="I30" s="432">
        <f t="shared" si="2"/>
        <v>2580</v>
      </c>
      <c r="J30" s="432">
        <f t="shared" si="3"/>
        <v>7118</v>
      </c>
      <c r="K30" s="432">
        <f t="shared" si="4"/>
        <v>6112</v>
      </c>
      <c r="L30" s="433">
        <f t="shared" si="5"/>
        <v>2580</v>
      </c>
      <c r="N30" s="431">
        <f t="shared" si="6"/>
        <v>4453.6000000000004</v>
      </c>
      <c r="O30" s="432">
        <f t="shared" si="7"/>
        <v>3096</v>
      </c>
      <c r="P30" s="432">
        <f t="shared" si="8"/>
        <v>3096</v>
      </c>
      <c r="Q30" s="432">
        <f t="shared" si="9"/>
        <v>4270.8</v>
      </c>
      <c r="R30" s="432">
        <f t="shared" si="10"/>
        <v>4889.6000000000004</v>
      </c>
      <c r="S30" s="433">
        <f t="shared" si="11"/>
        <v>4128</v>
      </c>
      <c r="U30" s="489">
        <f t="shared" si="25"/>
        <v>200</v>
      </c>
      <c r="V30" s="431">
        <v>5022</v>
      </c>
      <c r="W30" s="432">
        <v>2580</v>
      </c>
      <c r="X30" s="432">
        <v>6112</v>
      </c>
      <c r="Y30" s="433">
        <v>7118</v>
      </c>
      <c r="AA30" s="431">
        <f t="shared" si="12"/>
        <v>5567</v>
      </c>
      <c r="AB30" s="432">
        <f t="shared" si="13"/>
        <v>2580</v>
      </c>
      <c r="AC30" s="432">
        <f t="shared" si="14"/>
        <v>2580</v>
      </c>
      <c r="AD30" s="432">
        <f t="shared" si="15"/>
        <v>7118</v>
      </c>
      <c r="AE30" s="432">
        <f t="shared" si="16"/>
        <v>6112</v>
      </c>
      <c r="AF30" s="433">
        <f t="shared" si="17"/>
        <v>2580</v>
      </c>
      <c r="AH30" s="431">
        <f t="shared" si="18"/>
        <v>4453.6000000000004</v>
      </c>
      <c r="AI30" s="432">
        <f t="shared" si="19"/>
        <v>3096</v>
      </c>
      <c r="AJ30" s="432">
        <f t="shared" si="20"/>
        <v>3096</v>
      </c>
      <c r="AK30" s="432">
        <f t="shared" si="21"/>
        <v>4270.8</v>
      </c>
      <c r="AL30" s="432">
        <f t="shared" si="22"/>
        <v>4889.6000000000004</v>
      </c>
      <c r="AM30" s="433">
        <f t="shared" si="23"/>
        <v>4128</v>
      </c>
      <c r="AP30" s="77"/>
      <c r="AQ30" s="77"/>
      <c r="AR30" s="77"/>
      <c r="AS30" s="77"/>
      <c r="AT30" s="77"/>
      <c r="AU30" s="107"/>
      <c r="AV30" s="107"/>
      <c r="BB30" s="22"/>
      <c r="BC30" s="22"/>
      <c r="BD30" s="22"/>
    </row>
    <row r="31" spans="1:56" ht="15.75">
      <c r="A31" s="489">
        <f t="shared" si="24"/>
        <v>210</v>
      </c>
      <c r="B31" s="431">
        <v>5022</v>
      </c>
      <c r="C31" s="432">
        <v>2580</v>
      </c>
      <c r="D31" s="432">
        <v>6112</v>
      </c>
      <c r="E31" s="433">
        <v>7118</v>
      </c>
      <c r="G31" s="431">
        <f t="shared" si="0"/>
        <v>5567</v>
      </c>
      <c r="H31" s="432">
        <f t="shared" si="1"/>
        <v>2580</v>
      </c>
      <c r="I31" s="432">
        <f t="shared" si="2"/>
        <v>2580</v>
      </c>
      <c r="J31" s="432">
        <f t="shared" si="3"/>
        <v>7118</v>
      </c>
      <c r="K31" s="432">
        <f t="shared" si="4"/>
        <v>6112</v>
      </c>
      <c r="L31" s="433">
        <f t="shared" si="5"/>
        <v>2580</v>
      </c>
      <c r="N31" s="431">
        <f t="shared" si="6"/>
        <v>4676.28</v>
      </c>
      <c r="O31" s="432">
        <f t="shared" si="7"/>
        <v>3250.8</v>
      </c>
      <c r="P31" s="432">
        <f t="shared" si="8"/>
        <v>3250.8</v>
      </c>
      <c r="Q31" s="432">
        <f t="shared" si="9"/>
        <v>4484.34</v>
      </c>
      <c r="R31" s="432">
        <f t="shared" si="10"/>
        <v>5134.08</v>
      </c>
      <c r="S31" s="433">
        <f t="shared" si="11"/>
        <v>4334.3999999999996</v>
      </c>
      <c r="U31" s="489">
        <f t="shared" si="25"/>
        <v>210</v>
      </c>
      <c r="V31" s="431">
        <v>5022</v>
      </c>
      <c r="W31" s="432">
        <v>2580</v>
      </c>
      <c r="X31" s="432">
        <v>6112</v>
      </c>
      <c r="Y31" s="433">
        <v>7118</v>
      </c>
      <c r="AA31" s="431">
        <f t="shared" si="12"/>
        <v>5567</v>
      </c>
      <c r="AB31" s="432">
        <f t="shared" si="13"/>
        <v>2580</v>
      </c>
      <c r="AC31" s="432">
        <f t="shared" si="14"/>
        <v>2580</v>
      </c>
      <c r="AD31" s="432">
        <f t="shared" si="15"/>
        <v>7118</v>
      </c>
      <c r="AE31" s="432">
        <f t="shared" si="16"/>
        <v>6112</v>
      </c>
      <c r="AF31" s="433">
        <f t="shared" si="17"/>
        <v>2580</v>
      </c>
      <c r="AH31" s="431">
        <f t="shared" si="18"/>
        <v>4676.28</v>
      </c>
      <c r="AI31" s="432">
        <f t="shared" si="19"/>
        <v>3250.8</v>
      </c>
      <c r="AJ31" s="432">
        <f t="shared" si="20"/>
        <v>3250.8</v>
      </c>
      <c r="AK31" s="432">
        <f t="shared" si="21"/>
        <v>4484.34</v>
      </c>
      <c r="AL31" s="432">
        <f t="shared" si="22"/>
        <v>5134.08</v>
      </c>
      <c r="AM31" s="433">
        <f t="shared" si="23"/>
        <v>4334.3999999999996</v>
      </c>
      <c r="AP31" s="77"/>
      <c r="AQ31" s="77"/>
      <c r="AR31" s="77"/>
      <c r="AS31" s="77"/>
      <c r="AT31" s="77"/>
      <c r="AU31" s="107"/>
      <c r="AV31" s="107"/>
      <c r="BB31" s="22"/>
      <c r="BC31" s="22"/>
      <c r="BD31" s="22"/>
    </row>
    <row r="32" spans="1:56" ht="15.75">
      <c r="A32" s="489">
        <f t="shared" si="24"/>
        <v>220</v>
      </c>
      <c r="B32" s="431">
        <v>5022</v>
      </c>
      <c r="C32" s="432">
        <v>2580</v>
      </c>
      <c r="D32" s="432">
        <v>6112</v>
      </c>
      <c r="E32" s="433">
        <v>7118</v>
      </c>
      <c r="G32" s="431">
        <f t="shared" si="0"/>
        <v>5567</v>
      </c>
      <c r="H32" s="432">
        <f t="shared" si="1"/>
        <v>2580</v>
      </c>
      <c r="I32" s="432">
        <f t="shared" si="2"/>
        <v>2580</v>
      </c>
      <c r="J32" s="432">
        <f t="shared" si="3"/>
        <v>7118</v>
      </c>
      <c r="K32" s="432">
        <f t="shared" si="4"/>
        <v>6112</v>
      </c>
      <c r="L32" s="433">
        <f t="shared" si="5"/>
        <v>2580</v>
      </c>
      <c r="N32" s="431">
        <f t="shared" si="6"/>
        <v>4898.96</v>
      </c>
      <c r="O32" s="432">
        <f t="shared" si="7"/>
        <v>3405.6</v>
      </c>
      <c r="P32" s="432">
        <f t="shared" si="8"/>
        <v>3405.6</v>
      </c>
      <c r="Q32" s="432">
        <f t="shared" si="9"/>
        <v>4697.88</v>
      </c>
      <c r="R32" s="432">
        <f t="shared" si="10"/>
        <v>5378.56</v>
      </c>
      <c r="S32" s="433">
        <f t="shared" si="11"/>
        <v>4540.8</v>
      </c>
      <c r="U32" s="489">
        <f t="shared" si="25"/>
        <v>220</v>
      </c>
      <c r="V32" s="431">
        <v>5022</v>
      </c>
      <c r="W32" s="432">
        <v>2580</v>
      </c>
      <c r="X32" s="432">
        <v>6112</v>
      </c>
      <c r="Y32" s="433">
        <v>7118</v>
      </c>
      <c r="AA32" s="431">
        <f t="shared" si="12"/>
        <v>5567</v>
      </c>
      <c r="AB32" s="432">
        <f t="shared" si="13"/>
        <v>2580</v>
      </c>
      <c r="AC32" s="432">
        <f t="shared" si="14"/>
        <v>2580</v>
      </c>
      <c r="AD32" s="432">
        <f t="shared" si="15"/>
        <v>7118</v>
      </c>
      <c r="AE32" s="432">
        <f t="shared" si="16"/>
        <v>6112</v>
      </c>
      <c r="AF32" s="433">
        <f t="shared" si="17"/>
        <v>2580</v>
      </c>
      <c r="AH32" s="431">
        <f t="shared" si="18"/>
        <v>4898.96</v>
      </c>
      <c r="AI32" s="432">
        <f t="shared" si="19"/>
        <v>3405.6</v>
      </c>
      <c r="AJ32" s="432">
        <f t="shared" si="20"/>
        <v>3405.6</v>
      </c>
      <c r="AK32" s="432">
        <f t="shared" si="21"/>
        <v>4697.88</v>
      </c>
      <c r="AL32" s="432">
        <f t="shared" si="22"/>
        <v>5378.56</v>
      </c>
      <c r="AM32" s="433">
        <f t="shared" si="23"/>
        <v>4540.8</v>
      </c>
      <c r="AP32" s="77"/>
      <c r="AQ32" s="77"/>
      <c r="AR32" s="77"/>
      <c r="AS32" s="77"/>
      <c r="AT32" s="77"/>
      <c r="AU32" s="107"/>
      <c r="AV32" s="107"/>
      <c r="BB32" s="22"/>
      <c r="BC32" s="22"/>
      <c r="BD32" s="22"/>
    </row>
    <row r="33" spans="1:56" ht="15.75">
      <c r="A33" s="489">
        <f t="shared" si="24"/>
        <v>230</v>
      </c>
      <c r="B33" s="431">
        <v>5022</v>
      </c>
      <c r="C33" s="432">
        <v>2580</v>
      </c>
      <c r="D33" s="432">
        <v>6112</v>
      </c>
      <c r="E33" s="433">
        <v>7118</v>
      </c>
      <c r="G33" s="431">
        <f t="shared" si="0"/>
        <v>5567</v>
      </c>
      <c r="H33" s="432">
        <f t="shared" si="1"/>
        <v>2580</v>
      </c>
      <c r="I33" s="432">
        <f t="shared" si="2"/>
        <v>2580</v>
      </c>
      <c r="J33" s="432">
        <f t="shared" si="3"/>
        <v>7118</v>
      </c>
      <c r="K33" s="432">
        <f t="shared" si="4"/>
        <v>6112</v>
      </c>
      <c r="L33" s="433">
        <f t="shared" si="5"/>
        <v>2580</v>
      </c>
      <c r="N33" s="431">
        <f t="shared" si="6"/>
        <v>5121.6400000000003</v>
      </c>
      <c r="O33" s="432">
        <f t="shared" si="7"/>
        <v>3560.4</v>
      </c>
      <c r="P33" s="432">
        <f t="shared" si="8"/>
        <v>3560.4</v>
      </c>
      <c r="Q33" s="432">
        <f t="shared" si="9"/>
        <v>4911.42</v>
      </c>
      <c r="R33" s="432">
        <f t="shared" si="10"/>
        <v>5623.04</v>
      </c>
      <c r="S33" s="433">
        <f t="shared" si="11"/>
        <v>4747.2</v>
      </c>
      <c r="U33" s="489">
        <f t="shared" si="25"/>
        <v>230</v>
      </c>
      <c r="V33" s="431">
        <v>5022</v>
      </c>
      <c r="W33" s="432">
        <v>2580</v>
      </c>
      <c r="X33" s="432">
        <v>6112</v>
      </c>
      <c r="Y33" s="433">
        <v>7118</v>
      </c>
      <c r="AA33" s="431">
        <f t="shared" si="12"/>
        <v>5567</v>
      </c>
      <c r="AB33" s="432">
        <f t="shared" si="13"/>
        <v>2580</v>
      </c>
      <c r="AC33" s="432">
        <f t="shared" si="14"/>
        <v>2580</v>
      </c>
      <c r="AD33" s="432">
        <f t="shared" si="15"/>
        <v>7118</v>
      </c>
      <c r="AE33" s="432">
        <f t="shared" si="16"/>
        <v>6112</v>
      </c>
      <c r="AF33" s="433">
        <f t="shared" si="17"/>
        <v>2580</v>
      </c>
      <c r="AH33" s="431">
        <f t="shared" si="18"/>
        <v>5121.6400000000003</v>
      </c>
      <c r="AI33" s="432">
        <f t="shared" si="19"/>
        <v>3560.4</v>
      </c>
      <c r="AJ33" s="432">
        <f t="shared" si="20"/>
        <v>3560.4</v>
      </c>
      <c r="AK33" s="432">
        <f t="shared" si="21"/>
        <v>4911.42</v>
      </c>
      <c r="AL33" s="432">
        <f t="shared" si="22"/>
        <v>5623.04</v>
      </c>
      <c r="AM33" s="433">
        <f t="shared" si="23"/>
        <v>4747.2</v>
      </c>
      <c r="AP33" s="77"/>
      <c r="AQ33" s="77"/>
      <c r="AR33" s="77"/>
      <c r="AS33" s="77"/>
      <c r="AT33" s="77"/>
      <c r="AU33" s="107"/>
      <c r="AV33" s="107"/>
      <c r="BB33" s="22"/>
      <c r="BC33" s="22"/>
      <c r="BD33" s="22"/>
    </row>
    <row r="34" spans="1:56" ht="15.75">
      <c r="A34" s="489">
        <f t="shared" si="24"/>
        <v>240</v>
      </c>
      <c r="B34" s="431">
        <v>5265</v>
      </c>
      <c r="C34" s="432">
        <v>3137</v>
      </c>
      <c r="D34" s="432">
        <v>6393</v>
      </c>
      <c r="E34" s="433">
        <v>9120</v>
      </c>
      <c r="G34" s="431">
        <f t="shared" si="0"/>
        <v>5829</v>
      </c>
      <c r="H34" s="432">
        <f t="shared" si="1"/>
        <v>3137</v>
      </c>
      <c r="I34" s="432">
        <f t="shared" si="2"/>
        <v>3137</v>
      </c>
      <c r="J34" s="432">
        <f t="shared" si="3"/>
        <v>9120</v>
      </c>
      <c r="K34" s="432">
        <f t="shared" si="4"/>
        <v>6393</v>
      </c>
      <c r="L34" s="433">
        <f t="shared" si="5"/>
        <v>3137</v>
      </c>
      <c r="N34" s="431">
        <f t="shared" si="6"/>
        <v>5595.84</v>
      </c>
      <c r="O34" s="432">
        <f t="shared" si="7"/>
        <v>4517.28</v>
      </c>
      <c r="P34" s="432">
        <f t="shared" si="8"/>
        <v>4517.28</v>
      </c>
      <c r="Q34" s="432">
        <f t="shared" si="9"/>
        <v>6566.4</v>
      </c>
      <c r="R34" s="432">
        <f t="shared" si="10"/>
        <v>6137.28</v>
      </c>
      <c r="S34" s="433">
        <f t="shared" si="11"/>
        <v>6023.04</v>
      </c>
      <c r="U34" s="489">
        <f t="shared" si="25"/>
        <v>240</v>
      </c>
      <c r="V34" s="431">
        <v>5265</v>
      </c>
      <c r="W34" s="432">
        <v>3137</v>
      </c>
      <c r="X34" s="432">
        <v>6393</v>
      </c>
      <c r="Y34" s="433">
        <v>9120</v>
      </c>
      <c r="AA34" s="431">
        <f t="shared" si="12"/>
        <v>5829</v>
      </c>
      <c r="AB34" s="432">
        <f t="shared" si="13"/>
        <v>3137</v>
      </c>
      <c r="AC34" s="432">
        <f t="shared" si="14"/>
        <v>3137</v>
      </c>
      <c r="AD34" s="432">
        <f t="shared" si="15"/>
        <v>9120</v>
      </c>
      <c r="AE34" s="432">
        <f t="shared" si="16"/>
        <v>6393</v>
      </c>
      <c r="AF34" s="433">
        <f t="shared" si="17"/>
        <v>3137</v>
      </c>
      <c r="AH34" s="431">
        <f t="shared" si="18"/>
        <v>5595.84</v>
      </c>
      <c r="AI34" s="432">
        <f t="shared" si="19"/>
        <v>4517.28</v>
      </c>
      <c r="AJ34" s="432">
        <f t="shared" si="20"/>
        <v>4517.28</v>
      </c>
      <c r="AK34" s="432">
        <f t="shared" si="21"/>
        <v>6566.4</v>
      </c>
      <c r="AL34" s="432">
        <f t="shared" si="22"/>
        <v>6137.28</v>
      </c>
      <c r="AM34" s="433">
        <f t="shared" si="23"/>
        <v>6023.04</v>
      </c>
      <c r="AP34" s="77"/>
      <c r="AQ34" s="77"/>
      <c r="AR34" s="77"/>
      <c r="AS34" s="77"/>
      <c r="AT34" s="77"/>
      <c r="AU34" s="107"/>
      <c r="AV34" s="107"/>
      <c r="BB34" s="22"/>
      <c r="BC34" s="22"/>
      <c r="BD34" s="22"/>
    </row>
    <row r="35" spans="1:56" ht="16.5" thickBot="1">
      <c r="A35" s="490">
        <f t="shared" si="24"/>
        <v>250</v>
      </c>
      <c r="B35" s="418">
        <v>5265</v>
      </c>
      <c r="C35" s="419">
        <v>3137</v>
      </c>
      <c r="D35" s="419">
        <v>6393</v>
      </c>
      <c r="E35" s="420">
        <v>9120</v>
      </c>
      <c r="G35" s="418">
        <f t="shared" si="0"/>
        <v>5829</v>
      </c>
      <c r="H35" s="419">
        <f t="shared" si="1"/>
        <v>3137</v>
      </c>
      <c r="I35" s="419">
        <f t="shared" si="2"/>
        <v>3137</v>
      </c>
      <c r="J35" s="419">
        <f t="shared" si="3"/>
        <v>9120</v>
      </c>
      <c r="K35" s="419">
        <f t="shared" si="4"/>
        <v>6393</v>
      </c>
      <c r="L35" s="420">
        <f t="shared" si="5"/>
        <v>3137</v>
      </c>
      <c r="N35" s="434">
        <f t="shared" si="6"/>
        <v>5829</v>
      </c>
      <c r="O35" s="435">
        <f t="shared" si="7"/>
        <v>4705.5</v>
      </c>
      <c r="P35" s="435">
        <f t="shared" si="8"/>
        <v>4705.5</v>
      </c>
      <c r="Q35" s="435">
        <f t="shared" si="9"/>
        <v>6840</v>
      </c>
      <c r="R35" s="435">
        <f t="shared" si="10"/>
        <v>6393</v>
      </c>
      <c r="S35" s="436">
        <f t="shared" si="11"/>
        <v>6274</v>
      </c>
      <c r="U35" s="490">
        <f t="shared" si="25"/>
        <v>250</v>
      </c>
      <c r="V35" s="418">
        <v>5265</v>
      </c>
      <c r="W35" s="419">
        <v>3137</v>
      </c>
      <c r="X35" s="419">
        <v>6393</v>
      </c>
      <c r="Y35" s="420">
        <v>9120</v>
      </c>
      <c r="AA35" s="418">
        <f t="shared" si="12"/>
        <v>5829</v>
      </c>
      <c r="AB35" s="419">
        <f t="shared" si="13"/>
        <v>3137</v>
      </c>
      <c r="AC35" s="419">
        <f t="shared" si="14"/>
        <v>3137</v>
      </c>
      <c r="AD35" s="419">
        <f t="shared" si="15"/>
        <v>9120</v>
      </c>
      <c r="AE35" s="419">
        <f t="shared" si="16"/>
        <v>6393</v>
      </c>
      <c r="AF35" s="420">
        <f t="shared" si="17"/>
        <v>3137</v>
      </c>
      <c r="AH35" s="418">
        <f t="shared" si="18"/>
        <v>5829</v>
      </c>
      <c r="AI35" s="419">
        <f t="shared" si="19"/>
        <v>4705.5</v>
      </c>
      <c r="AJ35" s="419">
        <f t="shared" si="20"/>
        <v>4705.5</v>
      </c>
      <c r="AK35" s="419">
        <f t="shared" si="21"/>
        <v>6840</v>
      </c>
      <c r="AL35" s="419">
        <f t="shared" si="22"/>
        <v>6393</v>
      </c>
      <c r="AM35" s="420">
        <f t="shared" si="23"/>
        <v>6274</v>
      </c>
      <c r="AP35" s="77"/>
      <c r="AQ35" s="77"/>
      <c r="AR35" s="77"/>
      <c r="AS35" s="77"/>
      <c r="AT35" s="77"/>
      <c r="AU35" s="107"/>
      <c r="AV35" s="107"/>
      <c r="BB35" s="22"/>
      <c r="BC35" s="22"/>
      <c r="BD35" s="22"/>
    </row>
    <row r="36" spans="1:56" ht="15.7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22"/>
      <c r="AX36" s="22"/>
      <c r="AY36" s="22"/>
      <c r="AZ36" s="22"/>
      <c r="BA36" s="22"/>
      <c r="BB36" s="22"/>
      <c r="BC36" s="22"/>
      <c r="BD36" s="22"/>
    </row>
    <row r="37" spans="1:56" ht="15.75">
      <c r="A37" s="400"/>
      <c r="B37" s="400"/>
      <c r="C37" s="400"/>
      <c r="D37" s="400"/>
      <c r="E37" s="400"/>
      <c r="F37" s="400"/>
      <c r="G37" s="77"/>
      <c r="H37" s="400"/>
      <c r="I37" s="400"/>
      <c r="J37" s="400"/>
      <c r="K37" s="400"/>
      <c r="L37" s="400"/>
      <c r="M37" s="400"/>
      <c r="N37" s="77"/>
      <c r="O37" s="400"/>
      <c r="P37" s="400"/>
      <c r="Q37" s="400"/>
      <c r="R37" s="400"/>
      <c r="S37" s="400"/>
      <c r="T37" s="400"/>
      <c r="U37" s="77"/>
      <c r="V37" s="77"/>
      <c r="W37" s="77"/>
      <c r="X37" s="77"/>
      <c r="Y37" s="77"/>
      <c r="Z37" s="77"/>
      <c r="AA37" s="77"/>
      <c r="AB37" s="400"/>
      <c r="AC37" s="400"/>
      <c r="AD37" s="400"/>
      <c r="AE37" s="400"/>
      <c r="AF37" s="400"/>
      <c r="AG37" s="400"/>
      <c r="AH37" s="77"/>
      <c r="AI37" s="400"/>
      <c r="AJ37" s="400"/>
      <c r="AK37" s="400"/>
      <c r="AL37" s="400"/>
      <c r="AM37" s="400"/>
      <c r="AN37" s="400"/>
      <c r="AO37" s="77"/>
      <c r="AP37" s="400"/>
      <c r="AQ37" s="400"/>
      <c r="AR37" s="400"/>
      <c r="AS37" s="400"/>
      <c r="AT37" s="400"/>
      <c r="AU37" s="77"/>
      <c r="AV37" s="77"/>
      <c r="AW37" s="22"/>
      <c r="AX37" s="22"/>
      <c r="AY37" s="22"/>
      <c r="AZ37" s="22"/>
      <c r="BA37" s="22"/>
      <c r="BB37" s="22"/>
      <c r="BC37" s="22"/>
      <c r="BD37" s="22"/>
    </row>
    <row r="68" spans="1:56" ht="15.75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107"/>
      <c r="AQ68" s="107"/>
      <c r="AR68" s="107"/>
      <c r="AS68" s="107"/>
      <c r="AT68" s="107"/>
      <c r="AU68" s="107"/>
      <c r="AV68" s="107"/>
      <c r="AZ68" s="22"/>
      <c r="BA68" s="22"/>
      <c r="BB68" s="22"/>
      <c r="BC68" s="22"/>
      <c r="BD68" s="22"/>
    </row>
    <row r="69" spans="1:56" ht="15.75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107"/>
      <c r="AQ69" s="107"/>
      <c r="AR69" s="107"/>
      <c r="AS69" s="107"/>
      <c r="AT69" s="107"/>
      <c r="AU69" s="107"/>
      <c r="AV69" s="107"/>
      <c r="AZ69" s="22"/>
      <c r="BA69" s="22"/>
      <c r="BB69" s="22"/>
      <c r="BC69" s="22"/>
      <c r="BD69" s="22"/>
    </row>
    <row r="70" spans="1:56" ht="15.75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107"/>
      <c r="AQ70" s="107"/>
      <c r="AR70" s="107"/>
      <c r="AS70" s="107"/>
      <c r="AT70" s="107"/>
      <c r="AU70" s="107"/>
      <c r="AV70" s="107"/>
      <c r="AZ70" s="22"/>
      <c r="BA70" s="22"/>
      <c r="BB70" s="22"/>
      <c r="BC70" s="22"/>
      <c r="BD70" s="22"/>
    </row>
    <row r="71" spans="1:56" ht="15.75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107"/>
      <c r="AQ71" s="107"/>
      <c r="AR71" s="107"/>
      <c r="AS71" s="107"/>
      <c r="AT71" s="107"/>
      <c r="AU71" s="107"/>
      <c r="AV71" s="107"/>
      <c r="AZ71" s="22"/>
      <c r="BA71" s="22"/>
      <c r="BB71" s="22"/>
      <c r="BC71" s="22"/>
      <c r="BD71" s="22"/>
    </row>
    <row r="72" spans="1:56" ht="15.75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107"/>
      <c r="AQ72" s="107"/>
      <c r="AR72" s="107"/>
      <c r="AS72" s="107"/>
      <c r="AT72" s="107"/>
      <c r="AU72" s="107"/>
      <c r="AV72" s="107"/>
      <c r="AZ72" s="22"/>
      <c r="BA72" s="22"/>
      <c r="BB72" s="22"/>
      <c r="BC72" s="22"/>
      <c r="BD72" s="22"/>
    </row>
    <row r="73" spans="1:56" ht="15.75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107"/>
      <c r="AQ73" s="107"/>
      <c r="AR73" s="107"/>
      <c r="AS73" s="107"/>
      <c r="AT73" s="107"/>
      <c r="AU73" s="107"/>
      <c r="AV73" s="107"/>
      <c r="AZ73" s="22"/>
      <c r="BA73" s="22"/>
      <c r="BB73" s="22"/>
      <c r="BC73" s="22"/>
      <c r="BD73" s="22"/>
    </row>
    <row r="74" spans="1:56" ht="15.75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107"/>
      <c r="AQ74" s="107"/>
      <c r="AR74" s="107"/>
      <c r="AS74" s="107"/>
      <c r="AT74" s="107"/>
      <c r="AU74" s="107"/>
      <c r="AV74" s="107"/>
      <c r="AZ74" s="22"/>
      <c r="BA74" s="22"/>
      <c r="BB74" s="22"/>
      <c r="BC74" s="22"/>
      <c r="BD74" s="22"/>
    </row>
    <row r="75" spans="1:56" ht="15.7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107"/>
      <c r="AQ75" s="107"/>
      <c r="AR75" s="107"/>
      <c r="AS75" s="107"/>
      <c r="AT75" s="107"/>
      <c r="AU75" s="107"/>
      <c r="AV75" s="107"/>
      <c r="AZ75" s="22"/>
      <c r="BA75" s="22"/>
      <c r="BB75" s="22"/>
      <c r="BC75" s="22"/>
      <c r="BD75" s="22"/>
    </row>
    <row r="76" spans="1:56" ht="15.75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10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107"/>
      <c r="AQ76" s="107"/>
      <c r="AR76" s="107"/>
      <c r="AS76" s="107"/>
      <c r="AT76" s="107"/>
      <c r="AU76" s="107"/>
      <c r="AV76" s="107"/>
      <c r="AZ76" s="22"/>
      <c r="BA76" s="22"/>
      <c r="BB76" s="22"/>
      <c r="BC76" s="22"/>
      <c r="BD76" s="22"/>
    </row>
    <row r="77" spans="1:56" ht="15.75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10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107"/>
      <c r="AQ77" s="107"/>
      <c r="AR77" s="107"/>
      <c r="AS77" s="107"/>
      <c r="AT77" s="107"/>
      <c r="AU77" s="107"/>
      <c r="AV77" s="107"/>
      <c r="AZ77" s="22"/>
      <c r="BA77" s="22"/>
      <c r="BB77" s="22"/>
      <c r="BC77" s="22"/>
      <c r="BD77" s="22"/>
    </row>
    <row r="78" spans="1:56" ht="15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</row>
    <row r="79" spans="1:56" ht="15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</row>
    <row r="80" spans="1:56" ht="15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</row>
    <row r="81" spans="1:48" ht="15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</row>
  </sheetData>
  <pageMargins left="0.75" right="0.75" top="0.42" bottom="1" header="0.21" footer="0.5"/>
  <pageSetup scale="37" fitToWidth="2" orientation="landscape" r:id="rId1"/>
  <headerFooter alignWithMargins="0">
    <oddHeader>&amp;L&amp;12Enron Generation Company</oddHeader>
  </headerFooter>
  <colBreaks count="1" manualBreakCount="1">
    <brk id="19" max="1048575" man="1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"/>
  <sheetViews>
    <sheetView topLeftCell="C1" zoomScale="75" workbookViewId="0">
      <selection activeCell="I21" sqref="I21"/>
    </sheetView>
  </sheetViews>
  <sheetFormatPr defaultRowHeight="12.75"/>
  <cols>
    <col min="1" max="1" width="21.85546875" customWidth="1"/>
    <col min="2" max="2" width="47.5703125" bestFit="1" customWidth="1"/>
    <col min="3" max="3" width="11.42578125" bestFit="1" customWidth="1"/>
    <col min="5" max="5" width="33.42578125" bestFit="1" customWidth="1"/>
    <col min="7" max="7" width="33.28515625" bestFit="1" customWidth="1"/>
    <col min="9" max="9" width="47.7109375" bestFit="1" customWidth="1"/>
    <col min="11" max="11" width="47.7109375" bestFit="1" customWidth="1"/>
    <col min="13" max="13" width="18" bestFit="1" customWidth="1"/>
    <col min="19" max="19" width="8.28515625" bestFit="1" customWidth="1"/>
  </cols>
  <sheetData>
    <row r="2" spans="1:16" ht="20.25">
      <c r="A2" s="65" t="s">
        <v>331</v>
      </c>
      <c r="B2" s="615"/>
    </row>
    <row r="3" spans="1:16" ht="20.25">
      <c r="A3" s="661"/>
      <c r="B3" s="615"/>
    </row>
    <row r="4" spans="1:16">
      <c r="B4" s="754" t="s">
        <v>332</v>
      </c>
      <c r="C4" s="754" t="s">
        <v>388</v>
      </c>
      <c r="D4" s="754"/>
      <c r="E4" s="754" t="s">
        <v>333</v>
      </c>
      <c r="F4" s="754"/>
      <c r="G4" s="754" t="s">
        <v>385</v>
      </c>
      <c r="H4" s="736"/>
      <c r="I4" s="754" t="s">
        <v>386</v>
      </c>
      <c r="J4" s="736"/>
      <c r="K4" s="754" t="s">
        <v>387</v>
      </c>
    </row>
    <row r="5" spans="1:16">
      <c r="G5" s="10"/>
      <c r="I5" s="723"/>
      <c r="M5" s="10"/>
    </row>
    <row r="6" spans="1:16">
      <c r="G6" s="10"/>
      <c r="I6" s="724"/>
      <c r="M6" s="10"/>
    </row>
    <row r="7" spans="1:16">
      <c r="B7" s="137" t="s">
        <v>48</v>
      </c>
      <c r="C7" s="737">
        <f>Assumptions!L44</f>
        <v>0.06</v>
      </c>
      <c r="D7" s="729"/>
      <c r="E7" s="230">
        <f>Assumptions!L9</f>
        <v>500</v>
      </c>
      <c r="F7" s="243"/>
      <c r="G7" s="231">
        <f>E7/$E$10*$G$10</f>
        <v>0.13995801259622115</v>
      </c>
      <c r="H7" s="744"/>
      <c r="I7" s="745">
        <v>0.15695479742911408</v>
      </c>
      <c r="K7" s="737">
        <f>I7/$I$10</f>
        <v>0.35112621442032294</v>
      </c>
      <c r="M7" s="610"/>
      <c r="N7" s="10"/>
      <c r="P7" s="10"/>
    </row>
    <row r="8" spans="1:16">
      <c r="B8" s="137" t="s">
        <v>49</v>
      </c>
      <c r="C8" s="737">
        <f>Assumptions!M44</f>
        <v>0.05</v>
      </c>
      <c r="D8" s="729"/>
      <c r="E8" s="230">
        <f>Assumptions!M9</f>
        <v>504</v>
      </c>
      <c r="F8" s="243"/>
      <c r="G8" s="231">
        <f>E8/$E$10*$G$10</f>
        <v>0.14107767669699089</v>
      </c>
      <c r="H8" s="744"/>
      <c r="I8" s="745">
        <v>0.15737945261526454</v>
      </c>
      <c r="K8" s="737">
        <f>I8/$I$10</f>
        <v>0.35207621767214647</v>
      </c>
      <c r="M8" s="610"/>
      <c r="N8" s="10"/>
      <c r="P8" s="10"/>
    </row>
    <row r="9" spans="1:16">
      <c r="B9" s="137" t="s">
        <v>50</v>
      </c>
      <c r="C9" s="737">
        <f>Assumptions!N44</f>
        <v>0.05</v>
      </c>
      <c r="D9" s="729"/>
      <c r="E9" s="740">
        <f>Assumptions!N9</f>
        <v>425</v>
      </c>
      <c r="F9" s="245"/>
      <c r="G9" s="751">
        <f>E9/$E$10*$G$10</f>
        <v>0.11896431070678798</v>
      </c>
      <c r="H9" s="744"/>
      <c r="I9" s="746">
        <v>0.13266967897935431</v>
      </c>
      <c r="K9" s="752">
        <f>I9/$I$10</f>
        <v>0.29679756790753042</v>
      </c>
      <c r="M9" s="610"/>
      <c r="N9" s="10"/>
      <c r="P9" s="10"/>
    </row>
    <row r="10" spans="1:16">
      <c r="B10" s="275" t="s">
        <v>334</v>
      </c>
      <c r="D10" s="729"/>
      <c r="E10" s="741">
        <f>SUM(E7:E9)</f>
        <v>1429</v>
      </c>
      <c r="F10" s="243"/>
      <c r="G10" s="231">
        <v>0.4</v>
      </c>
      <c r="H10" s="744"/>
      <c r="I10" s="745">
        <f>SUM(I7:I9)</f>
        <v>0.44700392902373298</v>
      </c>
      <c r="K10" s="737">
        <f>SUM(K7:K9)</f>
        <v>0.99999999999999989</v>
      </c>
      <c r="M10" s="10"/>
      <c r="N10" s="10"/>
      <c r="P10" s="10"/>
    </row>
    <row r="11" spans="1:16">
      <c r="B11" s="275"/>
      <c r="D11" s="729"/>
      <c r="E11" s="606"/>
      <c r="G11" s="610"/>
      <c r="H11" s="744"/>
      <c r="I11" s="745"/>
      <c r="K11" s="737"/>
      <c r="M11" s="10"/>
      <c r="N11" s="10"/>
      <c r="P11" s="10"/>
    </row>
    <row r="12" spans="1:16">
      <c r="B12" s="137" t="s">
        <v>51</v>
      </c>
      <c r="C12" s="737">
        <f>Assumptions!P44</f>
        <v>8.2500000000000004E-2</v>
      </c>
      <c r="D12" s="729"/>
      <c r="E12" s="230">
        <f>Assumptions!P9</f>
        <v>544</v>
      </c>
      <c r="F12" s="243"/>
      <c r="G12" s="231">
        <f>E12/$E$15*$G$15</f>
        <v>0.18867052023121386</v>
      </c>
      <c r="H12" s="744"/>
      <c r="I12" s="745">
        <v>0.16747838958292585</v>
      </c>
      <c r="K12" s="737">
        <f>I12/$I$15</f>
        <v>0.30285638248253216</v>
      </c>
      <c r="M12" s="610"/>
      <c r="N12" s="10"/>
      <c r="P12" s="10"/>
    </row>
    <row r="13" spans="1:16">
      <c r="B13" s="137" t="s">
        <v>53</v>
      </c>
      <c r="C13" s="737">
        <f>Assumptions!R44</f>
        <v>7.1800000000000003E-2</v>
      </c>
      <c r="D13" s="729"/>
      <c r="E13" s="230">
        <f>Assumptions!R9</f>
        <v>672</v>
      </c>
      <c r="F13" s="243"/>
      <c r="G13" s="231">
        <f>E13/$E$15*$G$15</f>
        <v>0.23306358381502887</v>
      </c>
      <c r="H13" s="744"/>
      <c r="I13" s="745">
        <v>0.22050575737973926</v>
      </c>
      <c r="K13" s="737">
        <f>I13/$I$15</f>
        <v>0.39874742146079856</v>
      </c>
      <c r="M13" s="610"/>
      <c r="N13" s="10"/>
      <c r="P13" s="10"/>
    </row>
    <row r="14" spans="1:16">
      <c r="B14" s="137" t="s">
        <v>52</v>
      </c>
      <c r="C14" s="737">
        <f>Assumptions!Q44</f>
        <v>4.4999999999999998E-2</v>
      </c>
      <c r="D14" s="729"/>
      <c r="E14" s="740">
        <f>Assumptions!Q9</f>
        <v>514</v>
      </c>
      <c r="F14" s="245"/>
      <c r="G14" s="751">
        <f>E14/$E$15*$G$15</f>
        <v>0.17826589595375722</v>
      </c>
      <c r="H14" s="744"/>
      <c r="I14" s="746">
        <v>0.16501192401360193</v>
      </c>
      <c r="K14" s="752">
        <f>I14/$I$15</f>
        <v>0.29839619605666912</v>
      </c>
      <c r="M14" s="610"/>
      <c r="N14" s="10"/>
      <c r="P14" s="10"/>
    </row>
    <row r="15" spans="1:16">
      <c r="B15" s="275" t="s">
        <v>334</v>
      </c>
      <c r="E15" s="741">
        <f>SUM(E12:E14)</f>
        <v>1730</v>
      </c>
      <c r="F15" s="243"/>
      <c r="G15" s="231">
        <v>0.6</v>
      </c>
      <c r="H15" s="744"/>
      <c r="I15" s="745">
        <f>SUM(I12:I14)</f>
        <v>0.55299607097626713</v>
      </c>
      <c r="K15" s="737">
        <f>SUM(K12:K14)</f>
        <v>0.99999999999999989</v>
      </c>
      <c r="M15" s="10"/>
      <c r="N15" s="10"/>
      <c r="P15" s="10"/>
    </row>
    <row r="16" spans="1:16">
      <c r="B16" s="275"/>
      <c r="E16" s="606"/>
      <c r="G16" s="747"/>
      <c r="H16" s="744"/>
      <c r="I16" s="745"/>
      <c r="M16" s="10"/>
      <c r="N16" s="10"/>
      <c r="P16" s="10"/>
    </row>
    <row r="17" spans="2:16" ht="13.5" thickBot="1">
      <c r="B17" s="137" t="s">
        <v>73</v>
      </c>
      <c r="C17" s="753">
        <f>SUMPRODUCT(C7:C9,I7:I9)+SUMPRODUCT(C12:C14,I12:I14)</f>
        <v>6.0994561526546531E-2</v>
      </c>
      <c r="D17" s="742"/>
      <c r="E17" s="742">
        <f>E15+E10</f>
        <v>3159</v>
      </c>
      <c r="F17" s="743"/>
      <c r="G17" s="750">
        <f>G15+G10</f>
        <v>1</v>
      </c>
      <c r="H17" s="748"/>
      <c r="I17" s="749">
        <f>I15+I10</f>
        <v>1</v>
      </c>
      <c r="J17" s="749"/>
      <c r="K17" s="749"/>
      <c r="M17" s="611"/>
      <c r="N17" s="10"/>
      <c r="P17" s="10"/>
    </row>
    <row r="18" spans="2:16" ht="13.5" thickTop="1">
      <c r="E18" s="10"/>
      <c r="M18" s="10"/>
      <c r="N18" s="10"/>
      <c r="P18" s="10"/>
    </row>
    <row r="19" spans="2:16">
      <c r="M19" s="10"/>
      <c r="N19" s="10"/>
      <c r="O19" s="10"/>
      <c r="P19" s="10"/>
    </row>
    <row r="20" spans="2:16">
      <c r="B20" s="275" t="s">
        <v>335</v>
      </c>
      <c r="D20" s="230"/>
      <c r="E20" s="230"/>
      <c r="F20" s="230"/>
      <c r="K20" s="612"/>
      <c r="L20" s="612"/>
      <c r="M20" s="612"/>
      <c r="N20" s="612"/>
      <c r="O20" s="725"/>
    </row>
    <row r="21" spans="2:16">
      <c r="B21" s="275"/>
      <c r="D21" s="230"/>
      <c r="E21" s="230"/>
      <c r="F21" s="230"/>
      <c r="H21" s="612"/>
      <c r="I21" s="836"/>
      <c r="J21" s="612"/>
    </row>
    <row r="22" spans="2:16">
      <c r="B22" t="s">
        <v>336</v>
      </c>
      <c r="C22" s="614">
        <v>3.47E-3</v>
      </c>
      <c r="I22" s="729"/>
    </row>
    <row r="23" spans="2:16">
      <c r="C23" s="232"/>
    </row>
    <row r="24" spans="2:16">
      <c r="B24" t="s">
        <v>337</v>
      </c>
      <c r="C24" s="614">
        <v>6.1700000000000001E-3</v>
      </c>
    </row>
  </sheetData>
  <pageMargins left="0.18" right="0.17" top="0.37" bottom="0.4" header="0.17" footer="0.21"/>
  <pageSetup scale="43" orientation="landscape" r:id="rId1"/>
  <headerFooter alignWithMargins="0">
    <oddHeader>&amp;LEnron Generation Company</oddHeader>
    <oddFooter>&amp;L&amp;T, &amp;D&amp;C&amp;F&amp;RPage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95"/>
  <sheetViews>
    <sheetView topLeftCell="A2" zoomScale="75" zoomScaleNormal="75" workbookViewId="0">
      <selection activeCell="C18" sqref="C18"/>
    </sheetView>
  </sheetViews>
  <sheetFormatPr defaultRowHeight="12.75"/>
  <cols>
    <col min="1" max="1" width="52.7109375" style="22" customWidth="1"/>
    <col min="2" max="2" width="19.28515625" style="22" customWidth="1"/>
    <col min="3" max="3" width="20.7109375" style="22" bestFit="1" customWidth="1"/>
    <col min="4" max="4" width="17.85546875" style="22" customWidth="1"/>
    <col min="5" max="5" width="20.140625" style="22" customWidth="1"/>
    <col min="6" max="6" width="20.28515625" style="22" customWidth="1"/>
    <col min="7" max="8" width="17.7109375" style="22" customWidth="1"/>
    <col min="9" max="9" width="12.140625" style="22" customWidth="1"/>
    <col min="10" max="10" width="14.140625" style="22" customWidth="1"/>
    <col min="11" max="11" width="40.140625" style="22" customWidth="1"/>
    <col min="12" max="13" width="14.42578125" style="22" customWidth="1"/>
    <col min="14" max="14" width="13.85546875" style="22" customWidth="1"/>
    <col min="15" max="15" width="5.140625" style="22" customWidth="1"/>
    <col min="16" max="17" width="14.42578125" style="22" customWidth="1"/>
    <col min="18" max="18" width="12.28515625" style="22" customWidth="1"/>
    <col min="19" max="19" width="9" style="22" customWidth="1"/>
    <col min="20" max="20" width="12" style="22" customWidth="1"/>
    <col min="21" max="21" width="11.42578125" style="22" customWidth="1"/>
    <col min="22" max="22" width="22.42578125" style="22" customWidth="1"/>
    <col min="23" max="23" width="19" style="22" customWidth="1"/>
    <col min="24" max="24" width="10.28515625" style="22" customWidth="1"/>
    <col min="25" max="36" width="12.85546875" style="22" customWidth="1"/>
    <col min="37" max="44" width="12" style="22" customWidth="1"/>
    <col min="45" max="45" width="9.140625" style="22"/>
    <col min="46" max="48" width="10" style="22" customWidth="1"/>
    <col min="49" max="49" width="12" style="22" customWidth="1"/>
    <col min="50" max="50" width="17.5703125" style="22" customWidth="1"/>
    <col min="51" max="51" width="22.42578125" style="22" customWidth="1"/>
    <col min="52" max="52" width="19" style="22" customWidth="1"/>
    <col min="53" max="53" width="10.28515625" style="22" customWidth="1"/>
    <col min="54" max="73" width="13.140625" style="22" customWidth="1"/>
    <col min="74" max="74" width="9.140625" style="22"/>
    <col min="75" max="84" width="10" style="22" customWidth="1"/>
    <col min="85" max="85" width="9.140625" style="22"/>
    <col min="86" max="91" width="10" style="22" customWidth="1"/>
    <col min="92" max="92" width="9.140625" style="22"/>
    <col min="93" max="98" width="10" style="22" customWidth="1"/>
    <col min="99" max="16384" width="9.140625" style="22"/>
  </cols>
  <sheetData>
    <row r="1" spans="1:49" ht="25.5" hidden="1">
      <c r="A1" s="776" t="s">
        <v>393</v>
      </c>
      <c r="T1" s="271"/>
      <c r="AW1" s="271"/>
    </row>
    <row r="2" spans="1:49" ht="20.25">
      <c r="A2" s="65" t="s">
        <v>37</v>
      </c>
      <c r="B2" s="66"/>
      <c r="C2" s="66"/>
      <c r="D2" s="7"/>
    </row>
    <row r="4" spans="1:49">
      <c r="C4" s="774"/>
      <c r="I4" s="235"/>
      <c r="S4" s="235"/>
    </row>
    <row r="5" spans="1:49" ht="13.5" thickBot="1">
      <c r="I5" s="235"/>
      <c r="S5" s="235"/>
    </row>
    <row r="6" spans="1:49" ht="15.75">
      <c r="A6" s="331" t="s">
        <v>38</v>
      </c>
      <c r="B6" s="333"/>
      <c r="C6" s="333"/>
      <c r="D6" s="333"/>
      <c r="E6" s="67"/>
      <c r="F6" s="67"/>
      <c r="G6" s="68"/>
      <c r="I6" s="235"/>
      <c r="J6" s="330" t="s">
        <v>39</v>
      </c>
      <c r="K6" s="368"/>
      <c r="L6" s="389" t="s">
        <v>40</v>
      </c>
      <c r="M6" s="389"/>
      <c r="N6" s="389"/>
      <c r="O6" s="67"/>
      <c r="P6" s="389" t="s">
        <v>41</v>
      </c>
      <c r="Q6" s="389"/>
      <c r="R6" s="390"/>
      <c r="S6" s="235"/>
      <c r="T6" s="662"/>
    </row>
    <row r="7" spans="1:49" ht="15.75">
      <c r="A7" s="336" t="s">
        <v>42</v>
      </c>
      <c r="B7" s="337" t="s">
        <v>43</v>
      </c>
      <c r="C7" s="437" t="s">
        <v>44</v>
      </c>
      <c r="D7" s="338"/>
      <c r="E7" s="339" t="s">
        <v>45</v>
      </c>
      <c r="F7" s="337" t="s">
        <v>43</v>
      </c>
      <c r="G7" s="438" t="s">
        <v>44</v>
      </c>
      <c r="I7" s="235"/>
      <c r="J7" s="351"/>
      <c r="K7" s="338"/>
      <c r="L7" s="338"/>
      <c r="M7" s="338"/>
      <c r="N7" s="338"/>
      <c r="O7" s="23"/>
      <c r="P7" s="338"/>
      <c r="Q7" s="338"/>
      <c r="R7" s="352"/>
      <c r="S7" s="235"/>
    </row>
    <row r="8" spans="1:49" ht="15.75">
      <c r="A8" s="340" t="s">
        <v>46</v>
      </c>
      <c r="B8" s="608">
        <f>C8/$C$11</f>
        <v>0.4331983805668016</v>
      </c>
      <c r="C8" s="559">
        <f>IRR!B62</f>
        <v>535000</v>
      </c>
      <c r="D8" s="705">
        <f ca="1">IRR!B60</f>
        <v>0.13196115254562821</v>
      </c>
      <c r="E8" s="342" t="s">
        <v>47</v>
      </c>
      <c r="F8" s="791">
        <f>G8/G14</f>
        <v>0.3936842105263158</v>
      </c>
      <c r="G8" s="565">
        <f>(G14-G11)*Allocation!G10</f>
        <v>486200</v>
      </c>
      <c r="H8" s="135"/>
      <c r="I8" s="235"/>
      <c r="J8" s="351"/>
      <c r="K8" s="338"/>
      <c r="L8" s="391" t="s">
        <v>48</v>
      </c>
      <c r="M8" s="391" t="s">
        <v>49</v>
      </c>
      <c r="N8" s="391" t="s">
        <v>50</v>
      </c>
      <c r="O8" s="23"/>
      <c r="P8" s="391" t="s">
        <v>51</v>
      </c>
      <c r="Q8" s="391" t="s">
        <v>52</v>
      </c>
      <c r="R8" s="392" t="s">
        <v>53</v>
      </c>
      <c r="S8" s="235"/>
    </row>
    <row r="9" spans="1:49" ht="15.75">
      <c r="A9" s="340" t="s">
        <v>54</v>
      </c>
      <c r="B9" s="609">
        <f>C9/C11</f>
        <v>0.5668016194331984</v>
      </c>
      <c r="C9" s="560">
        <f>Assumptions!B22+Assumptions!C22+Assumptions!D22</f>
        <v>700000</v>
      </c>
      <c r="D9" s="365"/>
      <c r="E9" s="342" t="s">
        <v>55</v>
      </c>
      <c r="F9" s="792">
        <f>G9/G14</f>
        <v>0.57593959943208473</v>
      </c>
      <c r="G9" s="565">
        <f>(G14-G11)*Allocation!G15-G12</f>
        <v>711285.40529862465</v>
      </c>
      <c r="H9" s="7"/>
      <c r="I9" s="235"/>
      <c r="J9" s="351" t="s">
        <v>56</v>
      </c>
      <c r="K9" s="338"/>
      <c r="L9" s="393">
        <v>500</v>
      </c>
      <c r="M9" s="393">
        <v>504</v>
      </c>
      <c r="N9" s="393">
        <v>425</v>
      </c>
      <c r="O9" s="520"/>
      <c r="P9" s="393">
        <v>544</v>
      </c>
      <c r="Q9" s="393">
        <v>514</v>
      </c>
      <c r="R9" s="394">
        <v>672</v>
      </c>
      <c r="S9" s="235"/>
      <c r="T9" s="675"/>
    </row>
    <row r="10" spans="1:49" ht="15.75">
      <c r="A10" s="346"/>
      <c r="B10" s="341"/>
      <c r="C10" s="560"/>
      <c r="D10" s="338"/>
      <c r="E10" s="338"/>
      <c r="F10" s="792"/>
      <c r="G10" s="565"/>
      <c r="H10" s="253"/>
      <c r="I10" s="235"/>
      <c r="J10" s="351" t="s">
        <v>57</v>
      </c>
      <c r="K10" s="338"/>
      <c r="L10" s="395">
        <v>0.02</v>
      </c>
      <c r="M10" s="626">
        <f>L10</f>
        <v>0.02</v>
      </c>
      <c r="N10" s="626">
        <f>M10</f>
        <v>0.02</v>
      </c>
      <c r="O10" s="626"/>
      <c r="P10" s="626">
        <f>N10</f>
        <v>0.02</v>
      </c>
      <c r="Q10" s="626">
        <f>P10</f>
        <v>0.02</v>
      </c>
      <c r="R10" s="627">
        <f>Q10</f>
        <v>0.02</v>
      </c>
      <c r="S10" s="235"/>
      <c r="T10" s="675"/>
    </row>
    <row r="11" spans="1:49" ht="15.75">
      <c r="A11" s="347" t="s">
        <v>58</v>
      </c>
      <c r="B11" s="590">
        <f>C11/$C$11</f>
        <v>1</v>
      </c>
      <c r="C11" s="561">
        <f>SUM(C8:C9)</f>
        <v>1235000</v>
      </c>
      <c r="D11" s="338"/>
      <c r="E11" s="342" t="s">
        <v>59</v>
      </c>
      <c r="F11" s="792">
        <f>G11/$G$14</f>
        <v>1.5789473684210527E-2</v>
      </c>
      <c r="G11" s="565">
        <v>19500</v>
      </c>
      <c r="H11" s="7"/>
      <c r="I11" s="235"/>
      <c r="J11" s="351" t="s">
        <v>60</v>
      </c>
      <c r="K11" s="338"/>
      <c r="L11" s="393">
        <v>4</v>
      </c>
      <c r="M11" s="393">
        <v>6</v>
      </c>
      <c r="N11" s="393">
        <v>6</v>
      </c>
      <c r="O11" s="338"/>
      <c r="P11" s="393">
        <v>3</v>
      </c>
      <c r="Q11" s="393">
        <v>4</v>
      </c>
      <c r="R11" s="394">
        <v>8</v>
      </c>
      <c r="S11" s="235"/>
      <c r="T11" s="675"/>
    </row>
    <row r="12" spans="1:49" ht="15.75">
      <c r="A12" s="348"/>
      <c r="B12" s="349"/>
      <c r="C12" s="562"/>
      <c r="D12" s="338"/>
      <c r="E12" s="338" t="s">
        <v>381</v>
      </c>
      <c r="F12" s="792">
        <f>G12/$G$14</f>
        <v>1.4586716357388962E-2</v>
      </c>
      <c r="G12" s="790">
        <f>-(Debt!C104)</f>
        <v>18014.594701375368</v>
      </c>
      <c r="H12" s="269"/>
      <c r="I12" s="235"/>
      <c r="J12" s="351" t="s">
        <v>61</v>
      </c>
      <c r="K12" s="338"/>
      <c r="L12" s="393">
        <v>11411</v>
      </c>
      <c r="M12" s="393">
        <v>12064</v>
      </c>
      <c r="N12" s="393">
        <v>12228</v>
      </c>
      <c r="O12" s="338"/>
      <c r="P12" s="393">
        <v>10904</v>
      </c>
      <c r="Q12" s="393">
        <v>11735</v>
      </c>
      <c r="R12" s="394">
        <v>11973</v>
      </c>
      <c r="S12" s="235"/>
      <c r="T12" s="675"/>
    </row>
    <row r="13" spans="1:49" ht="15.75">
      <c r="A13" s="351" t="s">
        <v>62</v>
      </c>
      <c r="B13" s="425">
        <v>0.5</v>
      </c>
      <c r="C13" s="563">
        <f>B13*C8</f>
        <v>267500</v>
      </c>
      <c r="D13" s="338"/>
      <c r="E13" s="510"/>
      <c r="F13" s="23"/>
      <c r="G13" s="69"/>
      <c r="H13" s="7"/>
      <c r="I13" s="235"/>
      <c r="J13" s="351" t="s">
        <v>64</v>
      </c>
      <c r="K13" s="338"/>
      <c r="L13" s="393">
        <v>1258</v>
      </c>
      <c r="M13" s="393">
        <v>1500</v>
      </c>
      <c r="N13" s="393">
        <v>1068</v>
      </c>
      <c r="O13" s="338"/>
      <c r="P13" s="393">
        <v>3000</v>
      </c>
      <c r="Q13" s="393">
        <v>3000</v>
      </c>
      <c r="R13" s="394">
        <v>3000</v>
      </c>
      <c r="S13" s="235"/>
      <c r="T13" s="675"/>
    </row>
    <row r="14" spans="1:49" ht="16.5" thickBot="1">
      <c r="A14" s="353" t="s">
        <v>65</v>
      </c>
      <c r="B14" s="516">
        <f>1-B13</f>
        <v>0.5</v>
      </c>
      <c r="C14" s="564">
        <f>B14*C8</f>
        <v>267500</v>
      </c>
      <c r="D14" s="511"/>
      <c r="E14" s="788" t="s">
        <v>63</v>
      </c>
      <c r="F14" s="793">
        <f>SUM(F8:F12)</f>
        <v>1</v>
      </c>
      <c r="G14" s="789">
        <f>C11</f>
        <v>1235000</v>
      </c>
      <c r="H14" s="7"/>
      <c r="I14" s="235"/>
      <c r="J14" s="351" t="s">
        <v>66</v>
      </c>
      <c r="K14" s="338"/>
      <c r="L14" s="383">
        <f>IF(L19=120,1200,0)</f>
        <v>1200</v>
      </c>
      <c r="M14" s="383">
        <f>IF(M19=120,1200,0)</f>
        <v>1200</v>
      </c>
      <c r="N14" s="383">
        <f>IF(N19=120,1068,0)</f>
        <v>1068</v>
      </c>
      <c r="O14" s="383"/>
      <c r="P14" s="383">
        <f>IF(P19=120,1200,0)</f>
        <v>1200</v>
      </c>
      <c r="Q14" s="383">
        <f>IF(Q19=120,1200,0)</f>
        <v>1200</v>
      </c>
      <c r="R14" s="625">
        <f>IF(R19=120,1200,0)</f>
        <v>1200</v>
      </c>
      <c r="S14" s="235"/>
      <c r="T14" s="675"/>
    </row>
    <row r="15" spans="1:49" ht="15.75">
      <c r="A15" s="23"/>
      <c r="B15" s="23"/>
      <c r="C15" s="23"/>
      <c r="D15" s="338"/>
      <c r="E15" s="342"/>
      <c r="F15" s="343"/>
      <c r="G15" s="344"/>
      <c r="H15" s="7"/>
      <c r="I15" s="235"/>
      <c r="J15" s="351" t="s">
        <v>67</v>
      </c>
      <c r="K15" s="338"/>
      <c r="L15" s="23"/>
      <c r="M15" s="23"/>
      <c r="N15" s="23"/>
      <c r="O15" s="23"/>
      <c r="P15" s="23"/>
      <c r="Q15" s="23"/>
      <c r="R15" s="69"/>
      <c r="S15" s="235"/>
      <c r="T15" s="675"/>
    </row>
    <row r="16" spans="1:49" ht="16.5" thickBot="1">
      <c r="A16" s="23"/>
      <c r="B16" s="23"/>
      <c r="C16" s="23"/>
      <c r="D16" s="338"/>
      <c r="E16" s="342"/>
      <c r="F16" s="345"/>
      <c r="G16" s="350"/>
      <c r="H16" s="7"/>
      <c r="I16" s="235"/>
      <c r="J16" s="351" t="s">
        <v>430</v>
      </c>
      <c r="K16" s="23"/>
      <c r="L16" s="628">
        <f>L29*L14</f>
        <v>549600</v>
      </c>
      <c r="M16" s="628">
        <f>M29*M14</f>
        <v>530400</v>
      </c>
      <c r="N16" s="628">
        <f>N29*N14</f>
        <v>391956</v>
      </c>
      <c r="O16" s="628"/>
      <c r="P16" s="629">
        <v>0</v>
      </c>
      <c r="Q16" s="629">
        <v>0</v>
      </c>
      <c r="R16" s="630">
        <v>0</v>
      </c>
      <c r="S16" s="235"/>
      <c r="T16" s="675"/>
    </row>
    <row r="17" spans="1:31" ht="15.75">
      <c r="A17" s="332" t="s">
        <v>68</v>
      </c>
      <c r="B17" s="794" t="s">
        <v>396</v>
      </c>
      <c r="C17" s="808">
        <v>36526</v>
      </c>
      <c r="D17" s="286"/>
      <c r="E17" s="67"/>
      <c r="F17" s="67"/>
      <c r="G17" s="68"/>
      <c r="H17" s="7"/>
      <c r="J17" s="351" t="s">
        <v>411</v>
      </c>
      <c r="K17" s="23"/>
      <c r="L17" s="628">
        <f>L30*L14</f>
        <v>549600</v>
      </c>
      <c r="M17" s="628">
        <f>M30*M14</f>
        <v>548400</v>
      </c>
      <c r="N17" s="628">
        <f>N30*N14</f>
        <v>404772</v>
      </c>
      <c r="O17" s="628"/>
      <c r="P17" s="628">
        <f>P30*P14</f>
        <v>612000</v>
      </c>
      <c r="Q17" s="628">
        <f>Q30*Q14</f>
        <v>564000</v>
      </c>
      <c r="R17" s="631">
        <f>R30*R14</f>
        <v>729600</v>
      </c>
      <c r="T17" s="675"/>
    </row>
    <row r="18" spans="1:31" ht="15.75">
      <c r="A18" s="806"/>
      <c r="B18" s="807" t="s">
        <v>429</v>
      </c>
      <c r="C18" s="809">
        <v>36525</v>
      </c>
      <c r="D18" s="73"/>
      <c r="E18" s="23"/>
      <c r="F18" s="23"/>
      <c r="G18" s="69"/>
      <c r="H18" s="7"/>
      <c r="J18" s="351" t="s">
        <v>69</v>
      </c>
      <c r="K18" s="338"/>
      <c r="L18" s="393">
        <v>820</v>
      </c>
      <c r="M18" s="393">
        <v>787.8</v>
      </c>
      <c r="N18" s="393">
        <v>813.05</v>
      </c>
      <c r="O18" s="521"/>
      <c r="P18" s="393">
        <v>1000</v>
      </c>
      <c r="Q18" s="393">
        <v>1000</v>
      </c>
      <c r="R18" s="394">
        <v>1204</v>
      </c>
      <c r="S18" s="77"/>
      <c r="T18" s="675"/>
      <c r="U18" s="77"/>
      <c r="V18" s="77"/>
      <c r="W18" s="77"/>
      <c r="X18" s="77"/>
      <c r="Y18"/>
      <c r="Z18"/>
      <c r="AA18"/>
      <c r="AB18"/>
      <c r="AC18"/>
      <c r="AD18"/>
      <c r="AE18"/>
    </row>
    <row r="19" spans="1:31" ht="15.75">
      <c r="A19" s="283"/>
      <c r="B19" s="23"/>
      <c r="C19" s="23"/>
      <c r="D19" s="23"/>
      <c r="E19" s="142"/>
      <c r="F19" s="142"/>
      <c r="G19" s="270"/>
      <c r="H19" s="7"/>
      <c r="J19" s="351" t="s">
        <v>74</v>
      </c>
      <c r="K19" s="338"/>
      <c r="L19" s="383">
        <f>INDEX('Preset Scenarios'!D42:D43,'Preset Scenarios'!D40)</f>
        <v>120</v>
      </c>
      <c r="M19" s="622">
        <f>L19</f>
        <v>120</v>
      </c>
      <c r="N19" s="622">
        <f>L19</f>
        <v>120</v>
      </c>
      <c r="O19" s="623"/>
      <c r="P19" s="622">
        <f>L19</f>
        <v>120</v>
      </c>
      <c r="Q19" s="622">
        <f>L19</f>
        <v>120</v>
      </c>
      <c r="R19" s="624">
        <f>L19</f>
        <v>120</v>
      </c>
      <c r="T19" s="675"/>
      <c r="Y19"/>
      <c r="Z19"/>
      <c r="AA19"/>
      <c r="AB19"/>
      <c r="AC19"/>
      <c r="AD19"/>
      <c r="AE19"/>
    </row>
    <row r="20" spans="1:31" ht="16.5" thickBot="1">
      <c r="A20" s="70"/>
      <c r="B20" s="391" t="s">
        <v>70</v>
      </c>
      <c r="C20" s="391" t="s">
        <v>71</v>
      </c>
      <c r="D20" s="391" t="s">
        <v>72</v>
      </c>
      <c r="E20" s="391" t="s">
        <v>73</v>
      </c>
      <c r="F20" s="73"/>
      <c r="G20" s="525"/>
      <c r="H20" s="7"/>
      <c r="J20" s="353" t="s">
        <v>76</v>
      </c>
      <c r="K20" s="72"/>
      <c r="L20" s="632">
        <v>0</v>
      </c>
      <c r="M20" s="633">
        <v>15</v>
      </c>
      <c r="N20" s="633">
        <v>12</v>
      </c>
      <c r="O20" s="633"/>
      <c r="P20" s="632">
        <v>0</v>
      </c>
      <c r="Q20" s="632">
        <v>0</v>
      </c>
      <c r="R20" s="634">
        <v>0</v>
      </c>
      <c r="S20" s="289"/>
      <c r="T20" s="675"/>
      <c r="Y20"/>
      <c r="Z20"/>
      <c r="AA20"/>
      <c r="AB20"/>
      <c r="AC20"/>
      <c r="AD20"/>
      <c r="AE20"/>
    </row>
    <row r="21" spans="1:31" ht="16.5" thickBot="1">
      <c r="A21" s="355" t="s">
        <v>75</v>
      </c>
      <c r="B21" s="329"/>
      <c r="C21" s="329"/>
      <c r="D21" s="329"/>
      <c r="E21" s="23"/>
      <c r="F21" s="23"/>
      <c r="G21" s="69"/>
      <c r="H21" s="253"/>
      <c r="S21" s="235"/>
      <c r="T21" s="675"/>
      <c r="Y21"/>
      <c r="Z21"/>
      <c r="AA21"/>
      <c r="AB21"/>
      <c r="AC21"/>
      <c r="AD21"/>
      <c r="AE21"/>
    </row>
    <row r="22" spans="1:31" ht="15.75">
      <c r="A22" s="356" t="s">
        <v>77</v>
      </c>
      <c r="B22" s="357">
        <f>Debt!F10</f>
        <v>81000</v>
      </c>
      <c r="C22" s="357">
        <f>Debt!L10</f>
        <v>194000</v>
      </c>
      <c r="D22" s="357">
        <f>Debt!R10</f>
        <v>425000</v>
      </c>
      <c r="E22" s="357">
        <f>SUM(B22:D22)</f>
        <v>700000</v>
      </c>
      <c r="F22" s="287"/>
      <c r="G22" s="526"/>
      <c r="H22" s="253"/>
      <c r="J22" s="330" t="s">
        <v>79</v>
      </c>
      <c r="K22" s="368"/>
      <c r="L22" s="384"/>
      <c r="M22" s="384"/>
      <c r="N22" s="384"/>
      <c r="O22" s="67"/>
      <c r="P22" s="384"/>
      <c r="Q22" s="384"/>
      <c r="R22" s="385"/>
      <c r="S22" s="7"/>
      <c r="T22" s="675"/>
      <c r="Y22"/>
      <c r="Z22"/>
      <c r="AA22"/>
      <c r="AB22"/>
      <c r="AC22"/>
      <c r="AD22"/>
      <c r="AE22"/>
    </row>
    <row r="23" spans="1:31" ht="15.75">
      <c r="A23" s="356" t="s">
        <v>78</v>
      </c>
      <c r="B23" s="358">
        <f>Debt!F8</f>
        <v>3.33</v>
      </c>
      <c r="C23" s="358">
        <f>Debt!L8</f>
        <v>9.83</v>
      </c>
      <c r="D23" s="358">
        <f>Debt!R8</f>
        <v>19.829999999999998</v>
      </c>
      <c r="E23" s="358"/>
      <c r="F23" s="287"/>
      <c r="G23" s="526"/>
      <c r="H23" s="7"/>
      <c r="J23" s="70"/>
      <c r="K23" s="23"/>
      <c r="L23" s="23"/>
      <c r="M23" s="23"/>
      <c r="N23" s="23"/>
      <c r="O23" s="23"/>
      <c r="P23" s="23"/>
      <c r="Q23" s="23"/>
      <c r="R23" s="69"/>
      <c r="S23" s="7"/>
      <c r="T23" s="675"/>
      <c r="Y23"/>
      <c r="Z23"/>
      <c r="AA23"/>
      <c r="AB23"/>
      <c r="AC23"/>
      <c r="AD23"/>
      <c r="AE23"/>
    </row>
    <row r="24" spans="1:31" ht="15.75">
      <c r="A24" s="356" t="s">
        <v>80</v>
      </c>
      <c r="B24" s="551">
        <v>37667</v>
      </c>
      <c r="C24" s="551">
        <v>40040</v>
      </c>
      <c r="D24" s="551">
        <v>43692</v>
      </c>
      <c r="E24" s="357"/>
      <c r="F24" s="23"/>
      <c r="G24" s="69"/>
      <c r="J24" s="355" t="s">
        <v>82</v>
      </c>
      <c r="K24" s="23"/>
      <c r="L24" s="23"/>
      <c r="M24" s="23"/>
      <c r="N24" s="23"/>
      <c r="O24" s="23"/>
      <c r="P24" s="23"/>
      <c r="Q24" s="23"/>
      <c r="R24" s="69"/>
      <c r="S24" s="7"/>
      <c r="T24" s="675"/>
      <c r="Y24"/>
      <c r="Z24"/>
      <c r="AA24"/>
      <c r="AB24"/>
      <c r="AC24"/>
      <c r="AD24"/>
      <c r="AE24"/>
    </row>
    <row r="25" spans="1:31" ht="15.75">
      <c r="A25" s="356" t="s">
        <v>81</v>
      </c>
      <c r="B25" s="421">
        <f>Debt!F9</f>
        <v>2.0102517123287673</v>
      </c>
      <c r="C25" s="421">
        <f>Debt!L9</f>
        <v>7.2795310502283126</v>
      </c>
      <c r="D25" s="421">
        <f>Debt!R9</f>
        <v>15.039434304588985</v>
      </c>
      <c r="E25" s="553"/>
      <c r="F25" s="23"/>
      <c r="G25" s="69"/>
      <c r="J25" s="351" t="s">
        <v>83</v>
      </c>
      <c r="K25" s="338"/>
      <c r="L25" s="482">
        <v>4</v>
      </c>
      <c r="M25" s="635">
        <f>L25</f>
        <v>4</v>
      </c>
      <c r="N25" s="635">
        <f>M25</f>
        <v>4</v>
      </c>
      <c r="O25" s="636"/>
      <c r="P25" s="635">
        <f>N25</f>
        <v>4</v>
      </c>
      <c r="Q25" s="635">
        <f>P25</f>
        <v>4</v>
      </c>
      <c r="R25" s="637">
        <f>Q25</f>
        <v>4</v>
      </c>
      <c r="S25" s="7"/>
      <c r="T25" s="675"/>
      <c r="Y25"/>
      <c r="Z25"/>
      <c r="AA25"/>
      <c r="AB25"/>
      <c r="AC25"/>
      <c r="AD25"/>
      <c r="AE25"/>
    </row>
    <row r="26" spans="1:31" ht="15.75">
      <c r="A26" s="356"/>
      <c r="B26" s="23"/>
      <c r="C26" s="23"/>
      <c r="D26" s="23"/>
      <c r="E26" s="357"/>
      <c r="F26" s="23"/>
      <c r="G26" s="69"/>
      <c r="J26" s="351" t="s">
        <v>84</v>
      </c>
      <c r="K26" s="338"/>
      <c r="L26" s="638">
        <f>L49</f>
        <v>1.4087481804949056</v>
      </c>
      <c r="M26" s="638">
        <f>M49</f>
        <v>0.89012066365007547</v>
      </c>
      <c r="N26" s="638">
        <f>N49</f>
        <v>1.0405254091300602</v>
      </c>
      <c r="O26" s="638"/>
      <c r="P26" s="638">
        <f>P49</f>
        <v>1.2167859477124183</v>
      </c>
      <c r="Q26" s="638">
        <f>Q49</f>
        <v>1.1634751773049645</v>
      </c>
      <c r="R26" s="637">
        <f>R49</f>
        <v>0.8627741228070176</v>
      </c>
      <c r="S26" s="7"/>
      <c r="T26" s="675"/>
      <c r="Y26"/>
      <c r="Z26"/>
      <c r="AA26"/>
      <c r="AB26"/>
      <c r="AC26"/>
      <c r="AD26"/>
      <c r="AE26"/>
    </row>
    <row r="27" spans="1:31" ht="15.75">
      <c r="A27" s="70"/>
      <c r="B27" s="23"/>
      <c r="C27" s="23"/>
      <c r="D27" s="23"/>
      <c r="E27" s="357"/>
      <c r="F27" s="23"/>
      <c r="G27" s="69"/>
      <c r="J27" s="351" t="s">
        <v>86</v>
      </c>
      <c r="K27" s="338"/>
      <c r="L27" s="639">
        <f>'EGC Start Charge Matrix'!G22</f>
        <v>4111</v>
      </c>
      <c r="M27" s="639">
        <f>'EGC Start Charge Matrix'!H22</f>
        <v>1874</v>
      </c>
      <c r="N27" s="639">
        <f>'EGC Start Charge Matrix'!I22</f>
        <v>1874</v>
      </c>
      <c r="O27" s="640"/>
      <c r="P27" s="639">
        <f>'EGC Start Charge Matrix'!J22</f>
        <v>6379</v>
      </c>
      <c r="Q27" s="639">
        <f>'EGC Start Charge Matrix'!K22</f>
        <v>4330</v>
      </c>
      <c r="R27" s="641">
        <f>'EGC Start Charge Matrix'!L22</f>
        <v>1874</v>
      </c>
      <c r="S27" s="7"/>
      <c r="T27" s="675"/>
      <c r="Y27"/>
      <c r="Z27"/>
      <c r="AA27"/>
      <c r="AB27"/>
      <c r="AC27"/>
      <c r="AD27"/>
      <c r="AE27"/>
    </row>
    <row r="28" spans="1:31" ht="15.75">
      <c r="A28" s="359" t="s">
        <v>85</v>
      </c>
      <c r="B28" s="360">
        <f>Debt!F5</f>
        <v>5.9400000000000001E-2</v>
      </c>
      <c r="C28" s="360">
        <f>Debt!L5</f>
        <v>6.2199999999999998E-2</v>
      </c>
      <c r="D28" s="360">
        <f>Debt!R5</f>
        <v>6.3100000000000003E-2</v>
      </c>
      <c r="E28" s="554">
        <f>SUMPRODUCT(B28:D28,$B$22:$D$22)/SUM($B$22:$D$22)</f>
        <v>6.2422428571428566E-2</v>
      </c>
      <c r="F28" s="23"/>
      <c r="G28" s="69"/>
      <c r="J28" s="351" t="s">
        <v>88</v>
      </c>
      <c r="K28" s="338"/>
      <c r="L28" s="23"/>
      <c r="M28" s="280"/>
      <c r="N28" s="280"/>
      <c r="O28" s="23"/>
      <c r="P28" s="23"/>
      <c r="Q28" s="23"/>
      <c r="R28" s="69"/>
      <c r="S28" s="7"/>
      <c r="T28" s="675"/>
      <c r="Y28"/>
      <c r="Z28"/>
      <c r="AA28"/>
      <c r="AB28"/>
      <c r="AC28"/>
      <c r="AD28"/>
      <c r="AE28"/>
    </row>
    <row r="29" spans="1:31" ht="15.75">
      <c r="A29" s="359" t="s">
        <v>87</v>
      </c>
      <c r="B29" s="361">
        <f>Debt!F6</f>
        <v>2.2499999999999999E-2</v>
      </c>
      <c r="C29" s="361">
        <f>Debt!L6</f>
        <v>3.5000000000000003E-2</v>
      </c>
      <c r="D29" s="361">
        <f>Debt!R6</f>
        <v>4.1250000000000002E-2</v>
      </c>
      <c r="E29" s="555">
        <f>SUMPRODUCT(B29:D29,$B$22:$D$22)/SUM($B$22:$D$22)</f>
        <v>3.7348214285714283E-2</v>
      </c>
      <c r="F29" s="23"/>
      <c r="G29" s="69"/>
      <c r="J29" s="351" t="s">
        <v>430</v>
      </c>
      <c r="K29" s="23"/>
      <c r="L29" s="393">
        <v>458</v>
      </c>
      <c r="M29" s="393">
        <f>442</f>
        <v>442</v>
      </c>
      <c r="N29" s="393">
        <f>367</f>
        <v>367</v>
      </c>
      <c r="O29" s="23"/>
      <c r="P29" s="393">
        <v>0</v>
      </c>
      <c r="Q29" s="393">
        <v>0</v>
      </c>
      <c r="R29" s="394">
        <v>0</v>
      </c>
      <c r="S29" s="7"/>
      <c r="T29" s="675"/>
      <c r="Y29"/>
      <c r="Z29"/>
      <c r="AA29"/>
      <c r="AB29"/>
      <c r="AC29"/>
      <c r="AD29"/>
      <c r="AE29"/>
    </row>
    <row r="30" spans="1:31" ht="15.75">
      <c r="A30" s="356" t="s">
        <v>89</v>
      </c>
      <c r="B30" s="362">
        <f>Debt!F7</f>
        <v>8.1900000000000001E-2</v>
      </c>
      <c r="C30" s="362">
        <f>Debt!L7</f>
        <v>9.7200000000000009E-2</v>
      </c>
      <c r="D30" s="362">
        <f>Debt!R7</f>
        <v>0.10435</v>
      </c>
      <c r="E30" s="554">
        <f>SUMPRODUCT(B30:D30,$B$22:$D$22)/SUM($B$22:$D$22)</f>
        <v>9.9770642857142877E-2</v>
      </c>
      <c r="F30" s="23"/>
      <c r="G30" s="69"/>
      <c r="J30" s="351" t="s">
        <v>411</v>
      </c>
      <c r="K30" s="23"/>
      <c r="L30" s="393">
        <f>L29</f>
        <v>458</v>
      </c>
      <c r="M30" s="393">
        <f>M29+M20</f>
        <v>457</v>
      </c>
      <c r="N30" s="393">
        <f>N29+N20</f>
        <v>379</v>
      </c>
      <c r="O30" s="23"/>
      <c r="P30" s="393">
        <v>510</v>
      </c>
      <c r="Q30" s="393">
        <v>470</v>
      </c>
      <c r="R30" s="394">
        <v>608</v>
      </c>
      <c r="S30" s="7"/>
      <c r="T30" s="675"/>
      <c r="Y30"/>
      <c r="Z30"/>
      <c r="AA30"/>
      <c r="AB30"/>
      <c r="AC30"/>
      <c r="AD30"/>
      <c r="AE30"/>
    </row>
    <row r="31" spans="1:31" ht="15.75">
      <c r="A31" s="351"/>
      <c r="B31" s="338"/>
      <c r="C31" s="338"/>
      <c r="D31" s="338"/>
      <c r="E31" s="556"/>
      <c r="F31" s="23"/>
      <c r="G31" s="69"/>
      <c r="J31" s="70"/>
      <c r="K31" s="23"/>
      <c r="L31" s="23"/>
      <c r="M31" s="23"/>
      <c r="N31" s="23"/>
      <c r="O31" s="23"/>
      <c r="P31" s="23"/>
      <c r="Q31" s="23"/>
      <c r="R31" s="69"/>
      <c r="S31" s="7"/>
      <c r="T31" s="675"/>
    </row>
    <row r="32" spans="1:31" ht="15.75">
      <c r="A32" s="351" t="s">
        <v>514</v>
      </c>
      <c r="B32" s="357">
        <f ca="1">MAX(Debt!C106:Z106)</f>
        <v>94324.697506249999</v>
      </c>
      <c r="C32" s="338"/>
      <c r="D32" s="338"/>
      <c r="E32" s="552"/>
      <c r="F32" s="23"/>
      <c r="G32" s="69"/>
      <c r="J32" s="355" t="s">
        <v>91</v>
      </c>
      <c r="K32" s="23"/>
      <c r="L32" s="23"/>
      <c r="M32" s="23"/>
      <c r="N32" s="23"/>
      <c r="O32" s="23"/>
      <c r="P32" s="23"/>
      <c r="Q32" s="23"/>
      <c r="R32" s="69"/>
      <c r="S32" s="7"/>
      <c r="T32" s="675"/>
    </row>
    <row r="33" spans="1:20" ht="15.75">
      <c r="A33" s="351" t="s">
        <v>90</v>
      </c>
      <c r="B33" s="449">
        <v>0.02</v>
      </c>
      <c r="C33" s="338"/>
      <c r="D33" s="338"/>
      <c r="E33" s="552"/>
      <c r="F33" s="23"/>
      <c r="G33" s="69"/>
      <c r="J33" s="351" t="s">
        <v>93</v>
      </c>
      <c r="K33" s="338"/>
      <c r="L33" s="393">
        <f>497.4*(1-L10)</f>
        <v>487.45199999999994</v>
      </c>
      <c r="M33" s="393">
        <f>503.6*(1-M10)</f>
        <v>493.52800000000002</v>
      </c>
      <c r="N33" s="393">
        <f>430.2*(1-N10)</f>
        <v>421.596</v>
      </c>
      <c r="O33" s="23"/>
      <c r="P33" s="393">
        <f>535.3*(1-P10)</f>
        <v>524.59399999999994</v>
      </c>
      <c r="Q33" s="393">
        <f>514.6*(1-Q10)</f>
        <v>504.30799999999999</v>
      </c>
      <c r="R33" s="394">
        <f>665.9*(1-R10)</f>
        <v>652.58199999999999</v>
      </c>
      <c r="S33" s="7"/>
      <c r="T33" s="675"/>
    </row>
    <row r="34" spans="1:20" ht="16.5" thickBot="1">
      <c r="A34" s="353" t="s">
        <v>92</v>
      </c>
      <c r="B34" s="450">
        <v>0.05</v>
      </c>
      <c r="C34" s="72"/>
      <c r="D34" s="72"/>
      <c r="E34" s="72"/>
      <c r="F34" s="72"/>
      <c r="G34" s="272"/>
      <c r="J34" s="351" t="s">
        <v>94</v>
      </c>
      <c r="K34" s="338"/>
      <c r="L34" s="629">
        <f>L33*L14</f>
        <v>584942.39999999991</v>
      </c>
      <c r="M34" s="629">
        <f>M33*M14</f>
        <v>592233.6</v>
      </c>
      <c r="N34" s="629">
        <f>N33*N14</f>
        <v>450264.52799999999</v>
      </c>
      <c r="O34" s="169"/>
      <c r="P34" s="629">
        <f>P33*P14</f>
        <v>629512.79999999993</v>
      </c>
      <c r="Q34" s="629">
        <f>Q33*Q14</f>
        <v>605169.6</v>
      </c>
      <c r="R34" s="630">
        <f>R33*R14</f>
        <v>783098.4</v>
      </c>
      <c r="S34" s="7"/>
      <c r="T34" s="675"/>
    </row>
    <row r="35" spans="1:20" ht="15.75">
      <c r="J35" s="351" t="s">
        <v>95</v>
      </c>
      <c r="K35" s="338"/>
      <c r="L35" s="387">
        <v>0.02</v>
      </c>
      <c r="M35" s="642">
        <f>L35</f>
        <v>0.02</v>
      </c>
      <c r="N35" s="642">
        <f>M35</f>
        <v>0.02</v>
      </c>
      <c r="O35" s="643"/>
      <c r="P35" s="642">
        <f>N35</f>
        <v>0.02</v>
      </c>
      <c r="Q35" s="642">
        <f>P35</f>
        <v>0.02</v>
      </c>
      <c r="R35" s="644">
        <f>Q35</f>
        <v>0.02</v>
      </c>
      <c r="S35" s="7"/>
      <c r="T35" s="675"/>
    </row>
    <row r="36" spans="1:20" ht="16.5" thickBot="1">
      <c r="J36" s="351" t="s">
        <v>97</v>
      </c>
      <c r="K36" s="338"/>
      <c r="L36" s="482">
        <v>1</v>
      </c>
      <c r="M36" s="646">
        <f>L36</f>
        <v>1</v>
      </c>
      <c r="N36" s="646">
        <f>L36</f>
        <v>1</v>
      </c>
      <c r="O36" s="645"/>
      <c r="P36" s="646">
        <f>L36</f>
        <v>1</v>
      </c>
      <c r="Q36" s="646">
        <f>L36</f>
        <v>1</v>
      </c>
      <c r="R36" s="647">
        <f>L36</f>
        <v>1</v>
      </c>
      <c r="S36" s="7"/>
      <c r="T36" s="675"/>
    </row>
    <row r="37" spans="1:20" ht="15.75">
      <c r="A37" s="330" t="s">
        <v>96</v>
      </c>
      <c r="B37" s="368"/>
      <c r="C37" s="369"/>
      <c r="D37" s="369"/>
      <c r="E37" s="384"/>
      <c r="F37" s="384"/>
      <c r="G37" s="68"/>
      <c r="J37" s="528"/>
      <c r="K37" s="238"/>
      <c r="L37" s="338"/>
      <c r="M37" s="338"/>
      <c r="N37" s="338"/>
      <c r="O37" s="23"/>
      <c r="P37" s="338"/>
      <c r="Q37" s="338"/>
      <c r="R37" s="352"/>
      <c r="S37" s="7"/>
      <c r="T37" s="675"/>
    </row>
    <row r="38" spans="1:20" ht="15.75">
      <c r="A38" s="70"/>
      <c r="B38" s="658" t="s">
        <v>98</v>
      </c>
      <c r="C38" s="659"/>
      <c r="D38" s="23"/>
      <c r="E38" s="23"/>
      <c r="F38" s="338"/>
      <c r="G38" s="69"/>
      <c r="J38" s="351" t="s">
        <v>102</v>
      </c>
      <c r="K38" s="338"/>
      <c r="L38" s="529">
        <v>37621</v>
      </c>
      <c r="M38" s="338"/>
      <c r="N38" s="338"/>
      <c r="O38" s="23"/>
      <c r="P38" s="338"/>
      <c r="Q38" s="338"/>
      <c r="R38" s="352"/>
      <c r="S38" s="7"/>
      <c r="T38" s="675"/>
    </row>
    <row r="39" spans="1:20" ht="16.5" thickBot="1">
      <c r="A39" s="351"/>
      <c r="B39" s="585">
        <v>1999</v>
      </c>
      <c r="C39" s="585">
        <v>2000</v>
      </c>
      <c r="D39" s="585" t="s">
        <v>99</v>
      </c>
      <c r="E39" s="585" t="s">
        <v>100</v>
      </c>
      <c r="F39" s="337" t="s">
        <v>101</v>
      </c>
      <c r="G39" s="69"/>
      <c r="J39" s="353" t="s">
        <v>104</v>
      </c>
      <c r="K39" s="354"/>
      <c r="L39" s="584">
        <f>L52</f>
        <v>0.03</v>
      </c>
      <c r="M39" s="617">
        <f>L39</f>
        <v>0.03</v>
      </c>
      <c r="N39" s="617">
        <f>L39</f>
        <v>0.03</v>
      </c>
      <c r="O39" s="616"/>
      <c r="P39" s="617">
        <f>L39</f>
        <v>0.03</v>
      </c>
      <c r="Q39" s="617">
        <f>L39</f>
        <v>0.03</v>
      </c>
      <c r="R39" s="618">
        <f>L39</f>
        <v>0.03</v>
      </c>
      <c r="S39" s="7"/>
      <c r="T39" s="675"/>
    </row>
    <row r="40" spans="1:20" ht="16.5" thickBot="1">
      <c r="A40" s="372" t="s">
        <v>103</v>
      </c>
      <c r="B40" s="373"/>
      <c r="C40" s="23"/>
      <c r="D40" s="373"/>
      <c r="E40" s="373"/>
      <c r="F40" s="338"/>
      <c r="G40" s="69"/>
      <c r="J40" s="77"/>
      <c r="K40" s="77"/>
      <c r="L40" s="77"/>
      <c r="M40" s="77"/>
      <c r="N40" s="338"/>
      <c r="P40" s="77"/>
      <c r="Q40" s="77"/>
      <c r="R40" s="77"/>
      <c r="S40" s="7"/>
      <c r="T40" s="675"/>
    </row>
    <row r="41" spans="1:20" ht="15.75">
      <c r="A41" s="374" t="s">
        <v>105</v>
      </c>
      <c r="B41" s="596">
        <f>Depreciation!B18</f>
        <v>484512.886</v>
      </c>
      <c r="C41" s="366">
        <f>Depreciation!B54</f>
        <v>724911.36904930742</v>
      </c>
      <c r="D41" s="566">
        <v>15</v>
      </c>
      <c r="E41" s="527" t="s">
        <v>106</v>
      </c>
      <c r="F41" s="586">
        <v>0</v>
      </c>
      <c r="G41" s="69"/>
      <c r="J41" s="330" t="s">
        <v>109</v>
      </c>
      <c r="K41" s="368"/>
      <c r="L41" s="369"/>
      <c r="M41" s="369"/>
      <c r="N41" s="369"/>
      <c r="O41" s="67"/>
      <c r="P41" s="369"/>
      <c r="Q41" s="369"/>
      <c r="R41" s="370"/>
      <c r="S41" s="7"/>
      <c r="T41" s="675"/>
    </row>
    <row r="42" spans="1:20" ht="15.75">
      <c r="A42" s="374" t="s">
        <v>107</v>
      </c>
      <c r="B42" s="596">
        <f>Depreciation!B19</f>
        <v>7800</v>
      </c>
      <c r="C42" s="366">
        <f>Depreciation!B55</f>
        <v>11700</v>
      </c>
      <c r="D42" s="566">
        <v>20</v>
      </c>
      <c r="E42" s="527" t="s">
        <v>108</v>
      </c>
      <c r="F42" s="586">
        <v>0</v>
      </c>
      <c r="G42" s="69"/>
      <c r="J42" s="351"/>
      <c r="K42" s="338"/>
      <c r="L42" s="238"/>
      <c r="M42" s="238"/>
      <c r="N42" s="238"/>
      <c r="O42" s="23"/>
      <c r="P42" s="238"/>
      <c r="Q42" s="238"/>
      <c r="R42" s="371"/>
      <c r="S42" s="7"/>
      <c r="T42" s="675"/>
    </row>
    <row r="43" spans="1:20" ht="15.75">
      <c r="A43" s="374"/>
      <c r="B43" s="597"/>
      <c r="C43" s="552"/>
      <c r="D43" s="375"/>
      <c r="E43" s="375"/>
      <c r="F43" s="587"/>
      <c r="G43" s="69"/>
      <c r="J43" s="351" t="s">
        <v>111</v>
      </c>
      <c r="K43" s="338"/>
      <c r="L43" s="387">
        <v>0.35</v>
      </c>
      <c r="M43" s="387">
        <v>0.35</v>
      </c>
      <c r="N43" s="387">
        <v>0.35</v>
      </c>
      <c r="O43" s="23"/>
      <c r="P43" s="387">
        <v>0.35</v>
      </c>
      <c r="Q43" s="387">
        <v>0.35</v>
      </c>
      <c r="R43" s="388">
        <v>0.35</v>
      </c>
      <c r="S43" s="7"/>
      <c r="T43" s="675"/>
    </row>
    <row r="44" spans="1:20" ht="15.75">
      <c r="A44" s="372" t="s">
        <v>110</v>
      </c>
      <c r="B44" s="597"/>
      <c r="C44" s="552"/>
      <c r="D44" s="376"/>
      <c r="E44" s="376"/>
      <c r="F44" s="588"/>
      <c r="G44" s="69"/>
      <c r="J44" s="351" t="s">
        <v>112</v>
      </c>
      <c r="K44" s="338"/>
      <c r="L44" s="395">
        <v>0.06</v>
      </c>
      <c r="M44" s="395">
        <v>0.05</v>
      </c>
      <c r="N44" s="395">
        <v>0.05</v>
      </c>
      <c r="O44" s="23"/>
      <c r="P44" s="395">
        <v>8.2500000000000004E-2</v>
      </c>
      <c r="Q44" s="395">
        <v>4.4999999999999998E-2</v>
      </c>
      <c r="R44" s="396">
        <v>7.1800000000000003E-2</v>
      </c>
      <c r="S44" s="7"/>
      <c r="T44" s="675"/>
    </row>
    <row r="45" spans="1:20" ht="16.5" thickBot="1">
      <c r="A45" s="374" t="s">
        <v>105</v>
      </c>
      <c r="B45" s="596">
        <f>Depreciation!B42</f>
        <v>484512.886</v>
      </c>
      <c r="C45" s="366">
        <f>Depreciation!B75</f>
        <v>724911.36904930742</v>
      </c>
      <c r="D45" s="566">
        <v>30</v>
      </c>
      <c r="E45" s="527" t="s">
        <v>108</v>
      </c>
      <c r="F45" s="589">
        <v>0.1</v>
      </c>
      <c r="G45" s="69"/>
      <c r="J45" s="353" t="s">
        <v>113</v>
      </c>
      <c r="K45" s="354"/>
      <c r="L45" s="397">
        <v>2.5000000000000001E-3</v>
      </c>
      <c r="M45" s="397">
        <v>2.5000000000000001E-3</v>
      </c>
      <c r="N45" s="397">
        <v>2.5000000000000001E-3</v>
      </c>
      <c r="O45" s="72"/>
      <c r="P45" s="397">
        <v>2.0999999999999999E-3</v>
      </c>
      <c r="Q45" s="397">
        <v>0</v>
      </c>
      <c r="R45" s="483">
        <v>1E-3</v>
      </c>
      <c r="S45" s="7"/>
      <c r="T45" s="675"/>
    </row>
    <row r="46" spans="1:20" ht="16.5" thickBot="1">
      <c r="A46" s="378" t="s">
        <v>107</v>
      </c>
      <c r="B46" s="598">
        <f>Depreciation!B43</f>
        <v>7800</v>
      </c>
      <c r="C46" s="367">
        <f>Depreciation!B76</f>
        <v>11700</v>
      </c>
      <c r="D46" s="599">
        <v>20</v>
      </c>
      <c r="E46" s="600" t="s">
        <v>108</v>
      </c>
      <c r="F46" s="613">
        <v>0</v>
      </c>
      <c r="G46" s="272"/>
      <c r="J46" s="353" t="s">
        <v>114</v>
      </c>
      <c r="K46" s="354"/>
      <c r="L46" s="397">
        <v>0.03</v>
      </c>
      <c r="M46" s="522" t="s">
        <v>115</v>
      </c>
      <c r="N46" s="522" t="s">
        <v>115</v>
      </c>
      <c r="O46" s="523"/>
      <c r="P46" s="522" t="s">
        <v>115</v>
      </c>
      <c r="Q46" s="522" t="s">
        <v>115</v>
      </c>
      <c r="R46" s="524" t="s">
        <v>115</v>
      </c>
      <c r="S46" s="7"/>
      <c r="T46" s="675"/>
    </row>
    <row r="47" spans="1:20" ht="16.5" thickBot="1">
      <c r="A47" s="77"/>
      <c r="B47" s="77"/>
      <c r="C47" s="77"/>
      <c r="D47" s="77"/>
      <c r="E47" s="77"/>
      <c r="F47" s="77"/>
      <c r="S47" s="7"/>
      <c r="T47" s="675"/>
    </row>
    <row r="48" spans="1:20" ht="16.5" thickBot="1">
      <c r="J48" s="332" t="s">
        <v>117</v>
      </c>
      <c r="K48" s="384"/>
      <c r="L48" s="384"/>
      <c r="M48" s="384"/>
      <c r="N48" s="384"/>
      <c r="O48" s="67"/>
      <c r="P48" s="384"/>
      <c r="Q48" s="384"/>
      <c r="R48" s="370"/>
      <c r="S48" s="7"/>
      <c r="T48" s="675"/>
    </row>
    <row r="49" spans="1:21" ht="15.75">
      <c r="A49" s="332" t="s">
        <v>116</v>
      </c>
      <c r="B49" s="384"/>
      <c r="C49" s="384"/>
      <c r="D49" s="384"/>
      <c r="E49" s="384"/>
      <c r="F49" s="384"/>
      <c r="G49" s="385"/>
      <c r="J49" s="568" t="s">
        <v>118</v>
      </c>
      <c r="K49" s="338"/>
      <c r="L49" s="591">
        <v>1.4087481804949056</v>
      </c>
      <c r="M49" s="591">
        <v>0.89012066365007547</v>
      </c>
      <c r="N49" s="591">
        <v>1.0405254091300602</v>
      </c>
      <c r="O49" s="285"/>
      <c r="P49" s="591">
        <v>1.2167859477124183</v>
      </c>
      <c r="Q49" s="591">
        <v>1.1634751773049645</v>
      </c>
      <c r="R49" s="592">
        <v>0.8627741228070176</v>
      </c>
      <c r="S49" s="7"/>
      <c r="T49" s="675"/>
    </row>
    <row r="50" spans="1:21" ht="15.75">
      <c r="A50" s="351"/>
      <c r="B50" s="338"/>
      <c r="C50" s="338"/>
      <c r="D50" s="338"/>
      <c r="E50" s="338"/>
      <c r="F50" s="338"/>
      <c r="G50" s="352"/>
      <c r="J50" s="351" t="s">
        <v>121</v>
      </c>
      <c r="K50" s="338"/>
      <c r="L50" s="591">
        <v>7.0000000000000007E-2</v>
      </c>
      <c r="M50" s="593">
        <f>$L$50</f>
        <v>7.0000000000000007E-2</v>
      </c>
      <c r="N50" s="593">
        <f>$L$50</f>
        <v>7.0000000000000007E-2</v>
      </c>
      <c r="O50" s="287"/>
      <c r="P50" s="593">
        <f>$L$50</f>
        <v>7.0000000000000007E-2</v>
      </c>
      <c r="Q50" s="593">
        <f>$L$50</f>
        <v>7.0000000000000007E-2</v>
      </c>
      <c r="R50" s="594">
        <f>$L$50</f>
        <v>7.0000000000000007E-2</v>
      </c>
      <c r="S50" s="7"/>
      <c r="T50" s="675"/>
    </row>
    <row r="51" spans="1:21" ht="15.75">
      <c r="A51" s="355" t="s">
        <v>20</v>
      </c>
      <c r="B51" s="363"/>
      <c r="C51" s="23"/>
      <c r="D51" s="337" t="s">
        <v>119</v>
      </c>
      <c r="E51" s="337" t="s">
        <v>120</v>
      </c>
      <c r="F51" s="338"/>
      <c r="G51" s="352"/>
      <c r="J51" s="70"/>
      <c r="K51" s="23"/>
      <c r="L51" s="23"/>
      <c r="M51" s="23"/>
      <c r="N51" s="23"/>
      <c r="O51" s="23"/>
      <c r="P51" s="23"/>
      <c r="Q51" s="23"/>
      <c r="R51" s="69"/>
      <c r="S51" s="7"/>
      <c r="T51" s="675"/>
    </row>
    <row r="52" spans="1:21" ht="15.75">
      <c r="A52" s="351" t="s">
        <v>404</v>
      </c>
      <c r="B52" s="338"/>
      <c r="C52" s="23"/>
      <c r="D52" s="364">
        <f ca="1">MIN(Debt!C114:F114)</f>
        <v>1.2973496787206888</v>
      </c>
      <c r="E52" s="364">
        <f ca="1">AVERAGE(Debt!B114:F114)</f>
        <v>1.4022581715863047</v>
      </c>
      <c r="F52" s="338"/>
      <c r="G52" s="352"/>
      <c r="J52" s="351" t="s">
        <v>122</v>
      </c>
      <c r="K52" s="338"/>
      <c r="L52" s="619">
        <f>'Preset Scenarios'!B46</f>
        <v>0.03</v>
      </c>
      <c r="M52" s="619">
        <f>L52</f>
        <v>0.03</v>
      </c>
      <c r="N52" s="619">
        <f>L52</f>
        <v>0.03</v>
      </c>
      <c r="O52" s="620"/>
      <c r="P52" s="619">
        <f>L52</f>
        <v>0.03</v>
      </c>
      <c r="Q52" s="619">
        <f>L52</f>
        <v>0.03</v>
      </c>
      <c r="R52" s="621">
        <f>L52</f>
        <v>0.03</v>
      </c>
      <c r="S52" s="7"/>
      <c r="T52" s="675"/>
    </row>
    <row r="53" spans="1:21" ht="15.75">
      <c r="A53" s="351" t="s">
        <v>405</v>
      </c>
      <c r="B53" s="338"/>
      <c r="C53" s="23"/>
      <c r="D53" s="364">
        <f>MIN(Debt!G115:V115)</f>
        <v>2.2470859462830464</v>
      </c>
      <c r="E53" s="364">
        <f>AVERAGE(Debt!G115:V115)</f>
        <v>2.9669287022363129</v>
      </c>
      <c r="F53" s="338"/>
      <c r="G53" s="352"/>
      <c r="J53" s="351" t="s">
        <v>472</v>
      </c>
      <c r="K53" s="338"/>
      <c r="L53" s="777">
        <v>0</v>
      </c>
      <c r="M53" s="777">
        <v>0</v>
      </c>
      <c r="N53" s="777">
        <v>0</v>
      </c>
      <c r="O53" s="23"/>
      <c r="P53" s="379">
        <v>6</v>
      </c>
      <c r="Q53" s="379">
        <v>6</v>
      </c>
      <c r="R53" s="386">
        <v>7</v>
      </c>
      <c r="S53" s="7"/>
      <c r="T53" s="675"/>
    </row>
    <row r="54" spans="1:21" ht="15.75">
      <c r="A54" s="351"/>
      <c r="B54" s="338"/>
      <c r="C54" s="338"/>
      <c r="D54" s="338"/>
      <c r="E54" s="338"/>
      <c r="F54" s="338"/>
      <c r="G54" s="352"/>
      <c r="J54" s="351"/>
      <c r="K54" s="338"/>
      <c r="O54" s="23"/>
      <c r="P54" s="380"/>
      <c r="Q54" s="23"/>
      <c r="R54" s="381"/>
      <c r="S54" s="7"/>
      <c r="T54" s="675"/>
    </row>
    <row r="55" spans="1:21" ht="15.75">
      <c r="A55" s="351"/>
      <c r="B55" s="338"/>
      <c r="C55" s="338"/>
      <c r="D55" s="337" t="s">
        <v>123</v>
      </c>
      <c r="E55" s="337" t="s">
        <v>124</v>
      </c>
      <c r="F55" s="337" t="s">
        <v>125</v>
      </c>
      <c r="G55" s="352"/>
      <c r="J55" s="382" t="s">
        <v>127</v>
      </c>
      <c r="K55" s="338"/>
      <c r="L55" s="338"/>
      <c r="M55" s="338"/>
      <c r="N55" s="338"/>
      <c r="O55" s="23"/>
      <c r="P55" s="338"/>
      <c r="Q55" s="338"/>
      <c r="R55" s="377"/>
      <c r="T55" s="675"/>
    </row>
    <row r="56" spans="1:21" ht="15.75">
      <c r="A56" s="351" t="s">
        <v>126</v>
      </c>
      <c r="B56" s="338"/>
      <c r="C56" s="338"/>
      <c r="D56" s="366">
        <f>SUMPRODUCT(L9:N9,L12:N12)/SUM(L9:N9)</f>
        <v>11884.293911826451</v>
      </c>
      <c r="E56" s="366">
        <f>SUMPRODUCT(P9:R9,P12:R12)/SUM(P9:R9)</f>
        <v>11566.139884393064</v>
      </c>
      <c r="F56" s="366">
        <f>SUMPRODUCT(L9:R9,L12:R12)/SUM(L9:R9)</f>
        <v>11710.059512503956</v>
      </c>
      <c r="G56" s="352"/>
      <c r="J56" s="351" t="s">
        <v>128</v>
      </c>
      <c r="K56" s="338"/>
      <c r="L56" s="650">
        <f>701.45*'Preset Scenarios'!C46</f>
        <v>701.45</v>
      </c>
      <c r="M56" s="650">
        <f>701.45*'Preset Scenarios'!C46</f>
        <v>701.45</v>
      </c>
      <c r="N56" s="650">
        <f>1026.392*'Preset Scenarios'!C46</f>
        <v>1026.3920000000001</v>
      </c>
      <c r="O56" s="23"/>
      <c r="P56" s="379">
        <f>997*'Preset Scenarios'!C46</f>
        <v>997</v>
      </c>
      <c r="Q56" s="379">
        <f>1165*'Preset Scenarios'!C46</f>
        <v>1165</v>
      </c>
      <c r="R56" s="386">
        <f>997*'Preset Scenarios'!C46</f>
        <v>997</v>
      </c>
      <c r="T56" s="675"/>
      <c r="U56" s="31"/>
    </row>
    <row r="57" spans="1:21" ht="15.75">
      <c r="A57" s="70"/>
      <c r="B57" s="23"/>
      <c r="C57" s="23"/>
      <c r="D57" s="23"/>
      <c r="E57" s="23"/>
      <c r="F57" s="23"/>
      <c r="G57" s="69"/>
      <c r="J57" s="351" t="s">
        <v>130</v>
      </c>
      <c r="K57" s="338"/>
      <c r="L57" s="23"/>
      <c r="M57" s="23"/>
      <c r="N57" s="23"/>
      <c r="O57" s="23"/>
      <c r="P57" s="23"/>
      <c r="Q57" s="23"/>
      <c r="R57" s="69"/>
      <c r="S57" s="235"/>
      <c r="T57" s="675"/>
      <c r="U57" s="673"/>
    </row>
    <row r="58" spans="1:21" ht="15.75">
      <c r="A58" s="351" t="s">
        <v>129</v>
      </c>
      <c r="B58" s="338"/>
      <c r="C58" s="338"/>
      <c r="D58" s="366">
        <f>SUM(L9:N9)</f>
        <v>1429</v>
      </c>
      <c r="E58" s="366">
        <f>SUM(P9:R9)</f>
        <v>1730</v>
      </c>
      <c r="F58" s="366">
        <f>SUM(D58:E58)</f>
        <v>3159</v>
      </c>
      <c r="G58" s="352"/>
      <c r="J58" s="351" t="s">
        <v>430</v>
      </c>
      <c r="K58" s="23"/>
      <c r="L58" s="432">
        <v>774.24800000000005</v>
      </c>
      <c r="M58" s="432">
        <f>M49*M16/1000*'Preset Scenarios'!C46</f>
        <v>472.12000000000006</v>
      </c>
      <c r="N58" s="432">
        <f>N49*N16/1000*'Preset Scenarios'!C46</f>
        <v>407.84017726098187</v>
      </c>
      <c r="O58" s="432"/>
      <c r="P58" s="432">
        <v>744.673</v>
      </c>
      <c r="Q58" s="432">
        <v>656.2</v>
      </c>
      <c r="R58" s="433">
        <v>629.48</v>
      </c>
    </row>
    <row r="59" spans="1:21" ht="15.75">
      <c r="A59" s="351"/>
      <c r="B59" s="23"/>
      <c r="C59" s="23"/>
      <c r="D59" s="366"/>
      <c r="E59" s="366"/>
      <c r="F59" s="366"/>
      <c r="G59" s="69"/>
      <c r="J59" s="351" t="s">
        <v>411</v>
      </c>
      <c r="K59" s="23"/>
      <c r="L59" s="432">
        <f>L49*L17/1000*'Preset Scenarios'!C46</f>
        <v>774.24800000000016</v>
      </c>
      <c r="M59" s="432">
        <f>M49*M17/1000*'Preset Scenarios'!C46</f>
        <v>488.14217194570142</v>
      </c>
      <c r="N59" s="432">
        <f>N49*N17/1000*'Preset Scenarios'!C46</f>
        <v>421.17555090439271</v>
      </c>
      <c r="O59" s="432"/>
      <c r="P59" s="432">
        <f>P49*P17/1000*'Preset Scenarios'!C46</f>
        <v>744.673</v>
      </c>
      <c r="Q59" s="432">
        <f>Q49*Q17/1000*'Preset Scenarios'!C46</f>
        <v>656.2</v>
      </c>
      <c r="R59" s="433">
        <f>R49*R17/1000*'Preset Scenarios'!C46</f>
        <v>629.48</v>
      </c>
    </row>
    <row r="60" spans="1:21" ht="15.75">
      <c r="A60" s="351" t="s">
        <v>132</v>
      </c>
      <c r="B60" s="338"/>
      <c r="C60" s="338"/>
      <c r="D60" s="366">
        <f>G14/F58</f>
        <v>390.94650205761315</v>
      </c>
      <c r="E60" s="338"/>
      <c r="F60" s="338"/>
      <c r="G60" s="352"/>
      <c r="J60" s="351" t="s">
        <v>410</v>
      </c>
      <c r="K60" s="23"/>
      <c r="L60" s="432">
        <f>L49*L34/1000*'Preset Scenarios'!$C$46</f>
        <v>824.0365416943232</v>
      </c>
      <c r="M60" s="432">
        <f>M49*M34/1000*'Preset Scenarios'!$C$46</f>
        <v>527.1593650678733</v>
      </c>
      <c r="N60" s="432">
        <f>N49*N34/1000*'Preset Scenarios'!$C$46</f>
        <v>468.51168221395346</v>
      </c>
      <c r="O60" s="432"/>
      <c r="P60" s="432">
        <f>P49*P34/1000*'Preset Scenarios'!$C$46</f>
        <v>765.98232894509795</v>
      </c>
      <c r="Q60" s="432">
        <f>Q49*Q34/1000*'Preset Scenarios'!$C$46</f>
        <v>704.09980765957448</v>
      </c>
      <c r="R60" s="433">
        <f>R49*R34/1000*'Preset Scenarios'!$C$46</f>
        <v>675.63703513157907</v>
      </c>
      <c r="T60" s="675"/>
      <c r="U60" s="674"/>
    </row>
    <row r="61" spans="1:21" ht="15.75">
      <c r="A61" s="351"/>
      <c r="B61" s="338"/>
      <c r="C61" s="338"/>
      <c r="D61" s="366"/>
      <c r="E61" s="338"/>
      <c r="F61" s="338"/>
      <c r="G61" s="352"/>
      <c r="J61" s="351" t="s">
        <v>131</v>
      </c>
      <c r="K61" s="338"/>
      <c r="L61" s="650">
        <v>1973.16</v>
      </c>
      <c r="M61" s="650">
        <v>1349.28</v>
      </c>
      <c r="N61" s="650">
        <v>1349.28</v>
      </c>
      <c r="O61" s="651"/>
      <c r="P61" s="650">
        <v>2296.44</v>
      </c>
      <c r="Q61" s="650">
        <v>2078.4</v>
      </c>
      <c r="R61" s="652">
        <v>1799.04</v>
      </c>
      <c r="T61" s="675"/>
    </row>
    <row r="62" spans="1:21" ht="18.75">
      <c r="A62" s="351" t="s">
        <v>361</v>
      </c>
      <c r="B62" s="338"/>
      <c r="C62" s="338"/>
      <c r="D62" s="567">
        <f ca="1">IRR!D62</f>
        <v>0.13196115254562821</v>
      </c>
      <c r="E62" s="338"/>
      <c r="F62" s="338"/>
      <c r="G62" s="352"/>
      <c r="J62" s="351" t="s">
        <v>133</v>
      </c>
      <c r="K62" s="338"/>
      <c r="L62" s="650">
        <f>223.76*'Preset Scenarios'!C46</f>
        <v>223.76</v>
      </c>
      <c r="M62" s="650">
        <f>255.76*'Preset Scenarios'!C46</f>
        <v>255.76</v>
      </c>
      <c r="N62" s="650">
        <f>250.64*'Preset Scenarios'!C46</f>
        <v>250.64</v>
      </c>
      <c r="O62" s="651"/>
      <c r="P62" s="650">
        <f>267*'Preset Scenarios'!C46</f>
        <v>267</v>
      </c>
      <c r="Q62" s="650">
        <f>265*'Preset Scenarios'!C46</f>
        <v>265</v>
      </c>
      <c r="R62" s="652">
        <f>291*'Preset Scenarios'!C46</f>
        <v>291</v>
      </c>
      <c r="T62" s="675"/>
    </row>
    <row r="63" spans="1:21" ht="18.75">
      <c r="A63" s="351" t="s">
        <v>363</v>
      </c>
      <c r="B63" s="338"/>
      <c r="C63" s="338"/>
      <c r="D63" s="567">
        <f ca="1">IRR!D66</f>
        <v>0.15001909683309328</v>
      </c>
      <c r="E63" s="338"/>
      <c r="F63" s="338"/>
      <c r="G63" s="352"/>
      <c r="J63" s="351" t="s">
        <v>134</v>
      </c>
      <c r="K63" s="338"/>
      <c r="L63" s="650">
        <f>342.956*'Preset Scenarios'!C46</f>
        <v>342.95600000000002</v>
      </c>
      <c r="M63" s="650">
        <f>'Preset Scenarios'!C46*443.2203</f>
        <v>443.22030000000001</v>
      </c>
      <c r="N63" s="650">
        <f>334.105*'Preset Scenarios'!C46</f>
        <v>334.10500000000002</v>
      </c>
      <c r="O63" s="651"/>
      <c r="P63" s="650">
        <f>325*'Preset Scenarios'!C46</f>
        <v>325</v>
      </c>
      <c r="Q63" s="650">
        <f>327*'Preset Scenarios'!C46</f>
        <v>327</v>
      </c>
      <c r="R63" s="652">
        <f>491*'Preset Scenarios'!C46</f>
        <v>491</v>
      </c>
      <c r="T63" s="675"/>
    </row>
    <row r="64" spans="1:21" ht="18.75">
      <c r="A64" s="351" t="s">
        <v>362</v>
      </c>
      <c r="B64" s="373"/>
      <c r="C64" s="365"/>
      <c r="D64" s="567">
        <f ca="1">IRR!D70</f>
        <v>0.14280249061526212</v>
      </c>
      <c r="E64" s="338"/>
      <c r="F64" s="338"/>
      <c r="G64" s="352"/>
      <c r="J64" s="351" t="s">
        <v>135</v>
      </c>
      <c r="K64" s="338"/>
      <c r="L64" s="650">
        <f>92.957*'Preset Scenarios'!C46</f>
        <v>92.956999999999994</v>
      </c>
      <c r="M64" s="650">
        <f>44.11203*'Preset Scenarios'!C46</f>
        <v>44.112029999999997</v>
      </c>
      <c r="N64" s="650">
        <f>77.052*'Preset Scenarios'!C46</f>
        <v>77.052000000000007</v>
      </c>
      <c r="O64" s="651"/>
      <c r="P64" s="650">
        <f>70*'Preset Scenarios'!C46</f>
        <v>70</v>
      </c>
      <c r="Q64" s="650">
        <f>95*'Preset Scenarios'!C46</f>
        <v>95</v>
      </c>
      <c r="R64" s="652">
        <f>64.4*'Preset Scenarios'!C46</f>
        <v>64.400000000000006</v>
      </c>
      <c r="T64" s="675"/>
    </row>
    <row r="65" spans="1:36" ht="15.75">
      <c r="A65" s="351"/>
      <c r="B65" s="373"/>
      <c r="C65" s="365"/>
      <c r="D65" s="567"/>
      <c r="E65" s="338"/>
      <c r="F65" s="338"/>
      <c r="G65" s="352"/>
      <c r="J65" s="351" t="s">
        <v>136</v>
      </c>
      <c r="K65" s="338"/>
      <c r="L65" s="650">
        <v>158.47750865051904</v>
      </c>
      <c r="M65" s="650">
        <v>152.94117647058826</v>
      </c>
      <c r="N65" s="650">
        <v>127</v>
      </c>
      <c r="O65" s="651"/>
      <c r="P65" s="650">
        <v>176.47058823529412</v>
      </c>
      <c r="Q65" s="650">
        <v>162.62975778546712</v>
      </c>
      <c r="R65" s="652">
        <v>210.38062283737025</v>
      </c>
      <c r="T65" s="675"/>
    </row>
    <row r="66" spans="1:36" ht="15.75">
      <c r="A66" s="70"/>
      <c r="B66" s="23"/>
      <c r="C66" s="23"/>
      <c r="D66" s="552"/>
      <c r="E66" s="23"/>
      <c r="F66" s="23"/>
      <c r="G66" s="69"/>
      <c r="J66" s="351" t="s">
        <v>137</v>
      </c>
      <c r="K66" s="338"/>
      <c r="L66" s="650">
        <v>200</v>
      </c>
      <c r="M66" s="650">
        <v>200</v>
      </c>
      <c r="N66" s="650">
        <v>200</v>
      </c>
      <c r="O66" s="651"/>
      <c r="P66" s="650">
        <v>250</v>
      </c>
      <c r="Q66" s="650">
        <v>250</v>
      </c>
      <c r="R66" s="652">
        <v>250</v>
      </c>
      <c r="T66" s="675"/>
    </row>
    <row r="67" spans="1:36" ht="15.75">
      <c r="A67" s="351"/>
      <c r="B67" s="337">
        <v>2000</v>
      </c>
      <c r="C67" s="337">
        <v>2001</v>
      </c>
      <c r="D67" s="337">
        <v>2002</v>
      </c>
      <c r="E67" s="337">
        <v>2003</v>
      </c>
      <c r="F67" s="337">
        <v>2004</v>
      </c>
      <c r="G67" s="69"/>
      <c r="J67" s="351"/>
      <c r="K67" s="338"/>
      <c r="L67" s="338"/>
      <c r="M67" s="338"/>
      <c r="N67" s="338"/>
      <c r="O67" s="23"/>
      <c r="P67" s="338"/>
      <c r="Q67" s="338"/>
      <c r="R67" s="352"/>
      <c r="T67" s="675"/>
    </row>
    <row r="68" spans="1:36" ht="15.75">
      <c r="A68" s="351" t="s">
        <v>140</v>
      </c>
      <c r="B68" s="366">
        <f ca="1">IS!E38</f>
        <v>89715.843466455946</v>
      </c>
      <c r="C68" s="366">
        <f>IS!F38</f>
        <v>122372.11600515959</v>
      </c>
      <c r="D68" s="366">
        <f>IS!G38</f>
        <v>121860.67263279502</v>
      </c>
      <c r="E68" s="366">
        <f>IS!H38</f>
        <v>187651.64014913287</v>
      </c>
      <c r="F68" s="366">
        <f>IS!I38</f>
        <v>190109.1021750106</v>
      </c>
      <c r="G68" s="69"/>
      <c r="J68" s="382" t="s">
        <v>138</v>
      </c>
      <c r="K68" s="338"/>
      <c r="L68" s="365"/>
      <c r="M68" s="338"/>
      <c r="N68" s="338"/>
      <c r="O68" s="23"/>
      <c r="P68" s="338"/>
      <c r="Q68" s="338"/>
      <c r="R68" s="352"/>
      <c r="T68" s="675"/>
    </row>
    <row r="69" spans="1:36" ht="16.5" thickBot="1">
      <c r="A69" s="351" t="s">
        <v>141</v>
      </c>
      <c r="B69" s="366">
        <f ca="1">IS!E53</f>
        <v>6818.5186547803314</v>
      </c>
      <c r="C69" s="366">
        <f>IS!F53</f>
        <v>10578.175432730804</v>
      </c>
      <c r="D69" s="366">
        <f>IS!G53</f>
        <v>11629.273027392132</v>
      </c>
      <c r="E69" s="366">
        <f>IS!H53</f>
        <v>53154.459481063248</v>
      </c>
      <c r="F69" s="366">
        <f>IS!I53</f>
        <v>55540.505210509327</v>
      </c>
      <c r="G69" s="69"/>
      <c r="J69" s="353" t="s">
        <v>139</v>
      </c>
      <c r="K69" s="354"/>
      <c r="L69" s="653">
        <v>902.18513069007338</v>
      </c>
      <c r="M69" s="653">
        <v>844.78697579030927</v>
      </c>
      <c r="N69" s="653">
        <v>1002.9603450168051</v>
      </c>
      <c r="O69" s="654"/>
      <c r="P69" s="653">
        <v>483.37771444716759</v>
      </c>
      <c r="Q69" s="653">
        <v>496.73758530503255</v>
      </c>
      <c r="R69" s="655">
        <v>523.69760992364866</v>
      </c>
    </row>
    <row r="70" spans="1:36" ht="15.75">
      <c r="A70" s="351" t="s">
        <v>142</v>
      </c>
      <c r="B70" s="366">
        <f ca="1">CF!G18</f>
        <v>57205.709570188468</v>
      </c>
      <c r="C70" s="366">
        <f>CF!H18</f>
        <v>28047.418498909596</v>
      </c>
      <c r="D70" s="366">
        <f>CF!I18</f>
        <v>28095.902307795011</v>
      </c>
      <c r="E70" s="366">
        <f>CF!J18</f>
        <v>104294.33909913286</v>
      </c>
      <c r="F70" s="366">
        <f>CF!K18</f>
        <v>105710.57992501059</v>
      </c>
      <c r="G70" s="69"/>
      <c r="J70" s="22" t="s">
        <v>473</v>
      </c>
    </row>
    <row r="71" spans="1:36" ht="16.5" thickBot="1">
      <c r="A71" s="353" t="s">
        <v>143</v>
      </c>
      <c r="B71" s="367">
        <f ca="1">CF!G27</f>
        <v>65033.307730668093</v>
      </c>
      <c r="C71" s="367">
        <f>CF!H27</f>
        <v>49491.798835930706</v>
      </c>
      <c r="D71" s="367">
        <f>CF!I27</f>
        <v>44915.628788667287</v>
      </c>
      <c r="E71" s="367">
        <f ca="1">CF!J27</f>
        <v>93719.685031765199</v>
      </c>
      <c r="F71" s="367">
        <f ca="1">CF!K27</f>
        <v>90510.24283247783</v>
      </c>
      <c r="G71" s="272"/>
      <c r="J71"/>
      <c r="K71"/>
      <c r="L71"/>
      <c r="M71"/>
      <c r="N71"/>
      <c r="O71"/>
      <c r="P71"/>
      <c r="Q71"/>
      <c r="R71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>
      <c r="J72"/>
      <c r="K72"/>
      <c r="L72"/>
      <c r="M72"/>
      <c r="N72"/>
      <c r="O72"/>
      <c r="P72"/>
      <c r="Q72" s="672"/>
      <c r="R7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ht="15.75" hidden="1">
      <c r="A73" s="22" t="str">
        <f>CONCATENATE("(1) Assumes $",-CF!F51/1000," million equity inflow on 12/31/99 and $",-CF!F51/1000," million on 3/31/00.")</f>
        <v>(1) Assumes $133.75 million equity inflow on 12/31/99 and $133.75 million on 3/31/00.</v>
      </c>
      <c r="S73" s="679"/>
      <c r="T73" s="679"/>
      <c r="U73" s="679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ht="15.75" hidden="1">
      <c r="J74" s="330" t="s">
        <v>340</v>
      </c>
      <c r="K74" s="368"/>
      <c r="L74" s="389" t="s">
        <v>40</v>
      </c>
      <c r="M74" s="389"/>
      <c r="N74" s="389"/>
      <c r="O74" s="67"/>
      <c r="P74" s="389" t="s">
        <v>41</v>
      </c>
      <c r="Q74" s="389"/>
      <c r="R74" s="390"/>
      <c r="S74" s="23"/>
      <c r="T74" s="23"/>
      <c r="U74" s="23"/>
      <c r="V74" s="23"/>
      <c r="W74" s="285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spans="1:36" ht="15.75" hidden="1">
      <c r="J75" s="676" t="s">
        <v>341</v>
      </c>
      <c r="K75" s="338"/>
      <c r="L75" s="338"/>
      <c r="M75" s="338"/>
      <c r="N75" s="338"/>
      <c r="O75" s="23"/>
      <c r="P75" s="338"/>
      <c r="Q75" s="338"/>
      <c r="R75" s="352"/>
      <c r="S75" s="23"/>
      <c r="T75" s="23"/>
      <c r="U75" s="23"/>
      <c r="V75" s="23"/>
      <c r="W75" s="285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ht="15.75" hidden="1">
      <c r="J76" s="351"/>
      <c r="K76" s="338"/>
      <c r="L76" s="391" t="s">
        <v>48</v>
      </c>
      <c r="M76" s="391" t="s">
        <v>49</v>
      </c>
      <c r="N76" s="391" t="s">
        <v>50</v>
      </c>
      <c r="O76" s="23"/>
      <c r="P76" s="391" t="s">
        <v>51</v>
      </c>
      <c r="Q76" s="391" t="s">
        <v>52</v>
      </c>
      <c r="R76" s="392" t="s">
        <v>53</v>
      </c>
      <c r="S76" s="665"/>
      <c r="T76" s="665"/>
      <c r="U76" s="23"/>
      <c r="V76" s="23"/>
      <c r="W76" s="285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ht="15.75" hidden="1">
      <c r="J77" s="374" t="s">
        <v>342</v>
      </c>
      <c r="K77" s="238"/>
      <c r="L77" s="665">
        <f>SUM(L56,L62,L63,L64,L65,L66,L69,L61)/L9/1.03</f>
        <v>8.9222245424089177</v>
      </c>
      <c r="M77" s="665">
        <f>SUM(M56,M62,M63,M64,M65,M66,M69,M61)/M9/1.03</f>
        <v>7.6890708935523522</v>
      </c>
      <c r="N77" s="665">
        <f>SUM(N56,N62,N63,N64,N65,N66,N69,N61)/N9/1.03</f>
        <v>9.9769945060349627</v>
      </c>
      <c r="O77" s="666"/>
      <c r="P77" s="665">
        <f>SUM(P56,P62,P63,P64,P65,P66,P69,P61)/P9/1.03</f>
        <v>8.6830530816006242</v>
      </c>
      <c r="Q77" s="665">
        <f>SUM(Q56,Q62,Q63,Q64,Q65,Q66,Q69,Q61)/Q9/1.03</f>
        <v>9.1416405558734084</v>
      </c>
      <c r="R77" s="670">
        <f>SUM(R56,R62,R63,R64,R65,R66,R69,R61)/R9/1.03</f>
        <v>6.6841745156625896</v>
      </c>
      <c r="S77" s="667"/>
      <c r="T77" s="667"/>
      <c r="U77" s="23"/>
      <c r="V77" s="23"/>
      <c r="W77" s="666"/>
      <c r="X77" s="665"/>
      <c r="Y77" s="665"/>
      <c r="Z77" s="665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ht="15.75" hidden="1">
      <c r="J78" s="374" t="s">
        <v>338</v>
      </c>
      <c r="K78" s="238"/>
      <c r="L78" s="667">
        <f>L59/(L9*L14)*1000/1.03</f>
        <v>1.2528284789644015</v>
      </c>
      <c r="M78" s="667">
        <f>M59/(M9*M14)*1000/1.03</f>
        <v>0.7836052228542234</v>
      </c>
      <c r="N78" s="667">
        <f>N59/(N9*N14)*1000/1.03</f>
        <v>0.90087751013202244</v>
      </c>
      <c r="O78" s="664"/>
      <c r="P78" s="667">
        <f>P59/(P9*P14)*1000/1.03</f>
        <v>1.1075114815343614</v>
      </c>
      <c r="Q78" s="667">
        <f>Q59/(Q9*Q14)*1000/1.03</f>
        <v>1.0328913402087818</v>
      </c>
      <c r="R78" s="680">
        <f>R59/(R9*R14)*1000/1.03</f>
        <v>0.75786908614578519</v>
      </c>
      <c r="S78" s="671"/>
      <c r="T78" s="668"/>
      <c r="U78" s="665"/>
      <c r="V78" s="665"/>
      <c r="W78" s="664"/>
      <c r="X78" s="667"/>
      <c r="Y78" s="667"/>
      <c r="Z78" s="667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spans="1:36" ht="15.75" hidden="1">
      <c r="J79" s="374" t="s">
        <v>347</v>
      </c>
      <c r="K79" s="238"/>
      <c r="L79" s="677"/>
      <c r="M79" s="677"/>
      <c r="N79" s="677"/>
      <c r="O79" s="677"/>
      <c r="P79" s="677"/>
      <c r="Q79" s="677"/>
      <c r="R79" s="681"/>
      <c r="S79" s="668"/>
      <c r="T79" s="305"/>
      <c r="U79" s="667"/>
      <c r="V79" s="667"/>
      <c r="W79" s="671"/>
      <c r="X79" s="668"/>
      <c r="Y79" s="668"/>
      <c r="Z79" s="668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spans="1:36" ht="16.5" hidden="1" thickBot="1">
      <c r="J80" s="378" t="s">
        <v>339</v>
      </c>
      <c r="K80" s="663"/>
      <c r="L80" s="669">
        <f>L12</f>
        <v>11411</v>
      </c>
      <c r="M80" s="669">
        <f>M12</f>
        <v>12064</v>
      </c>
      <c r="N80" s="669">
        <f>N12</f>
        <v>12228</v>
      </c>
      <c r="O80" s="663"/>
      <c r="P80" s="669">
        <f>P12</f>
        <v>10904</v>
      </c>
      <c r="Q80" s="669">
        <f>Q12</f>
        <v>11735</v>
      </c>
      <c r="R80" s="682">
        <f>R12</f>
        <v>11973</v>
      </c>
      <c r="S80" s="23"/>
      <c r="T80" s="668"/>
      <c r="U80" s="668"/>
      <c r="V80" s="668"/>
      <c r="W80" s="671"/>
      <c r="X80" s="668"/>
      <c r="Y80" s="668"/>
      <c r="Z80" s="668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 spans="10:36" ht="15.75" hidden="1">
      <c r="J81" s="8" t="s">
        <v>343</v>
      </c>
      <c r="K81" s="238"/>
      <c r="L81" s="521"/>
      <c r="M81" s="521"/>
      <c r="N81" s="521"/>
      <c r="O81" s="238"/>
      <c r="P81" s="521"/>
      <c r="Q81" s="521"/>
      <c r="R81" s="521"/>
      <c r="S81" s="23"/>
      <c r="T81" s="668"/>
      <c r="U81" s="668"/>
      <c r="V81" s="668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spans="10:36" ht="15.75" hidden="1">
      <c r="J82" s="8" t="s">
        <v>344</v>
      </c>
      <c r="K82" s="238"/>
      <c r="L82" s="383"/>
      <c r="M82" s="383"/>
      <c r="N82" s="383"/>
      <c r="O82" s="383"/>
      <c r="P82" s="383"/>
      <c r="Q82" s="383"/>
      <c r="R82" s="383"/>
      <c r="S82" s="23"/>
      <c r="T82" s="23"/>
      <c r="U82" s="23"/>
      <c r="V82" s="23"/>
    </row>
    <row r="83" spans="10:36" ht="15.75" hidden="1">
      <c r="J83" s="238"/>
      <c r="K83" s="238"/>
      <c r="L83" s="142"/>
      <c r="M83" s="142"/>
      <c r="N83" s="142"/>
      <c r="O83" s="142"/>
      <c r="P83" s="142"/>
      <c r="Q83" s="142"/>
      <c r="R83" s="142"/>
    </row>
    <row r="84" spans="10:36" ht="15.75" hidden="1">
      <c r="J84" s="238"/>
      <c r="K84" s="8"/>
      <c r="L84" s="628"/>
      <c r="M84" s="628"/>
      <c r="N84" s="628"/>
      <c r="O84" s="628"/>
      <c r="P84" s="629"/>
      <c r="Q84" s="629"/>
      <c r="R84" s="629"/>
      <c r="S84" s="679"/>
      <c r="T84" s="679"/>
      <c r="U84" s="679"/>
    </row>
    <row r="85" spans="10:36" ht="15.75" hidden="1">
      <c r="J85" s="330" t="s">
        <v>340</v>
      </c>
      <c r="K85" s="368"/>
      <c r="L85" s="389" t="s">
        <v>40</v>
      </c>
      <c r="M85" s="389"/>
      <c r="N85" s="389"/>
      <c r="O85" s="67"/>
      <c r="P85" s="389" t="s">
        <v>41</v>
      </c>
      <c r="Q85" s="389"/>
      <c r="R85" s="390"/>
      <c r="S85" s="23"/>
      <c r="T85" s="23"/>
      <c r="U85" s="23"/>
    </row>
    <row r="86" spans="10:36" ht="15.75" hidden="1">
      <c r="J86" s="676" t="s">
        <v>341</v>
      </c>
      <c r="K86" s="338"/>
      <c r="L86" s="338"/>
      <c r="M86" s="338"/>
      <c r="N86" s="338"/>
      <c r="O86" s="23"/>
      <c r="P86" s="338"/>
      <c r="Q86" s="338"/>
      <c r="R86" s="352"/>
      <c r="S86" s="23"/>
      <c r="T86" s="23"/>
      <c r="U86" s="23"/>
    </row>
    <row r="87" spans="10:36" ht="15.75" hidden="1">
      <c r="J87" s="351"/>
      <c r="K87" s="338"/>
      <c r="L87" s="391" t="s">
        <v>48</v>
      </c>
      <c r="M87" s="391" t="s">
        <v>49</v>
      </c>
      <c r="N87" s="391" t="s">
        <v>50</v>
      </c>
      <c r="O87" s="23"/>
      <c r="P87" s="391" t="s">
        <v>51</v>
      </c>
      <c r="Q87" s="391" t="s">
        <v>52</v>
      </c>
      <c r="R87" s="392" t="s">
        <v>53</v>
      </c>
      <c r="S87" s="665"/>
      <c r="T87" s="665"/>
      <c r="U87" s="23"/>
    </row>
    <row r="88" spans="10:36" ht="15.75" hidden="1">
      <c r="J88" s="374" t="s">
        <v>342</v>
      </c>
      <c r="K88" s="238"/>
      <c r="L88" s="665">
        <v>5.0908459016322185</v>
      </c>
      <c r="M88" s="665">
        <v>5.08990307108356</v>
      </c>
      <c r="N88" s="665">
        <v>6.9104725976445023</v>
      </c>
      <c r="O88" s="666"/>
      <c r="P88" s="665">
        <v>4.584609335170013</v>
      </c>
      <c r="Q88" s="665">
        <v>5.2158349572938301</v>
      </c>
      <c r="R88" s="670">
        <v>4.0850066931937974</v>
      </c>
      <c r="S88" s="23"/>
      <c r="T88" s="665"/>
      <c r="U88" s="23"/>
    </row>
    <row r="89" spans="10:36" ht="15.75" hidden="1">
      <c r="J89" s="374" t="s">
        <v>345</v>
      </c>
      <c r="K89" s="23"/>
      <c r="L89" s="665">
        <f>SUM(L56,L62,L63,L64,L65,L66,L69,2/3*L61)/L9/1.03</f>
        <v>7.6450983288166841</v>
      </c>
      <c r="M89" s="665">
        <f>SUM(M56,M62,M63,M64,M65,M66,M69,2/3*M61)/M9/1.03</f>
        <v>6.8226816193960884</v>
      </c>
      <c r="N89" s="665">
        <f>SUM(N56,N62,N63,N64,N65,N66,N69,2/3*N61)/N9/1.03</f>
        <v>8.9495587550355342</v>
      </c>
      <c r="O89" s="23"/>
      <c r="P89" s="665">
        <f>SUM(P56,P62,P63,P64,P65,P66,P69,2/3*P61)/P9/1.03</f>
        <v>7.3169051661237532</v>
      </c>
      <c r="Q89" s="665">
        <f>SUM(Q56,Q62,Q63,Q64,Q65,Q66,Q69,2/3*Q61)/Q9/1.03</f>
        <v>7.8330386896802144</v>
      </c>
      <c r="R89" s="670">
        <f>SUM(R56,R62,R63,R64,R65,R66,R69,2/3*R61)/R9/1.03</f>
        <v>5.8177852415063267</v>
      </c>
      <c r="S89" s="667"/>
      <c r="T89" s="667"/>
      <c r="U89" s="23"/>
    </row>
    <row r="90" spans="10:36" ht="15.75" hidden="1">
      <c r="J90" s="374" t="s">
        <v>338</v>
      </c>
      <c r="K90" s="238"/>
      <c r="L90" s="667">
        <v>1.2528284789644015</v>
      </c>
      <c r="M90" s="667">
        <v>0.75788513895310017</v>
      </c>
      <c r="N90" s="667">
        <v>0.91989339425090422</v>
      </c>
      <c r="O90" s="664"/>
      <c r="P90" s="667">
        <v>1.1075114815343614</v>
      </c>
      <c r="Q90" s="667">
        <v>1.0328913402087818</v>
      </c>
      <c r="R90" s="680">
        <v>0.75786908614578519</v>
      </c>
      <c r="S90" s="678"/>
      <c r="T90" s="667"/>
      <c r="U90" s="23"/>
    </row>
    <row r="91" spans="10:36" ht="15.75" hidden="1">
      <c r="J91" s="374" t="s">
        <v>346</v>
      </c>
      <c r="K91" s="23"/>
      <c r="L91" s="667">
        <f>L59/(L9*L14)*1000/1.03+1/3*(L77-L88)</f>
        <v>2.5299546925566343</v>
      </c>
      <c r="M91" s="667">
        <f>M59/(M9*M14)*1000/1.03+1/3*(M77-M88)</f>
        <v>1.6499944970104874</v>
      </c>
      <c r="N91" s="667">
        <f>N59/(N9*N14)*1000/1.03+1/3*(N77-N88)</f>
        <v>1.9230514795955092</v>
      </c>
      <c r="O91" s="678"/>
      <c r="P91" s="667">
        <f>P59/(P9*P14)*1000/1.03+1/3*(P77-P88)</f>
        <v>2.4736593970112315</v>
      </c>
      <c r="Q91" s="667">
        <f>Q59/(Q9*Q14)*1000/1.03+1/3*(Q77-Q88)</f>
        <v>2.3414932064019744</v>
      </c>
      <c r="R91" s="680">
        <f>R59/(R9*R14)*1000/1.03+1/3*(R77-R88)</f>
        <v>1.6242583603020493</v>
      </c>
      <c r="S91" s="671"/>
      <c r="T91" s="668"/>
      <c r="U91" s="665"/>
    </row>
    <row r="92" spans="10:36" ht="15.75" hidden="1">
      <c r="J92" s="374" t="s">
        <v>347</v>
      </c>
      <c r="K92" s="238"/>
      <c r="L92" s="677"/>
      <c r="M92" s="677"/>
      <c r="N92" s="677"/>
      <c r="O92" s="677"/>
      <c r="P92" s="677"/>
      <c r="Q92" s="677"/>
      <c r="R92" s="681"/>
      <c r="S92" s="668"/>
      <c r="T92" s="305"/>
      <c r="U92" s="667"/>
    </row>
    <row r="93" spans="10:36" ht="16.5" hidden="1" thickBot="1">
      <c r="J93" s="378" t="s">
        <v>339</v>
      </c>
      <c r="K93" s="663"/>
      <c r="L93" s="669">
        <v>11411</v>
      </c>
      <c r="M93" s="669">
        <v>12064</v>
      </c>
      <c r="N93" s="669">
        <v>12228</v>
      </c>
      <c r="O93" s="663"/>
      <c r="P93" s="669">
        <v>10904</v>
      </c>
      <c r="Q93" s="669">
        <v>11735</v>
      </c>
      <c r="R93" s="682">
        <v>11973</v>
      </c>
      <c r="S93" s="23"/>
      <c r="T93" s="668"/>
      <c r="U93" s="668"/>
    </row>
    <row r="94" spans="10:36" ht="15.75" hidden="1">
      <c r="J94" s="8" t="s">
        <v>343</v>
      </c>
      <c r="K94" s="238"/>
      <c r="L94" s="521"/>
      <c r="M94" s="521"/>
      <c r="N94" s="521"/>
      <c r="O94" s="238"/>
      <c r="P94" s="521"/>
      <c r="Q94" s="521"/>
      <c r="R94" s="521"/>
      <c r="S94" s="23"/>
      <c r="T94" s="668"/>
      <c r="U94" s="668"/>
    </row>
    <row r="95" spans="10:36" ht="15.75">
      <c r="J95" s="8" t="s">
        <v>431</v>
      </c>
      <c r="K95" s="238"/>
      <c r="L95" s="383"/>
      <c r="M95" s="383"/>
      <c r="N95" s="383"/>
      <c r="O95" s="383"/>
      <c r="P95" s="383"/>
      <c r="Q95" s="383"/>
      <c r="R95" s="383"/>
    </row>
  </sheetData>
  <pageMargins left="0.18" right="0.17" top="0.37" bottom="0.4" header="0.17" footer="0.21"/>
  <pageSetup scale="36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2"/>
  <sheetViews>
    <sheetView topLeftCell="A23" zoomScale="75" workbookViewId="0">
      <selection activeCell="I21" sqref="I21"/>
    </sheetView>
  </sheetViews>
  <sheetFormatPr defaultColWidth="9.28515625" defaultRowHeight="15.75"/>
  <cols>
    <col min="1" max="1" width="9.5703125" style="77" customWidth="1"/>
    <col min="2" max="2" width="35.140625" style="77" customWidth="1"/>
    <col min="3" max="3" width="11.140625" style="77" customWidth="1"/>
    <col min="4" max="4" width="3.7109375" style="77" customWidth="1"/>
    <col min="5" max="9" width="9.85546875" style="77" customWidth="1"/>
    <col min="10" max="11" width="11.5703125" style="77" customWidth="1"/>
    <col min="12" max="12" width="10.28515625" style="77" customWidth="1"/>
    <col min="13" max="26" width="9.85546875" style="77" customWidth="1"/>
    <col min="27" max="16384" width="9.28515625" style="77"/>
  </cols>
  <sheetData>
    <row r="1" spans="1:27" ht="12" customHeight="1">
      <c r="A1" s="47"/>
      <c r="E1" s="451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452"/>
      <c r="W1" s="452"/>
      <c r="X1" s="452"/>
      <c r="Y1" s="452"/>
      <c r="Z1" s="452"/>
    </row>
    <row r="2" spans="1:27">
      <c r="A2" s="453" t="s">
        <v>144</v>
      </c>
      <c r="B2" s="454"/>
      <c r="C2" s="237"/>
      <c r="D2" s="237"/>
      <c r="E2" s="451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</row>
    <row r="3" spans="1:27"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1"/>
      <c r="P3" s="451"/>
      <c r="Q3" s="451"/>
      <c r="R3" s="451"/>
      <c r="S3" s="451"/>
      <c r="T3" s="451"/>
      <c r="U3" s="451"/>
      <c r="V3" s="451"/>
      <c r="W3" s="451"/>
      <c r="X3" s="451"/>
      <c r="Y3" s="451"/>
      <c r="Z3" s="451"/>
    </row>
    <row r="4" spans="1:27">
      <c r="E4" s="451"/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U4" s="451"/>
      <c r="V4" s="451"/>
      <c r="W4" s="451"/>
      <c r="X4" s="451"/>
      <c r="Y4" s="451"/>
      <c r="Z4" s="451"/>
    </row>
    <row r="5" spans="1:27">
      <c r="A5" s="512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  <c r="R5" s="338"/>
      <c r="S5" s="338"/>
      <c r="T5" s="338"/>
      <c r="U5" s="338"/>
      <c r="V5" s="338"/>
      <c r="W5" s="338"/>
      <c r="X5" s="338"/>
      <c r="Y5" s="338"/>
      <c r="Z5" s="338"/>
    </row>
    <row r="6" spans="1:27">
      <c r="A6" s="512"/>
      <c r="B6" s="468" t="s">
        <v>145</v>
      </c>
      <c r="C6" s="648">
        <f>Assumptions!L52</f>
        <v>0.03</v>
      </c>
      <c r="D6" s="493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  <c r="R6" s="338"/>
      <c r="S6" s="338"/>
      <c r="T6" s="338"/>
      <c r="U6" s="338"/>
      <c r="V6" s="338"/>
      <c r="W6" s="338"/>
      <c r="X6" s="338"/>
      <c r="Y6" s="338"/>
      <c r="Z6" s="338"/>
    </row>
    <row r="7" spans="1:27">
      <c r="A7" s="338"/>
      <c r="B7" s="455"/>
      <c r="C7" s="456"/>
      <c r="D7" s="456"/>
      <c r="E7" s="338"/>
      <c r="F7" s="338"/>
      <c r="G7" s="338"/>
      <c r="H7" s="338"/>
      <c r="I7" s="457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</row>
    <row r="8" spans="1:27">
      <c r="A8" s="510" t="s">
        <v>146</v>
      </c>
      <c r="B8" s="338"/>
      <c r="C8" s="338"/>
      <c r="D8" s="338"/>
      <c r="E8" s="458"/>
      <c r="F8" s="458"/>
      <c r="G8" s="458"/>
      <c r="H8" s="458"/>
      <c r="I8" s="458"/>
      <c r="J8" s="458"/>
      <c r="K8" s="458"/>
      <c r="L8" s="458"/>
      <c r="M8" s="458"/>
      <c r="N8" s="458"/>
      <c r="O8" s="458"/>
      <c r="P8" s="458"/>
      <c r="Q8" s="458"/>
      <c r="R8" s="458"/>
      <c r="S8" s="458"/>
      <c r="T8" s="458"/>
      <c r="U8" s="458"/>
      <c r="V8" s="458"/>
      <c r="W8" s="458"/>
      <c r="X8" s="458"/>
      <c r="Y8" s="458"/>
      <c r="Z8" s="458"/>
    </row>
    <row r="9" spans="1:27">
      <c r="A9" s="338" t="s">
        <v>147</v>
      </c>
      <c r="B9" s="338"/>
      <c r="C9" s="338"/>
      <c r="D9" s="338"/>
      <c r="E9" s="459">
        <v>1999</v>
      </c>
      <c r="F9" s="459">
        <f>E9+1</f>
        <v>2000</v>
      </c>
      <c r="G9" s="459">
        <f t="shared" ref="G9:Z9" si="0">F9+1</f>
        <v>2001</v>
      </c>
      <c r="H9" s="459">
        <f t="shared" si="0"/>
        <v>2002</v>
      </c>
      <c r="I9" s="459">
        <f t="shared" si="0"/>
        <v>2003</v>
      </c>
      <c r="J9" s="459">
        <f t="shared" si="0"/>
        <v>2004</v>
      </c>
      <c r="K9" s="459">
        <f t="shared" si="0"/>
        <v>2005</v>
      </c>
      <c r="L9" s="459">
        <f t="shared" si="0"/>
        <v>2006</v>
      </c>
      <c r="M9" s="459">
        <f t="shared" si="0"/>
        <v>2007</v>
      </c>
      <c r="N9" s="459">
        <f t="shared" si="0"/>
        <v>2008</v>
      </c>
      <c r="O9" s="459">
        <f t="shared" si="0"/>
        <v>2009</v>
      </c>
      <c r="P9" s="459">
        <f t="shared" si="0"/>
        <v>2010</v>
      </c>
      <c r="Q9" s="459">
        <f t="shared" si="0"/>
        <v>2011</v>
      </c>
      <c r="R9" s="459">
        <f t="shared" si="0"/>
        <v>2012</v>
      </c>
      <c r="S9" s="459">
        <f t="shared" si="0"/>
        <v>2013</v>
      </c>
      <c r="T9" s="459">
        <f t="shared" si="0"/>
        <v>2014</v>
      </c>
      <c r="U9" s="459">
        <f t="shared" si="0"/>
        <v>2015</v>
      </c>
      <c r="V9" s="459">
        <f t="shared" si="0"/>
        <v>2016</v>
      </c>
      <c r="W9" s="459">
        <f t="shared" si="0"/>
        <v>2017</v>
      </c>
      <c r="X9" s="459">
        <f t="shared" si="0"/>
        <v>2018</v>
      </c>
      <c r="Y9" s="459">
        <f t="shared" si="0"/>
        <v>2019</v>
      </c>
      <c r="Z9" s="459">
        <f t="shared" si="0"/>
        <v>2020</v>
      </c>
    </row>
    <row r="10" spans="1:27">
      <c r="A10" s="338"/>
      <c r="B10" s="338"/>
      <c r="C10" s="338"/>
      <c r="D10" s="338"/>
      <c r="E10" s="459"/>
      <c r="F10" s="459"/>
      <c r="G10" s="459"/>
      <c r="H10" s="459"/>
      <c r="I10" s="459"/>
      <c r="J10" s="459"/>
      <c r="K10" s="459"/>
      <c r="L10" s="459"/>
      <c r="M10" s="459"/>
      <c r="N10" s="459"/>
      <c r="O10" s="459"/>
      <c r="P10" s="459"/>
      <c r="Q10" s="459"/>
      <c r="R10" s="459"/>
      <c r="S10" s="459"/>
      <c r="T10" s="459"/>
      <c r="U10" s="459"/>
      <c r="V10" s="459"/>
      <c r="W10" s="459"/>
      <c r="X10" s="459"/>
      <c r="Y10" s="459"/>
      <c r="Z10" s="459"/>
    </row>
    <row r="11" spans="1:27">
      <c r="A11" s="513" t="s">
        <v>148</v>
      </c>
      <c r="B11" s="338"/>
      <c r="C11" s="338"/>
      <c r="D11" s="338"/>
      <c r="E11" s="338"/>
      <c r="F11" s="338"/>
      <c r="G11" s="338"/>
      <c r="H11" s="338"/>
      <c r="I11" s="338"/>
      <c r="J11" s="338"/>
      <c r="K11" s="338"/>
      <c r="L11" s="338"/>
      <c r="M11" s="338"/>
      <c r="N11" s="338"/>
      <c r="O11" s="338"/>
      <c r="P11" s="338"/>
      <c r="Q11" s="338"/>
      <c r="R11" s="338"/>
      <c r="S11" s="338"/>
      <c r="T11" s="338"/>
      <c r="U11" s="338"/>
      <c r="V11" s="338"/>
      <c r="W11" s="338"/>
      <c r="X11" s="338"/>
      <c r="Y11" s="338"/>
      <c r="Z11" s="338"/>
    </row>
    <row r="12" spans="1:27">
      <c r="A12" s="338"/>
      <c r="B12" s="338" t="s">
        <v>149</v>
      </c>
      <c r="C12" s="460"/>
      <c r="D12" s="460"/>
      <c r="E12" s="461"/>
      <c r="F12" s="461">
        <v>64</v>
      </c>
      <c r="G12" s="461">
        <v>62</v>
      </c>
      <c r="H12" s="461">
        <v>61</v>
      </c>
      <c r="I12" s="461">
        <v>59</v>
      </c>
      <c r="J12" s="461">
        <v>58</v>
      </c>
      <c r="K12" s="461">
        <v>57</v>
      </c>
      <c r="L12" s="461">
        <v>56</v>
      </c>
      <c r="M12" s="461">
        <v>56</v>
      </c>
      <c r="N12" s="461">
        <v>55</v>
      </c>
      <c r="O12" s="461">
        <v>55</v>
      </c>
      <c r="P12" s="461">
        <v>54</v>
      </c>
      <c r="Q12" s="461">
        <v>54</v>
      </c>
      <c r="R12" s="461">
        <v>53</v>
      </c>
      <c r="S12" s="461">
        <v>52</v>
      </c>
      <c r="T12" s="461">
        <v>51</v>
      </c>
      <c r="U12" s="461">
        <v>50</v>
      </c>
      <c r="V12" s="461">
        <v>49</v>
      </c>
      <c r="W12" s="461">
        <v>48</v>
      </c>
      <c r="X12" s="461">
        <v>47</v>
      </c>
      <c r="Y12" s="461">
        <v>46</v>
      </c>
      <c r="Z12" s="461">
        <v>45</v>
      </c>
      <c r="AA12" s="462"/>
    </row>
    <row r="13" spans="1:27">
      <c r="A13" s="338"/>
      <c r="B13" s="338" t="s">
        <v>150</v>
      </c>
      <c r="C13" s="338"/>
      <c r="D13" s="338"/>
      <c r="E13" s="461"/>
      <c r="F13" s="461">
        <v>51</v>
      </c>
      <c r="G13" s="461">
        <v>52</v>
      </c>
      <c r="H13" s="461">
        <v>52</v>
      </c>
      <c r="I13" s="461">
        <v>52</v>
      </c>
      <c r="J13" s="461">
        <v>52</v>
      </c>
      <c r="K13" s="461">
        <v>52</v>
      </c>
      <c r="L13" s="461">
        <v>50</v>
      </c>
      <c r="M13" s="461">
        <v>48</v>
      </c>
      <c r="N13" s="461">
        <v>45</v>
      </c>
      <c r="O13" s="461">
        <v>43</v>
      </c>
      <c r="P13" s="461">
        <v>41</v>
      </c>
      <c r="Q13" s="461">
        <v>40</v>
      </c>
      <c r="R13" s="461">
        <v>39</v>
      </c>
      <c r="S13" s="461">
        <v>37</v>
      </c>
      <c r="T13" s="461">
        <v>36</v>
      </c>
      <c r="U13" s="461">
        <v>35</v>
      </c>
      <c r="V13" s="461">
        <v>35</v>
      </c>
      <c r="W13" s="461">
        <v>35</v>
      </c>
      <c r="X13" s="461">
        <v>34</v>
      </c>
      <c r="Y13" s="461">
        <v>34</v>
      </c>
      <c r="Z13" s="461">
        <v>34</v>
      </c>
      <c r="AA13" s="463"/>
    </row>
    <row r="14" spans="1:27">
      <c r="A14" s="338"/>
      <c r="B14" s="338"/>
      <c r="C14" s="338"/>
      <c r="D14" s="338"/>
      <c r="E14" s="461"/>
      <c r="F14" s="461"/>
      <c r="G14" s="461"/>
      <c r="H14" s="461"/>
      <c r="I14" s="461"/>
      <c r="J14" s="461"/>
      <c r="K14" s="461"/>
      <c r="L14" s="461"/>
      <c r="M14" s="461"/>
      <c r="N14" s="461"/>
      <c r="O14" s="461"/>
      <c r="P14" s="461"/>
      <c r="Q14" s="461"/>
      <c r="R14" s="461"/>
      <c r="S14" s="461"/>
      <c r="T14" s="461"/>
      <c r="U14" s="461"/>
      <c r="V14" s="461"/>
      <c r="W14" s="461"/>
      <c r="X14" s="461"/>
      <c r="Y14" s="461"/>
      <c r="Z14" s="461"/>
      <c r="AA14" s="463"/>
    </row>
    <row r="15" spans="1:27">
      <c r="A15" s="513" t="s">
        <v>151</v>
      </c>
      <c r="B15" s="338"/>
      <c r="C15" s="338"/>
      <c r="D15" s="338"/>
      <c r="E15" s="461"/>
      <c r="F15" s="461"/>
      <c r="G15" s="461"/>
      <c r="H15" s="461"/>
      <c r="I15" s="461"/>
      <c r="J15" s="461"/>
      <c r="K15" s="461"/>
      <c r="L15" s="461"/>
      <c r="M15" s="461"/>
      <c r="N15" s="461"/>
      <c r="O15" s="461"/>
      <c r="P15" s="461"/>
      <c r="Q15" s="461"/>
      <c r="R15" s="461"/>
      <c r="S15" s="461"/>
      <c r="T15" s="461"/>
      <c r="U15" s="461"/>
      <c r="V15" s="461"/>
      <c r="W15" s="461"/>
      <c r="X15" s="461"/>
      <c r="Y15" s="461"/>
      <c r="Z15" s="461"/>
      <c r="AA15" s="463"/>
    </row>
    <row r="16" spans="1:27">
      <c r="A16" s="338"/>
      <c r="B16" s="338" t="s">
        <v>152</v>
      </c>
      <c r="C16" s="464"/>
      <c r="D16" s="464"/>
      <c r="E16" s="461"/>
      <c r="F16" s="461">
        <f>F12*(1+'Power Price Assumption'!$C$6)^(F9-1998)</f>
        <v>67.897599999999997</v>
      </c>
      <c r="G16" s="461">
        <f>G12*(1+'Power Price Assumption'!$C$6)^(G9-1998)</f>
        <v>67.749074000000007</v>
      </c>
      <c r="H16" s="461">
        <f>H12*(1+'Power Price Assumption'!$C$6)^(H9-1998)</f>
        <v>68.656037409999996</v>
      </c>
      <c r="I16" s="461">
        <f>I12*(1+'Power Price Assumption'!$C$6)^(I9-1998)</f>
        <v>68.397170383699986</v>
      </c>
      <c r="J16" s="461">
        <f>J12*(1+'Power Price Assumption'!$C$6)^(J9-1998)</f>
        <v>69.255033198682</v>
      </c>
      <c r="K16" s="461">
        <f>K12*(1+'Power Price Assumption'!$C$6)^(K9-1998)</f>
        <v>70.10281032921759</v>
      </c>
      <c r="L16" s="461">
        <f>L12*(1+'Power Price Assumption'!$C$6)^(L9-1998)</f>
        <v>70.939124557706492</v>
      </c>
      <c r="M16" s="461">
        <f>M12*(1+'Power Price Assumption'!$C$6)^(M9-1998)</f>
        <v>73.067298294437691</v>
      </c>
      <c r="N16" s="461">
        <f>N12*(1+'Power Price Assumption'!$C$6)^(N9-1998)</f>
        <v>73.915400863926692</v>
      </c>
      <c r="O16" s="461">
        <f>O12*(1+'Power Price Assumption'!$C$6)^(O9-1998)</f>
        <v>76.132862889844503</v>
      </c>
      <c r="P16" s="461">
        <f>P12*(1+'Power Price Assumption'!$C$6)^(P9-1998)</f>
        <v>76.991087889693645</v>
      </c>
      <c r="Q16" s="461">
        <f>Q12*(1+'Power Price Assumption'!$C$6)^(Q9-1998)</f>
        <v>79.300820526384456</v>
      </c>
      <c r="R16" s="461">
        <f>R12*(1+'Power Price Assumption'!$C$6)^(R9-1998)</f>
        <v>80.167255417320888</v>
      </c>
      <c r="S16" s="461">
        <f>S12*(1+'Power Price Assumption'!$C$6)^(S9-1998)</f>
        <v>81.014305663239753</v>
      </c>
      <c r="T16" s="461">
        <f>T12*(1+'Power Price Assumption'!$C$6)^(T9-1998)</f>
        <v>81.840028394038143</v>
      </c>
      <c r="U16" s="461">
        <f>U12*(1+'Power Price Assumption'!$C$6)^(U9-1998)</f>
        <v>82.642381613587531</v>
      </c>
      <c r="V16" s="461">
        <f>V12*(1+'Power Price Assumption'!$C$6)^(V9-1998)</f>
        <v>83.41922000075526</v>
      </c>
      <c r="W16" s="461">
        <f>W12*(1+'Power Price Assumption'!$C$6)^(W9-1998)</f>
        <v>84.168290547700821</v>
      </c>
      <c r="X16" s="461">
        <f>X12*(1+'Power Price Assumption'!$C$6)^(X9-1998)</f>
        <v>84.88722802946242</v>
      </c>
      <c r="Y16" s="461">
        <f>Y12*(1+'Power Price Assumption'!$C$6)^(Y9-1998)</f>
        <v>85.573550298636789</v>
      </c>
      <c r="Z16" s="461">
        <f>Z12*(1+'Power Price Assumption'!$C$6)^(Z9-1998)</f>
        <v>86.224653398735114</v>
      </c>
      <c r="AA16" s="463"/>
    </row>
    <row r="17" spans="1:30">
      <c r="A17" s="338"/>
      <c r="B17" s="338" t="s">
        <v>150</v>
      </c>
      <c r="C17" s="338"/>
      <c r="D17" s="338"/>
      <c r="E17" s="461"/>
      <c r="F17" s="461">
        <f>F13*(1+'Power Price Assumption'!$C$6)^(F9-1998)</f>
        <v>54.105899999999998</v>
      </c>
      <c r="G17" s="461">
        <f>G13*(1+'Power Price Assumption'!$C$6)^(G9-1998)</f>
        <v>56.821804</v>
      </c>
      <c r="H17" s="461">
        <f>H13*(1+'Power Price Assumption'!$C$6)^(H9-1998)</f>
        <v>58.526458119999994</v>
      </c>
      <c r="I17" s="461">
        <f>I13*(1+'Power Price Assumption'!$C$6)^(I9-1998)</f>
        <v>60.282251863599996</v>
      </c>
      <c r="J17" s="461">
        <f>J13*(1+'Power Price Assumption'!$C$6)^(J9-1998)</f>
        <v>62.090719419507998</v>
      </c>
      <c r="K17" s="461">
        <f>K13*(1+'Power Price Assumption'!$C$6)^(K9-1998)</f>
        <v>63.953441002093243</v>
      </c>
      <c r="L17" s="461">
        <f>L13*(1+'Power Price Assumption'!$C$6)^(L9-1998)</f>
        <v>63.338504069380797</v>
      </c>
      <c r="M17" s="461">
        <f>M13*(1+'Power Price Assumption'!$C$6)^(M9-1998)</f>
        <v>62.629112823803737</v>
      </c>
      <c r="N17" s="461">
        <f>N13*(1+'Power Price Assumption'!$C$6)^(N9-1998)</f>
        <v>60.476237070485482</v>
      </c>
      <c r="O17" s="461">
        <f>O13*(1+'Power Price Assumption'!$C$6)^(O9-1998)</f>
        <v>59.522056441151157</v>
      </c>
      <c r="P17" s="461">
        <f>P13*(1+'Power Price Assumption'!$C$6)^(P9-1998)</f>
        <v>58.456196360693326</v>
      </c>
      <c r="Q17" s="461">
        <f>Q13*(1+'Power Price Assumption'!$C$6)^(Q9-1998)</f>
        <v>58.741348538062553</v>
      </c>
      <c r="R17" s="461">
        <f>R13*(1+'Power Price Assumption'!$C$6)^(R9-1998)</f>
        <v>58.990999269349331</v>
      </c>
      <c r="S17" s="461">
        <f>S13*(1+'Power Price Assumption'!$C$6)^(S9-1998)</f>
        <v>57.644794414228286</v>
      </c>
      <c r="T17" s="461">
        <f>T13*(1+'Power Price Assumption'!$C$6)^(T9-1998)</f>
        <v>57.769431807556337</v>
      </c>
      <c r="U17" s="461">
        <f>U13*(1+'Power Price Assumption'!$C$6)^(U9-1998)</f>
        <v>57.849667129511275</v>
      </c>
      <c r="V17" s="461">
        <f>V13*(1+'Power Price Assumption'!$C$6)^(V9-1998)</f>
        <v>59.585157143396614</v>
      </c>
      <c r="W17" s="461">
        <f>W13*(1+'Power Price Assumption'!$C$6)^(W9-1998)</f>
        <v>61.372711857698512</v>
      </c>
      <c r="X17" s="461">
        <f>X13*(1+'Power Price Assumption'!$C$6)^(X9-1998)</f>
        <v>61.407781978760049</v>
      </c>
      <c r="Y17" s="461">
        <f>Y13*(1+'Power Price Assumption'!$C$6)^(Y9-1998)</f>
        <v>63.250015438122844</v>
      </c>
      <c r="Z17" s="461">
        <f>Z13*(1+'Power Price Assumption'!$C$6)^(Z9-1998)</f>
        <v>65.14751590126653</v>
      </c>
      <c r="AA17" s="463"/>
    </row>
    <row r="18" spans="1:30">
      <c r="A18" s="338"/>
      <c r="B18" s="338"/>
      <c r="C18" s="338"/>
      <c r="D18" s="338"/>
      <c r="E18" s="338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7"/>
    </row>
    <row r="19" spans="1:30">
      <c r="A19" s="338">
        <v>1</v>
      </c>
      <c r="B19" s="338" t="s">
        <v>153</v>
      </c>
      <c r="C19" s="338"/>
      <c r="D19" s="338"/>
      <c r="E19" s="465"/>
      <c r="F19" s="465">
        <f>F16/12</f>
        <v>5.6581333333333328</v>
      </c>
      <c r="G19" s="465">
        <f t="shared" ref="G19:Z19" si="1">G16/12</f>
        <v>5.6457561666666676</v>
      </c>
      <c r="H19" s="465">
        <f t="shared" si="1"/>
        <v>5.7213364508333333</v>
      </c>
      <c r="I19" s="465">
        <f t="shared" si="1"/>
        <v>5.6997641986416658</v>
      </c>
      <c r="J19" s="465">
        <f t="shared" si="1"/>
        <v>5.7712527665568336</v>
      </c>
      <c r="K19" s="465">
        <f t="shared" si="1"/>
        <v>5.8419008607681322</v>
      </c>
      <c r="L19" s="465">
        <f t="shared" si="1"/>
        <v>5.9115937131422074</v>
      </c>
      <c r="M19" s="465">
        <f t="shared" si="1"/>
        <v>6.088941524536474</v>
      </c>
      <c r="N19" s="465">
        <f t="shared" si="1"/>
        <v>6.1596167386605574</v>
      </c>
      <c r="O19" s="465">
        <f t="shared" si="1"/>
        <v>6.3444052408203753</v>
      </c>
      <c r="P19" s="465">
        <f t="shared" si="1"/>
        <v>6.4159239908078041</v>
      </c>
      <c r="Q19" s="465">
        <f t="shared" si="1"/>
        <v>6.6084017105320383</v>
      </c>
      <c r="R19" s="465">
        <f t="shared" si="1"/>
        <v>6.680604618110074</v>
      </c>
      <c r="S19" s="465">
        <f t="shared" si="1"/>
        <v>6.7511921386033125</v>
      </c>
      <c r="T19" s="465">
        <f t="shared" si="1"/>
        <v>6.8200023661698452</v>
      </c>
      <c r="U19" s="465">
        <f t="shared" si="1"/>
        <v>6.8868651344656273</v>
      </c>
      <c r="V19" s="465">
        <f t="shared" si="1"/>
        <v>6.951601666729605</v>
      </c>
      <c r="W19" s="465">
        <f t="shared" si="1"/>
        <v>7.014024212308402</v>
      </c>
      <c r="X19" s="465">
        <f t="shared" si="1"/>
        <v>7.0739356691218687</v>
      </c>
      <c r="Y19" s="465">
        <f t="shared" si="1"/>
        <v>7.1311291915530655</v>
      </c>
      <c r="Z19" s="465">
        <f t="shared" si="1"/>
        <v>7.1853877832279265</v>
      </c>
      <c r="AA19" s="463"/>
    </row>
    <row r="20" spans="1:30">
      <c r="A20" s="338">
        <v>2</v>
      </c>
      <c r="B20" s="338" t="s">
        <v>154</v>
      </c>
      <c r="C20" s="338"/>
      <c r="D20" s="338"/>
      <c r="E20" s="465"/>
      <c r="F20" s="465">
        <f>F17/12</f>
        <v>4.5088249999999999</v>
      </c>
      <c r="G20" s="465">
        <f t="shared" ref="G20:Z20" si="2">G17/12</f>
        <v>4.7351503333333334</v>
      </c>
      <c r="H20" s="465">
        <f t="shared" si="2"/>
        <v>4.8772048433333328</v>
      </c>
      <c r="I20" s="465">
        <f t="shared" si="2"/>
        <v>5.023520988633333</v>
      </c>
      <c r="J20" s="465">
        <f t="shared" si="2"/>
        <v>5.1742266182923329</v>
      </c>
      <c r="K20" s="465">
        <f t="shared" si="2"/>
        <v>5.3294534168411039</v>
      </c>
      <c r="L20" s="465">
        <f t="shared" si="2"/>
        <v>5.2782086724483994</v>
      </c>
      <c r="M20" s="465">
        <f t="shared" si="2"/>
        <v>5.2190927353169778</v>
      </c>
      <c r="N20" s="465">
        <f t="shared" si="2"/>
        <v>5.0396864225404565</v>
      </c>
      <c r="O20" s="465">
        <f t="shared" si="2"/>
        <v>4.9601713700959298</v>
      </c>
      <c r="P20" s="465">
        <f t="shared" si="2"/>
        <v>4.8713496967244438</v>
      </c>
      <c r="Q20" s="465">
        <f t="shared" si="2"/>
        <v>4.8951123781718797</v>
      </c>
      <c r="R20" s="465">
        <f t="shared" si="2"/>
        <v>4.9159166057791106</v>
      </c>
      <c r="S20" s="465">
        <f t="shared" si="2"/>
        <v>4.8037328678523572</v>
      </c>
      <c r="T20" s="465">
        <f t="shared" si="2"/>
        <v>4.8141193172963614</v>
      </c>
      <c r="U20" s="465">
        <f t="shared" si="2"/>
        <v>4.8208055941259396</v>
      </c>
      <c r="V20" s="465">
        <f t="shared" si="2"/>
        <v>4.9654297619497179</v>
      </c>
      <c r="W20" s="465">
        <f t="shared" si="2"/>
        <v>5.114392654808209</v>
      </c>
      <c r="X20" s="465">
        <f t="shared" si="2"/>
        <v>5.117315164896671</v>
      </c>
      <c r="Y20" s="465">
        <f t="shared" si="2"/>
        <v>5.27083461984357</v>
      </c>
      <c r="Z20" s="465">
        <f t="shared" si="2"/>
        <v>5.4289596584388775</v>
      </c>
      <c r="AA20" s="463"/>
    </row>
    <row r="21" spans="1:30">
      <c r="A21" s="338">
        <v>3</v>
      </c>
      <c r="B21" s="338" t="s">
        <v>155</v>
      </c>
      <c r="C21" s="338"/>
      <c r="D21" s="338"/>
      <c r="E21" s="465"/>
      <c r="F21" s="649">
        <v>0</v>
      </c>
      <c r="G21" s="649">
        <v>0</v>
      </c>
      <c r="H21" s="649">
        <v>0</v>
      </c>
      <c r="I21" s="649">
        <v>0</v>
      </c>
      <c r="J21" s="649">
        <v>0</v>
      </c>
      <c r="K21" s="649">
        <v>0</v>
      </c>
      <c r="L21" s="649">
        <v>0</v>
      </c>
      <c r="M21" s="649">
        <v>0</v>
      </c>
      <c r="N21" s="649">
        <v>0</v>
      </c>
      <c r="O21" s="649">
        <v>0</v>
      </c>
      <c r="P21" s="649">
        <v>0</v>
      </c>
      <c r="Q21" s="649">
        <v>0</v>
      </c>
      <c r="R21" s="649">
        <v>0</v>
      </c>
      <c r="S21" s="649">
        <v>0</v>
      </c>
      <c r="T21" s="649">
        <v>0</v>
      </c>
      <c r="U21" s="649">
        <v>0</v>
      </c>
      <c r="V21" s="649">
        <v>0</v>
      </c>
      <c r="W21" s="649">
        <v>0</v>
      </c>
      <c r="X21" s="649">
        <v>0</v>
      </c>
      <c r="Y21" s="649">
        <v>0</v>
      </c>
      <c r="Z21" s="649">
        <v>0</v>
      </c>
      <c r="AA21" s="463"/>
    </row>
    <row r="22" spans="1:30">
      <c r="A22" s="338"/>
      <c r="B22" s="338"/>
      <c r="C22" s="338"/>
      <c r="D22" s="338"/>
      <c r="E22" s="465"/>
      <c r="F22" s="465"/>
      <c r="G22" s="465"/>
      <c r="H22" s="465"/>
      <c r="I22" s="465"/>
      <c r="J22" s="465"/>
      <c r="K22" s="465"/>
      <c r="L22" s="465"/>
      <c r="M22" s="465"/>
      <c r="N22" s="465"/>
      <c r="O22" s="465"/>
      <c r="P22" s="465"/>
      <c r="Q22" s="465"/>
      <c r="R22" s="465"/>
      <c r="S22" s="465"/>
      <c r="T22" s="465"/>
      <c r="U22" s="465"/>
      <c r="V22" s="465"/>
      <c r="W22" s="465"/>
      <c r="X22" s="465"/>
      <c r="Y22" s="465"/>
      <c r="Z22" s="465"/>
      <c r="AA22" s="463"/>
    </row>
    <row r="23" spans="1:30">
      <c r="A23" s="338"/>
      <c r="B23" s="338" t="s">
        <v>156</v>
      </c>
      <c r="C23" s="338"/>
      <c r="D23" s="338"/>
      <c r="E23" s="465">
        <v>4</v>
      </c>
      <c r="F23" s="465">
        <f>Assumptions!$L$25</f>
        <v>4</v>
      </c>
      <c r="G23" s="465">
        <f>Assumptions!$L$25</f>
        <v>4</v>
      </c>
      <c r="H23" s="465">
        <f>Assumptions!$L$25</f>
        <v>4</v>
      </c>
      <c r="I23" s="465">
        <f>Assumptions!$L$25</f>
        <v>4</v>
      </c>
      <c r="J23" s="465"/>
      <c r="K23" s="465"/>
      <c r="L23" s="465"/>
      <c r="M23" s="465"/>
      <c r="N23" s="465"/>
      <c r="O23" s="465"/>
      <c r="P23" s="465"/>
      <c r="Q23" s="465"/>
      <c r="R23" s="465"/>
      <c r="S23" s="465"/>
      <c r="T23" s="465"/>
      <c r="U23" s="465"/>
      <c r="V23" s="465"/>
      <c r="W23" s="465"/>
      <c r="X23" s="465"/>
      <c r="Y23" s="465"/>
      <c r="Z23" s="465"/>
      <c r="AA23" s="463"/>
    </row>
    <row r="24" spans="1:30">
      <c r="A24" s="338"/>
      <c r="B24" s="338"/>
      <c r="C24" s="338"/>
      <c r="D24" s="338"/>
      <c r="E24" s="466"/>
      <c r="F24" s="466"/>
      <c r="G24" s="466"/>
      <c r="H24" s="466"/>
      <c r="I24" s="467"/>
      <c r="J24" s="467"/>
      <c r="K24" s="467"/>
      <c r="L24" s="467"/>
      <c r="M24" s="467"/>
      <c r="N24" s="467"/>
      <c r="O24" s="467"/>
      <c r="P24" s="467"/>
      <c r="Q24" s="467"/>
      <c r="R24" s="467"/>
      <c r="S24" s="467"/>
      <c r="T24" s="467"/>
      <c r="U24" s="467"/>
      <c r="V24" s="467"/>
      <c r="W24" s="467"/>
      <c r="X24" s="467"/>
      <c r="Y24" s="467"/>
      <c r="Z24" s="467"/>
      <c r="AA24" s="463"/>
    </row>
    <row r="25" spans="1:30">
      <c r="A25" s="338"/>
      <c r="B25" s="468" t="s">
        <v>157</v>
      </c>
      <c r="C25" s="515">
        <f>'Preset Scenarios'!F40</f>
        <v>1</v>
      </c>
      <c r="D25" s="470"/>
      <c r="E25" s="469">
        <v>4</v>
      </c>
      <c r="F25" s="469">
        <f>F23</f>
        <v>4</v>
      </c>
      <c r="G25" s="469">
        <f>G23</f>
        <v>4</v>
      </c>
      <c r="H25" s="469">
        <f>H23</f>
        <v>4</v>
      </c>
      <c r="I25" s="469">
        <f>CHOOSE($C$25,I19,I20,I21)</f>
        <v>5.6997641986416658</v>
      </c>
      <c r="J25" s="469">
        <f t="shared" ref="J25:Y25" si="3">CHOOSE($C$25,J19,J20,J21)</f>
        <v>5.7712527665568336</v>
      </c>
      <c r="K25" s="469">
        <f t="shared" si="3"/>
        <v>5.8419008607681322</v>
      </c>
      <c r="L25" s="469">
        <f t="shared" si="3"/>
        <v>5.9115937131422074</v>
      </c>
      <c r="M25" s="469">
        <f t="shared" si="3"/>
        <v>6.088941524536474</v>
      </c>
      <c r="N25" s="469">
        <f t="shared" si="3"/>
        <v>6.1596167386605574</v>
      </c>
      <c r="O25" s="469">
        <f t="shared" si="3"/>
        <v>6.3444052408203753</v>
      </c>
      <c r="P25" s="469">
        <f t="shared" si="3"/>
        <v>6.4159239908078041</v>
      </c>
      <c r="Q25" s="469">
        <f t="shared" si="3"/>
        <v>6.6084017105320383</v>
      </c>
      <c r="R25" s="469">
        <f t="shared" si="3"/>
        <v>6.680604618110074</v>
      </c>
      <c r="S25" s="469">
        <f t="shared" si="3"/>
        <v>6.7511921386033125</v>
      </c>
      <c r="T25" s="469">
        <f t="shared" si="3"/>
        <v>6.8200023661698452</v>
      </c>
      <c r="U25" s="469">
        <f t="shared" si="3"/>
        <v>6.8868651344656273</v>
      </c>
      <c r="V25" s="469">
        <f t="shared" si="3"/>
        <v>6.951601666729605</v>
      </c>
      <c r="W25" s="469">
        <f t="shared" si="3"/>
        <v>7.014024212308402</v>
      </c>
      <c r="X25" s="469">
        <f t="shared" si="3"/>
        <v>7.0739356691218687</v>
      </c>
      <c r="Y25" s="469">
        <f t="shared" si="3"/>
        <v>7.1311291915530655</v>
      </c>
      <c r="Z25" s="469">
        <f>CHOOSE($C$25,Z19,Z20,Z21)</f>
        <v>7.1853877832279265</v>
      </c>
    </row>
    <row r="26" spans="1:30">
      <c r="A26" s="338"/>
      <c r="B26" s="468"/>
      <c r="C26" s="470"/>
      <c r="D26" s="470"/>
      <c r="E26" s="471"/>
      <c r="F26" s="471"/>
      <c r="G26" s="471"/>
      <c r="H26" s="471"/>
      <c r="I26" s="471"/>
      <c r="J26" s="471"/>
      <c r="K26" s="471"/>
      <c r="L26" s="471"/>
      <c r="M26" s="471"/>
      <c r="N26" s="471"/>
      <c r="O26" s="471"/>
      <c r="P26" s="471"/>
      <c r="Q26" s="471"/>
      <c r="R26" s="471"/>
      <c r="S26" s="471"/>
      <c r="T26" s="471"/>
      <c r="U26" s="471"/>
      <c r="V26" s="471"/>
      <c r="W26" s="471"/>
      <c r="X26" s="471"/>
      <c r="Y26" s="471"/>
      <c r="Z26" s="471"/>
      <c r="AA26" s="462"/>
      <c r="AB26" s="472"/>
      <c r="AC26" s="472"/>
    </row>
    <row r="27" spans="1:30">
      <c r="A27" s="510" t="s">
        <v>158</v>
      </c>
      <c r="B27" s="468"/>
      <c r="C27" s="470"/>
      <c r="D27" s="470"/>
      <c r="E27" s="471"/>
      <c r="F27" s="471"/>
      <c r="G27" s="471"/>
      <c r="H27" s="471"/>
      <c r="I27" s="471"/>
      <c r="J27" s="471"/>
      <c r="K27" s="471"/>
      <c r="L27" s="471"/>
      <c r="M27" s="471"/>
      <c r="N27" s="471"/>
      <c r="O27" s="471"/>
      <c r="P27" s="471"/>
      <c r="Q27" s="471"/>
      <c r="R27" s="471"/>
      <c r="S27" s="471"/>
      <c r="T27" s="471"/>
      <c r="U27" s="471"/>
      <c r="V27" s="471"/>
      <c r="W27" s="471"/>
      <c r="X27" s="471"/>
      <c r="Y27" s="471"/>
      <c r="Z27" s="471"/>
      <c r="AA27" s="462"/>
      <c r="AB27" s="472"/>
      <c r="AC27" s="472"/>
    </row>
    <row r="28" spans="1:30">
      <c r="A28" s="338" t="s">
        <v>159</v>
      </c>
      <c r="B28" s="468"/>
      <c r="C28" s="470"/>
      <c r="D28" s="470"/>
      <c r="E28" s="471"/>
      <c r="F28" s="471"/>
      <c r="G28" s="471"/>
      <c r="H28" s="471"/>
      <c r="I28" s="471"/>
      <c r="J28" s="471"/>
      <c r="K28" s="471"/>
      <c r="L28" s="471"/>
      <c r="M28" s="471"/>
      <c r="N28" s="471"/>
      <c r="O28" s="471"/>
      <c r="P28" s="471"/>
      <c r="Q28" s="471"/>
      <c r="R28" s="471"/>
      <c r="S28" s="471"/>
      <c r="T28" s="471"/>
      <c r="U28" s="471"/>
      <c r="V28" s="471"/>
      <c r="W28" s="471"/>
      <c r="X28" s="471"/>
      <c r="Y28" s="471"/>
      <c r="Z28" s="471"/>
      <c r="AA28" s="462"/>
      <c r="AB28" s="472"/>
      <c r="AC28" s="472"/>
    </row>
    <row r="29" spans="1:30">
      <c r="A29" s="338"/>
      <c r="B29" s="468"/>
      <c r="C29" s="470"/>
      <c r="D29" s="470"/>
      <c r="E29" s="471"/>
      <c r="F29" s="471"/>
      <c r="G29" s="471"/>
      <c r="H29" s="471"/>
      <c r="I29" s="471"/>
      <c r="J29" s="471"/>
      <c r="K29" s="471"/>
      <c r="L29" s="471"/>
      <c r="M29" s="471"/>
      <c r="N29" s="471"/>
      <c r="O29" s="471"/>
      <c r="P29" s="471"/>
      <c r="Q29" s="471"/>
      <c r="R29" s="471"/>
      <c r="S29" s="471"/>
      <c r="T29" s="471"/>
      <c r="U29" s="471"/>
      <c r="V29" s="471"/>
      <c r="W29" s="471"/>
      <c r="X29" s="471"/>
      <c r="Y29" s="471"/>
      <c r="Z29" s="471"/>
      <c r="AA29" s="462"/>
      <c r="AB29" s="472"/>
      <c r="AC29" s="472"/>
    </row>
    <row r="30" spans="1:30">
      <c r="A30" s="513" t="s">
        <v>148</v>
      </c>
      <c r="B30" s="338"/>
      <c r="C30" s="470"/>
      <c r="D30" s="470"/>
      <c r="E30" s="471"/>
      <c r="F30" s="471"/>
      <c r="G30" s="471"/>
      <c r="H30" s="471"/>
      <c r="I30" s="471"/>
      <c r="J30" s="471"/>
      <c r="K30" s="471"/>
      <c r="L30" s="471"/>
      <c r="M30" s="471"/>
      <c r="N30" s="471"/>
      <c r="O30" s="471"/>
      <c r="P30" s="471"/>
      <c r="Q30" s="471"/>
      <c r="R30" s="471"/>
      <c r="S30" s="471"/>
      <c r="T30" s="471"/>
      <c r="U30" s="471"/>
      <c r="V30" s="471"/>
      <c r="W30" s="471"/>
      <c r="X30" s="471"/>
      <c r="Y30" s="471"/>
      <c r="Z30" s="471"/>
      <c r="AA30" s="462"/>
      <c r="AB30" s="472"/>
      <c r="AC30" s="472"/>
    </row>
    <row r="31" spans="1:30">
      <c r="A31" s="338"/>
      <c r="B31" s="338" t="s">
        <v>149</v>
      </c>
      <c r="C31" s="470"/>
      <c r="D31" s="470"/>
      <c r="E31" s="461"/>
      <c r="F31" s="461">
        <v>66</v>
      </c>
      <c r="G31" s="461">
        <v>65</v>
      </c>
      <c r="H31" s="461">
        <v>65</v>
      </c>
      <c r="I31" s="461">
        <v>65</v>
      </c>
      <c r="J31" s="461">
        <v>64</v>
      </c>
      <c r="K31" s="461">
        <v>64</v>
      </c>
      <c r="L31" s="461">
        <v>62</v>
      </c>
      <c r="M31" s="461">
        <v>61</v>
      </c>
      <c r="N31" s="461">
        <v>60</v>
      </c>
      <c r="O31" s="461">
        <v>59</v>
      </c>
      <c r="P31" s="461">
        <v>58</v>
      </c>
      <c r="Q31" s="461">
        <v>57</v>
      </c>
      <c r="R31" s="461">
        <v>56</v>
      </c>
      <c r="S31" s="461">
        <v>55</v>
      </c>
      <c r="T31" s="461">
        <v>54</v>
      </c>
      <c r="U31" s="461">
        <v>53</v>
      </c>
      <c r="V31" s="461">
        <v>52</v>
      </c>
      <c r="W31" s="461">
        <v>51</v>
      </c>
      <c r="X31" s="461">
        <v>50</v>
      </c>
      <c r="Y31" s="461">
        <v>48</v>
      </c>
      <c r="Z31" s="461">
        <v>47</v>
      </c>
      <c r="AC31" s="472"/>
    </row>
    <row r="32" spans="1:30">
      <c r="A32" s="338"/>
      <c r="B32" s="338" t="s">
        <v>150</v>
      </c>
      <c r="C32" s="338"/>
      <c r="D32" s="338"/>
      <c r="E32" s="461"/>
      <c r="F32" s="461">
        <v>54</v>
      </c>
      <c r="G32" s="461">
        <v>54</v>
      </c>
      <c r="H32" s="461">
        <v>54</v>
      </c>
      <c r="I32" s="461">
        <v>53</v>
      </c>
      <c r="J32" s="461">
        <v>53</v>
      </c>
      <c r="K32" s="461">
        <v>52</v>
      </c>
      <c r="L32" s="461">
        <v>51</v>
      </c>
      <c r="M32" s="461">
        <v>50</v>
      </c>
      <c r="N32" s="461">
        <v>49</v>
      </c>
      <c r="O32" s="461">
        <v>48</v>
      </c>
      <c r="P32" s="461">
        <v>47</v>
      </c>
      <c r="Q32" s="461">
        <v>46</v>
      </c>
      <c r="R32" s="461">
        <v>45</v>
      </c>
      <c r="S32" s="461">
        <v>43</v>
      </c>
      <c r="T32" s="461">
        <v>42</v>
      </c>
      <c r="U32" s="461">
        <v>41</v>
      </c>
      <c r="V32" s="461">
        <v>40</v>
      </c>
      <c r="W32" s="461">
        <v>39</v>
      </c>
      <c r="X32" s="461">
        <v>38</v>
      </c>
      <c r="Y32" s="461">
        <v>37</v>
      </c>
      <c r="Z32" s="461">
        <v>36</v>
      </c>
      <c r="AC32" s="472"/>
    </row>
    <row r="33" spans="1:29">
      <c r="A33" s="363"/>
      <c r="B33" s="338"/>
      <c r="C33" s="338"/>
      <c r="D33" s="338"/>
      <c r="E33" s="461"/>
      <c r="F33" s="461"/>
      <c r="G33" s="461"/>
      <c r="H33" s="461"/>
      <c r="I33" s="461"/>
      <c r="J33" s="461"/>
      <c r="K33" s="461"/>
      <c r="L33" s="461"/>
      <c r="M33" s="461"/>
      <c r="N33" s="461"/>
      <c r="O33" s="461"/>
      <c r="P33" s="461"/>
      <c r="Q33" s="461"/>
      <c r="R33" s="461"/>
      <c r="S33" s="461"/>
      <c r="T33" s="461"/>
      <c r="U33" s="461"/>
      <c r="V33" s="461"/>
      <c r="W33" s="461"/>
      <c r="X33" s="461"/>
      <c r="Y33" s="461"/>
      <c r="Z33" s="461"/>
      <c r="AC33" s="472"/>
    </row>
    <row r="34" spans="1:29">
      <c r="A34" s="513" t="s">
        <v>160</v>
      </c>
      <c r="B34" s="338"/>
      <c r="C34" s="338"/>
      <c r="D34" s="338"/>
      <c r="E34" s="461"/>
      <c r="F34" s="461"/>
      <c r="G34" s="461"/>
      <c r="H34" s="461"/>
      <c r="I34" s="461"/>
      <c r="J34" s="461"/>
      <c r="K34" s="461"/>
      <c r="L34" s="461"/>
      <c r="M34" s="461"/>
      <c r="N34" s="461"/>
      <c r="O34" s="461"/>
      <c r="P34" s="461"/>
      <c r="Q34" s="461"/>
      <c r="R34" s="461"/>
      <c r="S34" s="461"/>
      <c r="T34" s="461"/>
      <c r="U34" s="461"/>
      <c r="V34" s="461"/>
      <c r="W34" s="461"/>
      <c r="X34" s="461"/>
      <c r="Y34" s="461"/>
      <c r="Z34" s="461"/>
      <c r="AC34" s="472"/>
    </row>
    <row r="35" spans="1:29">
      <c r="A35" s="338"/>
      <c r="B35" s="338" t="s">
        <v>152</v>
      </c>
      <c r="C35" s="338"/>
      <c r="D35" s="338"/>
      <c r="E35" s="461"/>
      <c r="F35" s="461">
        <f>F31*(1+'Power Price Assumption'!$C$6)^(F9-1998)</f>
        <v>70.01939999999999</v>
      </c>
      <c r="G35" s="461">
        <f>G31*(1+'Power Price Assumption'!$C$6)^(G9-1998)</f>
        <v>71.027254999999997</v>
      </c>
      <c r="H35" s="461">
        <f>H31*(1+'Power Price Assumption'!$C$6)^(H9-1998)</f>
        <v>73.158072649999994</v>
      </c>
      <c r="I35" s="461">
        <f>I31*(1+'Power Price Assumption'!$C$6)^(I9-1998)</f>
        <v>75.352814829499991</v>
      </c>
      <c r="J35" s="461">
        <f>J31*(1+'Power Price Assumption'!$C$6)^(J9-1998)</f>
        <v>76.419346977855994</v>
      </c>
      <c r="K35" s="461">
        <f>K31*(1+'Power Price Assumption'!$C$6)^(K9-1998)</f>
        <v>78.711927387191679</v>
      </c>
      <c r="L35" s="461">
        <f>L31*(1+'Power Price Assumption'!$C$6)^(L9-1998)</f>
        <v>78.539745046032181</v>
      </c>
      <c r="M35" s="461">
        <f>M31*(1+'Power Price Assumption'!$C$6)^(M9-1998)</f>
        <v>79.591164213583909</v>
      </c>
      <c r="N35" s="461">
        <f>N31*(1+'Power Price Assumption'!$C$6)^(N9-1998)</f>
        <v>80.634982760647304</v>
      </c>
      <c r="O35" s="461">
        <f>O31*(1+'Power Price Assumption'!$C$6)^(O9-1998)</f>
        <v>81.669798372742278</v>
      </c>
      <c r="P35" s="461">
        <f>P31*(1+'Power Price Assumption'!$C$6)^(P9-1998)</f>
        <v>82.694131437078354</v>
      </c>
      <c r="Q35" s="461">
        <f>Q31*(1+'Power Price Assumption'!$C$6)^(Q9-1998)</f>
        <v>83.706421666739146</v>
      </c>
      <c r="R35" s="461">
        <f>R31*(1+'Power Price Assumption'!$C$6)^(R9-1998)</f>
        <v>84.705024591886215</v>
      </c>
      <c r="S35" s="461">
        <f>S31*(1+'Power Price Assumption'!$C$6)^(S9-1998)</f>
        <v>85.688207913042049</v>
      </c>
      <c r="T35" s="461">
        <f>T31*(1+'Power Price Assumption'!$C$6)^(T9-1998)</f>
        <v>86.654147711334502</v>
      </c>
      <c r="U35" s="461">
        <f>U31*(1+'Power Price Assumption'!$C$6)^(U9-1998)</f>
        <v>87.600924510402791</v>
      </c>
      <c r="V35" s="461">
        <f>V31*(1+'Power Price Assumption'!$C$6)^(V9-1998)</f>
        <v>88.526519184474964</v>
      </c>
      <c r="W35" s="461">
        <f>W31*(1+'Power Price Assumption'!$C$6)^(W9-1998)</f>
        <v>89.428808706932116</v>
      </c>
      <c r="X35" s="461">
        <f>X31*(1+'Power Price Assumption'!$C$6)^(X9-1998)</f>
        <v>90.305561733470668</v>
      </c>
      <c r="Y35" s="461">
        <f>Y31*(1+'Power Price Assumption'!$C$6)^(Y9-1998)</f>
        <v>89.29413944205578</v>
      </c>
      <c r="Z35" s="461">
        <f>Z31*(1+'Power Price Assumption'!$C$6)^(Z9-1998)</f>
        <v>90.056860216456684</v>
      </c>
    </row>
    <row r="36" spans="1:29">
      <c r="A36" s="338"/>
      <c r="B36" s="338" t="s">
        <v>150</v>
      </c>
      <c r="C36" s="338"/>
      <c r="D36" s="338"/>
      <c r="E36" s="461"/>
      <c r="F36" s="461">
        <f>F32*(1+'Power Price Assumption'!$C$6)^(F9-1998)</f>
        <v>57.288599999999995</v>
      </c>
      <c r="G36" s="461">
        <f>G32*(1+'Power Price Assumption'!$C$6)^(G9-1998)</f>
        <v>59.007258</v>
      </c>
      <c r="H36" s="461">
        <f>H32*(1+'Power Price Assumption'!$C$6)^(H9-1998)</f>
        <v>60.777475739999993</v>
      </c>
      <c r="I36" s="461">
        <f>I32*(1+'Power Price Assumption'!$C$6)^(I9-1998)</f>
        <v>61.441525937899989</v>
      </c>
      <c r="J36" s="461">
        <f>J32*(1+'Power Price Assumption'!$C$6)^(J9-1998)</f>
        <v>63.284771716036992</v>
      </c>
      <c r="K36" s="461">
        <f>K32*(1+'Power Price Assumption'!$C$6)^(K9-1998)</f>
        <v>63.953441002093243</v>
      </c>
      <c r="L36" s="461">
        <f>L32*(1+'Power Price Assumption'!$C$6)^(L9-1998)</f>
        <v>64.605274150768409</v>
      </c>
      <c r="M36" s="461">
        <f>M32*(1+'Power Price Assumption'!$C$6)^(M9-1998)</f>
        <v>65.238659191462219</v>
      </c>
      <c r="N36" s="461">
        <f>N32*(1+'Power Price Assumption'!$C$6)^(N9-1998)</f>
        <v>65.851902587861971</v>
      </c>
      <c r="O36" s="461">
        <f>O32*(1+'Power Price Assumption'!$C$6)^(O9-1998)</f>
        <v>66.443225794773383</v>
      </c>
      <c r="P36" s="461">
        <f>P32*(1+'Power Price Assumption'!$C$6)^(P9-1998)</f>
        <v>67.01076168177039</v>
      </c>
      <c r="Q36" s="461">
        <f>Q32*(1+'Power Price Assumption'!$C$6)^(Q9-1998)</f>
        <v>67.552550818771934</v>
      </c>
      <c r="R36" s="461">
        <f>R32*(1+'Power Price Assumption'!$C$6)^(R9-1998)</f>
        <v>68.066537618479998</v>
      </c>
      <c r="S36" s="461">
        <f>S32*(1+'Power Price Assumption'!$C$6)^(S9-1998)</f>
        <v>66.992598913832865</v>
      </c>
      <c r="T36" s="461">
        <f>T32*(1+'Power Price Assumption'!$C$6)^(T9-1998)</f>
        <v>67.397670442149064</v>
      </c>
      <c r="U36" s="461">
        <f>U32*(1+'Power Price Assumption'!$C$6)^(U9-1998)</f>
        <v>67.76675292314178</v>
      </c>
      <c r="V36" s="461">
        <f>V32*(1+'Power Price Assumption'!$C$6)^(V9-1998)</f>
        <v>68.097322449596135</v>
      </c>
      <c r="W36" s="461">
        <f>W32*(1+'Power Price Assumption'!$C$6)^(W9-1998)</f>
        <v>68.386736070006904</v>
      </c>
      <c r="X36" s="461">
        <f>X32*(1+'Power Price Assumption'!$C$6)^(X9-1998)</f>
        <v>68.632226917437706</v>
      </c>
      <c r="Y36" s="461">
        <f>Y32*(1+'Power Price Assumption'!$C$6)^(Y9-1998)</f>
        <v>68.830899153251323</v>
      </c>
      <c r="Z36" s="461">
        <f>Z32*(1+'Power Price Assumption'!$C$6)^(Z9-1998)</f>
        <v>68.9797227189881</v>
      </c>
    </row>
    <row r="37" spans="1:29">
      <c r="A37" s="338"/>
      <c r="B37" s="338"/>
      <c r="C37" s="338"/>
      <c r="D37" s="338"/>
      <c r="E37" s="338"/>
      <c r="F37" s="457"/>
      <c r="G37" s="457"/>
      <c r="H37" s="457"/>
      <c r="I37" s="457"/>
      <c r="J37" s="457"/>
      <c r="K37" s="457"/>
      <c r="L37" s="457"/>
      <c r="M37" s="457"/>
      <c r="N37" s="457"/>
      <c r="O37" s="457"/>
      <c r="P37" s="457"/>
      <c r="Q37" s="457"/>
      <c r="R37" s="457"/>
      <c r="S37" s="457"/>
      <c r="T37" s="457"/>
      <c r="U37" s="457"/>
      <c r="V37" s="457"/>
      <c r="W37" s="457"/>
      <c r="X37" s="457"/>
      <c r="Y37" s="457"/>
      <c r="Z37" s="457"/>
    </row>
    <row r="38" spans="1:29">
      <c r="A38" s="338">
        <v>1</v>
      </c>
      <c r="B38" s="338" t="s">
        <v>153</v>
      </c>
      <c r="C38" s="338"/>
      <c r="D38" s="338"/>
      <c r="E38" s="465"/>
      <c r="F38" s="465">
        <f>F35/12</f>
        <v>5.8349499999999992</v>
      </c>
      <c r="G38" s="465">
        <f t="shared" ref="G38:Z38" si="4">G35/12</f>
        <v>5.9189379166666667</v>
      </c>
      <c r="H38" s="465">
        <f t="shared" si="4"/>
        <v>6.0965060541666665</v>
      </c>
      <c r="I38" s="465">
        <f t="shared" si="4"/>
        <v>6.2794012357916662</v>
      </c>
      <c r="J38" s="465">
        <f t="shared" si="4"/>
        <v>6.3682789148213326</v>
      </c>
      <c r="K38" s="465">
        <f t="shared" si="4"/>
        <v>6.5593272822659729</v>
      </c>
      <c r="L38" s="465">
        <f t="shared" si="4"/>
        <v>6.5449787538360154</v>
      </c>
      <c r="M38" s="465">
        <f t="shared" si="4"/>
        <v>6.6325970177986591</v>
      </c>
      <c r="N38" s="465">
        <f t="shared" si="4"/>
        <v>6.7195818967206087</v>
      </c>
      <c r="O38" s="465">
        <f t="shared" si="4"/>
        <v>6.8058165310618568</v>
      </c>
      <c r="P38" s="465">
        <f t="shared" si="4"/>
        <v>6.8911776197565295</v>
      </c>
      <c r="Q38" s="465">
        <f t="shared" si="4"/>
        <v>6.9755351388949292</v>
      </c>
      <c r="R38" s="465">
        <f t="shared" si="4"/>
        <v>7.0587520493238509</v>
      </c>
      <c r="S38" s="465">
        <f t="shared" si="4"/>
        <v>7.1406839927535044</v>
      </c>
      <c r="T38" s="465">
        <f t="shared" si="4"/>
        <v>7.2211789759445422</v>
      </c>
      <c r="U38" s="465">
        <f t="shared" si="4"/>
        <v>7.3000770425335659</v>
      </c>
      <c r="V38" s="465">
        <f t="shared" si="4"/>
        <v>7.3772099320395803</v>
      </c>
      <c r="W38" s="465">
        <f t="shared" si="4"/>
        <v>7.4524007255776761</v>
      </c>
      <c r="X38" s="465">
        <f t="shared" si="4"/>
        <v>7.5254634777892226</v>
      </c>
      <c r="Y38" s="465">
        <f t="shared" si="4"/>
        <v>7.4411782868379817</v>
      </c>
      <c r="Z38" s="465">
        <f t="shared" si="4"/>
        <v>7.5047383513713903</v>
      </c>
    </row>
    <row r="39" spans="1:29">
      <c r="A39" s="338">
        <v>2</v>
      </c>
      <c r="B39" s="338" t="s">
        <v>154</v>
      </c>
      <c r="C39" s="338"/>
      <c r="D39" s="338"/>
      <c r="E39" s="465"/>
      <c r="F39" s="465">
        <f>F36/12</f>
        <v>4.7740499999999999</v>
      </c>
      <c r="G39" s="465">
        <f t="shared" ref="G39:Z39" si="5">G36/12</f>
        <v>4.9172715</v>
      </c>
      <c r="H39" s="465">
        <f t="shared" si="5"/>
        <v>5.0647896449999994</v>
      </c>
      <c r="I39" s="465">
        <f t="shared" si="5"/>
        <v>5.1201271614916655</v>
      </c>
      <c r="J39" s="465">
        <f t="shared" si="5"/>
        <v>5.2737309763364157</v>
      </c>
      <c r="K39" s="465">
        <f t="shared" si="5"/>
        <v>5.3294534168411039</v>
      </c>
      <c r="L39" s="465">
        <f t="shared" si="5"/>
        <v>5.3837728458973677</v>
      </c>
      <c r="M39" s="465">
        <f t="shared" si="5"/>
        <v>5.4365549326218519</v>
      </c>
      <c r="N39" s="465">
        <f t="shared" si="5"/>
        <v>5.4876585489884979</v>
      </c>
      <c r="O39" s="465">
        <f t="shared" si="5"/>
        <v>5.5369354828977819</v>
      </c>
      <c r="P39" s="465">
        <f t="shared" si="5"/>
        <v>5.5842301401475325</v>
      </c>
      <c r="Q39" s="465">
        <f t="shared" si="5"/>
        <v>5.6293792348976615</v>
      </c>
      <c r="R39" s="465">
        <f t="shared" si="5"/>
        <v>5.6722114682066662</v>
      </c>
      <c r="S39" s="465">
        <f t="shared" si="5"/>
        <v>5.5827165761527384</v>
      </c>
      <c r="T39" s="465">
        <f t="shared" si="5"/>
        <v>5.6164725368457553</v>
      </c>
      <c r="U39" s="465">
        <f t="shared" si="5"/>
        <v>5.647229410261815</v>
      </c>
      <c r="V39" s="465">
        <f t="shared" si="5"/>
        <v>5.6747768707996782</v>
      </c>
      <c r="W39" s="465">
        <f t="shared" si="5"/>
        <v>5.6988946725005754</v>
      </c>
      <c r="X39" s="465">
        <f t="shared" si="5"/>
        <v>5.7193522431198085</v>
      </c>
      <c r="Y39" s="465">
        <f t="shared" si="5"/>
        <v>5.7359082627709439</v>
      </c>
      <c r="Z39" s="465">
        <f t="shared" si="5"/>
        <v>5.7483102265823414</v>
      </c>
    </row>
    <row r="40" spans="1:29">
      <c r="A40" s="338">
        <v>3</v>
      </c>
      <c r="B40" s="338" t="s">
        <v>155</v>
      </c>
      <c r="C40" s="338"/>
      <c r="D40" s="338"/>
      <c r="E40" s="465"/>
      <c r="F40" s="649">
        <v>0</v>
      </c>
      <c r="G40" s="649">
        <v>0</v>
      </c>
      <c r="H40" s="649">
        <v>0</v>
      </c>
      <c r="I40" s="649">
        <v>0</v>
      </c>
      <c r="J40" s="649">
        <v>0</v>
      </c>
      <c r="K40" s="649">
        <v>0</v>
      </c>
      <c r="L40" s="649">
        <v>0</v>
      </c>
      <c r="M40" s="649">
        <v>0</v>
      </c>
      <c r="N40" s="649">
        <v>0</v>
      </c>
      <c r="O40" s="649">
        <v>0</v>
      </c>
      <c r="P40" s="649">
        <v>0</v>
      </c>
      <c r="Q40" s="649">
        <v>0</v>
      </c>
      <c r="R40" s="649">
        <v>0</v>
      </c>
      <c r="S40" s="649">
        <v>0</v>
      </c>
      <c r="T40" s="649">
        <v>0</v>
      </c>
      <c r="U40" s="649">
        <v>0</v>
      </c>
      <c r="V40" s="649">
        <v>0</v>
      </c>
      <c r="W40" s="649">
        <v>0</v>
      </c>
      <c r="X40" s="649">
        <v>0</v>
      </c>
      <c r="Y40" s="649">
        <v>0</v>
      </c>
      <c r="Z40" s="649">
        <v>0</v>
      </c>
    </row>
    <row r="41" spans="1:29">
      <c r="A41" s="338"/>
      <c r="B41" s="338"/>
      <c r="C41" s="338"/>
      <c r="D41" s="338"/>
      <c r="E41" s="465"/>
      <c r="F41" s="465"/>
      <c r="G41" s="465"/>
      <c r="H41" s="465"/>
      <c r="I41" s="465"/>
      <c r="J41" s="465"/>
      <c r="K41" s="465"/>
      <c r="L41" s="465"/>
      <c r="M41" s="465"/>
      <c r="N41" s="465"/>
      <c r="O41" s="465"/>
      <c r="P41" s="465"/>
      <c r="Q41" s="465"/>
      <c r="R41" s="465"/>
      <c r="S41" s="465"/>
      <c r="T41" s="465"/>
      <c r="U41" s="465"/>
      <c r="V41" s="465"/>
      <c r="W41" s="465"/>
      <c r="X41" s="465"/>
      <c r="Y41" s="465"/>
      <c r="Z41" s="465"/>
    </row>
    <row r="42" spans="1:29">
      <c r="A42" s="338"/>
      <c r="B42" s="338" t="s">
        <v>156</v>
      </c>
      <c r="C42" s="338"/>
      <c r="D42" s="338"/>
      <c r="E42" s="465">
        <v>4</v>
      </c>
      <c r="F42" s="465">
        <f>Assumptions!$L$25</f>
        <v>4</v>
      </c>
      <c r="G42" s="465">
        <f>Assumptions!$L$25</f>
        <v>4</v>
      </c>
      <c r="H42" s="465">
        <f>Assumptions!$L$25</f>
        <v>4</v>
      </c>
      <c r="I42" s="465">
        <f>Assumptions!$L$25</f>
        <v>4</v>
      </c>
      <c r="J42" s="465"/>
      <c r="K42" s="465"/>
      <c r="L42" s="465"/>
      <c r="M42" s="465"/>
      <c r="N42" s="465"/>
      <c r="O42" s="465"/>
      <c r="P42" s="465"/>
      <c r="Q42" s="465"/>
      <c r="R42" s="465"/>
      <c r="S42" s="465"/>
      <c r="T42" s="465"/>
      <c r="U42" s="465"/>
      <c r="V42" s="465"/>
      <c r="W42" s="465"/>
      <c r="X42" s="465"/>
      <c r="Y42" s="465"/>
      <c r="Z42" s="465"/>
    </row>
    <row r="43" spans="1:29">
      <c r="A43" s="338"/>
      <c r="B43" s="338"/>
      <c r="C43" s="338"/>
      <c r="D43" s="338"/>
      <c r="E43" s="466"/>
      <c r="F43" s="466"/>
      <c r="G43" s="466"/>
      <c r="H43" s="466"/>
      <c r="I43" s="467"/>
      <c r="J43" s="467"/>
      <c r="K43" s="467"/>
      <c r="L43" s="467"/>
      <c r="M43" s="467"/>
      <c r="N43" s="467"/>
      <c r="O43" s="467"/>
      <c r="P43" s="467"/>
      <c r="Q43" s="467"/>
      <c r="R43" s="467"/>
      <c r="S43" s="467"/>
      <c r="T43" s="467"/>
      <c r="U43" s="467"/>
      <c r="V43" s="467"/>
      <c r="W43" s="467"/>
      <c r="X43" s="467"/>
      <c r="Y43" s="467"/>
      <c r="Z43" s="467"/>
    </row>
    <row r="44" spans="1:29">
      <c r="A44" s="338"/>
      <c r="B44" s="468" t="s">
        <v>157</v>
      </c>
      <c r="C44" s="515">
        <f>C25</f>
        <v>1</v>
      </c>
      <c r="D44" s="470"/>
      <c r="E44" s="469">
        <v>4</v>
      </c>
      <c r="F44" s="469">
        <f>F42</f>
        <v>4</v>
      </c>
      <c r="G44" s="469">
        <f>G42</f>
        <v>4</v>
      </c>
      <c r="H44" s="469">
        <f>H42</f>
        <v>4</v>
      </c>
      <c r="I44" s="469">
        <f>CHOOSE($C$44,I38,I39,I40)</f>
        <v>6.2794012357916662</v>
      </c>
      <c r="J44" s="469">
        <f t="shared" ref="J44:Y44" si="6">CHOOSE($C$44,J38,J39,J40)</f>
        <v>6.3682789148213326</v>
      </c>
      <c r="K44" s="469">
        <f t="shared" si="6"/>
        <v>6.5593272822659729</v>
      </c>
      <c r="L44" s="469">
        <f t="shared" si="6"/>
        <v>6.5449787538360154</v>
      </c>
      <c r="M44" s="469">
        <f t="shared" si="6"/>
        <v>6.6325970177986591</v>
      </c>
      <c r="N44" s="469">
        <f t="shared" si="6"/>
        <v>6.7195818967206087</v>
      </c>
      <c r="O44" s="469">
        <f t="shared" si="6"/>
        <v>6.8058165310618568</v>
      </c>
      <c r="P44" s="469">
        <f t="shared" si="6"/>
        <v>6.8911776197565295</v>
      </c>
      <c r="Q44" s="469">
        <f t="shared" si="6"/>
        <v>6.9755351388949292</v>
      </c>
      <c r="R44" s="469">
        <f t="shared" si="6"/>
        <v>7.0587520493238509</v>
      </c>
      <c r="S44" s="469">
        <f t="shared" si="6"/>
        <v>7.1406839927535044</v>
      </c>
      <c r="T44" s="469">
        <f t="shared" si="6"/>
        <v>7.2211789759445422</v>
      </c>
      <c r="U44" s="469">
        <f t="shared" si="6"/>
        <v>7.3000770425335659</v>
      </c>
      <c r="V44" s="469">
        <f t="shared" si="6"/>
        <v>7.3772099320395803</v>
      </c>
      <c r="W44" s="469">
        <f t="shared" si="6"/>
        <v>7.4524007255776761</v>
      </c>
      <c r="X44" s="469">
        <f t="shared" si="6"/>
        <v>7.5254634777892226</v>
      </c>
      <c r="Y44" s="469">
        <f t="shared" si="6"/>
        <v>7.4411782868379817</v>
      </c>
      <c r="Z44" s="469">
        <f>CHOOSE($C$44,Z38,Z39,Z40)</f>
        <v>7.5047383513713903</v>
      </c>
    </row>
    <row r="45" spans="1:29">
      <c r="A45" s="338"/>
      <c r="B45" s="468"/>
      <c r="C45" s="470"/>
      <c r="D45" s="470"/>
      <c r="E45" s="471"/>
      <c r="F45" s="471"/>
      <c r="G45" s="471"/>
      <c r="H45" s="471"/>
      <c r="I45" s="471"/>
      <c r="J45" s="471"/>
      <c r="K45" s="471"/>
      <c r="L45" s="471"/>
      <c r="M45" s="471"/>
      <c r="N45" s="471"/>
      <c r="O45" s="471"/>
      <c r="P45" s="471"/>
      <c r="Q45" s="471"/>
      <c r="R45" s="471"/>
      <c r="S45" s="471"/>
      <c r="T45" s="471"/>
      <c r="U45" s="471"/>
      <c r="V45" s="471"/>
      <c r="W45" s="471"/>
      <c r="X45" s="471"/>
      <c r="Y45" s="471"/>
      <c r="Z45" s="471"/>
    </row>
    <row r="46" spans="1:29">
      <c r="A46" s="510" t="s">
        <v>161</v>
      </c>
      <c r="B46" s="338"/>
      <c r="C46" s="338"/>
      <c r="D46" s="338"/>
      <c r="E46" s="338"/>
      <c r="F46" s="338"/>
      <c r="G46" s="338"/>
      <c r="H46" s="338"/>
      <c r="I46" s="338"/>
      <c r="J46" s="338"/>
      <c r="K46" s="338"/>
      <c r="L46" s="338"/>
      <c r="M46" s="338"/>
      <c r="N46" s="338"/>
      <c r="O46" s="338"/>
      <c r="P46" s="338"/>
      <c r="Q46" s="338"/>
      <c r="R46" s="338"/>
      <c r="S46" s="338"/>
      <c r="T46" s="338"/>
      <c r="U46" s="338"/>
      <c r="V46" s="338"/>
      <c r="W46" s="338"/>
      <c r="X46" s="338"/>
      <c r="Y46" s="338"/>
      <c r="Z46" s="338"/>
    </row>
    <row r="47" spans="1:29">
      <c r="A47" s="338" t="s">
        <v>162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338"/>
      <c r="Z47" s="338"/>
    </row>
    <row r="48" spans="1:29">
      <c r="A48" s="338"/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38"/>
      <c r="Z48" s="338"/>
    </row>
    <row r="49" spans="1:26">
      <c r="A49" s="513" t="s">
        <v>148</v>
      </c>
      <c r="B49" s="338"/>
      <c r="C49" s="338"/>
      <c r="D49" s="338"/>
      <c r="E49" s="338"/>
      <c r="F49" s="338"/>
      <c r="G49" s="338"/>
      <c r="H49" s="338"/>
      <c r="I49" s="338"/>
      <c r="J49" s="338"/>
      <c r="K49" s="338"/>
      <c r="L49" s="338"/>
      <c r="M49" s="338"/>
      <c r="N49" s="338"/>
      <c r="O49" s="338"/>
      <c r="P49" s="338"/>
      <c r="Q49" s="338"/>
      <c r="R49" s="338"/>
      <c r="S49" s="338"/>
      <c r="T49" s="338"/>
      <c r="U49" s="338"/>
      <c r="V49" s="338"/>
      <c r="W49" s="338"/>
      <c r="X49" s="338"/>
      <c r="Y49" s="338"/>
      <c r="Z49" s="338"/>
    </row>
    <row r="50" spans="1:26">
      <c r="A50" s="338"/>
      <c r="B50" s="338" t="s">
        <v>149</v>
      </c>
      <c r="C50" s="470"/>
      <c r="D50" s="470"/>
      <c r="E50" s="473"/>
      <c r="F50" s="461">
        <v>66</v>
      </c>
      <c r="G50" s="461">
        <v>66</v>
      </c>
      <c r="H50" s="461">
        <v>65</v>
      </c>
      <c r="I50" s="461">
        <v>65</v>
      </c>
      <c r="J50" s="461">
        <v>65</v>
      </c>
      <c r="K50" s="461">
        <v>65</v>
      </c>
      <c r="L50" s="461">
        <v>64</v>
      </c>
      <c r="M50" s="461">
        <v>63</v>
      </c>
      <c r="N50" s="461">
        <v>62</v>
      </c>
      <c r="O50" s="461">
        <v>61</v>
      </c>
      <c r="P50" s="461">
        <v>60</v>
      </c>
      <c r="Q50" s="461">
        <v>59</v>
      </c>
      <c r="R50" s="461">
        <v>58</v>
      </c>
      <c r="S50" s="461">
        <v>56</v>
      </c>
      <c r="T50" s="461">
        <v>55</v>
      </c>
      <c r="U50" s="461">
        <v>54</v>
      </c>
      <c r="V50" s="461">
        <v>53</v>
      </c>
      <c r="W50" s="461">
        <v>52</v>
      </c>
      <c r="X50" s="461">
        <v>51</v>
      </c>
      <c r="Y50" s="461">
        <v>49</v>
      </c>
      <c r="Z50" s="461">
        <v>48</v>
      </c>
    </row>
    <row r="51" spans="1:26">
      <c r="A51" s="338"/>
      <c r="B51" s="338" t="s">
        <v>150</v>
      </c>
      <c r="C51" s="470"/>
      <c r="D51" s="470"/>
      <c r="E51" s="473"/>
      <c r="F51" s="473">
        <v>54</v>
      </c>
      <c r="G51" s="473">
        <v>54</v>
      </c>
      <c r="H51" s="473">
        <v>54</v>
      </c>
      <c r="I51" s="473">
        <v>54</v>
      </c>
      <c r="J51" s="473">
        <v>54</v>
      </c>
      <c r="K51" s="473">
        <v>53</v>
      </c>
      <c r="L51" s="473">
        <v>53</v>
      </c>
      <c r="M51" s="473">
        <v>52</v>
      </c>
      <c r="N51" s="473">
        <v>51</v>
      </c>
      <c r="O51" s="473">
        <v>50</v>
      </c>
      <c r="P51" s="473">
        <v>49</v>
      </c>
      <c r="Q51" s="473">
        <v>48</v>
      </c>
      <c r="R51" s="473">
        <v>46</v>
      </c>
      <c r="S51" s="473">
        <v>44</v>
      </c>
      <c r="T51" s="473">
        <v>43</v>
      </c>
      <c r="U51" s="473">
        <v>41</v>
      </c>
      <c r="V51" s="473">
        <v>40</v>
      </c>
      <c r="W51" s="473">
        <v>39</v>
      </c>
      <c r="X51" s="473">
        <v>39</v>
      </c>
      <c r="Y51" s="473">
        <v>38</v>
      </c>
      <c r="Z51" s="473">
        <v>37</v>
      </c>
    </row>
    <row r="52" spans="1:26">
      <c r="A52" s="338"/>
      <c r="B52" s="338"/>
      <c r="C52" s="470"/>
      <c r="D52" s="470"/>
      <c r="E52" s="473"/>
      <c r="F52" s="473"/>
      <c r="G52" s="473"/>
      <c r="H52" s="473"/>
      <c r="I52" s="473"/>
      <c r="J52" s="473"/>
      <c r="K52" s="473"/>
      <c r="L52" s="473"/>
      <c r="M52" s="473"/>
      <c r="N52" s="473"/>
      <c r="O52" s="473"/>
      <c r="P52" s="473"/>
      <c r="Q52" s="473"/>
      <c r="R52" s="473"/>
      <c r="S52" s="473"/>
      <c r="T52" s="473"/>
      <c r="U52" s="473"/>
      <c r="V52" s="473"/>
      <c r="W52" s="473"/>
      <c r="X52" s="473"/>
      <c r="Y52" s="473"/>
      <c r="Z52" s="473"/>
    </row>
    <row r="53" spans="1:26">
      <c r="A53" s="513" t="s">
        <v>151</v>
      </c>
      <c r="B53" s="338"/>
      <c r="C53" s="470"/>
      <c r="D53" s="470"/>
      <c r="E53" s="473"/>
      <c r="F53" s="473"/>
      <c r="G53" s="473"/>
      <c r="H53" s="473"/>
      <c r="I53" s="473"/>
      <c r="J53" s="473"/>
      <c r="K53" s="473"/>
      <c r="L53" s="473"/>
      <c r="M53" s="473"/>
      <c r="N53" s="473"/>
      <c r="O53" s="473"/>
      <c r="P53" s="473"/>
      <c r="Q53" s="473"/>
      <c r="R53" s="473"/>
      <c r="S53" s="473"/>
      <c r="T53" s="473"/>
      <c r="U53" s="473"/>
      <c r="V53" s="473"/>
      <c r="W53" s="473"/>
      <c r="X53" s="473"/>
      <c r="Y53" s="473"/>
      <c r="Z53" s="473"/>
    </row>
    <row r="54" spans="1:26">
      <c r="A54" s="338"/>
      <c r="B54" s="338" t="s">
        <v>152</v>
      </c>
      <c r="C54" s="470"/>
      <c r="D54" s="470"/>
      <c r="E54" s="473"/>
      <c r="F54" s="473">
        <f>F50*(1+'Power Price Assumption'!$C$6)^(F9-1998)</f>
        <v>70.01939999999999</v>
      </c>
      <c r="G54" s="473">
        <f>G50*(1+'Power Price Assumption'!$C$6)^(G9-1998)</f>
        <v>72.119981999999993</v>
      </c>
      <c r="H54" s="473">
        <f>H50*(1+'Power Price Assumption'!$C$6)^(H9-1998)</f>
        <v>73.158072649999994</v>
      </c>
      <c r="I54" s="473">
        <f>I50*(1+'Power Price Assumption'!$C$6)^(I9-1998)</f>
        <v>75.352814829499991</v>
      </c>
      <c r="J54" s="473">
        <f>J50*(1+'Power Price Assumption'!$C$6)^(J9-1998)</f>
        <v>77.613399274384989</v>
      </c>
      <c r="K54" s="473">
        <f>K50*(1+'Power Price Assumption'!$C$6)^(K9-1998)</f>
        <v>79.941801252616543</v>
      </c>
      <c r="L54" s="473">
        <f>L50*(1+'Power Price Assumption'!$C$6)^(L9-1998)</f>
        <v>81.07328520880742</v>
      </c>
      <c r="M54" s="473">
        <f>M50*(1+'Power Price Assumption'!$C$6)^(M9-1998)</f>
        <v>82.200710581242404</v>
      </c>
      <c r="N54" s="473">
        <f>N50*(1+'Power Price Assumption'!$C$6)^(N9-1998)</f>
        <v>83.322815519335549</v>
      </c>
      <c r="O54" s="473">
        <f>O50*(1+'Power Price Assumption'!$C$6)^(O9-1998)</f>
        <v>84.43826611419118</v>
      </c>
      <c r="P54" s="473">
        <f>P50*(1+'Power Price Assumption'!$C$6)^(P9-1998)</f>
        <v>85.545653210770723</v>
      </c>
      <c r="Q54" s="473">
        <f>Q50*(1+'Power Price Assumption'!$C$6)^(Q9-1998)</f>
        <v>86.643489093642273</v>
      </c>
      <c r="R54" s="473">
        <f>R50*(1+'Power Price Assumption'!$C$6)^(R9-1998)</f>
        <v>87.730204041596437</v>
      </c>
      <c r="S54" s="473">
        <f>S50*(1+'Power Price Assumption'!$C$6)^(S9-1998)</f>
        <v>87.24617532964281</v>
      </c>
      <c r="T54" s="473">
        <f>T50*(1+'Power Price Assumption'!$C$6)^(T9-1998)</f>
        <v>88.258854150433294</v>
      </c>
      <c r="U54" s="473">
        <f>U50*(1+'Power Price Assumption'!$C$6)^(U9-1998)</f>
        <v>89.253772142674535</v>
      </c>
      <c r="V54" s="473">
        <f>V50*(1+'Power Price Assumption'!$C$6)^(V9-1998)</f>
        <v>90.228952245714865</v>
      </c>
      <c r="W54" s="473">
        <f>W50*(1+'Power Price Assumption'!$C$6)^(W9-1998)</f>
        <v>91.18231476000922</v>
      </c>
      <c r="X54" s="473">
        <f>X50*(1+'Power Price Assumption'!$C$6)^(X9-1998)</f>
        <v>92.11167296814007</v>
      </c>
      <c r="Y54" s="473">
        <f>Y50*(1+'Power Price Assumption'!$C$6)^(Y9-1998)</f>
        <v>91.154434013765268</v>
      </c>
      <c r="Z54" s="473">
        <f>Z50*(1+'Power Price Assumption'!$C$6)^(Z9-1998)</f>
        <v>91.972963625317462</v>
      </c>
    </row>
    <row r="55" spans="1:26">
      <c r="A55" s="338"/>
      <c r="B55" s="338" t="s">
        <v>150</v>
      </c>
      <c r="C55" s="470"/>
      <c r="D55" s="470"/>
      <c r="E55" s="473"/>
      <c r="F55" s="473">
        <f>F51*(1+'Power Price Assumption'!$C$6)^(F9-1998)</f>
        <v>57.288599999999995</v>
      </c>
      <c r="G55" s="473">
        <f>G51*(1+'Power Price Assumption'!$C$6)^(G9-1998)</f>
        <v>59.007258</v>
      </c>
      <c r="H55" s="473">
        <f>H51*(1+'Power Price Assumption'!$C$6)^(H9-1998)</f>
        <v>60.777475739999993</v>
      </c>
      <c r="I55" s="473">
        <f>I51*(1+'Power Price Assumption'!$C$6)^(I9-1998)</f>
        <v>62.60080001219999</v>
      </c>
      <c r="J55" s="473">
        <f>J51*(1+'Power Price Assumption'!$C$6)^(J9-1998)</f>
        <v>64.478824012565994</v>
      </c>
      <c r="K55" s="473">
        <f>K51*(1+'Power Price Assumption'!$C$6)^(K9-1998)</f>
        <v>65.183314867518106</v>
      </c>
      <c r="L55" s="473">
        <f>L51*(1+'Power Price Assumption'!$C$6)^(L9-1998)</f>
        <v>67.138814313543648</v>
      </c>
      <c r="M55" s="473">
        <f>M51*(1+'Power Price Assumption'!$C$6)^(M9-1998)</f>
        <v>67.848205559120714</v>
      </c>
      <c r="N55" s="473">
        <f>N51*(1+'Power Price Assumption'!$C$6)^(N9-1998)</f>
        <v>68.539735346550216</v>
      </c>
      <c r="O55" s="473">
        <f>O51*(1+'Power Price Assumption'!$C$6)^(O9-1998)</f>
        <v>69.21169353622227</v>
      </c>
      <c r="P55" s="473">
        <f>P51*(1+'Power Price Assumption'!$C$6)^(P9-1998)</f>
        <v>69.862283455462759</v>
      </c>
      <c r="Q55" s="473">
        <f>Q51*(1+'Power Price Assumption'!$C$6)^(Q9-1998)</f>
        <v>70.489618245675075</v>
      </c>
      <c r="R55" s="473">
        <f>R51*(1+'Power Price Assumption'!$C$6)^(R9-1998)</f>
        <v>69.579127343335102</v>
      </c>
      <c r="S55" s="473">
        <f>S51*(1+'Power Price Assumption'!$C$6)^(S9-1998)</f>
        <v>68.550566330433639</v>
      </c>
      <c r="T55" s="473">
        <f>T51*(1+'Power Price Assumption'!$C$6)^(T9-1998)</f>
        <v>69.002376881247841</v>
      </c>
      <c r="U55" s="473">
        <f>U51*(1+'Power Price Assumption'!$C$6)^(U9-1998)</f>
        <v>67.76675292314178</v>
      </c>
      <c r="V55" s="473">
        <f>V51*(1+'Power Price Assumption'!$C$6)^(V9-1998)</f>
        <v>68.097322449596135</v>
      </c>
      <c r="W55" s="473">
        <f>W51*(1+'Power Price Assumption'!$C$6)^(W9-1998)</f>
        <v>68.386736070006904</v>
      </c>
      <c r="X55" s="473">
        <f>X51*(1+'Power Price Assumption'!$C$6)^(X9-1998)</f>
        <v>70.438338152107121</v>
      </c>
      <c r="Y55" s="473">
        <f>Y51*(1+'Power Price Assumption'!$C$6)^(Y9-1998)</f>
        <v>70.691193724960826</v>
      </c>
      <c r="Z55" s="473">
        <f>Z51*(1+'Power Price Assumption'!$C$6)^(Z9-1998)</f>
        <v>70.895826127848878</v>
      </c>
    </row>
    <row r="56" spans="1:26">
      <c r="A56" s="338"/>
      <c r="B56" s="338"/>
      <c r="C56" s="338"/>
      <c r="D56" s="338"/>
      <c r="E56" s="338"/>
      <c r="F56" s="457"/>
      <c r="G56" s="457"/>
      <c r="H56" s="457"/>
      <c r="I56" s="457"/>
      <c r="J56" s="457"/>
      <c r="K56" s="457"/>
      <c r="L56" s="457"/>
      <c r="M56" s="457"/>
      <c r="N56" s="457"/>
      <c r="O56" s="457"/>
      <c r="P56" s="457"/>
      <c r="Q56" s="457"/>
      <c r="R56" s="457"/>
      <c r="S56" s="457"/>
      <c r="T56" s="457"/>
      <c r="U56" s="457"/>
      <c r="V56" s="457"/>
      <c r="W56" s="457"/>
      <c r="X56" s="457"/>
      <c r="Y56" s="457"/>
      <c r="Z56" s="457"/>
    </row>
    <row r="57" spans="1:26">
      <c r="A57" s="338">
        <v>1</v>
      </c>
      <c r="B57" s="338" t="s">
        <v>153</v>
      </c>
      <c r="C57" s="338"/>
      <c r="D57" s="338"/>
      <c r="E57" s="465"/>
      <c r="F57" s="465">
        <f>F54/12</f>
        <v>5.8349499999999992</v>
      </c>
      <c r="G57" s="465">
        <f t="shared" ref="G57:Z57" si="7">G54/12</f>
        <v>6.0099984999999991</v>
      </c>
      <c r="H57" s="465">
        <f t="shared" si="7"/>
        <v>6.0965060541666665</v>
      </c>
      <c r="I57" s="465">
        <f t="shared" si="7"/>
        <v>6.2794012357916662</v>
      </c>
      <c r="J57" s="465">
        <f t="shared" si="7"/>
        <v>6.4677832728654154</v>
      </c>
      <c r="K57" s="465">
        <f t="shared" si="7"/>
        <v>6.6618167710513783</v>
      </c>
      <c r="L57" s="465">
        <f t="shared" si="7"/>
        <v>6.7561071007339519</v>
      </c>
      <c r="M57" s="465">
        <f t="shared" si="7"/>
        <v>6.850059215103534</v>
      </c>
      <c r="N57" s="465">
        <f t="shared" si="7"/>
        <v>6.9435679599446294</v>
      </c>
      <c r="O57" s="465">
        <f t="shared" si="7"/>
        <v>7.036522176182598</v>
      </c>
      <c r="P57" s="465">
        <f t="shared" si="7"/>
        <v>7.1288044342308936</v>
      </c>
      <c r="Q57" s="465">
        <f t="shared" si="7"/>
        <v>7.2202907578035225</v>
      </c>
      <c r="R57" s="465">
        <f t="shared" si="7"/>
        <v>7.3108503367997031</v>
      </c>
      <c r="S57" s="465">
        <f t="shared" si="7"/>
        <v>7.2705146108035672</v>
      </c>
      <c r="T57" s="465">
        <f t="shared" si="7"/>
        <v>7.3549045125361081</v>
      </c>
      <c r="U57" s="465">
        <f t="shared" si="7"/>
        <v>7.4378143452228782</v>
      </c>
      <c r="V57" s="465">
        <f t="shared" si="7"/>
        <v>7.5190793538095724</v>
      </c>
      <c r="W57" s="465">
        <f t="shared" si="7"/>
        <v>7.5985262300007683</v>
      </c>
      <c r="X57" s="465">
        <f t="shared" si="7"/>
        <v>7.6759727473450061</v>
      </c>
      <c r="Y57" s="465">
        <f t="shared" si="7"/>
        <v>7.5962028344804393</v>
      </c>
      <c r="Z57" s="465">
        <f t="shared" si="7"/>
        <v>7.6644136354431218</v>
      </c>
    </row>
    <row r="58" spans="1:26">
      <c r="A58" s="338">
        <v>2</v>
      </c>
      <c r="B58" s="338" t="s">
        <v>154</v>
      </c>
      <c r="C58" s="338"/>
      <c r="D58" s="338"/>
      <c r="E58" s="465"/>
      <c r="F58" s="465">
        <f>F55/12</f>
        <v>4.7740499999999999</v>
      </c>
      <c r="G58" s="465">
        <f t="shared" ref="G58:Z58" si="8">G55/12</f>
        <v>4.9172715</v>
      </c>
      <c r="H58" s="465">
        <f t="shared" si="8"/>
        <v>5.0647896449999994</v>
      </c>
      <c r="I58" s="465">
        <f t="shared" si="8"/>
        <v>5.2167333343499989</v>
      </c>
      <c r="J58" s="465">
        <f t="shared" si="8"/>
        <v>5.3732353343804995</v>
      </c>
      <c r="K58" s="465">
        <f t="shared" si="8"/>
        <v>5.4319429056265092</v>
      </c>
      <c r="L58" s="465">
        <f t="shared" si="8"/>
        <v>5.5949011927953043</v>
      </c>
      <c r="M58" s="465">
        <f t="shared" si="8"/>
        <v>5.6540171299267259</v>
      </c>
      <c r="N58" s="465">
        <f t="shared" si="8"/>
        <v>5.7116446122125177</v>
      </c>
      <c r="O58" s="465">
        <f t="shared" si="8"/>
        <v>5.7676411280185222</v>
      </c>
      <c r="P58" s="465">
        <f t="shared" si="8"/>
        <v>5.8218569546218966</v>
      </c>
      <c r="Q58" s="465">
        <f t="shared" si="8"/>
        <v>5.8741348538062566</v>
      </c>
      <c r="R58" s="465">
        <f t="shared" si="8"/>
        <v>5.7982606119445919</v>
      </c>
      <c r="S58" s="465">
        <f t="shared" si="8"/>
        <v>5.712547194202803</v>
      </c>
      <c r="T58" s="465">
        <f t="shared" si="8"/>
        <v>5.7501980734373204</v>
      </c>
      <c r="U58" s="465">
        <f t="shared" si="8"/>
        <v>5.647229410261815</v>
      </c>
      <c r="V58" s="465">
        <f t="shared" si="8"/>
        <v>5.6747768707996782</v>
      </c>
      <c r="W58" s="465">
        <f t="shared" si="8"/>
        <v>5.6988946725005754</v>
      </c>
      <c r="X58" s="465">
        <f t="shared" si="8"/>
        <v>5.8698615126755938</v>
      </c>
      <c r="Y58" s="465">
        <f t="shared" si="8"/>
        <v>5.8909328104134024</v>
      </c>
      <c r="Z58" s="465">
        <f t="shared" si="8"/>
        <v>5.9079855106540728</v>
      </c>
    </row>
    <row r="59" spans="1:26">
      <c r="A59" s="338">
        <v>3</v>
      </c>
      <c r="B59" s="338" t="s">
        <v>155</v>
      </c>
      <c r="C59" s="338"/>
      <c r="D59" s="338"/>
      <c r="E59" s="465"/>
      <c r="F59" s="649">
        <v>0</v>
      </c>
      <c r="G59" s="649">
        <v>0</v>
      </c>
      <c r="H59" s="649">
        <v>0</v>
      </c>
      <c r="I59" s="649">
        <v>0</v>
      </c>
      <c r="J59" s="649">
        <v>0</v>
      </c>
      <c r="K59" s="649">
        <v>0</v>
      </c>
      <c r="L59" s="649">
        <v>0</v>
      </c>
      <c r="M59" s="649">
        <v>0</v>
      </c>
      <c r="N59" s="649">
        <v>0</v>
      </c>
      <c r="O59" s="649">
        <v>0</v>
      </c>
      <c r="P59" s="649">
        <v>0</v>
      </c>
      <c r="Q59" s="649">
        <v>0</v>
      </c>
      <c r="R59" s="649">
        <v>0</v>
      </c>
      <c r="S59" s="649">
        <v>0</v>
      </c>
      <c r="T59" s="649">
        <v>0</v>
      </c>
      <c r="U59" s="649">
        <v>0</v>
      </c>
      <c r="V59" s="649">
        <v>0</v>
      </c>
      <c r="W59" s="649">
        <v>0</v>
      </c>
      <c r="X59" s="649">
        <v>0</v>
      </c>
      <c r="Y59" s="649">
        <v>0</v>
      </c>
      <c r="Z59" s="649">
        <v>0</v>
      </c>
    </row>
    <row r="60" spans="1:26">
      <c r="A60" s="338"/>
      <c r="B60" s="338"/>
      <c r="C60" s="338"/>
      <c r="D60" s="338"/>
      <c r="E60" s="466"/>
      <c r="F60" s="466"/>
      <c r="G60" s="466"/>
      <c r="H60" s="466"/>
      <c r="I60" s="466"/>
      <c r="J60" s="467"/>
      <c r="K60" s="467"/>
      <c r="L60" s="467"/>
      <c r="M60" s="467"/>
      <c r="N60" s="467"/>
      <c r="O60" s="467"/>
      <c r="P60" s="467"/>
      <c r="Q60" s="467"/>
      <c r="R60" s="467"/>
      <c r="S60" s="467"/>
      <c r="T60" s="467"/>
      <c r="U60" s="467"/>
      <c r="V60" s="467"/>
      <c r="W60" s="467"/>
      <c r="X60" s="467"/>
      <c r="Y60" s="467"/>
      <c r="Z60" s="467"/>
    </row>
    <row r="61" spans="1:26">
      <c r="A61" s="338"/>
      <c r="B61" s="338" t="s">
        <v>156</v>
      </c>
      <c r="C61" s="338"/>
      <c r="D61" s="338"/>
      <c r="E61" s="465">
        <v>4</v>
      </c>
      <c r="F61" s="465">
        <f>Assumptions!$L$25</f>
        <v>4</v>
      </c>
      <c r="G61" s="465">
        <f>Assumptions!$L$25</f>
        <v>4</v>
      </c>
      <c r="H61" s="465">
        <f>Assumptions!$L$25</f>
        <v>4</v>
      </c>
      <c r="I61" s="465">
        <f>Assumptions!$L$25</f>
        <v>4</v>
      </c>
      <c r="J61" s="467"/>
      <c r="K61" s="467"/>
      <c r="L61" s="467"/>
      <c r="M61" s="467"/>
      <c r="N61" s="467"/>
      <c r="O61" s="467"/>
      <c r="P61" s="467"/>
      <c r="Q61" s="467"/>
      <c r="R61" s="467"/>
      <c r="S61" s="467"/>
      <c r="T61" s="467"/>
      <c r="U61" s="467"/>
      <c r="V61" s="467"/>
      <c r="W61" s="467"/>
      <c r="X61" s="467"/>
      <c r="Y61" s="467"/>
      <c r="Z61" s="467"/>
    </row>
    <row r="62" spans="1:26">
      <c r="A62" s="338"/>
      <c r="B62" s="338"/>
      <c r="C62" s="338"/>
      <c r="D62" s="338"/>
      <c r="E62" s="466"/>
      <c r="F62" s="466"/>
      <c r="G62" s="466"/>
      <c r="H62" s="466"/>
      <c r="I62" s="467"/>
      <c r="J62" s="467"/>
      <c r="K62" s="467"/>
      <c r="L62" s="467"/>
      <c r="M62" s="467"/>
      <c r="N62" s="467"/>
      <c r="O62" s="467"/>
      <c r="P62" s="467"/>
      <c r="Q62" s="467"/>
      <c r="R62" s="467"/>
      <c r="S62" s="467"/>
      <c r="T62" s="467"/>
      <c r="U62" s="467"/>
      <c r="V62" s="467"/>
      <c r="W62" s="467"/>
      <c r="X62" s="467"/>
      <c r="Y62" s="467"/>
      <c r="Z62" s="467"/>
    </row>
    <row r="63" spans="1:26">
      <c r="A63" s="338"/>
      <c r="B63" s="468" t="s">
        <v>157</v>
      </c>
      <c r="C63" s="515">
        <f>C25</f>
        <v>1</v>
      </c>
      <c r="D63" s="470"/>
      <c r="E63" s="469">
        <v>4</v>
      </c>
      <c r="F63" s="469">
        <f>F61</f>
        <v>4</v>
      </c>
      <c r="G63" s="469">
        <f>G61</f>
        <v>4</v>
      </c>
      <c r="H63" s="469">
        <f>H61</f>
        <v>4</v>
      </c>
      <c r="I63" s="469">
        <f>CHOOSE($C$63,I57,I58,I59)</f>
        <v>6.2794012357916662</v>
      </c>
      <c r="J63" s="469">
        <f t="shared" ref="J63:Y63" si="9">CHOOSE($C$63,J57,J58,J59)</f>
        <v>6.4677832728654154</v>
      </c>
      <c r="K63" s="469">
        <f t="shared" si="9"/>
        <v>6.6618167710513783</v>
      </c>
      <c r="L63" s="469">
        <f t="shared" si="9"/>
        <v>6.7561071007339519</v>
      </c>
      <c r="M63" s="469">
        <f t="shared" si="9"/>
        <v>6.850059215103534</v>
      </c>
      <c r="N63" s="469">
        <f t="shared" si="9"/>
        <v>6.9435679599446294</v>
      </c>
      <c r="O63" s="469">
        <f t="shared" si="9"/>
        <v>7.036522176182598</v>
      </c>
      <c r="P63" s="469">
        <f t="shared" si="9"/>
        <v>7.1288044342308936</v>
      </c>
      <c r="Q63" s="469">
        <f t="shared" si="9"/>
        <v>7.2202907578035225</v>
      </c>
      <c r="R63" s="469">
        <f t="shared" si="9"/>
        <v>7.3108503367997031</v>
      </c>
      <c r="S63" s="469">
        <f t="shared" si="9"/>
        <v>7.2705146108035672</v>
      </c>
      <c r="T63" s="469">
        <f t="shared" si="9"/>
        <v>7.3549045125361081</v>
      </c>
      <c r="U63" s="469">
        <f t="shared" si="9"/>
        <v>7.4378143452228782</v>
      </c>
      <c r="V63" s="469">
        <f t="shared" si="9"/>
        <v>7.5190793538095724</v>
      </c>
      <c r="W63" s="469">
        <f t="shared" si="9"/>
        <v>7.5985262300007683</v>
      </c>
      <c r="X63" s="469">
        <f t="shared" si="9"/>
        <v>7.6759727473450061</v>
      </c>
      <c r="Y63" s="469">
        <f t="shared" si="9"/>
        <v>7.5962028344804393</v>
      </c>
      <c r="Z63" s="469">
        <f>CHOOSE($C$63,Z57,Z58,Z59)</f>
        <v>7.6644136354431218</v>
      </c>
    </row>
    <row r="64" spans="1:26">
      <c r="A64" s="338"/>
      <c r="B64" s="468"/>
      <c r="C64" s="470"/>
      <c r="D64" s="470"/>
      <c r="E64" s="514"/>
      <c r="F64" s="514"/>
      <c r="G64" s="514"/>
      <c r="H64" s="514"/>
      <c r="I64" s="514"/>
      <c r="J64" s="514"/>
      <c r="K64" s="514"/>
      <c r="L64" s="514"/>
      <c r="M64" s="514"/>
      <c r="N64" s="514"/>
      <c r="O64" s="514"/>
      <c r="P64" s="514"/>
      <c r="Q64" s="514"/>
      <c r="R64" s="514"/>
      <c r="S64" s="514"/>
      <c r="T64" s="514"/>
      <c r="U64" s="514"/>
      <c r="V64" s="514"/>
      <c r="W64" s="514"/>
      <c r="X64" s="514"/>
      <c r="Y64" s="514"/>
      <c r="Z64" s="514"/>
    </row>
    <row r="65" spans="1:26">
      <c r="A65" s="338"/>
      <c r="B65" s="338"/>
      <c r="C65" s="338"/>
      <c r="D65" s="338"/>
      <c r="E65" s="338"/>
      <c r="F65" s="338"/>
      <c r="G65" s="338"/>
      <c r="H65" s="338"/>
      <c r="I65" s="338"/>
      <c r="J65" s="338"/>
      <c r="K65" s="338"/>
      <c r="L65" s="338"/>
      <c r="M65" s="338"/>
      <c r="N65" s="338"/>
      <c r="O65" s="338"/>
      <c r="P65" s="338"/>
      <c r="Q65" s="338"/>
      <c r="R65" s="338"/>
      <c r="S65" s="338"/>
      <c r="T65" s="338"/>
      <c r="U65" s="338"/>
      <c r="V65" s="338"/>
      <c r="W65" s="338"/>
      <c r="X65" s="338"/>
      <c r="Y65" s="338"/>
      <c r="Z65" s="338"/>
    </row>
    <row r="66" spans="1:26">
      <c r="A66" s="338"/>
      <c r="B66" s="338"/>
      <c r="C66" s="338"/>
      <c r="D66" s="338"/>
      <c r="E66" s="338"/>
      <c r="F66" s="338"/>
      <c r="G66" s="338"/>
      <c r="H66" s="338"/>
      <c r="I66" s="338"/>
      <c r="J66" s="338"/>
      <c r="K66" s="338"/>
      <c r="L66" s="338"/>
      <c r="M66" s="338"/>
      <c r="N66" s="338"/>
      <c r="O66" s="338"/>
      <c r="P66" s="338"/>
      <c r="Q66" s="338"/>
      <c r="R66" s="338"/>
      <c r="S66" s="338"/>
      <c r="T66" s="338"/>
      <c r="U66" s="338"/>
      <c r="V66" s="338"/>
      <c r="W66" s="338"/>
      <c r="X66" s="338"/>
      <c r="Y66" s="338"/>
      <c r="Z66" s="338"/>
    </row>
    <row r="67" spans="1:26">
      <c r="A67" s="338"/>
      <c r="B67" s="338"/>
      <c r="C67" s="338"/>
      <c r="D67" s="338"/>
      <c r="E67" s="338"/>
      <c r="F67" s="338"/>
      <c r="G67" s="338"/>
      <c r="H67" s="338"/>
      <c r="I67" s="338"/>
      <c r="J67" s="338"/>
      <c r="K67" s="338"/>
      <c r="L67" s="338"/>
      <c r="M67" s="338"/>
      <c r="N67" s="338"/>
      <c r="O67" s="338"/>
      <c r="P67" s="338"/>
      <c r="Q67" s="338"/>
      <c r="R67" s="338"/>
      <c r="S67" s="338"/>
      <c r="T67" s="338"/>
      <c r="U67" s="338"/>
      <c r="V67" s="338"/>
      <c r="W67" s="338"/>
      <c r="X67" s="338"/>
      <c r="Y67" s="338"/>
      <c r="Z67" s="338"/>
    </row>
    <row r="68" spans="1:26">
      <c r="A68" s="338"/>
      <c r="B68" s="338"/>
      <c r="C68" s="338"/>
      <c r="D68" s="338"/>
      <c r="E68" s="338"/>
      <c r="F68" s="338"/>
      <c r="G68" s="338"/>
      <c r="H68" s="338"/>
      <c r="I68" s="338"/>
      <c r="J68" s="338"/>
      <c r="K68" s="338"/>
      <c r="L68" s="338"/>
      <c r="M68" s="338"/>
      <c r="N68" s="338"/>
      <c r="O68" s="338"/>
      <c r="P68" s="338"/>
      <c r="Q68" s="338"/>
      <c r="R68" s="338"/>
      <c r="S68" s="338"/>
      <c r="T68" s="338"/>
      <c r="U68" s="338"/>
      <c r="V68" s="338"/>
      <c r="W68" s="338"/>
      <c r="X68" s="338"/>
      <c r="Y68" s="338"/>
      <c r="Z68" s="338"/>
    </row>
    <row r="69" spans="1:26">
      <c r="A69" s="338"/>
      <c r="B69" s="338"/>
      <c r="C69" s="338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</row>
    <row r="70" spans="1:26">
      <c r="A70" s="338"/>
      <c r="B70" s="338"/>
      <c r="C70" s="470"/>
      <c r="D70" s="470"/>
      <c r="E70" s="474"/>
      <c r="F70" s="475"/>
      <c r="G70" s="475"/>
      <c r="H70" s="475"/>
      <c r="I70" s="475"/>
      <c r="J70" s="475"/>
      <c r="K70" s="475"/>
      <c r="L70" s="475"/>
      <c r="M70" s="475"/>
      <c r="N70" s="475"/>
      <c r="O70" s="475"/>
      <c r="P70" s="475"/>
      <c r="Q70" s="475"/>
      <c r="R70" s="475"/>
      <c r="S70" s="475"/>
      <c r="T70" s="475"/>
      <c r="U70" s="475"/>
      <c r="V70" s="475"/>
      <c r="W70" s="475"/>
      <c r="X70" s="475"/>
      <c r="Y70" s="475"/>
      <c r="Z70" s="475"/>
    </row>
    <row r="71" spans="1:26">
      <c r="A71" s="338"/>
      <c r="B71" s="338"/>
      <c r="C71" s="470"/>
      <c r="D71" s="470"/>
      <c r="E71" s="474"/>
      <c r="F71" s="475"/>
      <c r="G71" s="475"/>
      <c r="H71" s="475"/>
      <c r="I71" s="475"/>
      <c r="J71" s="475"/>
      <c r="K71" s="475"/>
      <c r="L71" s="475"/>
      <c r="M71" s="475"/>
      <c r="N71" s="475"/>
      <c r="O71" s="475"/>
      <c r="P71" s="475"/>
      <c r="Q71" s="475"/>
      <c r="R71" s="475"/>
      <c r="S71" s="475"/>
      <c r="T71" s="475"/>
      <c r="U71" s="475"/>
      <c r="V71" s="475"/>
      <c r="W71" s="475"/>
      <c r="X71" s="475"/>
      <c r="Y71" s="475"/>
      <c r="Z71" s="475"/>
    </row>
    <row r="72" spans="1:26">
      <c r="A72" s="338"/>
      <c r="B72" s="338"/>
      <c r="C72" s="338"/>
      <c r="D72" s="338"/>
      <c r="E72" s="338"/>
      <c r="F72" s="338"/>
      <c r="G72" s="338"/>
      <c r="H72" s="338"/>
      <c r="I72" s="338"/>
      <c r="J72" s="338"/>
      <c r="K72" s="338"/>
      <c r="L72" s="338"/>
      <c r="M72" s="338"/>
      <c r="N72" s="338"/>
      <c r="O72" s="338"/>
      <c r="P72" s="338"/>
      <c r="Q72" s="338"/>
      <c r="R72" s="338"/>
      <c r="S72" s="338"/>
      <c r="T72" s="338"/>
      <c r="U72" s="338"/>
      <c r="V72" s="338"/>
      <c r="W72" s="338"/>
      <c r="X72" s="338"/>
      <c r="Y72" s="338"/>
      <c r="Z72" s="338"/>
    </row>
    <row r="73" spans="1:26">
      <c r="A73" s="338"/>
      <c r="B73" s="338"/>
      <c r="C73" s="338"/>
      <c r="D73" s="338"/>
      <c r="E73" s="338"/>
      <c r="F73" s="338"/>
      <c r="G73" s="338"/>
      <c r="H73" s="338"/>
      <c r="I73" s="338"/>
      <c r="J73" s="338"/>
      <c r="K73" s="338"/>
      <c r="L73" s="338"/>
      <c r="M73" s="338"/>
      <c r="N73" s="338"/>
      <c r="O73" s="338"/>
      <c r="P73" s="338"/>
      <c r="Q73" s="338"/>
      <c r="R73" s="338"/>
      <c r="S73" s="338"/>
      <c r="T73" s="338"/>
      <c r="U73" s="338"/>
      <c r="V73" s="338"/>
      <c r="W73" s="338"/>
      <c r="X73" s="338"/>
      <c r="Y73" s="338"/>
      <c r="Z73" s="338"/>
    </row>
    <row r="74" spans="1:26">
      <c r="A74" s="338"/>
      <c r="B74" s="338"/>
      <c r="C74" s="338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38"/>
      <c r="P74" s="338"/>
      <c r="Q74" s="338"/>
      <c r="R74" s="338"/>
      <c r="S74" s="338"/>
      <c r="T74" s="338"/>
      <c r="U74" s="338"/>
      <c r="V74" s="338"/>
      <c r="W74" s="338"/>
      <c r="X74" s="338"/>
      <c r="Y74" s="338"/>
      <c r="Z74" s="338"/>
    </row>
    <row r="75" spans="1:26">
      <c r="A75" s="338"/>
      <c r="B75" s="338"/>
      <c r="C75" s="338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</row>
    <row r="76" spans="1:26">
      <c r="A76" s="338"/>
      <c r="B76" s="338"/>
      <c r="C76" s="338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</row>
    <row r="77" spans="1:26">
      <c r="A77" s="338"/>
      <c r="B77" s="338"/>
      <c r="C77" s="338"/>
      <c r="D77" s="338"/>
      <c r="E77" s="338"/>
      <c r="F77" s="338"/>
      <c r="G77" s="338"/>
      <c r="H77" s="338"/>
      <c r="I77" s="338"/>
      <c r="J77" s="338"/>
      <c r="K77" s="338"/>
      <c r="L77" s="338"/>
      <c r="M77" s="338"/>
      <c r="N77" s="338"/>
      <c r="O77" s="338"/>
      <c r="P77" s="338"/>
      <c r="Q77" s="338"/>
      <c r="R77" s="338"/>
      <c r="S77" s="338"/>
      <c r="T77" s="338"/>
      <c r="U77" s="338"/>
      <c r="V77" s="338"/>
      <c r="W77" s="338"/>
      <c r="X77" s="338"/>
      <c r="Y77" s="338"/>
      <c r="Z77" s="338"/>
    </row>
    <row r="78" spans="1:26">
      <c r="A78" s="338"/>
      <c r="B78" s="338"/>
      <c r="C78" s="338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38"/>
      <c r="P78" s="338"/>
      <c r="Q78" s="338"/>
      <c r="R78" s="338"/>
      <c r="S78" s="338"/>
      <c r="T78" s="338"/>
      <c r="U78" s="338"/>
      <c r="V78" s="338"/>
      <c r="W78" s="338"/>
      <c r="X78" s="338"/>
      <c r="Y78" s="338"/>
      <c r="Z78" s="338"/>
    </row>
    <row r="79" spans="1:26">
      <c r="A79" s="338"/>
      <c r="B79" s="338"/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8"/>
      <c r="R79" s="338"/>
      <c r="S79" s="338"/>
      <c r="T79" s="338"/>
      <c r="U79" s="338"/>
      <c r="V79" s="338"/>
      <c r="W79" s="338"/>
      <c r="X79" s="338"/>
      <c r="Y79" s="338"/>
      <c r="Z79" s="338"/>
    </row>
    <row r="80" spans="1:26">
      <c r="A80" s="338"/>
      <c r="B80" s="338"/>
      <c r="C80" s="338"/>
      <c r="D80" s="338"/>
      <c r="E80" s="338"/>
      <c r="F80" s="338"/>
      <c r="G80" s="338"/>
      <c r="H80" s="338"/>
      <c r="I80" s="338"/>
      <c r="J80" s="338"/>
      <c r="K80" s="338"/>
      <c r="L80" s="338"/>
      <c r="M80" s="338"/>
      <c r="N80" s="338"/>
      <c r="O80" s="338"/>
      <c r="P80" s="338"/>
      <c r="Q80" s="338"/>
      <c r="R80" s="338"/>
      <c r="S80" s="338"/>
      <c r="T80" s="338"/>
      <c r="U80" s="338"/>
      <c r="V80" s="338"/>
      <c r="W80" s="338"/>
      <c r="X80" s="338"/>
      <c r="Y80" s="338"/>
      <c r="Z80" s="338"/>
    </row>
    <row r="81" spans="1:4">
      <c r="A81" s="338"/>
      <c r="B81" s="338"/>
      <c r="C81" s="338"/>
      <c r="D81" s="338"/>
    </row>
    <row r="82" spans="1:4">
      <c r="A82" s="338"/>
      <c r="B82" s="338"/>
      <c r="C82" s="338"/>
      <c r="D82" s="338"/>
    </row>
  </sheetData>
  <pageMargins left="0.18" right="0.17" top="0.37" bottom="0.4" header="0.17" footer="0.21"/>
  <pageSetup scale="49" orientation="landscape" r:id="rId1"/>
  <headerFooter alignWithMargins="0">
    <oddHeader>&amp;L&amp;12Enron Generation Company</oddHeader>
    <oddFooter>&amp;L&amp;T, &amp;D&amp;C&amp;F&amp;RPage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75"/>
  <sheetViews>
    <sheetView zoomScale="75" zoomScaleNormal="75" workbookViewId="0">
      <selection activeCell="I21" sqref="I21"/>
    </sheetView>
  </sheetViews>
  <sheetFormatPr defaultRowHeight="12.75"/>
  <cols>
    <col min="1" max="1" width="76" customWidth="1"/>
    <col min="4" max="25" width="12.5703125" customWidth="1"/>
    <col min="26" max="27" width="12.5703125" style="295" customWidth="1"/>
  </cols>
  <sheetData>
    <row r="2" spans="1:27" ht="18.75">
      <c r="A2" s="126" t="s">
        <v>163</v>
      </c>
      <c r="B2" s="10"/>
    </row>
    <row r="4" spans="1:27" s="8" customFormat="1" ht="13.5" thickBot="1">
      <c r="A4" s="422" t="s">
        <v>164</v>
      </c>
      <c r="B4" s="9"/>
      <c r="C4" s="9"/>
      <c r="D4" s="9">
        <v>1999</v>
      </c>
      <c r="E4" s="9">
        <f t="shared" ref="E4:Y4" si="0">D4+1</f>
        <v>2000</v>
      </c>
      <c r="F4" s="9">
        <f t="shared" si="0"/>
        <v>2001</v>
      </c>
      <c r="G4" s="9">
        <f t="shared" si="0"/>
        <v>2002</v>
      </c>
      <c r="H4" s="9">
        <f>G4+1</f>
        <v>2003</v>
      </c>
      <c r="I4" s="9">
        <f>H4+1</f>
        <v>2004</v>
      </c>
      <c r="J4" s="9">
        <f t="shared" si="0"/>
        <v>2005</v>
      </c>
      <c r="K4" s="9">
        <f t="shared" si="0"/>
        <v>2006</v>
      </c>
      <c r="L4" s="9">
        <f t="shared" si="0"/>
        <v>2007</v>
      </c>
      <c r="M4" s="9">
        <f t="shared" si="0"/>
        <v>2008</v>
      </c>
      <c r="N4" s="9">
        <f t="shared" si="0"/>
        <v>2009</v>
      </c>
      <c r="O4" s="9">
        <f>N4+1</f>
        <v>2010</v>
      </c>
      <c r="P4" s="9">
        <f t="shared" si="0"/>
        <v>2011</v>
      </c>
      <c r="Q4" s="9">
        <f t="shared" si="0"/>
        <v>2012</v>
      </c>
      <c r="R4" s="9">
        <f t="shared" si="0"/>
        <v>2013</v>
      </c>
      <c r="S4" s="9">
        <f t="shared" si="0"/>
        <v>2014</v>
      </c>
      <c r="T4" s="9">
        <f t="shared" si="0"/>
        <v>2015</v>
      </c>
      <c r="U4" s="9">
        <f t="shared" si="0"/>
        <v>2016</v>
      </c>
      <c r="V4" s="9">
        <f t="shared" si="0"/>
        <v>2017</v>
      </c>
      <c r="W4" s="9">
        <f t="shared" si="0"/>
        <v>2018</v>
      </c>
      <c r="X4" s="9">
        <f t="shared" si="0"/>
        <v>2019</v>
      </c>
      <c r="Y4" s="9">
        <f t="shared" si="0"/>
        <v>2020</v>
      </c>
      <c r="Z4" s="11"/>
      <c r="AA4" s="11"/>
    </row>
    <row r="5" spans="1:27">
      <c r="A5" s="3"/>
    </row>
    <row r="6" spans="1:27">
      <c r="A6" s="1" t="s">
        <v>165</v>
      </c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96"/>
      <c r="AA6" s="296"/>
    </row>
    <row r="7" spans="1:27">
      <c r="A7" s="575" t="s">
        <v>166</v>
      </c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96"/>
      <c r="AA7" s="296"/>
    </row>
    <row r="8" spans="1:27">
      <c r="A8" s="4" t="s">
        <v>167</v>
      </c>
      <c r="D8" s="243">
        <f>Caledonia!E10+'New Albany'!E10+Brownsville!E10+Calvert!E10+Wheatland!E10+Wilton!E10</f>
        <v>0</v>
      </c>
      <c r="E8" s="243">
        <f>Caledonia!F10+'New Albany'!F10+Brownsville!F10+Calvert!F10+Wheatland!F10+Wilton!F10</f>
        <v>102116</v>
      </c>
      <c r="F8" s="243">
        <f>Caledonia!G10+'New Albany'!G10+Brownsville!G10+Calvert!G10+Wheatland!G10+Wilton!G10</f>
        <v>138336</v>
      </c>
      <c r="G8" s="243">
        <f>Caledonia!H10+'New Albany'!H10+Brownsville!H10+Calvert!H10+Wheatland!H10+Wilton!H10</f>
        <v>138336</v>
      </c>
      <c r="H8" s="243">
        <f>Caledonia!I10+'New Albany'!I10+Brownsville!I10+Calvert!I10+Wheatland!I10+Wilton!I10</f>
        <v>0</v>
      </c>
      <c r="I8" s="243">
        <f>Caledonia!J10+'New Albany'!J10+Brownsville!J10+Calvert!J10+Wheatland!J10+Wilton!J10</f>
        <v>0</v>
      </c>
      <c r="J8" s="243">
        <f>Caledonia!K10+'New Albany'!K10+Brownsville!K10+Calvert!K10+Wheatland!K10+Wilton!K10</f>
        <v>0</v>
      </c>
      <c r="K8" s="243">
        <f>Caledonia!L10+'New Albany'!L10+Brownsville!L10+Calvert!L10+Wheatland!L10+Wilton!L10</f>
        <v>0</v>
      </c>
      <c r="L8" s="243">
        <f>Caledonia!M10+'New Albany'!M10+Brownsville!M10+Calvert!M10+Wheatland!M10+Wilton!M10</f>
        <v>0</v>
      </c>
      <c r="M8" s="243">
        <f>Caledonia!N10+'New Albany'!N10+Brownsville!N10+Calvert!N10+Wheatland!N10+Wilton!N10</f>
        <v>0</v>
      </c>
      <c r="N8" s="243">
        <f>Caledonia!O10+'New Albany'!O10+Brownsville!O10+Calvert!O10+Wheatland!O10+Wilton!O10</f>
        <v>0</v>
      </c>
      <c r="O8" s="243">
        <f>Caledonia!P10+'New Albany'!P10+Brownsville!P10+Calvert!P10+Wheatland!P10+Wilton!P10</f>
        <v>0</v>
      </c>
      <c r="P8" s="243">
        <f>Caledonia!Q10+'New Albany'!Q10+Brownsville!Q10+Calvert!Q10+Wheatland!Q10+Wilton!Q10</f>
        <v>0</v>
      </c>
      <c r="Q8" s="243">
        <f>Caledonia!R10+'New Albany'!R10+Brownsville!R10+Calvert!R10+Wheatland!R10+Wilton!R10</f>
        <v>0</v>
      </c>
      <c r="R8" s="243">
        <f>Caledonia!S10+'New Albany'!S10+Brownsville!S10+Calvert!S10+Wheatland!S10+Wilton!S10</f>
        <v>0</v>
      </c>
      <c r="S8" s="243">
        <f>Caledonia!T10+'New Albany'!T10+Brownsville!T10+Calvert!T10+Wheatland!T10+Wilton!T10</f>
        <v>0</v>
      </c>
      <c r="T8" s="243">
        <f>Caledonia!U10+'New Albany'!U10+Brownsville!U10+Calvert!U10+Wheatland!U10+Wilton!U10</f>
        <v>0</v>
      </c>
      <c r="U8" s="243">
        <f>Caledonia!V10+'New Albany'!V10+Brownsville!V10+Calvert!V10+Wheatland!V10+Wilton!V10</f>
        <v>0</v>
      </c>
      <c r="V8" s="243">
        <f>Caledonia!W10+'New Albany'!W10+Brownsville!W10+Calvert!W10+Wheatland!W10+Wilton!W10</f>
        <v>0</v>
      </c>
      <c r="W8" s="243">
        <f>Caledonia!X10+'New Albany'!X10+Brownsville!X10+Calvert!X10+Wheatland!X10+Wilton!X10</f>
        <v>0</v>
      </c>
      <c r="X8" s="243">
        <f>Caledonia!Y10+'New Albany'!Y10+Brownsville!Y10+Calvert!Y10+Wheatland!Y10+Wilton!Y10</f>
        <v>0</v>
      </c>
      <c r="Y8" s="243">
        <f>Caledonia!Z10+'New Albany'!Z10+Brownsville!Z10+Calvert!Z10+Wheatland!Z10+Wilton!Z10</f>
        <v>0</v>
      </c>
      <c r="Z8" s="296"/>
      <c r="AA8" s="296"/>
    </row>
    <row r="9" spans="1:27">
      <c r="A9" s="4" t="s">
        <v>168</v>
      </c>
      <c r="D9" s="243">
        <f>Caledonia!E11+'New Albany'!E11+Brownsville!E11+Calvert!E11+Wheatland!E11+Wilton!E11</f>
        <v>0</v>
      </c>
      <c r="E9" s="243">
        <f>Caledonia!F11+'New Albany'!F11+Brownsville!F11+Calvert!F11+Wheatland!F11+Wilton!F11</f>
        <v>3806.2811488194975</v>
      </c>
      <c r="F9" s="243">
        <f>Caledonia!G11+'New Albany'!G11+Brownsville!G11+Calvert!G11+Wheatland!G11+Wilton!G11</f>
        <v>3940.0963730716649</v>
      </c>
      <c r="G9" s="243">
        <f>Caledonia!H11+'New Albany'!H11+Brownsville!H11+Calvert!H11+Wheatland!H11+Wilton!H11</f>
        <v>4058.2992642638155</v>
      </c>
      <c r="H9" s="243">
        <f>Caledonia!I11+'New Albany'!I11+Brownsville!I11+Calvert!I11+Wheatland!I11+Wilton!I11</f>
        <v>0</v>
      </c>
      <c r="I9" s="243">
        <f>Caledonia!J11+'New Albany'!J11+Brownsville!J11+Calvert!J11+Wheatland!J11+Wilton!J11</f>
        <v>0</v>
      </c>
      <c r="J9" s="243">
        <f>Caledonia!K11+'New Albany'!K11+Brownsville!K11+Calvert!K11+Wheatland!K11+Wilton!K11</f>
        <v>0</v>
      </c>
      <c r="K9" s="243">
        <f>Caledonia!L11+'New Albany'!L11+Brownsville!L11+Calvert!L11+Wheatland!L11+Wilton!L11</f>
        <v>0</v>
      </c>
      <c r="L9" s="243">
        <f>Caledonia!M11+'New Albany'!M11+Brownsville!M11+Calvert!M11+Wheatland!M11+Wilton!M11</f>
        <v>0</v>
      </c>
      <c r="M9" s="243">
        <f>Caledonia!N11+'New Albany'!N11+Brownsville!N11+Calvert!N11+Wheatland!N11+Wilton!N11</f>
        <v>0</v>
      </c>
      <c r="N9" s="243">
        <f>Caledonia!O11+'New Albany'!O11+Brownsville!O11+Calvert!O11+Wheatland!O11+Wilton!O11</f>
        <v>0</v>
      </c>
      <c r="O9" s="243">
        <f>Caledonia!P11+'New Albany'!P11+Brownsville!P11+Calvert!P11+Wheatland!P11+Wilton!P11</f>
        <v>0</v>
      </c>
      <c r="P9" s="243">
        <f>Caledonia!Q11+'New Albany'!Q11+Brownsville!Q11+Calvert!Q11+Wheatland!Q11+Wilton!Q11</f>
        <v>0</v>
      </c>
      <c r="Q9" s="243">
        <f>Caledonia!R11+'New Albany'!R11+Brownsville!R11+Calvert!R11+Wheatland!R11+Wilton!R11</f>
        <v>0</v>
      </c>
      <c r="R9" s="243">
        <f>Caledonia!S11+'New Albany'!S11+Brownsville!S11+Calvert!S11+Wheatland!S11+Wilton!S11</f>
        <v>0</v>
      </c>
      <c r="S9" s="243">
        <f>Caledonia!T11+'New Albany'!T11+Brownsville!T11+Calvert!T11+Wheatland!T11+Wilton!T11</f>
        <v>0</v>
      </c>
      <c r="T9" s="243">
        <f>Caledonia!U11+'New Albany'!U11+Brownsville!U11+Calvert!U11+Wheatland!U11+Wilton!U11</f>
        <v>0</v>
      </c>
      <c r="U9" s="243">
        <f>Caledonia!V11+'New Albany'!V11+Brownsville!V11+Calvert!V11+Wheatland!V11+Wilton!V11</f>
        <v>0</v>
      </c>
      <c r="V9" s="243">
        <f>Caledonia!W11+'New Albany'!W11+Brownsville!W11+Calvert!W11+Wheatland!W11+Wilton!W11</f>
        <v>0</v>
      </c>
      <c r="W9" s="243">
        <f>Caledonia!X11+'New Albany'!X11+Brownsville!X11+Calvert!X11+Wheatland!X11+Wilton!X11</f>
        <v>0</v>
      </c>
      <c r="X9" s="243">
        <f>Caledonia!Y11+'New Albany'!Y11+Brownsville!Y11+Calvert!Y11+Wheatland!Y11+Wilton!Y11</f>
        <v>0</v>
      </c>
      <c r="Y9" s="243">
        <f>Caledonia!Z11+'New Albany'!Z11+Brownsville!Z11+Calvert!Z11+Wheatland!Z11+Wilton!Z11</f>
        <v>0</v>
      </c>
      <c r="Z9" s="296"/>
      <c r="AA9" s="296"/>
    </row>
    <row r="10" spans="1:27">
      <c r="A10" s="4" t="s">
        <v>169</v>
      </c>
      <c r="D10" s="243">
        <f>Caledonia!E12+'New Albany'!E12+Brownsville!E12+Calvert!E12+Wheatland!E12+Wilton!E12</f>
        <v>0</v>
      </c>
      <c r="E10" s="243">
        <f>Caledonia!F12+'New Albany'!F12+Brownsville!F12+Calvert!F12+Wheatland!F12+Wilton!F12</f>
        <v>11171.0916</v>
      </c>
      <c r="F10" s="243">
        <f>Caledonia!G12+'New Albany'!G12+Brownsville!G12+Calvert!G12+Wheatland!G12+Wilton!G12</f>
        <v>11506.224348000002</v>
      </c>
      <c r="G10" s="243">
        <f>Caledonia!H12+'New Albany'!H12+Brownsville!H12+Calvert!H12+Wheatland!H12+Wilton!H12</f>
        <v>11851.41107844</v>
      </c>
      <c r="H10" s="243">
        <f>Caledonia!I12+'New Albany'!I12+Brownsville!I12+Calvert!I12+Wheatland!I12+Wilton!I12</f>
        <v>0</v>
      </c>
      <c r="I10" s="243">
        <f>Caledonia!J12+'New Albany'!J12+Brownsville!J12+Calvert!J12+Wheatland!J12+Wilton!J12</f>
        <v>0</v>
      </c>
      <c r="J10" s="243">
        <f>Caledonia!K12+'New Albany'!K12+Brownsville!K12+Calvert!K12+Wheatland!K12+Wilton!K12</f>
        <v>0</v>
      </c>
      <c r="K10" s="243">
        <f>Caledonia!L12+'New Albany'!L12+Brownsville!L12+Calvert!L12+Wheatland!L12+Wilton!L12</f>
        <v>0</v>
      </c>
      <c r="L10" s="243">
        <f>Caledonia!M12+'New Albany'!M12+Brownsville!M12+Calvert!M12+Wheatland!M12+Wilton!M12</f>
        <v>0</v>
      </c>
      <c r="M10" s="243">
        <f>Caledonia!N12+'New Albany'!N12+Brownsville!N12+Calvert!N12+Wheatland!N12+Wilton!N12</f>
        <v>0</v>
      </c>
      <c r="N10" s="243">
        <f>Caledonia!O12+'New Albany'!O12+Brownsville!O12+Calvert!O12+Wheatland!O12+Wilton!O12</f>
        <v>0</v>
      </c>
      <c r="O10" s="243">
        <f>Caledonia!P12+'New Albany'!P12+Brownsville!P12+Calvert!P12+Wheatland!P12+Wilton!P12</f>
        <v>0</v>
      </c>
      <c r="P10" s="243">
        <f>Caledonia!Q12+'New Albany'!Q12+Brownsville!Q12+Calvert!Q12+Wheatland!Q12+Wilton!Q12</f>
        <v>0</v>
      </c>
      <c r="Q10" s="243">
        <f>Caledonia!R12+'New Albany'!R12+Brownsville!R12+Calvert!R12+Wheatland!R12+Wilton!R12</f>
        <v>0</v>
      </c>
      <c r="R10" s="243">
        <f>Caledonia!S12+'New Albany'!S12+Brownsville!S12+Calvert!S12+Wheatland!S12+Wilton!S12</f>
        <v>0</v>
      </c>
      <c r="S10" s="243">
        <f>Caledonia!T12+'New Albany'!T12+Brownsville!T12+Calvert!T12+Wheatland!T12+Wilton!T12</f>
        <v>0</v>
      </c>
      <c r="T10" s="243">
        <f>Caledonia!U12+'New Albany'!U12+Brownsville!U12+Calvert!U12+Wheatland!U12+Wilton!U12</f>
        <v>0</v>
      </c>
      <c r="U10" s="243">
        <f>Caledonia!V12+'New Albany'!V12+Brownsville!V12+Calvert!V12+Wheatland!V12+Wilton!V12</f>
        <v>0</v>
      </c>
      <c r="V10" s="243">
        <f>Caledonia!W12+'New Albany'!W12+Brownsville!W12+Calvert!W12+Wheatland!W12+Wilton!W12</f>
        <v>0</v>
      </c>
      <c r="W10" s="243">
        <f>Caledonia!X12+'New Albany'!X12+Brownsville!X12+Calvert!X12+Wheatland!X12+Wilton!X12</f>
        <v>0</v>
      </c>
      <c r="X10" s="243">
        <f>Caledonia!Y12+'New Albany'!Y12+Brownsville!Y12+Calvert!Y12+Wheatland!Y12+Wilton!Y12</f>
        <v>0</v>
      </c>
      <c r="Y10" s="243">
        <f>Caledonia!Z12+'New Albany'!Z12+Brownsville!Z12+Calvert!Z12+Wheatland!Z12+Wilton!Z12</f>
        <v>0</v>
      </c>
      <c r="Z10" s="296"/>
      <c r="AA10" s="296"/>
    </row>
    <row r="11" spans="1:27">
      <c r="A11" s="8"/>
      <c r="Z11" s="296"/>
      <c r="AA11" s="296"/>
    </row>
    <row r="12" spans="1:27">
      <c r="A12" s="575" t="s">
        <v>170</v>
      </c>
      <c r="Z12" s="296"/>
      <c r="AA12" s="296"/>
    </row>
    <row r="13" spans="1:27">
      <c r="A13" s="4" t="s">
        <v>167</v>
      </c>
      <c r="D13" s="243">
        <f>Caledonia!E15+'New Albany'!E15+Brownsville!E15+Calvert!E15+Wheatland!E15+Wilton!E15</f>
        <v>0</v>
      </c>
      <c r="E13" s="243">
        <f>Caledonia!F15+'New Albany'!F15+Brownsville!F15+Calvert!F15+Wheatland!F15+Wilton!F15</f>
        <v>0</v>
      </c>
      <c r="F13" s="243">
        <f>Caledonia!G15+'New Albany'!G15+Brownsville!G15+Calvert!G15+Wheatland!G15+Wilton!G15</f>
        <v>0</v>
      </c>
      <c r="G13" s="243">
        <f>Caledonia!H15+'New Albany'!H15+Brownsville!H15+Calvert!H15+Wheatland!H15+Wilton!H15</f>
        <v>0</v>
      </c>
      <c r="H13" s="243">
        <f>Caledonia!I15+'New Albany'!I15+Brownsville!I15+Calvert!I15+Wheatland!I15+Wilton!I15</f>
        <v>214608.13494052624</v>
      </c>
      <c r="I13" s="243">
        <f>Caledonia!J15+'New Albany'!J15+Brownsville!J15+Calvert!J15+Wheatland!J15+Wilton!J15</f>
        <v>218027.62736466824</v>
      </c>
      <c r="J13" s="243">
        <f>Caledonia!K15+'New Albany'!K15+Brownsville!K15+Calvert!K15+Wheatland!K15+Wilton!K15</f>
        <v>222245.68368872209</v>
      </c>
      <c r="K13" s="243">
        <f>Caledonia!L15+'New Albany'!L15+Brownsville!L15+Calvert!L15+Wheatland!L15+Wilton!L15</f>
        <v>224274.25723473643</v>
      </c>
      <c r="L13" s="243">
        <f>Caledonia!M15+'New Albany'!M15+Brownsville!M15+Calvert!M15+Wheatland!M15+Wilton!M15</f>
        <v>229523.19548411114</v>
      </c>
      <c r="M13" s="243">
        <f>Caledonia!N15+'New Albany'!N15+Brownsville!N15+Calvert!N15+Wheatland!N15+Wilton!N15</f>
        <v>232347.06697473206</v>
      </c>
      <c r="N13" s="243">
        <f>Caledonia!O15+'New Albany'!O15+Brownsville!O15+Calvert!O15+Wheatland!O15+Wilton!O15</f>
        <v>237748.10078772571</v>
      </c>
      <c r="O13" s="243">
        <f>Caledonia!P15+'New Albany'!P15+Brownsville!P15+Calvert!P15+Wheatland!P15+Wilton!P15</f>
        <v>240571.35433308437</v>
      </c>
      <c r="P13" s="243">
        <f>Caledonia!Q15+'New Albany'!Q15+Brownsville!Q15+Calvert!Q15+Wheatland!Q15+Wilton!Q15</f>
        <v>246123.54163467701</v>
      </c>
      <c r="Q13" s="243">
        <f>Caledonia!R15+'New Albany'!R15+Brownsville!R15+Calvert!R15+Wheatland!R15+Wilton!R15</f>
        <v>248935.62876621739</v>
      </c>
      <c r="R13" s="243">
        <f>Caledonia!S15+'New Albany'!S15+Brownsville!S15+Calvert!S15+Wheatland!S15+Wilton!S15</f>
        <v>250924.94841488657</v>
      </c>
      <c r="S13" s="243">
        <f>Caledonia!T15+'New Albany'!T15+Brownsville!T15+Calvert!T15+Wheatland!T15+Wilton!T15</f>
        <v>253602.66614557742</v>
      </c>
      <c r="T13" s="243">
        <f>Caledonia!U15+'New Albany'!U15+Brownsville!U15+Calvert!U15+Wheatland!U15+Wilton!U15</f>
        <v>256215.2144865364</v>
      </c>
      <c r="U13" s="243">
        <f>Caledonia!V15+'New Albany'!V15+Brownsville!V15+Calvert!V15+Wheatland!V15+Wilton!V15</f>
        <v>258756.2733284219</v>
      </c>
      <c r="V13" s="243">
        <f>Caledonia!W15+'New Albany'!W15+Brownsville!W15+Calvert!W15+Wheatland!W15+Wilton!W15</f>
        <v>261219.20200778267</v>
      </c>
      <c r="W13" s="243">
        <f>Caledonia!X15+'New Albany'!X15+Brownsville!X15+Calvert!X15+Wheatland!X15+Wilton!X15</f>
        <v>263597.02576190943</v>
      </c>
      <c r="X13" s="243">
        <f>Caledonia!Y15+'New Albany'!Y15+Brownsville!Y15+Calvert!Y15+Wheatland!Y15+Wilton!Y15</f>
        <v>263773.30859615316</v>
      </c>
      <c r="Y13" s="243">
        <f>Caledonia!Z15+'New Albany'!Z15+Brownsville!Z15+Calvert!Z15+Wheatland!Z15+Wilton!Z15</f>
        <v>265895.31753248925</v>
      </c>
      <c r="Z13" s="296"/>
      <c r="AA13" s="296"/>
    </row>
    <row r="14" spans="1:27">
      <c r="A14" s="4" t="s">
        <v>171</v>
      </c>
      <c r="D14" s="243">
        <f>Caledonia!E16+'New Albany'!E16+Brownsville!E16+Calvert!E16+Wheatland!E16+Wilton!E16</f>
        <v>0</v>
      </c>
      <c r="E14" s="243">
        <f>Caledonia!F16+'New Albany'!F16+Brownsville!F16+Calvert!F16+Wheatland!F16+Wilton!F16</f>
        <v>0</v>
      </c>
      <c r="F14" s="243">
        <f>Caledonia!G16+'New Albany'!G16+Brownsville!G16+Calvert!G16+Wheatland!G16+Wilton!G16</f>
        <v>0</v>
      </c>
      <c r="G14" s="243">
        <f>Caledonia!H16+'New Albany'!H16+Brownsville!H16+Calvert!H16+Wheatland!H16+Wilton!H16</f>
        <v>0</v>
      </c>
      <c r="H14" s="243">
        <f>Caledonia!I16+'New Albany'!I16+Brownsville!I16+Calvert!I16+Wheatland!I16+Wilton!I16</f>
        <v>8532.1072248559685</v>
      </c>
      <c r="I14" s="243">
        <f>Caledonia!J16+'New Albany'!J16+Brownsville!J16+Calvert!J16+Wheatland!J16+Wilton!J16</f>
        <v>8788.0704416016488</v>
      </c>
      <c r="J14" s="243">
        <f>Caledonia!K16+'New Albany'!K16+Brownsville!K16+Calvert!K16+Wheatland!K16+Wilton!K16</f>
        <v>9051.7125548496988</v>
      </c>
      <c r="K14" s="243">
        <f>Caledonia!L16+'New Albany'!L16+Brownsville!L16+Calvert!L16+Wheatland!L16+Wilton!L16</f>
        <v>9323.2639314951903</v>
      </c>
      <c r="L14" s="243">
        <f>Caledonia!M16+'New Albany'!M16+Brownsville!M16+Calvert!M16+Wheatland!M16+Wilton!M16</f>
        <v>9602.9618494400456</v>
      </c>
      <c r="M14" s="243">
        <f>Caledonia!N16+'New Albany'!N16+Brownsville!N16+Calvert!N16+Wheatland!N16+Wilton!N16</f>
        <v>9891.0507049232456</v>
      </c>
      <c r="N14" s="243">
        <f>Caledonia!O16+'New Albany'!O16+Brownsville!O16+Calvert!O16+Wheatland!O16+Wilton!O16</f>
        <v>10187.782226070944</v>
      </c>
      <c r="O14" s="243">
        <f>Caledonia!P16+'New Albany'!P16+Brownsville!P16+Calvert!P16+Wheatland!P16+Wilton!P16</f>
        <v>10493.41569285307</v>
      </c>
      <c r="P14" s="243">
        <f>Caledonia!Q16+'New Albany'!Q16+Brownsville!Q16+Calvert!Q16+Wheatland!Q16+Wilton!Q16</f>
        <v>10808.218163638663</v>
      </c>
      <c r="Q14" s="243">
        <f>Caledonia!R16+'New Albany'!R16+Brownsville!R16+Calvert!R16+Wheatland!R16+Wilton!R16</f>
        <v>11132.464708547825</v>
      </c>
      <c r="R14" s="243">
        <f>Caledonia!S16+'New Albany'!S16+Brownsville!S16+Calvert!S16+Wheatland!S16+Wilton!S16</f>
        <v>11466.43864980426</v>
      </c>
      <c r="S14" s="243">
        <f>Caledonia!T16+'New Albany'!T16+Brownsville!T16+Calvert!T16+Wheatland!T16+Wilton!T16</f>
        <v>11810.431809298389</v>
      </c>
      <c r="T14" s="243">
        <f>Caledonia!U16+'New Albany'!U16+Brownsville!U16+Calvert!U16+Wheatland!U16+Wilton!U16</f>
        <v>12164.744763577339</v>
      </c>
      <c r="U14" s="243">
        <f>Caledonia!V16+'New Albany'!V16+Brownsville!V16+Calvert!V16+Wheatland!V16+Wilton!V16</f>
        <v>12529.687106484658</v>
      </c>
      <c r="V14" s="243">
        <f>Caledonia!W16+'New Albany'!W16+Brownsville!W16+Calvert!W16+Wheatland!W16+Wilton!W16</f>
        <v>12905.577719679199</v>
      </c>
      <c r="W14" s="243">
        <f>Caledonia!X16+'New Albany'!X16+Brownsville!X16+Calvert!X16+Wheatland!X16+Wilton!X16</f>
        <v>13292.745051269576</v>
      </c>
      <c r="X14" s="243">
        <f>Caledonia!Y16+'New Albany'!Y16+Brownsville!Y16+Calvert!Y16+Wheatland!Y16+Wilton!Y16</f>
        <v>13691.527402807664</v>
      </c>
      <c r="Y14" s="243">
        <f>Caledonia!Z16+'New Albany'!Z16+Brownsville!Z16+Calvert!Z16+Wheatland!Z16+Wilton!Z16</f>
        <v>14102.273224891895</v>
      </c>
      <c r="Z14" s="296"/>
      <c r="AA14" s="296"/>
    </row>
    <row r="15" spans="1:27">
      <c r="A15" s="4" t="s">
        <v>172</v>
      </c>
      <c r="D15" s="243">
        <f>Caledonia!E17+'New Albany'!E17+Brownsville!E17+Calvert!E17+Wheatland!E17+Wilton!E17</f>
        <v>0</v>
      </c>
      <c r="E15" s="243">
        <f>Caledonia!F17+'New Albany'!F17+Brownsville!F17+Calvert!F17+Wheatland!F17+Wilton!F17</f>
        <v>0</v>
      </c>
      <c r="F15" s="243">
        <f>Caledonia!G17+'New Albany'!G17+Brownsville!G17+Calvert!G17+Wheatland!G17+Wilton!G17</f>
        <v>0</v>
      </c>
      <c r="G15" s="243">
        <f>Caledonia!H17+'New Albany'!H17+Brownsville!H17+Calvert!H17+Wheatland!H17+Wilton!H17</f>
        <v>0</v>
      </c>
      <c r="H15" s="243">
        <f>Caledonia!I17+'New Albany'!I17+Brownsville!I17+Calvert!I17+Wheatland!I17+Wilton!I17</f>
        <v>72.90442655999999</v>
      </c>
      <c r="I15" s="243">
        <f>Caledonia!J17+'New Albany'!J17+Brownsville!J17+Calvert!J17+Wheatland!J17+Wilton!J17</f>
        <v>72.90442655999999</v>
      </c>
      <c r="J15" s="243">
        <f>Caledonia!K17+'New Albany'!K17+Brownsville!K17+Calvert!K17+Wheatland!K17+Wilton!K17</f>
        <v>72.90442655999999</v>
      </c>
      <c r="K15" s="243">
        <f>Caledonia!L17+'New Albany'!L17+Brownsville!L17+Calvert!L17+Wheatland!L17+Wilton!L17</f>
        <v>72.90442655999999</v>
      </c>
      <c r="L15" s="243">
        <f>Caledonia!M17+'New Albany'!M17+Brownsville!M17+Calvert!M17+Wheatland!M17+Wilton!M17</f>
        <v>72.90442655999999</v>
      </c>
      <c r="M15" s="243">
        <f>Caledonia!N17+'New Albany'!N17+Brownsville!N17+Calvert!N17+Wheatland!N17+Wilton!N17</f>
        <v>72.90442655999999</v>
      </c>
      <c r="N15" s="243">
        <f>Caledonia!O17+'New Albany'!O17+Brownsville!O17+Calvert!O17+Wheatland!O17+Wilton!O17</f>
        <v>72.90442655999999</v>
      </c>
      <c r="O15" s="243">
        <f>Caledonia!P17+'New Albany'!P17+Brownsville!P17+Calvert!P17+Wheatland!P17+Wilton!P17</f>
        <v>72.90442655999999</v>
      </c>
      <c r="P15" s="243">
        <f>Caledonia!Q17+'New Albany'!Q17+Brownsville!Q17+Calvert!Q17+Wheatland!Q17+Wilton!Q17</f>
        <v>72.90442655999999</v>
      </c>
      <c r="Q15" s="243">
        <f>Caledonia!R17+'New Albany'!R17+Brownsville!R17+Calvert!R17+Wheatland!R17+Wilton!R17</f>
        <v>72.90442655999999</v>
      </c>
      <c r="R15" s="243">
        <f>Caledonia!S17+'New Albany'!S17+Brownsville!S17+Calvert!S17+Wheatland!S17+Wilton!S17</f>
        <v>72.90442655999999</v>
      </c>
      <c r="S15" s="243">
        <f>Caledonia!T17+'New Albany'!T17+Brownsville!T17+Calvert!T17+Wheatland!T17+Wilton!T17</f>
        <v>72.90442655999999</v>
      </c>
      <c r="T15" s="243">
        <f>Caledonia!U17+'New Albany'!U17+Brownsville!U17+Calvert!U17+Wheatland!U17+Wilton!U17</f>
        <v>72.90442655999999</v>
      </c>
      <c r="U15" s="243">
        <f>Caledonia!V17+'New Albany'!V17+Brownsville!V17+Calvert!V17+Wheatland!V17+Wilton!V17</f>
        <v>72.90442655999999</v>
      </c>
      <c r="V15" s="243">
        <f>Caledonia!W17+'New Albany'!W17+Brownsville!W17+Calvert!W17+Wheatland!W17+Wilton!W17</f>
        <v>72.90442655999999</v>
      </c>
      <c r="W15" s="243">
        <f>Caledonia!X17+'New Albany'!X17+Brownsville!X17+Calvert!X17+Wheatland!X17+Wilton!X17</f>
        <v>72.90442655999999</v>
      </c>
      <c r="X15" s="243">
        <f>Caledonia!Y17+'New Albany'!Y17+Brownsville!Y17+Calvert!Y17+Wheatland!Y17+Wilton!Y17</f>
        <v>72.90442655999999</v>
      </c>
      <c r="Y15" s="243">
        <f>Caledonia!Z17+'New Albany'!Z17+Brownsville!Z17+Calvert!Z17+Wheatland!Z17+Wilton!Z17</f>
        <v>72.90442655999999</v>
      </c>
      <c r="Z15" s="296"/>
      <c r="AA15" s="296"/>
    </row>
    <row r="16" spans="1:27">
      <c r="A16" s="8"/>
      <c r="D16" s="243"/>
      <c r="E16" s="243"/>
      <c r="F16" s="243"/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96"/>
      <c r="AA16" s="296"/>
    </row>
    <row r="17" spans="1:48">
      <c r="A17" s="8" t="s">
        <v>378</v>
      </c>
      <c r="D17" s="243">
        <v>0</v>
      </c>
      <c r="E17" s="243">
        <v>0</v>
      </c>
      <c r="F17" s="243">
        <v>0</v>
      </c>
      <c r="G17" s="243">
        <v>0</v>
      </c>
      <c r="H17" s="243">
        <v>0</v>
      </c>
      <c r="I17" s="243">
        <v>0</v>
      </c>
      <c r="J17" s="243">
        <v>0</v>
      </c>
      <c r="K17" s="243">
        <v>0</v>
      </c>
      <c r="L17" s="243">
        <v>0</v>
      </c>
      <c r="M17" s="243">
        <v>0</v>
      </c>
      <c r="N17" s="243">
        <v>0</v>
      </c>
      <c r="O17" s="243">
        <v>0</v>
      </c>
      <c r="P17" s="243">
        <v>0</v>
      </c>
      <c r="Q17" s="243">
        <v>0</v>
      </c>
      <c r="R17" s="243">
        <v>0</v>
      </c>
      <c r="S17" s="243">
        <v>0</v>
      </c>
      <c r="T17" s="243">
        <v>0</v>
      </c>
      <c r="U17" s="243">
        <v>0</v>
      </c>
      <c r="V17" s="243">
        <v>0</v>
      </c>
      <c r="W17" s="243">
        <v>0</v>
      </c>
      <c r="X17" s="243">
        <v>0</v>
      </c>
      <c r="Y17" s="243">
        <v>0</v>
      </c>
      <c r="Z17" s="296"/>
      <c r="AA17" s="296"/>
    </row>
    <row r="18" spans="1:48">
      <c r="A18" s="4" t="s">
        <v>432</v>
      </c>
      <c r="D18" s="576">
        <f>Caledonia!E19+'New Albany'!E19+Brownsville!E19+Calvert!E19+Wheatland!E19+Wilton!E19</f>
        <v>0</v>
      </c>
      <c r="E18" s="576">
        <f ca="1">Caledonia!F19+'New Albany'!F19+Brownsville!F19+Calvert!F19+Wheatland!F19+Wilton!F19</f>
        <v>1107.6030057587154</v>
      </c>
      <c r="F18" s="576">
        <f>Caledonia!G19+'New Albany'!G19+Brownsville!G19+Calvert!G19+Wheatland!G19+Wilton!G19</f>
        <v>1510.7668642612298</v>
      </c>
      <c r="G18" s="576">
        <f>Caledonia!H19+'New Albany'!H19+Brownsville!H19+Calvert!H19+Wheatland!H19+Wilton!H19</f>
        <v>1504.4527485530248</v>
      </c>
      <c r="H18" s="576">
        <f>Caledonia!I19+'New Albany'!I19+Brownsville!I19+Calvert!I19+Wheatland!I19+Wilton!I19</f>
        <v>2316.6869154213937</v>
      </c>
      <c r="I18" s="576">
        <f>Caledonia!J19+'New Albany'!J19+Brownsville!J19+Calvert!J19+Wheatland!J19+Wilton!J19</f>
        <v>2347.025952777909</v>
      </c>
      <c r="J18" s="576">
        <f>Caledonia!K19+'New Albany'!K19+Brownsville!K19+Calvert!K19+Wheatland!K19+Wilton!K19</f>
        <v>2390.0246044818796</v>
      </c>
      <c r="K18" s="576">
        <f>Caledonia!L19+'New Albany'!L19+Brownsville!L19+Calvert!L19+Wheatland!L19+Wilton!L19</f>
        <v>2404.7908987331439</v>
      </c>
      <c r="L18" s="576">
        <f>Caledonia!M19+'New Albany'!M19+Brownsville!M19+Calvert!M19+Wheatland!M19+Wilton!M19</f>
        <v>2459.2981508711046</v>
      </c>
      <c r="M18" s="576">
        <f>Caledonia!N19+'New Albany'!N19+Brownsville!N19+Calvert!N19+Wheatland!N19+Wilton!N19</f>
        <v>2483.673241994682</v>
      </c>
      <c r="N18" s="576">
        <f>Caledonia!O19+'New Albany'!O19+Brownsville!O19+Calvert!O19+Wheatland!O19+Wilton!O19</f>
        <v>2541.4320423370514</v>
      </c>
      <c r="O18" s="576">
        <f>Caledonia!P19+'New Albany'!P19+Brownsville!P19+Calvert!P19+Wheatland!P19+Wilton!P19</f>
        <v>2551.1840276332987</v>
      </c>
      <c r="P18" s="576">
        <f>Caledonia!Q19+'New Albany'!Q19+Brownsville!Q19+Calvert!Q19+Wheatland!Q19+Wilton!Q19</f>
        <v>2610.0560250754124</v>
      </c>
      <c r="Q18" s="576">
        <f>Caledonia!R19+'New Albany'!R19+Brownsville!R19+Calvert!R19+Wheatland!R19+Wilton!R19</f>
        <v>2635.8862549721107</v>
      </c>
      <c r="R18" s="576">
        <f>Caledonia!S19+'New Albany'!S19+Brownsville!S19+Calvert!S19+Wheatland!S19+Wilton!S19</f>
        <v>2652.2907113017654</v>
      </c>
      <c r="S18" s="576">
        <f>Caledonia!T19+'New Albany'!T19+Brownsville!T19+Calvert!T19+Wheatland!T19+Wilton!T19</f>
        <v>2672.4489316794388</v>
      </c>
      <c r="T18" s="576">
        <f>Caledonia!U19+'New Albany'!U19+Brownsville!U19+Calvert!U19+Wheatland!U19+Wilton!U19</f>
        <v>2696.1383328660527</v>
      </c>
      <c r="U18" s="576">
        <f>Caledonia!V19+'New Albany'!V19+Brownsville!V19+Calvert!V19+Wheatland!V19+Wilton!V19</f>
        <v>2719.8198800548657</v>
      </c>
      <c r="V18" s="576">
        <f>Caledonia!W19+'New Albany'!W19+Brownsville!W19+Calvert!W19+Wheatland!W19+Wilton!W19</f>
        <v>2743.1013454873446</v>
      </c>
      <c r="W18" s="576">
        <f>Caledonia!X19+'New Albany'!X19+Brownsville!X19+Calvert!X19+Wheatland!X19+Wilton!X19</f>
        <v>2763.0655477853934</v>
      </c>
      <c r="X18" s="576">
        <f>Caledonia!Y19+'New Albany'!Y19+Brownsville!Y19+Calvert!Y19+Wheatland!Y19+Wilton!Y19</f>
        <v>2754.1680271159348</v>
      </c>
      <c r="Y18" s="576">
        <f>Caledonia!Z19+'New Albany'!Z19+Brownsville!Z19+Calvert!Z19+Wheatland!Z19+Wilton!Z19</f>
        <v>2790.4657652414808</v>
      </c>
      <c r="Z18" s="296"/>
      <c r="AA18" s="296"/>
    </row>
    <row r="19" spans="1:48">
      <c r="A19" s="4" t="s">
        <v>174</v>
      </c>
      <c r="D19" s="243">
        <f t="shared" ref="D19:Y19" si="1">SUM(D8:D18)</f>
        <v>0</v>
      </c>
      <c r="E19" s="243">
        <f t="shared" ca="1" si="1"/>
        <v>118200.97575457822</v>
      </c>
      <c r="F19" s="243">
        <f t="shared" si="1"/>
        <v>155293.08758533289</v>
      </c>
      <c r="G19" s="243">
        <f t="shared" si="1"/>
        <v>155750.16309125684</v>
      </c>
      <c r="H19" s="243">
        <f t="shared" si="1"/>
        <v>225529.83350736363</v>
      </c>
      <c r="I19" s="243">
        <f t="shared" si="1"/>
        <v>229235.62818560781</v>
      </c>
      <c r="J19" s="243">
        <f t="shared" si="1"/>
        <v>233760.32527461366</v>
      </c>
      <c r="K19" s="243">
        <f t="shared" si="1"/>
        <v>236075.21649152477</v>
      </c>
      <c r="L19" s="243">
        <f t="shared" si="1"/>
        <v>241658.35991098228</v>
      </c>
      <c r="M19" s="243">
        <f t="shared" si="1"/>
        <v>244794.69534821002</v>
      </c>
      <c r="N19" s="243">
        <f t="shared" si="1"/>
        <v>250550.2194826937</v>
      </c>
      <c r="O19" s="243">
        <f t="shared" si="1"/>
        <v>253688.85848013076</v>
      </c>
      <c r="P19" s="243">
        <f t="shared" si="1"/>
        <v>259614.72024995109</v>
      </c>
      <c r="Q19" s="243">
        <f t="shared" si="1"/>
        <v>262776.88415629737</v>
      </c>
      <c r="R19" s="243">
        <f t="shared" si="1"/>
        <v>265116.58220255258</v>
      </c>
      <c r="S19" s="243">
        <f t="shared" si="1"/>
        <v>268158.45131311519</v>
      </c>
      <c r="T19" s="243">
        <f t="shared" si="1"/>
        <v>271149.00200953981</v>
      </c>
      <c r="U19" s="243">
        <f t="shared" si="1"/>
        <v>274078.68474152137</v>
      </c>
      <c r="V19" s="243">
        <f t="shared" si="1"/>
        <v>276940.78549950919</v>
      </c>
      <c r="W19" s="243">
        <f t="shared" si="1"/>
        <v>279725.74078752438</v>
      </c>
      <c r="X19" s="243">
        <f t="shared" si="1"/>
        <v>280291.90845263674</v>
      </c>
      <c r="Y19" s="243">
        <f t="shared" si="1"/>
        <v>282860.96094918263</v>
      </c>
      <c r="Z19" s="296"/>
      <c r="AA19" s="296"/>
    </row>
    <row r="20" spans="1:48">
      <c r="A20" s="4"/>
      <c r="D20" s="244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97"/>
      <c r="AA20" s="297"/>
    </row>
    <row r="21" spans="1:48">
      <c r="A21" s="5"/>
      <c r="Z21" s="296"/>
      <c r="AA21" s="296"/>
    </row>
    <row r="22" spans="1:48">
      <c r="A22" s="1" t="s">
        <v>175</v>
      </c>
      <c r="Z22" s="296"/>
      <c r="AA22" s="296"/>
    </row>
    <row r="23" spans="1:48">
      <c r="A23" s="4" t="s">
        <v>176</v>
      </c>
      <c r="D23" s="243">
        <f>Wheatland!E24+'New Albany'!E24+Wilton!E24+Calvert!E24+Brownsville!E24+Caledonia!E24</f>
        <v>0</v>
      </c>
      <c r="E23" s="243">
        <f>Wheatland!F24+'New Albany'!F24+Wilton!F24+Calvert!F24+Brownsville!F24+Caledonia!F24</f>
        <v>0</v>
      </c>
      <c r="F23" s="243">
        <f>Wheatland!G24+'New Albany'!G24+Wilton!G24+Calvert!G24+Brownsville!G24+Caledonia!G24</f>
        <v>0</v>
      </c>
      <c r="G23" s="243">
        <f>Wheatland!H24+'New Albany'!H24+Wilton!H24+Calvert!H24+Brownsville!H24+Caledonia!H24</f>
        <v>0</v>
      </c>
      <c r="H23" s="243">
        <f>Wheatland!I24+'New Albany'!I24+Wilton!I24+Calvert!I24+Brownsville!I24+Caledonia!I24</f>
        <v>0</v>
      </c>
      <c r="I23" s="243">
        <f>Wheatland!J24+'New Albany'!J24+Wilton!J24+Calvert!J24+Brownsville!J24+Caledonia!J24</f>
        <v>0</v>
      </c>
      <c r="J23" s="243">
        <f>Wheatland!K24+'New Albany'!K24+Wilton!K24+Calvert!K24+Brownsville!K24+Caledonia!K24</f>
        <v>0</v>
      </c>
      <c r="K23" s="243">
        <f>Wheatland!L24+'New Albany'!L24+Wilton!L24+Calvert!L24+Brownsville!L24+Caledonia!L24</f>
        <v>0</v>
      </c>
      <c r="L23" s="243">
        <f>Wheatland!M24+'New Albany'!M24+Wilton!M24+Calvert!M24+Brownsville!M24+Caledonia!M24</f>
        <v>0</v>
      </c>
      <c r="M23" s="243">
        <f>Wheatland!N24+'New Albany'!N24+Wilton!N24+Calvert!N24+Brownsville!N24+Caledonia!N24</f>
        <v>0</v>
      </c>
      <c r="N23" s="243">
        <f>Wheatland!O24+'New Albany'!O24+Wilton!O24+Calvert!O24+Brownsville!O24+Caledonia!O24</f>
        <v>0</v>
      </c>
      <c r="O23" s="243">
        <f>Wheatland!P24+'New Albany'!P24+Wilton!P24+Calvert!P24+Brownsville!P24+Caledonia!P24</f>
        <v>0</v>
      </c>
      <c r="P23" s="243">
        <f>Wheatland!Q24+'New Albany'!Q24+Wilton!Q24+Calvert!Q24+Brownsville!Q24+Caledonia!Q24</f>
        <v>0</v>
      </c>
      <c r="Q23" s="243">
        <f>Wheatland!R24+'New Albany'!R24+Wilton!R24+Calvert!R24+Brownsville!R24+Caledonia!R24</f>
        <v>0</v>
      </c>
      <c r="R23" s="243">
        <f>Wheatland!S24+'New Albany'!S24+Wilton!S24+Calvert!S24+Brownsville!S24+Caledonia!S24</f>
        <v>0</v>
      </c>
      <c r="S23" s="243">
        <f>Wheatland!T24+'New Albany'!T24+Wilton!T24+Calvert!T24+Brownsville!T24+Caledonia!T24</f>
        <v>0</v>
      </c>
      <c r="T23" s="243">
        <f>Wheatland!U24+'New Albany'!U24+Wilton!U24+Calvert!U24+Brownsville!U24+Caledonia!U24</f>
        <v>0</v>
      </c>
      <c r="U23" s="243">
        <f>Wheatland!V24+'New Albany'!V24+Wilton!V24+Calvert!V24+Brownsville!V24+Caledonia!V24</f>
        <v>0</v>
      </c>
      <c r="V23" s="243">
        <f>Wheatland!W24+'New Albany'!W24+Wilton!W24+Calvert!W24+Brownsville!W24+Caledonia!W24</f>
        <v>0</v>
      </c>
      <c r="W23" s="243">
        <f>Wheatland!X24+'New Albany'!X24+Wilton!X24+Calvert!X24+Brownsville!X24+Caledonia!X24</f>
        <v>0</v>
      </c>
      <c r="X23" s="243">
        <f>Wheatland!Y24+'New Albany'!Y24+Wilton!Y24+Calvert!Y24+Brownsville!Y24+Caledonia!Y24</f>
        <v>0</v>
      </c>
      <c r="Y23" s="243">
        <f>Wheatland!Z24+'New Albany'!Z24+Wilton!Z24+Calvert!Z24+Brownsville!Z24+Caledonia!Z24</f>
        <v>0</v>
      </c>
      <c r="Z23" s="296"/>
      <c r="AA23" s="296"/>
    </row>
    <row r="24" spans="1:48">
      <c r="A24" s="4" t="s">
        <v>128</v>
      </c>
      <c r="C24" s="243"/>
      <c r="D24" s="243">
        <f>Wheatland!E25+'New Albany'!E25+Wilton!E25+Calvert!E25+Brownsville!E25+Caledonia!E25</f>
        <v>0</v>
      </c>
      <c r="E24" s="243">
        <f>Wheatland!F25+'New Albany'!F25+Wilton!F25+Calvert!F25+Brownsville!F25+Caledonia!F25</f>
        <v>4214.6315933333335</v>
      </c>
      <c r="F24" s="243">
        <f>Wheatland!G25+'New Albany'!G25+Wilton!G25+Calvert!G25+Brownsville!G25+Caledonia!G25</f>
        <v>5928.6189828000006</v>
      </c>
      <c r="G24" s="243">
        <f>Wheatland!H25+'New Albany'!H25+Wilton!H25+Calvert!H25+Brownsville!H25+Caledonia!H25</f>
        <v>6106.4775522840009</v>
      </c>
      <c r="H24" s="243">
        <f>Wheatland!I25+'New Albany'!I25+Wilton!I25+Calvert!I25+Brownsville!I25+Caledonia!I25</f>
        <v>6289.6718788525204</v>
      </c>
      <c r="I24" s="243">
        <f>Wheatland!J25+'New Albany'!J25+Wilton!J25+Calvert!J25+Brownsville!J25+Caledonia!J25</f>
        <v>6478.362035218096</v>
      </c>
      <c r="J24" s="243">
        <f>Wheatland!K25+'New Albany'!K25+Wilton!K25+Calvert!K25+Brownsville!K25+Caledonia!K25</f>
        <v>6672.7128962746392</v>
      </c>
      <c r="K24" s="243">
        <f>Wheatland!L25+'New Albany'!L25+Wilton!L25+Calvert!L25+Brownsville!L25+Caledonia!L25</f>
        <v>6872.8942831628774</v>
      </c>
      <c r="L24" s="243">
        <f>Wheatland!M25+'New Albany'!M25+Wilton!M25+Calvert!M25+Brownsville!M25+Caledonia!M25</f>
        <v>7079.0811116577643</v>
      </c>
      <c r="M24" s="243">
        <f>Wheatland!N25+'New Albany'!N25+Wilton!N25+Calvert!N25+Brownsville!N25+Caledonia!N25</f>
        <v>7291.4535450074973</v>
      </c>
      <c r="N24" s="243">
        <f>Wheatland!O25+'New Albany'!O25+Wilton!O25+Calvert!O25+Brownsville!O25+Caledonia!O25</f>
        <v>7510.1971513577228</v>
      </c>
      <c r="O24" s="243">
        <f>Wheatland!P25+'New Albany'!P25+Wilton!P25+Calvert!P25+Brownsville!P25+Caledonia!P25</f>
        <v>7735.503065898456</v>
      </c>
      <c r="P24" s="243">
        <f>Wheatland!Q25+'New Albany'!Q25+Wilton!Q25+Calvert!Q25+Brownsville!Q25+Caledonia!Q25</f>
        <v>7967.5681578754093</v>
      </c>
      <c r="Q24" s="243">
        <f>Wheatland!R25+'New Albany'!R25+Wilton!R25+Calvert!R25+Brownsville!R25+Caledonia!R25</f>
        <v>8206.5952026116702</v>
      </c>
      <c r="R24" s="243">
        <f>Wheatland!S25+'New Albany'!S25+Wilton!S25+Calvert!S25+Brownsville!S25+Caledonia!S25</f>
        <v>8452.793058690022</v>
      </c>
      <c r="S24" s="243">
        <f>Wheatland!T25+'New Albany'!T25+Wilton!T25+Calvert!T25+Brownsville!T25+Caledonia!T25</f>
        <v>8706.3768504507207</v>
      </c>
      <c r="T24" s="243">
        <f>Wheatland!U25+'New Albany'!U25+Wilton!U25+Calvert!U25+Brownsville!U25+Caledonia!U25</f>
        <v>8967.5681559642435</v>
      </c>
      <c r="U24" s="243">
        <f>Wheatland!V25+'New Albany'!V25+Wilton!V25+Calvert!V25+Brownsville!V25+Caledonia!V25</f>
        <v>9236.5952006431708</v>
      </c>
      <c r="V24" s="243">
        <f>Wheatland!W25+'New Albany'!W25+Wilton!W25+Calvert!W25+Brownsville!W25+Caledonia!W25</f>
        <v>9513.6930566624669</v>
      </c>
      <c r="W24" s="243">
        <f>Wheatland!X25+'New Albany'!X25+Wilton!X25+Calvert!X25+Brownsville!X25+Caledonia!X25</f>
        <v>9799.1038483623415</v>
      </c>
      <c r="X24" s="243">
        <f>Wheatland!Y25+'New Albany'!Y25+Wilton!Y25+Calvert!Y25+Brownsville!Y25+Caledonia!Y25</f>
        <v>10093.076963813211</v>
      </c>
      <c r="Y24" s="243">
        <f>Wheatland!Z25+'New Albany'!Z25+Wilton!Z25+Calvert!Z25+Brownsville!Z25+Caledonia!Z25</f>
        <v>10395.869272727607</v>
      </c>
      <c r="Z24" s="296"/>
      <c r="AA24" s="296"/>
    </row>
    <row r="25" spans="1:48">
      <c r="A25" s="4" t="s">
        <v>177</v>
      </c>
      <c r="C25" s="243"/>
      <c r="D25" s="243">
        <f>Wheatland!E26+'New Albany'!E26+Wilton!E26+Calvert!E26+Brownsville!E26+Caledonia!E26</f>
        <v>0</v>
      </c>
      <c r="E25" s="243">
        <f>Wheatland!F26+'New Albany'!F26+Wilton!F26+Calvert!F26+Brownsville!F26+Caledonia!F26</f>
        <v>3806.2811488194975</v>
      </c>
      <c r="F25" s="243">
        <f>Wheatland!G26+'New Albany'!G26+Wilton!G26+Calvert!G26+Brownsville!G26+Caledonia!G26</f>
        <v>3940.0963730716653</v>
      </c>
      <c r="G25" s="243">
        <f>Wheatland!H26+'New Albany'!H26+Wilton!H26+Calvert!H26+Brownsville!H26+Caledonia!H26</f>
        <v>4058.2992642638151</v>
      </c>
      <c r="H25" s="243">
        <f>Wheatland!I26+'New Albany'!I26+Wilton!I26+Calvert!I26+Brownsville!I26+Caledonia!I26</f>
        <v>4463.1227545915699</v>
      </c>
      <c r="I25" s="243">
        <f>Wheatland!J26+'New Albany'!J26+Wilton!J26+Calvert!J26+Brownsville!J26+Caledonia!J26</f>
        <v>4597.0164372293166</v>
      </c>
      <c r="J25" s="243">
        <f>Wheatland!K26+'New Albany'!K26+Wilton!K26+Calvert!K26+Brownsville!K26+Caledonia!K26</f>
        <v>4734.9269303461961</v>
      </c>
      <c r="K25" s="243">
        <f>Wheatland!L26+'New Albany'!L26+Wilton!L26+Calvert!L26+Brownsville!L26+Caledonia!L26</f>
        <v>4876.974738256582</v>
      </c>
      <c r="L25" s="243">
        <f>Wheatland!M26+'New Albany'!M26+Wilton!M26+Calvert!M26+Brownsville!M26+Caledonia!M26</f>
        <v>5023.2839804042796</v>
      </c>
      <c r="M25" s="243">
        <f>Wheatland!N26+'New Albany'!N26+Wilton!N26+Calvert!N26+Brownsville!N26+Caledonia!N26</f>
        <v>5173.9824998164077</v>
      </c>
      <c r="N25" s="243">
        <f>Wheatland!O26+'New Albany'!O26+Wilton!O26+Calvert!O26+Brownsville!O26+Caledonia!O26</f>
        <v>5329.2019748109005</v>
      </c>
      <c r="O25" s="243">
        <f>Wheatland!P26+'New Albany'!P26+Wilton!P26+Calvert!P26+Brownsville!P26+Caledonia!P26</f>
        <v>5489.0780340552274</v>
      </c>
      <c r="P25" s="243">
        <f>Wheatland!Q26+'New Albany'!Q26+Wilton!Q26+Calvert!Q26+Brownsville!Q26+Caledonia!Q26</f>
        <v>5653.7503750768847</v>
      </c>
      <c r="Q25" s="243">
        <f>Wheatland!R26+'New Albany'!R26+Wilton!R26+Calvert!R26+Brownsville!R26+Caledonia!R26</f>
        <v>5823.3628863291906</v>
      </c>
      <c r="R25" s="243">
        <f>Wheatland!S26+'New Albany'!S26+Wilton!S26+Calvert!S26+Brownsville!S26+Caledonia!S26</f>
        <v>5998.0637729190676</v>
      </c>
      <c r="S25" s="243">
        <f>Wheatland!T26+'New Albany'!T26+Wilton!T26+Calvert!T26+Brownsville!T26+Caledonia!T26</f>
        <v>6178.0056861066387</v>
      </c>
      <c r="T25" s="243">
        <f>Wheatland!U26+'New Albany'!U26+Wilton!U26+Calvert!U26+Brownsville!U26+Caledonia!U26</f>
        <v>6363.3458566898389</v>
      </c>
      <c r="U25" s="243">
        <f>Wheatland!V26+'New Albany'!V26+Wilton!V26+Calvert!V26+Brownsville!V26+Caledonia!V26</f>
        <v>6554.2462323905329</v>
      </c>
      <c r="V25" s="243">
        <f>Wheatland!W26+'New Albany'!W26+Wilton!W26+Calvert!W26+Brownsville!W26+Caledonia!W26</f>
        <v>6750.8736193622499</v>
      </c>
      <c r="W25" s="243">
        <f>Wheatland!X26+'New Albany'!X26+Wilton!X26+Calvert!X26+Brownsville!X26+Caledonia!X26</f>
        <v>6953.3998279431171</v>
      </c>
      <c r="X25" s="243">
        <f>Wheatland!Y26+'New Albany'!Y26+Wilton!Y26+Calvert!Y26+Brownsville!Y26+Caledonia!Y26</f>
        <v>7162.0018227814107</v>
      </c>
      <c r="Y25" s="243">
        <f>Wheatland!Z26+'New Albany'!Z26+Wilton!Z26+Calvert!Z26+Brownsville!Z26+Caledonia!Z26</f>
        <v>7376.8618774648539</v>
      </c>
      <c r="Z25" s="296"/>
      <c r="AA25" s="296"/>
    </row>
    <row r="26" spans="1:48">
      <c r="A26" s="4" t="s">
        <v>131</v>
      </c>
      <c r="C26" s="243"/>
      <c r="D26" s="243">
        <f>Wheatland!E27+'New Albany'!E27+Wilton!E27+Calvert!E27+Brownsville!E27+Caledonia!E27</f>
        <v>0</v>
      </c>
      <c r="E26" s="243">
        <f>Wheatland!F27+'New Albany'!F27+Wilton!F27+Calvert!F27+Brownsville!F27+Caledonia!F27</f>
        <v>11171.091600000002</v>
      </c>
      <c r="F26" s="243">
        <f>Wheatland!G27+'New Albany'!G27+Wilton!G27+Calvert!G27+Brownsville!G27+Caledonia!G27</f>
        <v>11506.224348000002</v>
      </c>
      <c r="G26" s="243">
        <f>Wheatland!H27+'New Albany'!H27+Wilton!H27+Calvert!H27+Brownsville!H27+Caledonia!H27</f>
        <v>11851.411078439998</v>
      </c>
      <c r="H26" s="243">
        <f>Wheatland!I27+'New Albany'!I27+Wilton!I27+Calvert!I27+Brownsville!I27+Caledonia!I27</f>
        <v>12206.953410793201</v>
      </c>
      <c r="I26" s="243">
        <f>Wheatland!J27+'New Albany'!J27+Wilton!J27+Calvert!J27+Brownsville!J27+Caledonia!J27</f>
        <v>12573.162013116997</v>
      </c>
      <c r="J26" s="243">
        <f>Wheatland!K27+'New Albany'!K27+Wilton!K27+Calvert!K27+Brownsville!K27+Caledonia!K27</f>
        <v>12950.356873510509</v>
      </c>
      <c r="K26" s="243">
        <f>Wheatland!L27+'New Albany'!L27+Wilton!L27+Calvert!L27+Brownsville!L27+Caledonia!L27</f>
        <v>13338.867579715825</v>
      </c>
      <c r="L26" s="243">
        <f>Wheatland!M27+'New Albany'!M27+Wilton!M27+Calvert!M27+Brownsville!M27+Caledonia!M27</f>
        <v>13739.033607107298</v>
      </c>
      <c r="M26" s="243">
        <f>Wheatland!N27+'New Albany'!N27+Wilton!N27+Calvert!N27+Brownsville!N27+Caledonia!N27</f>
        <v>14151.204615320519</v>
      </c>
      <c r="N26" s="243">
        <f>Wheatland!O27+'New Albany'!O27+Wilton!O27+Calvert!O27+Brownsville!O27+Caledonia!O27</f>
        <v>14575.740753780134</v>
      </c>
      <c r="O26" s="243">
        <f>Wheatland!P27+'New Albany'!P27+Wilton!P27+Calvert!P27+Brownsville!P27+Caledonia!P27</f>
        <v>15013.012976393538</v>
      </c>
      <c r="P26" s="243">
        <f>Wheatland!Q27+'New Albany'!Q27+Wilton!Q27+Calvert!Q27+Brownsville!Q27+Caledonia!Q27</f>
        <v>15463.403365685344</v>
      </c>
      <c r="Q26" s="243">
        <f>Wheatland!R27+'New Albany'!R27+Wilton!R27+Calvert!R27+Brownsville!R27+Caledonia!R27</f>
        <v>15927.305466655906</v>
      </c>
      <c r="R26" s="243">
        <f>Wheatland!S27+'New Albany'!S27+Wilton!S27+Calvert!S27+Brownsville!S27+Caledonia!S27</f>
        <v>16405.124630655584</v>
      </c>
      <c r="S26" s="243">
        <f>Wheatland!T27+'New Albany'!T27+Wilton!T27+Calvert!T27+Brownsville!T27+Caledonia!T27</f>
        <v>16897.278369575251</v>
      </c>
      <c r="T26" s="243">
        <f>Wheatland!U27+'New Albany'!U27+Wilton!U27+Calvert!U27+Brownsville!U27+Caledonia!U27</f>
        <v>17404.196720662512</v>
      </c>
      <c r="U26" s="243">
        <f>Wheatland!V27+'New Albany'!V27+Wilton!V27+Calvert!V27+Brownsville!V27+Caledonia!V27</f>
        <v>17926.322622282383</v>
      </c>
      <c r="V26" s="243">
        <f>Wheatland!W27+'New Albany'!W27+Wilton!W27+Calvert!W27+Brownsville!W27+Caledonia!W27</f>
        <v>18464.112300950859</v>
      </c>
      <c r="W26" s="243">
        <f>Wheatland!X27+'New Albany'!X27+Wilton!X27+Calvert!X27+Brownsville!X27+Caledonia!X27</f>
        <v>19018.035669979385</v>
      </c>
      <c r="X26" s="243">
        <f>Wheatland!Y27+'New Albany'!Y27+Wilton!Y27+Calvert!Y27+Brownsville!Y27+Caledonia!Y27</f>
        <v>19588.576740078766</v>
      </c>
      <c r="Y26" s="243">
        <f>Wheatland!Z27+'New Albany'!Z27+Wilton!Z27+Calvert!Z27+Brownsville!Z27+Caledonia!Z27</f>
        <v>20176.234042281128</v>
      </c>
      <c r="Z26" s="296"/>
      <c r="AA26" s="296"/>
    </row>
    <row r="27" spans="1:48">
      <c r="A27" s="4" t="s">
        <v>133</v>
      </c>
      <c r="C27" s="243"/>
      <c r="D27" s="243">
        <f>Wheatland!E28+'New Albany'!E28+Wilton!E28+Calvert!E28+Brownsville!E28+Caledonia!E28</f>
        <v>0</v>
      </c>
      <c r="E27" s="243">
        <f>Wheatland!F28+'New Albany'!F28+Wilton!F28+Calvert!F28+Brownsville!F28+Caledonia!F28</f>
        <v>1175.9097999999999</v>
      </c>
      <c r="F27" s="243">
        <f>Wheatland!G28+'New Albany'!G28+Wilton!G28+Calvert!G28+Brownsville!G28+Caledonia!G28</f>
        <v>1647.7474440000001</v>
      </c>
      <c r="G27" s="243">
        <f>Wheatland!H28+'New Albany'!H28+Wilton!H28+Calvert!H28+Brownsville!H28+Caledonia!H28</f>
        <v>1697.1798673200001</v>
      </c>
      <c r="H27" s="243">
        <f>Wheatland!I28+'New Albany'!I28+Wilton!I28+Calvert!I28+Brownsville!I28+Caledonia!I28</f>
        <v>1748.0952633396</v>
      </c>
      <c r="I27" s="243">
        <f>Wheatland!J28+'New Albany'!J28+Wilton!J28+Calvert!J28+Brownsville!J28+Caledonia!J28</f>
        <v>1800.5381212397881</v>
      </c>
      <c r="J27" s="243">
        <f>Wheatland!K28+'New Albany'!K28+Wilton!K28+Calvert!K28+Brownsville!K28+Caledonia!K28</f>
        <v>1854.5542648769817</v>
      </c>
      <c r="K27" s="243">
        <f>Wheatland!L28+'New Albany'!L28+Wilton!L28+Calvert!L28+Brownsville!L28+Caledonia!L28</f>
        <v>1910.1908928232913</v>
      </c>
      <c r="L27" s="243">
        <f>Wheatland!M28+'New Albany'!M28+Wilton!M28+Calvert!M28+Brownsville!M28+Caledonia!M28</f>
        <v>1967.4966196079902</v>
      </c>
      <c r="M27" s="243">
        <f>Wheatland!N28+'New Albany'!N28+Wilton!N28+Calvert!N28+Brownsville!N28+Caledonia!N28</f>
        <v>2026.5215181962299</v>
      </c>
      <c r="N27" s="243">
        <f>Wheatland!O28+'New Albany'!O28+Wilton!O28+Calvert!O28+Brownsville!O28+Caledonia!O28</f>
        <v>2087.3171637421169</v>
      </c>
      <c r="O27" s="243">
        <f>Wheatland!P28+'New Albany'!P28+Wilton!P28+Calvert!P28+Brownsville!P28+Caledonia!P28</f>
        <v>2149.9366786543801</v>
      </c>
      <c r="P27" s="243">
        <f>Wheatland!Q28+'New Albany'!Q28+Wilton!Q28+Calvert!Q28+Brownsville!Q28+Caledonia!Q28</f>
        <v>2214.4347790140114</v>
      </c>
      <c r="Q27" s="243">
        <f>Wheatland!R28+'New Albany'!R28+Wilton!R28+Calvert!R28+Brownsville!R28+Caledonia!R28</f>
        <v>2280.8678223844317</v>
      </c>
      <c r="R27" s="243">
        <f>Wheatland!S28+'New Albany'!S28+Wilton!S28+Calvert!S28+Brownsville!S28+Caledonia!S28</f>
        <v>2349.293857055965</v>
      </c>
      <c r="S27" s="243">
        <f>Wheatland!T28+'New Albany'!T28+Wilton!T28+Calvert!T28+Brownsville!T28+Caledonia!T28</f>
        <v>2419.7726727676441</v>
      </c>
      <c r="T27" s="243">
        <f>Wheatland!U28+'New Albany'!U28+Wilton!U28+Calvert!U28+Brownsville!U28+Caledonia!U28</f>
        <v>2492.3658529506733</v>
      </c>
      <c r="U27" s="243">
        <f>Wheatland!V28+'New Albany'!V28+Wilton!V28+Calvert!V28+Brownsville!V28+Caledonia!V28</f>
        <v>2567.1368285391936</v>
      </c>
      <c r="V27" s="243">
        <f>Wheatland!W28+'New Albany'!W28+Wilton!W28+Calvert!W28+Brownsville!W28+Caledonia!W28</f>
        <v>2644.15093339537</v>
      </c>
      <c r="W27" s="243">
        <f>Wheatland!X28+'New Albany'!X28+Wilton!X28+Calvert!X28+Brownsville!X28+Caledonia!X28</f>
        <v>2723.4754613972309</v>
      </c>
      <c r="X27" s="243">
        <f>Wheatland!Y28+'New Albany'!Y28+Wilton!Y28+Calvert!Y28+Brownsville!Y28+Caledonia!Y28</f>
        <v>2805.179725239148</v>
      </c>
      <c r="Y27" s="243">
        <f>Wheatland!Z28+'New Albany'!Z28+Wilton!Z28+Calvert!Z28+Brownsville!Z28+Caledonia!Z28</f>
        <v>2889.3351169963221</v>
      </c>
      <c r="Z27" s="296"/>
      <c r="AA27" s="296"/>
    </row>
    <row r="28" spans="1:48">
      <c r="A28" s="4" t="s">
        <v>134</v>
      </c>
      <c r="C28" s="243"/>
      <c r="D28" s="294">
        <f>Wheatland!E29+'New Albany'!E29+Wilton!E29+Calvert!E29+Brownsville!E29+Caledonia!E29</f>
        <v>0</v>
      </c>
      <c r="E28" s="294">
        <f>Wheatland!F29+'New Albany'!F29+Wilton!F29+Calvert!F29+Brownsville!F29+Caledonia!F29</f>
        <v>1784.6789056666667</v>
      </c>
      <c r="F28" s="294">
        <f>Wheatland!G29+'New Albany'!G29+Wilton!G29+Calvert!G29+Brownsville!G29+Caledonia!G29</f>
        <v>2401.11513117</v>
      </c>
      <c r="G28" s="294">
        <f>Wheatland!H29+'New Albany'!H29+Wilton!H29+Calvert!H29+Brownsville!H29+Caledonia!H29</f>
        <v>2473.1485851051002</v>
      </c>
      <c r="H28" s="294">
        <f>Wheatland!I29+'New Albany'!I29+Wilton!I29+Calvert!I29+Brownsville!I29+Caledonia!I29</f>
        <v>2547.3430426582531</v>
      </c>
      <c r="I28" s="294">
        <f>Wheatland!J29+'New Albany'!J29+Wilton!J29+Calvert!J29+Brownsville!J29+Caledonia!J29</f>
        <v>2623.7633339380004</v>
      </c>
      <c r="J28" s="294">
        <f>Wheatland!K29+'New Albany'!K29+Wilton!K29+Calvert!K29+Brownsville!K29+Caledonia!K29</f>
        <v>2702.4762339561403</v>
      </c>
      <c r="K28" s="294">
        <f>Wheatland!L29+'New Albany'!L29+Wilton!L29+Calvert!L29+Brownsville!L29+Caledonia!L29</f>
        <v>2783.5505209748253</v>
      </c>
      <c r="L28" s="294">
        <f>Wheatland!M29+'New Albany'!M29+Wilton!M29+Calvert!M29+Brownsville!M29+Caledonia!M29</f>
        <v>2867.0570366040697</v>
      </c>
      <c r="M28" s="294">
        <f>Wheatland!N29+'New Albany'!N29+Wilton!N29+Calvert!N29+Brownsville!N29+Caledonia!N29</f>
        <v>2953.068747702192</v>
      </c>
      <c r="N28" s="294">
        <f>Wheatland!O29+'New Albany'!O29+Wilton!O29+Calvert!O29+Brownsville!O29+Caledonia!O29</f>
        <v>3041.6608101332577</v>
      </c>
      <c r="O28" s="294">
        <f>Wheatland!P29+'New Albany'!P29+Wilton!P29+Calvert!P29+Brownsville!P29+Caledonia!P29</f>
        <v>3132.9106344372553</v>
      </c>
      <c r="P28" s="294">
        <f>Wheatland!Q29+'New Albany'!Q29+Wilton!Q29+Calvert!Q29+Brownsville!Q29+Caledonia!Q29</f>
        <v>3226.8979534703731</v>
      </c>
      <c r="Q28" s="294">
        <f>Wheatland!R29+'New Albany'!R29+Wilton!R29+Calvert!R29+Brownsville!R29+Caledonia!R29</f>
        <v>3323.7048920744846</v>
      </c>
      <c r="R28" s="294">
        <f>Wheatland!S29+'New Albany'!S29+Wilton!S29+Calvert!S29+Brownsville!S29+Caledonia!S29</f>
        <v>3423.4160388367191</v>
      </c>
      <c r="S28" s="294">
        <f>Wheatland!T29+'New Albany'!T29+Wilton!T29+Calvert!T29+Brownsville!T29+Caledonia!T29</f>
        <v>3526.1185200018208</v>
      </c>
      <c r="T28" s="294">
        <f>Wheatland!U29+'New Albany'!U29+Wilton!U29+Calvert!U29+Brownsville!U29+Caledonia!U29</f>
        <v>3631.9020756018754</v>
      </c>
      <c r="U28" s="294">
        <f>Wheatland!V29+'New Albany'!V29+Wilton!V29+Calvert!V29+Brownsville!V29+Caledonia!V29</f>
        <v>3740.8591378699321</v>
      </c>
      <c r="V28" s="294">
        <f>Wheatland!W29+'New Albany'!W29+Wilton!W29+Calvert!W29+Brownsville!W29+Caledonia!W29</f>
        <v>3853.0849120060302</v>
      </c>
      <c r="W28" s="294">
        <f>Wheatland!X29+'New Albany'!X29+Wilton!X29+Calvert!X29+Brownsville!X29+Caledonia!X29</f>
        <v>3968.6774593662108</v>
      </c>
      <c r="X28" s="294">
        <f>Wheatland!Y29+'New Albany'!Y29+Wilton!Y29+Calvert!Y29+Brownsville!Y29+Caledonia!Y29</f>
        <v>4087.7377831471972</v>
      </c>
      <c r="Y28" s="294">
        <f>Wheatland!Z29+'New Albany'!Z29+Wilton!Z29+Calvert!Z29+Brownsville!Z29+Caledonia!Z29</f>
        <v>4210.3699166416136</v>
      </c>
      <c r="Z28" s="297"/>
      <c r="AA28" s="297"/>
    </row>
    <row r="29" spans="1:48">
      <c r="A29" s="4" t="s">
        <v>178</v>
      </c>
      <c r="C29" s="243"/>
      <c r="D29" s="294">
        <f>Wheatland!E30+'New Albany'!E30+Wilton!E30+Calvert!E30+Brownsville!E30+Caledonia!E30</f>
        <v>0</v>
      </c>
      <c r="E29" s="294">
        <f>Wheatland!F30+'New Albany'!F30+Wilton!F30+Calvert!F30+Brownsville!F30+Caledonia!F30</f>
        <v>456.82666090000004</v>
      </c>
      <c r="F29" s="294">
        <f>Wheatland!G30+'New Albany'!G30+Wilton!G30+Calvert!G30+Brownsville!G30+Caledonia!G30</f>
        <v>470.53146072699997</v>
      </c>
      <c r="G29" s="294">
        <f>Wheatland!H30+'New Albany'!H30+Wilton!H30+Calvert!H30+Brownsville!H30+Caledonia!H30</f>
        <v>484.64740454880996</v>
      </c>
      <c r="H29" s="294">
        <f>Wheatland!I30+'New Albany'!I30+Wilton!I30+Calvert!I30+Brownsville!I30+Caledonia!I30</f>
        <v>499.18682668527435</v>
      </c>
      <c r="I29" s="294">
        <f>Wheatland!J30+'New Albany'!J30+Wilton!J30+Calvert!J30+Brownsville!J30+Caledonia!J30</f>
        <v>514.1624314858326</v>
      </c>
      <c r="J29" s="294">
        <f>Wheatland!K30+'New Albany'!K30+Wilton!K30+Calvert!K30+Brownsville!K30+Caledonia!K30</f>
        <v>529.58730443040758</v>
      </c>
      <c r="K29" s="294">
        <f>Wheatland!L30+'New Albany'!L30+Wilton!L30+Calvert!L30+Brownsville!L30+Caledonia!L30</f>
        <v>545.47492356331986</v>
      </c>
      <c r="L29" s="294">
        <f>Wheatland!M30+'New Albany'!M30+Wilton!M30+Calvert!M30+Brownsville!M30+Caledonia!M30</f>
        <v>561.83917127021937</v>
      </c>
      <c r="M29" s="294">
        <f>Wheatland!N30+'New Albany'!N30+Wilton!N30+Calvert!N30+Brownsville!N30+Caledonia!N30</f>
        <v>578.69434640832594</v>
      </c>
      <c r="N29" s="294">
        <f>Wheatland!O30+'New Albany'!O30+Wilton!O30+Calvert!O30+Brownsville!O30+Caledonia!O30</f>
        <v>596.05517680057574</v>
      </c>
      <c r="O29" s="294">
        <f>Wheatland!P30+'New Albany'!P30+Wilton!P30+Calvert!P30+Brownsville!P30+Caledonia!P30</f>
        <v>613.93683210459312</v>
      </c>
      <c r="P29" s="294">
        <f>Wheatland!Q30+'New Albany'!Q30+Wilton!Q30+Calvert!Q30+Brownsville!Q30+Caledonia!Q30</f>
        <v>632.35493706773082</v>
      </c>
      <c r="Q29" s="294">
        <f>Wheatland!R30+'New Albany'!R30+Wilton!R30+Calvert!R30+Brownsville!R30+Caledonia!R30</f>
        <v>651.32558517976281</v>
      </c>
      <c r="R29" s="294">
        <f>Wheatland!S30+'New Albany'!S30+Wilton!S30+Calvert!S30+Brownsville!S30+Caledonia!S30</f>
        <v>670.86535273515574</v>
      </c>
      <c r="S29" s="294">
        <f>Wheatland!T30+'New Albany'!T30+Wilton!T30+Calvert!T30+Brownsville!T30+Caledonia!T30</f>
        <v>690.99131331721048</v>
      </c>
      <c r="T29" s="294">
        <f>Wheatland!U30+'New Albany'!U30+Wilton!U30+Calvert!U30+Brownsville!U30+Caledonia!U30</f>
        <v>711.72105271672672</v>
      </c>
      <c r="U29" s="294">
        <f>Wheatland!V30+'New Albany'!V30+Wilton!V30+Calvert!V30+Brownsville!V30+Caledonia!V30</f>
        <v>733.07268429822864</v>
      </c>
      <c r="V29" s="294">
        <f>Wheatland!W30+'New Albany'!W30+Wilton!W30+Calvert!W30+Brownsville!W30+Caledonia!W30</f>
        <v>755.06486482717548</v>
      </c>
      <c r="W29" s="294">
        <f>Wheatland!X30+'New Albany'!X30+Wilton!X30+Calvert!X30+Brownsville!X30+Caledonia!X30</f>
        <v>777.71681077199082</v>
      </c>
      <c r="X29" s="294">
        <f>Wheatland!Y30+'New Albany'!Y30+Wilton!Y30+Calvert!Y30+Brownsville!Y30+Caledonia!Y30</f>
        <v>801.04831509515043</v>
      </c>
      <c r="Y29" s="294">
        <f>Wheatland!Z30+'New Albany'!Z30+Wilton!Z30+Calvert!Z30+Brownsville!Z30+Caledonia!Z30</f>
        <v>825.07976454800496</v>
      </c>
      <c r="Z29" s="297"/>
      <c r="AA29" s="297"/>
    </row>
    <row r="30" spans="1:48" ht="14.25" customHeight="1">
      <c r="A30" s="4" t="s">
        <v>179</v>
      </c>
      <c r="C30" s="243"/>
      <c r="D30" s="293">
        <f>Wheatland!E31+'New Albany'!E31+Wilton!E31+Calvert!E31+Brownsville!E31+Caledonia!E31</f>
        <v>0</v>
      </c>
      <c r="E30" s="293">
        <f>Wheatland!F31+'New Albany'!F31+Wilton!F31+Calvert!F31+Brownsville!F31+Caledonia!F31</f>
        <v>2250.4146846410899</v>
      </c>
      <c r="F30" s="293">
        <f>Wheatland!G31+'New Albany'!G31+Wilton!G31+Calvert!G31+Brownsville!G31+Caledonia!G31</f>
        <v>2659.8661473730554</v>
      </c>
      <c r="G30" s="293">
        <f>Wheatland!H31+'New Albany'!H31+Wilton!H31+Calvert!H31+Brownsville!H31+Caledonia!H31</f>
        <v>2788.3452248063268</v>
      </c>
      <c r="H30" s="293">
        <f>Wheatland!I31+'New Albany'!I31+Wilton!I31+Calvert!I31+Brownsville!I31+Caledonia!I31</f>
        <v>3075.1682451940724</v>
      </c>
      <c r="I30" s="243">
        <f>Wheatland!J31+'New Albany'!J31+Wilton!J31+Calvert!J31+Brownsville!J31+Caledonia!J31</f>
        <v>3334.211590529444</v>
      </c>
      <c r="J30" s="243">
        <f>Wheatland!K31+'New Albany'!K31+Wilton!K31+Calvert!K31+Brownsville!K31+Caledonia!K31</f>
        <v>3357.0499052715859</v>
      </c>
      <c r="K30" s="243">
        <f>Wheatland!L31+'New Albany'!L31+Wilton!L31+Calvert!L31+Brownsville!L31+Caledonia!L31</f>
        <v>3426.3342620010553</v>
      </c>
      <c r="L30" s="243">
        <f>Wheatland!M31+'New Albany'!M31+Wilton!M31+Calvert!M31+Brownsville!M31+Caledonia!M31</f>
        <v>3513.3671216796065</v>
      </c>
      <c r="M30" s="243">
        <f>Wheatland!N31+'New Albany'!N31+Wilton!N31+Calvert!N31+Brownsville!N31+Caledonia!N31</f>
        <v>3561.8663471951636</v>
      </c>
      <c r="N30" s="243">
        <f>Wheatland!O31+'New Albany'!O31+Wilton!O31+Calvert!O31+Brownsville!O31+Caledonia!O31</f>
        <v>3492.0702083235842</v>
      </c>
      <c r="O30" s="243">
        <f>Wheatland!P31+'New Albany'!P31+Wilton!P31+Calvert!P31+Brownsville!P31+Caledonia!P31</f>
        <v>4893.6761938588697</v>
      </c>
      <c r="P30" s="243">
        <f>Wheatland!Q31+'New Albany'!Q31+Wilton!Q31+Calvert!Q31+Brownsville!Q31+Caledonia!Q31</f>
        <v>4905.2812296083239</v>
      </c>
      <c r="Q30" s="243">
        <f>Wheatland!R31+'New Albany'!R31+Wilton!R31+Calvert!R31+Brownsville!R31+Caledonia!R31</f>
        <v>4725.8609275410563</v>
      </c>
      <c r="R30" s="243">
        <f>Wheatland!S31+'New Albany'!S31+Wilton!S31+Calvert!S31+Brownsville!S31+Caledonia!S31</f>
        <v>4477.5238199515597</v>
      </c>
      <c r="S30" s="243">
        <f>Wheatland!T31+'New Albany'!T31+Wilton!T31+Calvert!T31+Brownsville!T31+Caledonia!T31</f>
        <v>4588.8185935155025</v>
      </c>
      <c r="T30" s="243">
        <f>Wheatland!U31+'New Albany'!U31+Wilton!U31+Calvert!U31+Brownsville!U31+Caledonia!U31</f>
        <v>4306.3897004296323</v>
      </c>
      <c r="U30" s="243">
        <f>Wheatland!V31+'New Albany'!V31+Wilton!V31+Calvert!V31+Brownsville!V31+Caledonia!V31</f>
        <v>3991.5626060290651</v>
      </c>
      <c r="V30" s="243">
        <f>Wheatland!W31+'New Albany'!W31+Wilton!W31+Calvert!W31+Brownsville!W31+Caledonia!W31</f>
        <v>3642.7430354935659</v>
      </c>
      <c r="W30" s="243">
        <f>Wheatland!X31+'New Albany'!X31+Wilton!X31+Calvert!X31+Brownsville!X31+Caledonia!X31</f>
        <v>3529.9665774648447</v>
      </c>
      <c r="X30" s="243">
        <f>Wheatland!Y31+'New Albany'!Y31+Wilton!Y31+Calvert!Y31+Brownsville!Y31+Caledonia!Y31</f>
        <v>3485.6959004242221</v>
      </c>
      <c r="Y30" s="243">
        <f>Wheatland!Z31+'New Albany'!Z31+Wilton!Z31+Calvert!Z31+Brownsville!Z31+Caledonia!Z31</f>
        <v>1527.1126876764897</v>
      </c>
      <c r="Z30" s="296"/>
      <c r="AA30" s="296"/>
    </row>
    <row r="31" spans="1:48">
      <c r="A31" s="23" t="s">
        <v>90</v>
      </c>
      <c r="C31" s="243"/>
      <c r="D31" s="293">
        <v>0</v>
      </c>
      <c r="E31" s="293">
        <f ca="1">Assumptions!$B$33*MAX(Debt!C106:$V$106)</f>
        <v>1886.4939501250001</v>
      </c>
      <c r="F31" s="293">
        <f>Assumptions!$B$33*MAX(Debt!D106:$V$106)</f>
        <v>1886.4939501250001</v>
      </c>
      <c r="G31" s="293">
        <f>Assumptions!$B$33*MAX(Debt!E106:$V$106)</f>
        <v>1875.2954065000001</v>
      </c>
      <c r="H31" s="293">
        <f>Assumptions!$B$33*MAX(Debt!F106:$V$106)</f>
        <v>1826.7148786666669</v>
      </c>
      <c r="I31" s="293">
        <f>Assumptions!$B$33*MAX(Debt!G106:$V$106)</f>
        <v>1826.7148786666669</v>
      </c>
      <c r="J31" s="293">
        <f>Assumptions!$B$33*MAX(Debt!H106:$V$106)</f>
        <v>1826.7148786666669</v>
      </c>
      <c r="K31" s="293">
        <f>Assumptions!$B$33*MAX(Debt!I106:$V$106)</f>
        <v>1826.7148786666669</v>
      </c>
      <c r="L31" s="293">
        <f>Assumptions!$B$33*MAX(Debt!J106:$V$106)</f>
        <v>1826.7148786666669</v>
      </c>
      <c r="M31" s="293">
        <f>Assumptions!$B$33*MAX(Debt!K106:$V$106)</f>
        <v>1826.7148786666669</v>
      </c>
      <c r="N31" s="293">
        <f>Assumptions!$B$33*MAX(Debt!L106:$V$106)</f>
        <v>1826.7148786666669</v>
      </c>
      <c r="O31" s="293">
        <f>Assumptions!$B$33*MAX(Debt!M106:$V$106)</f>
        <v>1592.5739125803352</v>
      </c>
      <c r="P31" s="293">
        <f>Assumptions!$B$33*MAX(Debt!N106:$V$106)</f>
        <v>1521.4977897781641</v>
      </c>
      <c r="Q31" s="293">
        <f>Assumptions!$B$33*MAX(Debt!O106:$V$106)</f>
        <v>1517.631280575441</v>
      </c>
      <c r="R31" s="293">
        <f>Assumptions!$B$33*MAX(Debt!P106:$V$106)</f>
        <v>1486.1073128549408</v>
      </c>
      <c r="S31" s="293">
        <f>Assumptions!$B$33*MAX(Debt!Q106:$V$106)</f>
        <v>1454.3436956330474</v>
      </c>
      <c r="T31" s="293">
        <f>Assumptions!$B$33*MAX(Debt!R106:$V$106)</f>
        <v>1439.0740222897562</v>
      </c>
      <c r="U31" s="293">
        <f>Assumptions!$B$33*MAX(Debt!S106:$V$106)</f>
        <v>1354.8885266380189</v>
      </c>
      <c r="V31" s="293">
        <f>Assumptions!$B$33*MAX(Debt!T106:$V$106)</f>
        <v>1227.205455398233</v>
      </c>
      <c r="W31" s="293">
        <f>Assumptions!$B$33*MAX(Debt!U106:$V$106)</f>
        <v>1011.4479745759472</v>
      </c>
      <c r="X31" s="293">
        <f>Assumptions!$B$33*MAX(Debt!$V106:V$106)</f>
        <v>801.30498500899807</v>
      </c>
      <c r="Y31" s="293">
        <f>Assumptions!$B$33*MAX(Debt!$V106:W$106)</f>
        <v>801.30498500899807</v>
      </c>
      <c r="Z31" s="296"/>
      <c r="AA31" s="293">
        <f>Assumptions!$B$33*MAX(Debt!$V106:Y$106)/2*(13-MONTH(Assumptions!$C$17))/12</f>
        <v>400.65249250449898</v>
      </c>
      <c r="AB31" s="293">
        <f>Assumptions!$B$33*MAX(Debt!$V106:Z$106)</f>
        <v>801.30498500899807</v>
      </c>
      <c r="AC31" s="293">
        <f>Assumptions!$B$33*MAX(Debt!$V106:AA$106)</f>
        <v>801.30498500899807</v>
      </c>
      <c r="AD31" s="293">
        <f>Assumptions!$B$33*MAX(Debt!$V106:AB$106)</f>
        <v>801.30498500899807</v>
      </c>
      <c r="AE31" s="293">
        <f>Assumptions!$B$33*MAX(Debt!$V106:AC$106)</f>
        <v>801.30498500899807</v>
      </c>
      <c r="AF31" s="293">
        <f>Assumptions!$B$33*MAX(Debt!$V106:AD$106)</f>
        <v>801.30498500899807</v>
      </c>
      <c r="AG31" s="293">
        <f>Assumptions!$B$33*MAX(Debt!$V106:AE$106)</f>
        <v>801.30498500899807</v>
      </c>
      <c r="AH31" s="293">
        <f>Assumptions!$B$33*MAX(Debt!$V106:AF$106)</f>
        <v>801.30498500899807</v>
      </c>
      <c r="AI31" s="293">
        <f>Assumptions!$B$33*MAX(Debt!$V106:AG$106)</f>
        <v>801.30498500899807</v>
      </c>
      <c r="AJ31" s="293">
        <f>Assumptions!$B$33*MAX(Debt!$V106:AH$106)</f>
        <v>801.30498500899807</v>
      </c>
      <c r="AK31" s="293">
        <f>Assumptions!$B$33*MAX(Debt!$V106:AI$106)</f>
        <v>801.30498500899807</v>
      </c>
      <c r="AL31" s="293">
        <f>Assumptions!$B$33*MAX(Debt!$V106:AJ$106)</f>
        <v>801.30498500899807</v>
      </c>
      <c r="AM31" s="293">
        <f>Assumptions!$B$33*MAX(Debt!$V106:AK$106)</f>
        <v>801.30498500899807</v>
      </c>
      <c r="AN31" s="293">
        <f>Assumptions!$B$33*MAX(Debt!$V106:AL$106)</f>
        <v>801.30498500899807</v>
      </c>
      <c r="AO31" s="293">
        <f>Assumptions!$B$33*MAX(Debt!$V106:AM$106)</f>
        <v>801.30498500899807</v>
      </c>
      <c r="AP31" s="293">
        <f>Assumptions!$B$33*MAX(Debt!$V106:AN$106)</f>
        <v>801.30498500899807</v>
      </c>
      <c r="AQ31" s="293">
        <f>Assumptions!$B$33*MAX(Debt!$V106:AO$106)</f>
        <v>801.30498500899807</v>
      </c>
      <c r="AR31" s="293">
        <f>Assumptions!$B$33*MAX(Debt!$V106:AP$106)</f>
        <v>801.30498500899807</v>
      </c>
      <c r="AS31" s="293">
        <f>Assumptions!$B$33*MAX(Debt!$V106:AQ$106)</f>
        <v>801.30498500899807</v>
      </c>
      <c r="AT31" s="293">
        <f>Assumptions!$B$33*MAX(Debt!$V106:AR$106)</f>
        <v>801.30498500899807</v>
      </c>
      <c r="AU31" s="293">
        <f>Assumptions!$B$33*MAX(Debt!$V106:AS$106)</f>
        <v>801.30498500899807</v>
      </c>
      <c r="AV31" s="293">
        <f>Assumptions!$B$33*MAX(Debt!$V106:AT$106)</f>
        <v>801.30498500899807</v>
      </c>
    </row>
    <row r="32" spans="1:48">
      <c r="A32" s="23" t="s">
        <v>180</v>
      </c>
      <c r="C32" s="243"/>
      <c r="D32" s="293">
        <f>Caledonia!E33+'New Albany'!E33+Brownsville!E33+Calvert!E33+Wheatland!E33+Wilton!E33</f>
        <v>0</v>
      </c>
      <c r="E32" s="293">
        <f>Caledonia!F33+'New Albany'!F33+Brownsville!F33+Calvert!F33+Wheatland!F33+Wilton!F33</f>
        <v>0</v>
      </c>
      <c r="F32" s="293">
        <f>Caledonia!G33+'New Albany'!G33+Brownsville!G33+Calvert!G33+Wheatland!G33+Wilton!G33</f>
        <v>0</v>
      </c>
      <c r="G32" s="293">
        <f>Caledonia!H33+'New Albany'!H33+Brownsville!H33+Calvert!H33+Wheatland!H33+Wilton!H33</f>
        <v>0</v>
      </c>
      <c r="H32" s="293">
        <f>Caledonia!I33+'New Albany'!I33+Brownsville!I33+Calvert!I33+Wheatland!I33+Wilton!I33</f>
        <v>2590.6104000000005</v>
      </c>
      <c r="I32" s="293">
        <f>Caledonia!J33+'New Albany'!J33+Brownsville!J33+Calvert!J33+Wheatland!J33+Wilton!J33</f>
        <v>2668.3287119999995</v>
      </c>
      <c r="J32" s="293">
        <f>Caledonia!K33+'New Albany'!K33+Brownsville!K33+Calvert!K33+Wheatland!K33+Wilton!K33</f>
        <v>2748.3785733599998</v>
      </c>
      <c r="K32" s="293">
        <f>Caledonia!L33+'New Albany'!L33+Brownsville!L33+Calvert!L33+Wheatland!L33+Wilton!L33</f>
        <v>2830.8299305608002</v>
      </c>
      <c r="L32" s="293">
        <f>Caledonia!M33+'New Albany'!M33+Brownsville!M33+Calvert!M33+Wheatland!M33+Wilton!M33</f>
        <v>2915.7548284776244</v>
      </c>
      <c r="M32" s="293">
        <f>Caledonia!N33+'New Albany'!N33+Brownsville!N33+Calvert!N33+Wheatland!N33+Wilton!N33</f>
        <v>3003.2274733319532</v>
      </c>
      <c r="N32" s="293">
        <f>Caledonia!O33+'New Albany'!O33+Brownsville!O33+Calvert!O33+Wheatland!O33+Wilton!O33</f>
        <v>3093.3242975319117</v>
      </c>
      <c r="O32" s="293">
        <f>Caledonia!P33+'New Albany'!P33+Brownsville!P33+Calvert!P33+Wheatland!P33+Wilton!P33</f>
        <v>3186.1240264578691</v>
      </c>
      <c r="P32" s="293">
        <f>Caledonia!Q33+'New Albany'!Q33+Brownsville!Q33+Calvert!Q33+Wheatland!Q33+Wilton!Q33</f>
        <v>3281.7077472516057</v>
      </c>
      <c r="Q32" s="293">
        <f>Caledonia!R33+'New Albany'!R33+Brownsville!R33+Calvert!R33+Wheatland!R33+Wilton!R33</f>
        <v>3380.1589796691533</v>
      </c>
      <c r="R32" s="293">
        <f>Caledonia!S33+'New Albany'!S33+Brownsville!S33+Calvert!S33+Wheatland!S33+Wilton!S33</f>
        <v>3481.5637490592289</v>
      </c>
      <c r="S32" s="293">
        <f>Caledonia!T33+'New Albany'!T33+Brownsville!T33+Calvert!T33+Wheatland!T33+Wilton!T33</f>
        <v>3586.0106615310051</v>
      </c>
      <c r="T32" s="293">
        <f>Caledonia!U33+'New Albany'!U33+Brownsville!U33+Calvert!U33+Wheatland!U33+Wilton!U33</f>
        <v>3693.5909813769358</v>
      </c>
      <c r="U32" s="293">
        <f>Caledonia!V33+'New Albany'!V33+Brownsville!V33+Calvert!V33+Wheatland!V33+Wilton!V33</f>
        <v>3804.3987108182437</v>
      </c>
      <c r="V32" s="293">
        <f>Caledonia!W33+'New Albany'!W33+Brownsville!W33+Calvert!W33+Wheatland!W33+Wilton!W33</f>
        <v>3918.530672142791</v>
      </c>
      <c r="W32" s="293">
        <f>Caledonia!X33+'New Albany'!X33+Brownsville!X33+Calvert!X33+Wheatland!X33+Wilton!X33</f>
        <v>4036.0865923070751</v>
      </c>
      <c r="X32" s="293">
        <f>Caledonia!Y33+'New Albany'!Y33+Brownsville!Y33+Calvert!Y33+Wheatland!Y33+Wilton!Y33</f>
        <v>4157.1691900762871</v>
      </c>
      <c r="Y32" s="293">
        <f>Caledonia!Z33+'New Albany'!Z33+Brownsville!Z33+Calvert!Z33+Wheatland!Z33+Wilton!Z33</f>
        <v>4281.8842657785763</v>
      </c>
      <c r="Z32" s="296"/>
      <c r="AA32" s="296"/>
    </row>
    <row r="33" spans="1:27">
      <c r="A33" s="4" t="s">
        <v>181</v>
      </c>
      <c r="C33" s="243"/>
      <c r="D33" s="243">
        <f>Wheatland!E34+'New Albany'!E34+Wilton!E34+Calvert!E34+Brownsville!E34+Caledonia!E34</f>
        <v>0</v>
      </c>
      <c r="E33" s="243">
        <f>Wheatland!F34+'New Albany'!F34+Wilton!F34+Calvert!F34+Brownsville!F34+Caledonia!F34</f>
        <v>734.55394463667835</v>
      </c>
      <c r="F33" s="243">
        <f>Wheatland!G34+'New Albany'!G34+Wilton!G34+Calvert!G34+Brownsville!G34+Caledonia!G34</f>
        <v>1048.0627429065746</v>
      </c>
      <c r="G33" s="243">
        <f>Wheatland!H34+'New Albany'!H34+Wilton!H34+Calvert!H34+Brownsville!H34+Caledonia!H34</f>
        <v>1079.5046251937717</v>
      </c>
      <c r="H33" s="243">
        <f>Wheatland!I34+'New Albany'!I34+Wilton!I34+Calvert!I34+Brownsville!I34+Caledonia!I34</f>
        <v>1111.8897639495849</v>
      </c>
      <c r="I33" s="243">
        <f>Wheatland!J34+'New Albany'!J34+Wilton!J34+Calvert!J34+Brownsville!J34+Caledonia!J34</f>
        <v>1145.2464568680725</v>
      </c>
      <c r="J33" s="243">
        <f>Wheatland!K34+'New Albany'!K34+Wilton!K34+Calvert!K34+Brownsville!K34+Caledonia!K34</f>
        <v>1179.6038505741146</v>
      </c>
      <c r="K33" s="243">
        <f>Wheatland!L34+'New Albany'!L34+Wilton!L34+Calvert!L34+Brownsville!L34+Caledonia!L34</f>
        <v>1214.9919660913383</v>
      </c>
      <c r="L33" s="243">
        <f>Wheatland!M34+'New Albany'!M34+Wilton!M34+Calvert!M34+Brownsville!M34+Caledonia!M34</f>
        <v>1251.4417250740782</v>
      </c>
      <c r="M33" s="243">
        <f>Wheatland!N34+'New Albany'!N34+Wilton!N34+Calvert!N34+Brownsville!N34+Caledonia!N34</f>
        <v>1288.9849768263007</v>
      </c>
      <c r="N33" s="243">
        <f>Wheatland!O34+'New Albany'!O34+Wilton!O34+Calvert!O34+Brownsville!O34+Caledonia!O34</f>
        <v>1327.6545261310898</v>
      </c>
      <c r="O33" s="243">
        <f>Wheatland!P34+'New Albany'!P34+Wilton!P34+Calvert!P34+Brownsville!P34+Caledonia!P34</f>
        <v>1367.4841619150225</v>
      </c>
      <c r="P33" s="243">
        <f>Wheatland!Q34+'New Albany'!Q34+Wilton!Q34+Calvert!Q34+Brownsville!Q34+Caledonia!Q34</f>
        <v>1408.5086867724731</v>
      </c>
      <c r="Q33" s="243">
        <f>Wheatland!R34+'New Albany'!R34+Wilton!R34+Calvert!R34+Brownsville!R34+Caledonia!R34</f>
        <v>1450.7639473756476</v>
      </c>
      <c r="R33" s="243">
        <f>Wheatland!S34+'New Albany'!S34+Wilton!S34+Calvert!S34+Brownsville!S34+Caledonia!S34</f>
        <v>1494.286865796917</v>
      </c>
      <c r="S33" s="243">
        <f>Wheatland!T34+'New Albany'!T34+Wilton!T34+Calvert!T34+Brownsville!T34+Caledonia!T34</f>
        <v>1539.1154717708246</v>
      </c>
      <c r="T33" s="243">
        <f>Wheatland!U34+'New Albany'!U34+Wilton!U34+Calvert!U34+Brownsville!U34+Caledonia!U34</f>
        <v>1585.2889359239493</v>
      </c>
      <c r="U33" s="243">
        <f>Wheatland!V34+'New Albany'!V34+Wilton!V34+Calvert!V34+Brownsville!V34+Caledonia!V34</f>
        <v>1632.8476040016678</v>
      </c>
      <c r="V33" s="243">
        <f>Wheatland!W34+'New Albany'!W34+Wilton!W34+Calvert!W34+Brownsville!W34+Caledonia!W34</f>
        <v>1681.8330321217181</v>
      </c>
      <c r="W33" s="243">
        <f>Wheatland!X34+'New Albany'!X34+Wilton!X34+Calvert!X34+Brownsville!X34+Caledonia!X34</f>
        <v>1732.2880230853698</v>
      </c>
      <c r="X33" s="243">
        <f>Wheatland!Y34+'New Albany'!Y34+Wilton!Y34+Calvert!Y34+Brownsville!Y34+Caledonia!Y34</f>
        <v>1784.2566637779305</v>
      </c>
      <c r="Y33" s="243">
        <f>Wheatland!Z34+'New Albany'!Z34+Wilton!Z34+Calvert!Z34+Brownsville!Z34+Caledonia!Z34</f>
        <v>1837.7843636912687</v>
      </c>
      <c r="Z33" s="296"/>
      <c r="AA33" s="296"/>
    </row>
    <row r="34" spans="1:27">
      <c r="A34" s="4" t="s">
        <v>182</v>
      </c>
      <c r="C34" s="245"/>
      <c r="D34" s="426">
        <f>Wheatland!E35+'New Albany'!E35+Wilton!E35+Calvert!E35+Brownsville!E35+Caledonia!E35</f>
        <v>0</v>
      </c>
      <c r="E34" s="426">
        <f>Wheatland!F35+'New Albany'!F35+Wilton!F35+Calvert!F35+Brownsville!F35+Caledonia!F35</f>
        <v>1004.25</v>
      </c>
      <c r="F34" s="426">
        <f>Wheatland!G35+'New Albany'!G35+Wilton!G35+Calvert!G35+Brownsville!G35+Caledonia!G35</f>
        <v>1432.2149999999999</v>
      </c>
      <c r="G34" s="426">
        <f>Wheatland!H35+'New Albany'!H35+Wilton!H35+Calvert!H35+Brownsville!H35+Caledonia!H35</f>
        <v>1475.1814499999998</v>
      </c>
      <c r="H34" s="426">
        <f>Wheatland!I35+'New Albany'!I35+Wilton!I35+Calvert!I35+Brownsville!I35+Caledonia!I35</f>
        <v>1519.4368934999998</v>
      </c>
      <c r="I34" s="426">
        <f>Wheatland!J35+'New Albany'!J35+Wilton!J35+Calvert!J35+Brownsville!J35+Caledonia!J35</f>
        <v>1565.0200003049999</v>
      </c>
      <c r="J34" s="426">
        <f>Wheatland!K35+'New Albany'!K35+Wilton!K35+Calvert!K35+Brownsville!K35+Caledonia!K35</f>
        <v>1611.97060031415</v>
      </c>
      <c r="K34" s="426">
        <f>Wheatland!L35+'New Albany'!L35+Wilton!L35+Calvert!L35+Brownsville!L35+Caledonia!L35</f>
        <v>1660.3297183235745</v>
      </c>
      <c r="L34" s="426">
        <f>Wheatland!M35+'New Albany'!M35+Wilton!M35+Calvert!M35+Brownsville!M35+Caledonia!M35</f>
        <v>1710.1396098732819</v>
      </c>
      <c r="M34" s="426">
        <f>Wheatland!N35+'New Albany'!N35+Wilton!N35+Calvert!N35+Brownsville!N35+Caledonia!N35</f>
        <v>1761.4437981694805</v>
      </c>
      <c r="N34" s="426">
        <f>Wheatland!O35+'New Albany'!O35+Wilton!O35+Calvert!O35+Brownsville!O35+Caledonia!O35</f>
        <v>1814.2871121145647</v>
      </c>
      <c r="O34" s="426">
        <f>Wheatland!P35+'New Albany'!P35+Wilton!P35+Calvert!P35+Brownsville!P35+Caledonia!P35</f>
        <v>1868.7157254780016</v>
      </c>
      <c r="P34" s="426">
        <f>Wheatland!Q35+'New Albany'!Q35+Wilton!Q35+Calvert!Q35+Brownsville!Q35+Caledonia!Q35</f>
        <v>1924.7771972423418</v>
      </c>
      <c r="Q34" s="426">
        <f>Wheatland!R35+'New Albany'!R35+Wilton!R35+Calvert!R35+Brownsville!R35+Caledonia!R35</f>
        <v>1982.5205131596122</v>
      </c>
      <c r="R34" s="426">
        <f>Wheatland!S35+'New Albany'!S35+Wilton!S35+Calvert!S35+Brownsville!S35+Caledonia!S35</f>
        <v>2041.9961285544005</v>
      </c>
      <c r="S34" s="426">
        <f>Wheatland!T35+'New Albany'!T35+Wilton!T35+Calvert!T35+Brownsville!T35+Caledonia!T35</f>
        <v>2103.2560124110323</v>
      </c>
      <c r="T34" s="426">
        <f>Wheatland!U35+'New Albany'!U35+Wilton!U35+Calvert!U35+Brownsville!U35+Caledonia!U35</f>
        <v>2166.3536927833638</v>
      </c>
      <c r="U34" s="426">
        <f>Wheatland!V35+'New Albany'!V35+Wilton!V35+Calvert!V35+Brownsville!V35+Caledonia!V35</f>
        <v>2231.3443035668647</v>
      </c>
      <c r="V34" s="426">
        <f>Wheatland!W35+'New Albany'!W35+Wilton!W35+Calvert!W35+Brownsville!W35+Caledonia!W35</f>
        <v>2298.2846326738704</v>
      </c>
      <c r="W34" s="426">
        <f>Wheatland!X35+'New Albany'!X35+Wilton!X35+Calvert!X35+Brownsville!X35+Caledonia!X35</f>
        <v>2367.2331716540866</v>
      </c>
      <c r="X34" s="426">
        <f>Wheatland!Y35+'New Albany'!Y35+Wilton!Y35+Calvert!Y35+Brownsville!Y35+Caledonia!Y35</f>
        <v>2438.2501668037094</v>
      </c>
      <c r="Y34" s="426">
        <f>Wheatland!Z35+'New Albany'!Z35+Wilton!Z35+Calvert!Z35+Brownsville!Z35+Caledonia!Z35</f>
        <v>2511.3976718078206</v>
      </c>
      <c r="Z34" s="298"/>
      <c r="AA34" s="298"/>
    </row>
    <row r="35" spans="1:27">
      <c r="A35" s="4" t="s">
        <v>183</v>
      </c>
      <c r="C35" s="244"/>
      <c r="D35" s="244">
        <f t="shared" ref="D35:Y35" si="2">SUM(D23:D34)</f>
        <v>0</v>
      </c>
      <c r="E35" s="244">
        <f t="shared" ca="1" si="2"/>
        <v>28485.13228812227</v>
      </c>
      <c r="F35" s="244">
        <f t="shared" si="2"/>
        <v>32920.971580173296</v>
      </c>
      <c r="G35" s="244">
        <f t="shared" si="2"/>
        <v>33889.49045846182</v>
      </c>
      <c r="H35" s="244">
        <f t="shared" si="2"/>
        <v>37878.193358230739</v>
      </c>
      <c r="I35" s="244">
        <f t="shared" si="2"/>
        <v>39126.526010597212</v>
      </c>
      <c r="J35" s="244">
        <f t="shared" si="2"/>
        <v>40168.332311581384</v>
      </c>
      <c r="K35" s="244">
        <f t="shared" si="2"/>
        <v>41287.153694140165</v>
      </c>
      <c r="L35" s="244">
        <f t="shared" si="2"/>
        <v>42455.209690422882</v>
      </c>
      <c r="M35" s="244">
        <f t="shared" si="2"/>
        <v>43617.162746640737</v>
      </c>
      <c r="N35" s="244">
        <f t="shared" si="2"/>
        <v>44694.224053392521</v>
      </c>
      <c r="O35" s="244">
        <f t="shared" si="2"/>
        <v>47042.952241833547</v>
      </c>
      <c r="P35" s="244">
        <f t="shared" si="2"/>
        <v>48200.182218842659</v>
      </c>
      <c r="Q35" s="244">
        <f t="shared" si="2"/>
        <v>49270.097503556361</v>
      </c>
      <c r="R35" s="244">
        <f t="shared" si="2"/>
        <v>50281.034587109549</v>
      </c>
      <c r="S35" s="244">
        <f t="shared" si="2"/>
        <v>51690.0878470807</v>
      </c>
      <c r="T35" s="244">
        <f t="shared" si="2"/>
        <v>52761.797047389497</v>
      </c>
      <c r="U35" s="244">
        <f t="shared" si="2"/>
        <v>53773.274457077299</v>
      </c>
      <c r="V35" s="244">
        <f t="shared" si="2"/>
        <v>54749.576515034329</v>
      </c>
      <c r="W35" s="244">
        <f t="shared" si="2"/>
        <v>55917.431416907602</v>
      </c>
      <c r="X35" s="244">
        <f t="shared" si="2"/>
        <v>57204.298256246031</v>
      </c>
      <c r="Y35" s="244">
        <f t="shared" si="2"/>
        <v>56833.233964622676</v>
      </c>
      <c r="Z35" s="297"/>
      <c r="AA35" s="297"/>
    </row>
    <row r="36" spans="1:27">
      <c r="A36" s="6"/>
      <c r="C36" s="282"/>
      <c r="D36" s="519"/>
      <c r="E36" s="519"/>
      <c r="F36" s="519"/>
      <c r="G36" s="519"/>
      <c r="H36" s="519"/>
      <c r="I36" s="519"/>
      <c r="J36" s="519"/>
      <c r="K36" s="519"/>
      <c r="L36" s="519"/>
      <c r="M36" s="519"/>
      <c r="N36" s="519"/>
      <c r="O36" s="519"/>
      <c r="P36" s="519"/>
      <c r="Q36" s="519"/>
      <c r="R36" s="519"/>
      <c r="S36" s="519"/>
      <c r="T36" s="519"/>
      <c r="U36" s="519"/>
      <c r="V36" s="519"/>
      <c r="W36" s="519"/>
      <c r="X36" s="519"/>
      <c r="Y36" s="519"/>
      <c r="Z36" s="299"/>
      <c r="AA36" s="299"/>
    </row>
    <row r="37" spans="1:27">
      <c r="A37" s="6"/>
      <c r="C37" s="282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1"/>
      <c r="P37" s="281"/>
      <c r="Q37" s="281"/>
      <c r="R37" s="281"/>
      <c r="S37" s="281"/>
      <c r="T37" s="281"/>
      <c r="U37" s="281"/>
      <c r="V37" s="281"/>
      <c r="W37" s="281"/>
      <c r="X37" s="281"/>
      <c r="Y37" s="281"/>
      <c r="Z37" s="299"/>
      <c r="AA37" s="299"/>
    </row>
    <row r="38" spans="1:27">
      <c r="A38" s="1" t="s">
        <v>184</v>
      </c>
      <c r="D38" s="246">
        <f t="shared" ref="D38:Y38" si="3">D19-D35</f>
        <v>0</v>
      </c>
      <c r="E38" s="246">
        <f t="shared" ca="1" si="3"/>
        <v>89715.843466455946</v>
      </c>
      <c r="F38" s="246">
        <f t="shared" si="3"/>
        <v>122372.11600515959</v>
      </c>
      <c r="G38" s="246">
        <f t="shared" si="3"/>
        <v>121860.67263279502</v>
      </c>
      <c r="H38" s="246">
        <f t="shared" si="3"/>
        <v>187651.64014913287</v>
      </c>
      <c r="I38" s="246">
        <f t="shared" si="3"/>
        <v>190109.1021750106</v>
      </c>
      <c r="J38" s="246">
        <f t="shared" si="3"/>
        <v>193591.99296303227</v>
      </c>
      <c r="K38" s="246">
        <f t="shared" si="3"/>
        <v>194788.0627973846</v>
      </c>
      <c r="L38" s="246">
        <f t="shared" si="3"/>
        <v>199203.15022055939</v>
      </c>
      <c r="M38" s="246">
        <f t="shared" si="3"/>
        <v>201177.53260156928</v>
      </c>
      <c r="N38" s="246">
        <f t="shared" si="3"/>
        <v>205855.99542930117</v>
      </c>
      <c r="O38" s="246">
        <f t="shared" si="3"/>
        <v>206645.9062382972</v>
      </c>
      <c r="P38" s="246">
        <f t="shared" si="3"/>
        <v>211414.53803110844</v>
      </c>
      <c r="Q38" s="246">
        <f t="shared" si="3"/>
        <v>213506.78665274102</v>
      </c>
      <c r="R38" s="246">
        <f t="shared" si="3"/>
        <v>214835.54761544304</v>
      </c>
      <c r="S38" s="246">
        <f t="shared" si="3"/>
        <v>216468.3634660345</v>
      </c>
      <c r="T38" s="246">
        <f t="shared" si="3"/>
        <v>218387.20496215031</v>
      </c>
      <c r="U38" s="246">
        <f t="shared" si="3"/>
        <v>220305.41028444408</v>
      </c>
      <c r="V38" s="246">
        <f t="shared" si="3"/>
        <v>222191.20898447486</v>
      </c>
      <c r="W38" s="246">
        <f t="shared" si="3"/>
        <v>223808.30937061677</v>
      </c>
      <c r="X38" s="246">
        <f t="shared" si="3"/>
        <v>223087.61019639071</v>
      </c>
      <c r="Y38" s="246">
        <f t="shared" si="3"/>
        <v>226027.72698455997</v>
      </c>
      <c r="Z38" s="300"/>
      <c r="AA38" s="300"/>
    </row>
    <row r="39" spans="1:27">
      <c r="A39" s="1"/>
      <c r="D39" s="519"/>
      <c r="E39" s="519"/>
      <c r="F39" s="519"/>
      <c r="G39" s="519"/>
      <c r="H39" s="519"/>
      <c r="I39" s="519"/>
      <c r="J39" s="519"/>
      <c r="K39" s="519"/>
      <c r="L39" s="519"/>
      <c r="M39" s="519"/>
      <c r="N39" s="519"/>
      <c r="O39" s="519"/>
      <c r="P39" s="519"/>
      <c r="Q39" s="519"/>
      <c r="R39" s="519"/>
      <c r="S39" s="519"/>
      <c r="T39" s="519"/>
      <c r="U39" s="519"/>
      <c r="V39" s="519"/>
      <c r="W39" s="519"/>
      <c r="X39" s="519"/>
      <c r="Y39" s="519"/>
      <c r="Z39" s="300"/>
      <c r="AA39" s="300"/>
    </row>
    <row r="40" spans="1:27">
      <c r="A40" s="4" t="s">
        <v>185</v>
      </c>
      <c r="D40" s="243">
        <f>Depreciation!G42+Depreciation!G77</f>
        <v>0</v>
      </c>
      <c r="E40" s="243">
        <f>Depreciation!H42+Depreciation!H77</f>
        <v>27106.698463729685</v>
      </c>
      <c r="F40" s="243">
        <f>Depreciation!I42+Depreciation!I77</f>
        <v>37257.727651479225</v>
      </c>
      <c r="G40" s="243">
        <f>Depreciation!J42+Depreciation!J77</f>
        <v>37257.727651479225</v>
      </c>
      <c r="H40" s="243">
        <f>Depreciation!K42+Depreciation!K77</f>
        <v>37257.727651479225</v>
      </c>
      <c r="I40" s="243">
        <f>Depreciation!L42+Depreciation!L77</f>
        <v>37257.727651479225</v>
      </c>
      <c r="J40" s="243">
        <f>Depreciation!M42+Depreciation!M77</f>
        <v>37257.727651479225</v>
      </c>
      <c r="K40" s="243">
        <f>Depreciation!N42+Depreciation!N77</f>
        <v>37257.727651479225</v>
      </c>
      <c r="L40" s="243">
        <f>Depreciation!O42+Depreciation!O77</f>
        <v>37257.727651479225</v>
      </c>
      <c r="M40" s="243">
        <f>Depreciation!P42+Depreciation!P77</f>
        <v>37257.727651479225</v>
      </c>
      <c r="N40" s="243">
        <f>Depreciation!Q42+Depreciation!Q77</f>
        <v>37257.727651479225</v>
      </c>
      <c r="O40" s="243">
        <f>Depreciation!R42+Depreciation!R77</f>
        <v>37257.727651479225</v>
      </c>
      <c r="P40" s="243">
        <f>Depreciation!S42+Depreciation!S77</f>
        <v>37257.727651479225</v>
      </c>
      <c r="Q40" s="243">
        <f>Depreciation!T42+Depreciation!T77</f>
        <v>37257.727651479225</v>
      </c>
      <c r="R40" s="243">
        <f>Depreciation!U42+Depreciation!U77</f>
        <v>37257.727651479225</v>
      </c>
      <c r="S40" s="243">
        <f>Depreciation!V42+Depreciation!V77</f>
        <v>37257.727651479225</v>
      </c>
      <c r="T40" s="243">
        <f>Depreciation!W42+Depreciation!W77</f>
        <v>37257.727651479225</v>
      </c>
      <c r="U40" s="243">
        <f>Depreciation!X42+Depreciation!X77</f>
        <v>37257.727651479225</v>
      </c>
      <c r="V40" s="243">
        <f>Depreciation!Y42+Depreciation!Y77</f>
        <v>37257.727651479225</v>
      </c>
      <c r="W40" s="243">
        <f>Depreciation!Z42+Depreciation!Z77</f>
        <v>37257.727651479225</v>
      </c>
      <c r="X40" s="243">
        <f>Depreciation!AA42+Depreciation!AA77</f>
        <v>37257.727651479225</v>
      </c>
      <c r="Y40" s="243">
        <f>Depreciation!AB42+Depreciation!AB77</f>
        <v>36282.727651479225</v>
      </c>
      <c r="Z40" s="296"/>
      <c r="AA40" s="296"/>
    </row>
    <row r="41" spans="1:27">
      <c r="A41" s="4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43"/>
      <c r="Q41" s="243"/>
      <c r="R41" s="243"/>
      <c r="S41" s="243"/>
      <c r="T41" s="243"/>
      <c r="U41" s="243"/>
      <c r="V41" s="243"/>
      <c r="W41" s="243"/>
      <c r="X41" s="243"/>
      <c r="Y41" s="243"/>
      <c r="Z41" s="296"/>
      <c r="AA41" s="296"/>
    </row>
    <row r="42" spans="1:27">
      <c r="A42" s="1" t="s">
        <v>186</v>
      </c>
      <c r="D42" s="246">
        <f>D38-D40</f>
        <v>0</v>
      </c>
      <c r="E42" s="246">
        <f t="shared" ref="E42:Y42" ca="1" si="4">E38-E40</f>
        <v>62609.145002726262</v>
      </c>
      <c r="F42" s="246">
        <f t="shared" si="4"/>
        <v>85114.388353680377</v>
      </c>
      <c r="G42" s="246">
        <f t="shared" si="4"/>
        <v>84602.944981315784</v>
      </c>
      <c r="H42" s="246">
        <f t="shared" si="4"/>
        <v>150393.91249765366</v>
      </c>
      <c r="I42" s="246">
        <f t="shared" si="4"/>
        <v>152851.37452353138</v>
      </c>
      <c r="J42" s="246">
        <f t="shared" si="4"/>
        <v>156334.26531155306</v>
      </c>
      <c r="K42" s="246">
        <f t="shared" si="4"/>
        <v>157530.33514590538</v>
      </c>
      <c r="L42" s="246">
        <f t="shared" si="4"/>
        <v>161945.42256908017</v>
      </c>
      <c r="M42" s="246">
        <f t="shared" si="4"/>
        <v>163919.80495009007</v>
      </c>
      <c r="N42" s="246">
        <f t="shared" si="4"/>
        <v>168598.26777782195</v>
      </c>
      <c r="O42" s="246">
        <f t="shared" si="4"/>
        <v>169388.17858681799</v>
      </c>
      <c r="P42" s="246">
        <f t="shared" si="4"/>
        <v>174156.81037962923</v>
      </c>
      <c r="Q42" s="246">
        <f t="shared" si="4"/>
        <v>176249.0590012618</v>
      </c>
      <c r="R42" s="246">
        <f t="shared" si="4"/>
        <v>177577.81996396382</v>
      </c>
      <c r="S42" s="246">
        <f t="shared" si="4"/>
        <v>179210.63581455528</v>
      </c>
      <c r="T42" s="246">
        <f t="shared" si="4"/>
        <v>181129.47731067109</v>
      </c>
      <c r="U42" s="246">
        <f t="shared" si="4"/>
        <v>183047.68263296486</v>
      </c>
      <c r="V42" s="246">
        <f t="shared" si="4"/>
        <v>184933.48133299564</v>
      </c>
      <c r="W42" s="246">
        <f t="shared" si="4"/>
        <v>186550.58171913755</v>
      </c>
      <c r="X42" s="246">
        <f t="shared" si="4"/>
        <v>185829.8825449115</v>
      </c>
      <c r="Y42" s="246">
        <f t="shared" si="4"/>
        <v>189744.99933308075</v>
      </c>
      <c r="Z42" s="300"/>
      <c r="AA42" s="300"/>
    </row>
    <row r="43" spans="1:27">
      <c r="A43" s="1"/>
      <c r="D43" s="246"/>
      <c r="E43" s="246"/>
      <c r="F43" s="246"/>
      <c r="G43" s="246"/>
      <c r="H43" s="246"/>
      <c r="I43" s="246"/>
      <c r="J43" s="246"/>
      <c r="K43" s="246"/>
      <c r="L43" s="24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246"/>
      <c r="Z43" s="300"/>
      <c r="AA43" s="300"/>
    </row>
    <row r="44" spans="1:27" ht="15.75">
      <c r="A44" s="4" t="s">
        <v>397</v>
      </c>
      <c r="C44" s="243"/>
      <c r="D44" s="243">
        <f>Debt!B46+Debt!B69+Debt!B92+Debt!B136</f>
        <v>0</v>
      </c>
      <c r="E44" s="243">
        <f>Debt!C46+Debt!C69+Debt!C92+Debt!C136</f>
        <v>51499.517786124641</v>
      </c>
      <c r="F44" s="243">
        <f>Debt!D46+Debt!D69+Debt!D92</f>
        <v>67771.469881249999</v>
      </c>
      <c r="G44" s="243">
        <f>Debt!E46+Debt!E69+Debt!E92</f>
        <v>65536.260200000004</v>
      </c>
      <c r="H44" s="243">
        <f>Debt!F46+Debt!F69+Debt!F92</f>
        <v>63337.675175000004</v>
      </c>
      <c r="I44" s="243">
        <f>Debt!G46+Debt!G69+Debt!G92</f>
        <v>61891.466750000007</v>
      </c>
      <c r="J44" s="243">
        <f>Debt!H46+Debt!H69+Debt!H92</f>
        <v>59456.189599999998</v>
      </c>
      <c r="K44" s="243">
        <f>Debt!I46+Debt!I69+Debt!I92</f>
        <v>56784.809600000001</v>
      </c>
      <c r="L44" s="243">
        <f>Debt!J46+Debt!J69+Debt!J92</f>
        <v>53698.58</v>
      </c>
      <c r="M44" s="243">
        <f>Debt!K46+Debt!K69+Debt!K92</f>
        <v>50166.072800000002</v>
      </c>
      <c r="N44" s="243">
        <f>Debt!L46+Debt!L69+Debt!L92</f>
        <v>45879.293599999997</v>
      </c>
      <c r="O44" s="243">
        <f>Debt!M46+Debt!M69+Debt!M92</f>
        <v>42092.686279117319</v>
      </c>
      <c r="P44" s="243">
        <f>Debt!N46+Debt!N69+Debt!N92</f>
        <v>38456.72683820119</v>
      </c>
      <c r="Q44" s="243">
        <f>Debt!O46+Debt!O69+Debt!O92</f>
        <v>34439.932449836931</v>
      </c>
      <c r="R44" s="243">
        <f>Debt!P46+Debt!P69+Debt!P92</f>
        <v>30112.250663700346</v>
      </c>
      <c r="S44" s="243">
        <f>Debt!Q46+Debt!Q69+Debt!Q92</f>
        <v>25490.616687862301</v>
      </c>
      <c r="T44" s="243">
        <f>Debt!R46+Debt!R69+Debt!R92</f>
        <v>20485.054723303976</v>
      </c>
      <c r="U44" s="243">
        <f>Debt!S46+Debt!S69+Debt!S92</f>
        <v>15271.107849009408</v>
      </c>
      <c r="V44" s="243">
        <f>Debt!T46+Debt!T69+Debt!T92</f>
        <v>10104.867041037429</v>
      </c>
      <c r="W44" s="243">
        <f>Debt!U46+Debt!U69+Debt!U92</f>
        <v>5383.6778681416699</v>
      </c>
      <c r="X44" s="243">
        <f>Debt!V46+Debt!V69+Debt!V92</f>
        <v>1292.4523664334747</v>
      </c>
      <c r="Y44" s="243">
        <v>0</v>
      </c>
      <c r="Z44" s="296"/>
      <c r="AA44" s="296"/>
    </row>
    <row r="45" spans="1:27">
      <c r="A45" s="7"/>
      <c r="D45" s="243"/>
      <c r="E45" s="243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243"/>
      <c r="Q45" s="243"/>
      <c r="R45" s="243"/>
      <c r="S45" s="243"/>
      <c r="T45" s="243"/>
      <c r="U45" s="243"/>
      <c r="V45" s="243"/>
      <c r="W45" s="243"/>
      <c r="X45" s="243"/>
      <c r="Y45" s="243"/>
      <c r="Z45" s="298"/>
      <c r="AA45" s="298"/>
    </row>
    <row r="46" spans="1:27">
      <c r="A46" s="7"/>
      <c r="D46" s="245"/>
      <c r="E46" s="245"/>
      <c r="F46" s="245"/>
      <c r="G46" s="245"/>
      <c r="H46" s="245"/>
      <c r="I46" s="245"/>
      <c r="J46" s="245"/>
      <c r="K46" s="245"/>
      <c r="L46" s="245"/>
      <c r="M46" s="245"/>
      <c r="N46" s="245"/>
      <c r="O46" s="245"/>
      <c r="P46" s="245"/>
      <c r="Q46" s="245"/>
      <c r="R46" s="245"/>
      <c r="S46" s="245"/>
      <c r="T46" s="245"/>
      <c r="U46" s="245"/>
      <c r="V46" s="245"/>
      <c r="W46" s="245"/>
      <c r="X46" s="245"/>
      <c r="Y46" s="245"/>
      <c r="Z46" s="298"/>
      <c r="AA46" s="298"/>
    </row>
    <row r="47" spans="1:27">
      <c r="A47" s="7"/>
      <c r="D47" s="243"/>
      <c r="E47" s="243"/>
      <c r="F47" s="243"/>
      <c r="G47" s="243"/>
      <c r="H47" s="243"/>
      <c r="I47" s="243"/>
      <c r="J47" s="243"/>
      <c r="K47" s="243"/>
      <c r="L47" s="243"/>
      <c r="M47" s="243"/>
      <c r="N47" s="243"/>
      <c r="O47" s="243"/>
      <c r="P47" s="243"/>
      <c r="Q47" s="243"/>
      <c r="R47" s="243"/>
      <c r="S47" s="243"/>
      <c r="T47" s="243"/>
      <c r="U47" s="243"/>
      <c r="V47" s="243"/>
      <c r="W47" s="243"/>
      <c r="X47" s="243"/>
      <c r="Y47" s="243"/>
      <c r="Z47" s="296"/>
      <c r="AA47" s="296"/>
    </row>
    <row r="48" spans="1:27">
      <c r="A48" s="1" t="s">
        <v>188</v>
      </c>
      <c r="D48" s="246">
        <f>D42-D44</f>
        <v>0</v>
      </c>
      <c r="E48" s="246">
        <f t="shared" ref="E48:Y48" ca="1" si="5">E42-E44</f>
        <v>11109.627216601621</v>
      </c>
      <c r="F48" s="246">
        <f t="shared" si="5"/>
        <v>17342.918472430378</v>
      </c>
      <c r="G48" s="246">
        <f t="shared" si="5"/>
        <v>19066.68478131578</v>
      </c>
      <c r="H48" s="246">
        <f t="shared" si="5"/>
        <v>87056.237322653644</v>
      </c>
      <c r="I48" s="246">
        <f t="shared" si="5"/>
        <v>90959.907773531377</v>
      </c>
      <c r="J48" s="246">
        <f t="shared" si="5"/>
        <v>96878.075711553058</v>
      </c>
      <c r="K48" s="246">
        <f t="shared" si="5"/>
        <v>100745.52554590537</v>
      </c>
      <c r="L48" s="246">
        <f t="shared" si="5"/>
        <v>108246.84256908017</v>
      </c>
      <c r="M48" s="246">
        <f t="shared" si="5"/>
        <v>113753.73215009007</v>
      </c>
      <c r="N48" s="246">
        <f t="shared" si="5"/>
        <v>122718.97417782195</v>
      </c>
      <c r="O48" s="246">
        <f t="shared" si="5"/>
        <v>127295.49230770067</v>
      </c>
      <c r="P48" s="246">
        <f t="shared" si="5"/>
        <v>135700.08354142803</v>
      </c>
      <c r="Q48" s="246">
        <f t="shared" si="5"/>
        <v>141809.12655142488</v>
      </c>
      <c r="R48" s="246">
        <f t="shared" si="5"/>
        <v>147465.56930026348</v>
      </c>
      <c r="S48" s="246">
        <f t="shared" si="5"/>
        <v>153720.01912669299</v>
      </c>
      <c r="T48" s="246">
        <f t="shared" si="5"/>
        <v>160644.42258736712</v>
      </c>
      <c r="U48" s="246">
        <f t="shared" si="5"/>
        <v>167776.57478395547</v>
      </c>
      <c r="V48" s="246">
        <f t="shared" si="5"/>
        <v>174828.61429195822</v>
      </c>
      <c r="W48" s="246">
        <f t="shared" si="5"/>
        <v>181166.90385099588</v>
      </c>
      <c r="X48" s="246">
        <f t="shared" si="5"/>
        <v>184537.43017847801</v>
      </c>
      <c r="Y48" s="246">
        <f t="shared" si="5"/>
        <v>189744.99933308075</v>
      </c>
      <c r="Z48" s="300"/>
      <c r="AA48" s="300"/>
    </row>
    <row r="49" spans="1:27">
      <c r="A49" s="1"/>
      <c r="D49" s="246"/>
      <c r="E49" s="246"/>
      <c r="F49" s="246"/>
      <c r="G49" s="246"/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300"/>
      <c r="AA49" s="300"/>
    </row>
    <row r="50" spans="1:27">
      <c r="A50" s="4" t="s">
        <v>189</v>
      </c>
      <c r="D50" s="244">
        <f>(Brownsville!E49+Caledonia!E51+'New Albany'!E51+Calvert!E51+Wheatland!E51+Wilton!E51)</f>
        <v>0</v>
      </c>
      <c r="E50" s="244">
        <f ca="1">Brownsville!F49+Caledonia!F51+'New Albany'!F51+Calvert!F51+Wheatland!F51+Wilton!F51</f>
        <v>-619.59851693957592</v>
      </c>
      <c r="F50" s="244">
        <f>Brownsville!G49+Caledonia!G51+'New Albany'!G51+Calvert!G51+Wheatland!G51+Wilton!G51</f>
        <v>-1068.8024220752993</v>
      </c>
      <c r="G50" s="244">
        <f>Brownsville!H49+Caledonia!H51+'New Albany'!H51+Calvert!H51+Wheatland!H51+Wilton!H51</f>
        <v>-1175.495508404807</v>
      </c>
      <c r="H50" s="244">
        <f>Brownsville!I49+Caledonia!I51+'New Albany'!I51+Calvert!I51+Wheatland!I51+Wilton!I51</f>
        <v>-5280.1458133255846</v>
      </c>
      <c r="I50" s="244">
        <f>Brownsville!J49+Caledonia!J51+'New Albany'!J51+Calvert!J51+Wheatland!J51+Wilton!J51</f>
        <v>-5512.9766804401206</v>
      </c>
      <c r="J50" s="244">
        <f>Brownsville!K49+Caledonia!K51+'New Albany'!K51+Calvert!K51+Wheatland!K51+Wilton!K51</f>
        <v>-5874.0216454748524</v>
      </c>
      <c r="K50" s="244">
        <f>Brownsville!L49+Caledonia!L51+'New Albany'!L51+Calvert!L51+Wheatland!L51+Wilton!L51</f>
        <v>-6101.9915080771971</v>
      </c>
      <c r="L50" s="244">
        <f>Brownsville!M49+Caledonia!M51+'New Albany'!M51+Calvert!M51+Wheatland!M51+Wilton!M51</f>
        <v>-6561.4397728063559</v>
      </c>
      <c r="M50" s="244">
        <f>Brownsville!N49+Caledonia!N51+'New Albany'!N51+Calvert!N51+Wheatland!N51+Wilton!N51</f>
        <v>-6897.6786771706238</v>
      </c>
      <c r="N50" s="244">
        <f>Brownsville!O49+Caledonia!O51+'New Albany'!O51+Calvert!O51+Wheatland!O51+Wilton!O51</f>
        <v>-7445.1423852798225</v>
      </c>
      <c r="O50" s="244">
        <f>Brownsville!P49+Caledonia!P51+'New Albany'!P51+Calvert!P51+Wheatland!P51+Wilton!P51</f>
        <v>-7739.4177935188527</v>
      </c>
      <c r="P50" s="244">
        <f>Brownsville!Q49+Caledonia!Q51+'New Albany'!Q51+Calvert!Q51+Wheatland!Q51+Wilton!Q51</f>
        <v>-8253.4934548157216</v>
      </c>
      <c r="Q50" s="244">
        <f>Brownsville!R49+Caledonia!R51+'New Albany'!R51+Calvert!R51+Wheatland!R51+Wilton!R51</f>
        <v>-8623.5706362740493</v>
      </c>
      <c r="R50" s="244">
        <f>Brownsville!S49+Caledonia!S51+'New Albany'!S51+Calvert!S51+Wheatland!S51+Wilton!S51</f>
        <v>-8978.5253236941226</v>
      </c>
      <c r="S50" s="244">
        <f>Brownsville!T49+Caledonia!T51+'New Albany'!T51+Calvert!T51+Wheatland!T51+Wilton!T51</f>
        <v>-9358.0942326362037</v>
      </c>
      <c r="T50" s="244">
        <f>Brownsville!U49+Caledonia!U51+'New Albany'!U51+Calvert!U51+Wheatland!U51+Wilton!U51</f>
        <v>-9777.4790210226383</v>
      </c>
      <c r="U50" s="244">
        <f>Brownsville!V49+Caledonia!V51+'New Albany'!V51+Calvert!V51+Wheatland!V51+Wilton!V51</f>
        <v>-10209.174067704862</v>
      </c>
      <c r="V50" s="244">
        <f>Brownsville!W49+Caledonia!W51+'New Albany'!W51+Calvert!W51+Wheatland!W51+Wilton!W51</f>
        <v>-10636.574783359987</v>
      </c>
      <c r="W50" s="244">
        <f>Brownsville!X49+Caledonia!X51+'New Albany'!X51+Calvert!X51+Wheatland!X51+Wilton!X51</f>
        <v>-11022.158218277498</v>
      </c>
      <c r="X50" s="244">
        <f>Brownsville!Y49+Caledonia!Y51+'New Albany'!Y51+Calvert!Y51+Wheatland!Y51+Wilton!Y51</f>
        <v>-11229.225462089182</v>
      </c>
      <c r="Y50" s="244">
        <f>Brownsville!Z49+Caledonia!Z51+'New Albany'!Z51+Calvert!Z51+Wheatland!Z51+Wilton!Z51</f>
        <v>-11524.359927469099</v>
      </c>
      <c r="Z50" s="297"/>
      <c r="AA50" s="297"/>
    </row>
    <row r="51" spans="1:27">
      <c r="A51" s="4" t="s">
        <v>190</v>
      </c>
      <c r="D51" s="244">
        <f>(Brownsville!E50+Caledonia!E52+'New Albany'!E52+Calvert!E52+Wheatland!E52+Wilton!E52)</f>
        <v>0</v>
      </c>
      <c r="E51" s="244">
        <f ca="1">Brownsville!F50+Caledonia!F52+'New Albany'!F52+Calvert!F52+Wheatland!F52+Wilton!F52</f>
        <v>-3671.5100448817143</v>
      </c>
      <c r="F51" s="244">
        <f>Brownsville!G50+Caledonia!G52+'New Albany'!G52+Calvert!G52+Wheatland!G52+Wilton!G52</f>
        <v>-5695.9406176242737</v>
      </c>
      <c r="G51" s="244">
        <f>Brownsville!H50+Caledonia!H52+'New Albany'!H52+Calvert!H52+Wheatland!H52+Wilton!H52</f>
        <v>-6261.9162455188434</v>
      </c>
      <c r="H51" s="244">
        <f>Brownsville!I50+Caledonia!I52+'New Albany'!I52+Calvert!I52+Wheatland!I52+Wilton!I52</f>
        <v>-28621.632028264816</v>
      </c>
      <c r="I51" s="244">
        <f>Brownsville!J50+Caledonia!J52+'New Albany'!J52+Calvert!J52+Wheatland!J52+Wilton!J52</f>
        <v>-29906.425882581934</v>
      </c>
      <c r="J51" s="244">
        <f>Brownsville!K50+Caledonia!K52+'New Albany'!K52+Calvert!K52+Wheatland!K52+Wilton!K52</f>
        <v>-31851.418923127359</v>
      </c>
      <c r="K51" s="244">
        <f>Brownsville!L50+Caledonia!L52+'New Albany'!L52+Calvert!L52+Wheatland!L52+Wilton!L52</f>
        <v>-33125.236913239874</v>
      </c>
      <c r="L51" s="244">
        <f>Brownsville!M50+Caledonia!M52+'New Albany'!M52+Calvert!M52+Wheatland!M52+Wilton!M52</f>
        <v>-35589.890978695847</v>
      </c>
      <c r="M51" s="244">
        <f>Brownsville!N50+Caledonia!N52+'New Albany'!N52+Calvert!N52+Wheatland!N52+Wilton!N52</f>
        <v>-37399.618715521785</v>
      </c>
      <c r="N51" s="244">
        <f>Brownsville!O50+Caledonia!O52+'New Albany'!O52+Calvert!O52+Wheatland!O52+Wilton!O52</f>
        <v>-40345.841127389736</v>
      </c>
      <c r="O51" s="244">
        <f>Brownsville!P50+Caledonia!P52+'New Albany'!P52+Calvert!P52+Wheatland!P52+Wilton!P52</f>
        <v>-41844.626079963622</v>
      </c>
      <c r="P51" s="244">
        <f>Brownsville!Q50+Caledonia!Q52+'New Albany'!Q52+Calvert!Q52+Wheatland!Q52+Wilton!Q52</f>
        <v>-44606.306530314294</v>
      </c>
      <c r="Q51" s="244">
        <f>Brownsville!R50+Caledonia!R52+'New Albany'!R52+Calvert!R52+Wheatland!R52+Wilton!R52</f>
        <v>-46614.94457030276</v>
      </c>
      <c r="R51" s="244">
        <f>Brownsville!S50+Caledonia!S52+'New Albany'!S52+Calvert!S52+Wheatland!S52+Wilton!S52</f>
        <v>-48470.465391799255</v>
      </c>
      <c r="S51" s="244">
        <f>Brownsville!T50+Caledonia!T52+'New Albany'!T52+Calvert!T52+Wheatland!T52+Wilton!T52</f>
        <v>-50526.673712919888</v>
      </c>
      <c r="T51" s="244">
        <f>Brownsville!U50+Caledonia!U52+'New Albany'!U52+Calvert!U52+Wheatland!U52+Wilton!U52</f>
        <v>-52803.430248220546</v>
      </c>
      <c r="U51" s="244">
        <f>Brownsville!V50+Caledonia!V52+'New Albany'!V52+Calvert!V52+Wheatland!V52+Wilton!V52</f>
        <v>-55148.59025068771</v>
      </c>
      <c r="V51" s="244">
        <f>Brownsville!W50+Caledonia!W52+'New Albany'!W52+Calvert!W52+Wheatland!W52+Wilton!W52</f>
        <v>-57467.213828009379</v>
      </c>
      <c r="W51" s="244">
        <f>Brownsville!X50+Caledonia!X52+'New Albany'!X52+Calvert!X52+Wheatland!X52+Wilton!X52</f>
        <v>-59550.660971451449</v>
      </c>
      <c r="X51" s="244">
        <f>Brownsville!Y50+Caledonia!Y52+'New Albany'!Y52+Calvert!Y52+Wheatland!Y52+Wilton!Y52</f>
        <v>-60657.871650736088</v>
      </c>
      <c r="Y51" s="244">
        <f>Brownsville!Z50+Caledonia!Z52+'New Albany'!Z52+Calvert!Z52+Wheatland!Z52+Wilton!Z52</f>
        <v>-62377.223791964054</v>
      </c>
      <c r="Z51" s="297"/>
      <c r="AA51" s="297"/>
    </row>
    <row r="52" spans="1:27">
      <c r="A52" s="7"/>
      <c r="D52" s="243"/>
      <c r="E52" s="243"/>
      <c r="F52" s="243"/>
      <c r="G52" s="243"/>
      <c r="H52" s="243"/>
      <c r="I52" s="243"/>
      <c r="J52" s="243"/>
      <c r="K52" s="243"/>
      <c r="L52" s="243"/>
      <c r="M52" s="243"/>
      <c r="N52" s="243"/>
      <c r="O52" s="243"/>
      <c r="P52" s="243"/>
      <c r="Q52" s="243"/>
      <c r="R52" s="243"/>
      <c r="S52" s="243"/>
      <c r="T52" s="243"/>
      <c r="U52" s="243"/>
      <c r="V52" s="243"/>
      <c r="W52" s="243"/>
      <c r="X52" s="243"/>
      <c r="Y52" s="243"/>
      <c r="Z52" s="296"/>
      <c r="AA52" s="296"/>
    </row>
    <row r="53" spans="1:27" ht="15.75">
      <c r="A53" s="106" t="s">
        <v>191</v>
      </c>
      <c r="B53" s="107"/>
      <c r="C53" s="107"/>
      <c r="D53" s="247">
        <f>D48+D50+D51</f>
        <v>0</v>
      </c>
      <c r="E53" s="247">
        <f ca="1">E48+E50+E51</f>
        <v>6818.5186547803314</v>
      </c>
      <c r="F53" s="247">
        <f>F48+F50+F51</f>
        <v>10578.175432730804</v>
      </c>
      <c r="G53" s="247">
        <f>G48+G50+G51</f>
        <v>11629.273027392132</v>
      </c>
      <c r="H53" s="247">
        <f t="shared" ref="H53:Y53" si="6">H48+H50+H51</f>
        <v>53154.459481063248</v>
      </c>
      <c r="I53" s="247">
        <f t="shared" si="6"/>
        <v>55540.505210509327</v>
      </c>
      <c r="J53" s="247">
        <f t="shared" si="6"/>
        <v>59152.635142950836</v>
      </c>
      <c r="K53" s="247">
        <f t="shared" si="6"/>
        <v>61518.297124588309</v>
      </c>
      <c r="L53" s="247">
        <f t="shared" si="6"/>
        <v>66095.511817577964</v>
      </c>
      <c r="M53" s="247">
        <f t="shared" si="6"/>
        <v>69456.434757397656</v>
      </c>
      <c r="N53" s="247">
        <f t="shared" si="6"/>
        <v>74927.990665152392</v>
      </c>
      <c r="O53" s="247">
        <f t="shared" si="6"/>
        <v>77711.448434218197</v>
      </c>
      <c r="P53" s="247">
        <f t="shared" si="6"/>
        <v>82840.283556298018</v>
      </c>
      <c r="Q53" s="247">
        <f t="shared" si="6"/>
        <v>86570.611344848061</v>
      </c>
      <c r="R53" s="247">
        <f t="shared" si="6"/>
        <v>90016.57858477009</v>
      </c>
      <c r="S53" s="247">
        <f t="shared" si="6"/>
        <v>93835.251181136889</v>
      </c>
      <c r="T53" s="247">
        <f t="shared" si="6"/>
        <v>98063.513318123936</v>
      </c>
      <c r="U53" s="247">
        <f t="shared" si="6"/>
        <v>102418.81046556291</v>
      </c>
      <c r="V53" s="247">
        <f t="shared" si="6"/>
        <v>106724.82568058887</v>
      </c>
      <c r="W53" s="247">
        <f t="shared" si="6"/>
        <v>110594.08466126693</v>
      </c>
      <c r="X53" s="247">
        <f t="shared" si="6"/>
        <v>112650.33306565275</v>
      </c>
      <c r="Y53" s="247">
        <f t="shared" si="6"/>
        <v>115843.41561364758</v>
      </c>
      <c r="Z53" s="301"/>
      <c r="AA53" s="301"/>
    </row>
    <row r="55" spans="1:27">
      <c r="A55" s="229"/>
      <c r="B55" s="136"/>
      <c r="C55" s="136"/>
      <c r="D55" s="19"/>
    </row>
    <row r="56" spans="1:27">
      <c r="A56" s="538" t="s">
        <v>399</v>
      </c>
      <c r="B56" s="136"/>
      <c r="C56" s="136"/>
    </row>
    <row r="57" spans="1:27">
      <c r="A57" s="538" t="s">
        <v>398</v>
      </c>
      <c r="C57" s="295"/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6"/>
      <c r="P57" s="296"/>
      <c r="Q57" s="296"/>
      <c r="R57" s="296"/>
      <c r="S57" s="296"/>
      <c r="T57" s="296"/>
      <c r="U57" s="296"/>
      <c r="V57" s="296"/>
      <c r="W57" s="296"/>
      <c r="X57" s="296"/>
      <c r="Y57" s="296"/>
    </row>
    <row r="58" spans="1:27">
      <c r="A58" s="798" t="str">
        <f>"   The capitalized interest amounts in 1999 and 2000 are "&amp;ROUNDDOWN(-Debt!B136,-3)/1000&amp;","&amp;ROUND(-Debt!B136-ROUNDDOWN(-Debt!B136,-3),0)&amp;" and "&amp;ROUNDDOWN(-Debt!C136,-3)/1000&amp;","&amp;ROUND(-Debt!C136-ROUNDDOWN(-Debt!C136,-3),0)&amp;"."</f>
        <v xml:space="preserve">   The capitalized interest amounts in 1999 and 2000 are 0,0 and 18,15.</v>
      </c>
      <c r="C58" s="295"/>
      <c r="D58" s="334"/>
      <c r="E58" s="334"/>
      <c r="F58" s="334"/>
      <c r="G58" s="334"/>
      <c r="H58" s="334"/>
    </row>
    <row r="59" spans="1:27">
      <c r="C59" s="295"/>
      <c r="D59" s="607"/>
      <c r="E59" s="607"/>
      <c r="F59" s="607"/>
      <c r="G59" s="607"/>
      <c r="H59" s="607"/>
      <c r="I59" s="607"/>
      <c r="J59" s="607"/>
      <c r="K59" s="607"/>
      <c r="L59" s="607"/>
      <c r="M59" s="607"/>
      <c r="N59" s="607"/>
      <c r="O59" s="607"/>
      <c r="P59" s="607"/>
      <c r="Q59" s="607"/>
      <c r="R59" s="607"/>
      <c r="S59" s="607"/>
      <c r="T59" s="607"/>
      <c r="U59" s="607"/>
      <c r="V59" s="607"/>
      <c r="W59" s="607"/>
      <c r="X59" s="607"/>
      <c r="Y59" s="607"/>
    </row>
    <row r="60" spans="1:27">
      <c r="C60" s="295"/>
      <c r="D60" s="334"/>
      <c r="E60" s="334"/>
      <c r="F60" s="334"/>
      <c r="G60" s="334"/>
      <c r="H60" s="334"/>
    </row>
    <row r="61" spans="1:27">
      <c r="C61" s="295"/>
      <c r="D61" s="334"/>
      <c r="E61" s="334"/>
      <c r="F61" s="334"/>
      <c r="G61" s="334"/>
      <c r="H61" s="334"/>
    </row>
    <row r="62" spans="1:27">
      <c r="C62" s="295"/>
      <c r="D62" s="334"/>
      <c r="E62" s="334"/>
      <c r="F62" s="334"/>
      <c r="G62" s="334"/>
      <c r="H62" s="334"/>
    </row>
    <row r="63" spans="1:27">
      <c r="C63" s="295"/>
      <c r="D63" s="295"/>
      <c r="E63" s="295"/>
      <c r="F63" s="295"/>
      <c r="G63" s="295"/>
      <c r="H63" s="295"/>
    </row>
    <row r="64" spans="1:27">
      <c r="C64" s="335"/>
      <c r="D64" s="334"/>
      <c r="E64" s="334"/>
      <c r="F64" s="334"/>
      <c r="G64" s="334"/>
      <c r="H64" s="334"/>
    </row>
    <row r="65" spans="3:8">
      <c r="C65" s="335"/>
      <c r="D65" s="334"/>
      <c r="E65" s="334"/>
      <c r="F65" s="334"/>
      <c r="G65" s="334"/>
      <c r="H65" s="334"/>
    </row>
    <row r="66" spans="3:8">
      <c r="C66" s="335"/>
      <c r="D66" s="334"/>
      <c r="E66" s="334"/>
      <c r="F66" s="334"/>
      <c r="G66" s="334"/>
      <c r="H66" s="334"/>
    </row>
    <row r="67" spans="3:8">
      <c r="C67" s="335"/>
      <c r="D67" s="334"/>
      <c r="E67" s="334"/>
      <c r="F67" s="334"/>
      <c r="G67" s="334"/>
      <c r="H67" s="334"/>
    </row>
    <row r="68" spans="3:8">
      <c r="C68" s="335"/>
      <c r="D68" s="334"/>
      <c r="E68" s="334"/>
      <c r="F68" s="334"/>
      <c r="G68" s="334"/>
      <c r="H68" s="334"/>
    </row>
    <row r="69" spans="3:8">
      <c r="C69" s="295"/>
      <c r="D69" s="295"/>
      <c r="E69" s="295"/>
      <c r="F69" s="295"/>
      <c r="G69" s="295"/>
      <c r="H69" s="295"/>
    </row>
    <row r="70" spans="3:8">
      <c r="C70" s="295"/>
      <c r="D70" s="295"/>
      <c r="E70" s="295"/>
      <c r="F70" s="295"/>
      <c r="G70" s="295"/>
      <c r="H70" s="295"/>
    </row>
    <row r="71" spans="3:8">
      <c r="C71" s="295"/>
      <c r="D71" s="296"/>
      <c r="E71" s="296"/>
      <c r="F71" s="296"/>
      <c r="G71" s="296"/>
      <c r="H71" s="295"/>
    </row>
    <row r="72" spans="3:8">
      <c r="C72" s="295"/>
      <c r="D72" s="295"/>
      <c r="E72" s="295"/>
      <c r="F72" s="295"/>
      <c r="G72" s="295"/>
      <c r="H72" s="295"/>
    </row>
    <row r="73" spans="3:8">
      <c r="C73" s="295"/>
      <c r="D73" s="296"/>
      <c r="E73" s="295"/>
      <c r="F73" s="295"/>
      <c r="G73" s="295"/>
      <c r="H73" s="295"/>
    </row>
    <row r="74" spans="3:8">
      <c r="C74" s="295"/>
      <c r="D74" s="295"/>
      <c r="E74" s="295"/>
      <c r="F74" s="295"/>
      <c r="G74" s="295"/>
      <c r="H74" s="295"/>
    </row>
    <row r="75" spans="3:8">
      <c r="C75" s="295"/>
      <c r="D75" s="295"/>
      <c r="E75" s="295"/>
      <c r="F75" s="295"/>
      <c r="G75" s="295"/>
      <c r="H75" s="295"/>
    </row>
  </sheetData>
  <pageMargins left="0.18" right="0.17" top="0.37" bottom="0.4" header="0.17" footer="0.21"/>
  <pageSetup scale="58" fitToWidth="2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129"/>
  <sheetViews>
    <sheetView topLeftCell="M17" zoomScale="75" zoomScaleNormal="75" workbookViewId="0">
      <selection activeCell="D51" sqref="D51:AA51"/>
    </sheetView>
  </sheetViews>
  <sheetFormatPr defaultRowHeight="12.75" outlineLevelRow="1"/>
  <cols>
    <col min="1" max="1" width="63.5703125" style="22" customWidth="1"/>
    <col min="2" max="2" width="13" style="22" bestFit="1" customWidth="1"/>
    <col min="3" max="3" width="6.5703125" style="22" customWidth="1"/>
    <col min="4" max="4" width="14.140625" style="22" customWidth="1"/>
    <col min="5" max="5" width="13.28515625" customWidth="1"/>
    <col min="6" max="6" width="13" style="22" customWidth="1"/>
    <col min="7" max="7" width="11.5703125" style="22" customWidth="1"/>
    <col min="8" max="10" width="11.140625" style="22" customWidth="1"/>
    <col min="11" max="12" width="12" style="22" customWidth="1"/>
    <col min="13" max="13" width="12.7109375" style="22" customWidth="1"/>
    <col min="14" max="14" width="12.5703125" style="22" customWidth="1"/>
    <col min="15" max="15" width="12.7109375" style="22" customWidth="1"/>
    <col min="16" max="18" width="11.28515625" style="22" customWidth="1"/>
    <col min="19" max="19" width="11.85546875" style="22" customWidth="1"/>
    <col min="20" max="20" width="11.140625" style="22" customWidth="1"/>
    <col min="21" max="21" width="11.85546875" style="22" customWidth="1"/>
    <col min="22" max="22" width="11.140625" style="22" customWidth="1"/>
    <col min="23" max="23" width="11.5703125" style="22" customWidth="1"/>
    <col min="24" max="24" width="11.28515625" style="22" customWidth="1"/>
    <col min="25" max="26" width="11.5703125" style="22" customWidth="1"/>
    <col min="27" max="27" width="12.5703125" style="22" customWidth="1"/>
    <col min="28" max="28" width="12.7109375" style="8" customWidth="1"/>
    <col min="29" max="29" width="12.28515625" style="8" customWidth="1"/>
    <col min="30" max="30" width="13.85546875" style="8" bestFit="1" customWidth="1"/>
    <col min="31" max="32" width="9.85546875" style="22" customWidth="1"/>
    <col min="33" max="33" width="9.140625" style="22"/>
    <col min="34" max="34" width="9.42578125" style="22" customWidth="1"/>
    <col min="35" max="35" width="9.85546875" style="22" customWidth="1"/>
    <col min="36" max="36" width="9.140625" style="22"/>
    <col min="37" max="37" width="9.42578125" style="22" customWidth="1"/>
    <col min="38" max="39" width="9.85546875" style="22" customWidth="1"/>
    <col min="40" max="41" width="9.140625" style="22"/>
    <col min="42" max="43" width="9.85546875" style="22" customWidth="1"/>
    <col min="44" max="85" width="9.140625" style="22"/>
    <col min="86" max="87" width="9.85546875" style="22" customWidth="1"/>
    <col min="88" max="16384" width="9.140625" style="22"/>
  </cols>
  <sheetData>
    <row r="2" spans="1:32" ht="18.75">
      <c r="A2" s="126" t="s">
        <v>418</v>
      </c>
      <c r="B2" s="132"/>
    </row>
    <row r="5" spans="1:32" ht="18.75">
      <c r="A5" s="292" t="s">
        <v>403</v>
      </c>
      <c r="B5" s="439"/>
    </row>
    <row r="6" spans="1:32">
      <c r="D6" s="22" t="s">
        <v>389</v>
      </c>
      <c r="G6" s="22" t="s">
        <v>379</v>
      </c>
      <c r="AB6" s="302"/>
      <c r="AC6" s="302"/>
    </row>
    <row r="7" spans="1:32" ht="13.5" outlineLevel="1" thickBot="1">
      <c r="A7" s="422" t="s">
        <v>164</v>
      </c>
      <c r="B7" s="422"/>
      <c r="C7" s="2"/>
      <c r="D7" s="9">
        <v>1999</v>
      </c>
      <c r="E7" s="9">
        <v>2000</v>
      </c>
      <c r="F7" s="9">
        <v>2000</v>
      </c>
      <c r="G7" s="9">
        <f>D7+1</f>
        <v>2000</v>
      </c>
      <c r="H7" s="9">
        <f t="shared" ref="H7:AA7" si="0">G7+1</f>
        <v>2001</v>
      </c>
      <c r="I7" s="9">
        <f t="shared" si="0"/>
        <v>2002</v>
      </c>
      <c r="J7" s="9">
        <f t="shared" si="0"/>
        <v>2003</v>
      </c>
      <c r="K7" s="9">
        <f>J7+1</f>
        <v>2004</v>
      </c>
      <c r="L7" s="9">
        <f t="shared" si="0"/>
        <v>2005</v>
      </c>
      <c r="M7" s="9">
        <f t="shared" si="0"/>
        <v>2006</v>
      </c>
      <c r="N7" s="9">
        <f t="shared" si="0"/>
        <v>2007</v>
      </c>
      <c r="O7" s="9">
        <f t="shared" si="0"/>
        <v>2008</v>
      </c>
      <c r="P7" s="9">
        <f t="shared" si="0"/>
        <v>2009</v>
      </c>
      <c r="Q7" s="9">
        <f>P7+1</f>
        <v>2010</v>
      </c>
      <c r="R7" s="9">
        <f t="shared" si="0"/>
        <v>2011</v>
      </c>
      <c r="S7" s="9">
        <f t="shared" si="0"/>
        <v>2012</v>
      </c>
      <c r="T7" s="9">
        <f t="shared" si="0"/>
        <v>2013</v>
      </c>
      <c r="U7" s="9">
        <f t="shared" si="0"/>
        <v>2014</v>
      </c>
      <c r="V7" s="9">
        <f t="shared" si="0"/>
        <v>2015</v>
      </c>
      <c r="W7" s="9">
        <f t="shared" si="0"/>
        <v>2016</v>
      </c>
      <c r="X7" s="9">
        <f t="shared" si="0"/>
        <v>2017</v>
      </c>
      <c r="Y7" s="9">
        <f t="shared" si="0"/>
        <v>2018</v>
      </c>
      <c r="Z7" s="9">
        <f t="shared" si="0"/>
        <v>2019</v>
      </c>
      <c r="AA7" s="9">
        <f t="shared" si="0"/>
        <v>2020</v>
      </c>
      <c r="AB7" s="758" t="s">
        <v>73</v>
      </c>
      <c r="AC7" s="11"/>
    </row>
    <row r="8" spans="1:32" outlineLevel="1">
      <c r="A8" s="492"/>
      <c r="B8" s="492"/>
      <c r="C8" s="3"/>
      <c r="D8" s="601">
        <v>36525</v>
      </c>
      <c r="E8" s="601">
        <v>36556</v>
      </c>
      <c r="F8" s="601">
        <v>36616</v>
      </c>
      <c r="G8" s="601">
        <v>36891</v>
      </c>
      <c r="H8" s="601">
        <v>37256</v>
      </c>
      <c r="I8" s="601">
        <v>37621</v>
      </c>
      <c r="J8" s="601">
        <v>37986</v>
      </c>
      <c r="K8" s="601">
        <v>38352</v>
      </c>
      <c r="L8" s="601">
        <v>38717</v>
      </c>
      <c r="M8" s="601">
        <v>39082</v>
      </c>
      <c r="N8" s="601">
        <v>39447</v>
      </c>
      <c r="O8" s="601">
        <v>39813</v>
      </c>
      <c r="P8" s="601">
        <v>40178</v>
      </c>
      <c r="Q8" s="601">
        <v>40543</v>
      </c>
      <c r="R8" s="601">
        <v>40908</v>
      </c>
      <c r="S8" s="601">
        <v>41274</v>
      </c>
      <c r="T8" s="601">
        <v>41639</v>
      </c>
      <c r="U8" s="601">
        <v>42004</v>
      </c>
      <c r="V8" s="601">
        <v>42369</v>
      </c>
      <c r="W8" s="601">
        <v>42735</v>
      </c>
      <c r="X8" s="601">
        <v>43100</v>
      </c>
      <c r="Y8" s="601">
        <v>43465</v>
      </c>
      <c r="Z8" s="601">
        <v>43830</v>
      </c>
      <c r="AA8" s="601">
        <v>44196</v>
      </c>
      <c r="AB8" s="759"/>
      <c r="AC8" s="11"/>
    </row>
    <row r="9" spans="1:32" outlineLevel="1">
      <c r="A9" s="3"/>
      <c r="B9" s="3"/>
      <c r="C9" s="3"/>
      <c r="D9" s="11"/>
      <c r="E9" s="11"/>
      <c r="F9" s="738"/>
      <c r="G9" s="11"/>
      <c r="H9" s="11"/>
      <c r="I9" s="11"/>
      <c r="J9" s="11"/>
      <c r="K9" s="11"/>
      <c r="L9" s="738"/>
      <c r="M9" s="738"/>
      <c r="N9" s="739"/>
      <c r="O9" s="739"/>
      <c r="P9" s="738"/>
      <c r="Q9" s="738"/>
      <c r="R9" s="11"/>
      <c r="S9" s="11"/>
      <c r="T9" s="11"/>
      <c r="U9" s="11"/>
      <c r="V9" s="11"/>
      <c r="W9" s="11"/>
      <c r="X9" s="11"/>
      <c r="Y9" s="11"/>
      <c r="Z9" s="11"/>
      <c r="AA9" s="11"/>
      <c r="AB9" s="759"/>
      <c r="AC9" s="11"/>
    </row>
    <row r="10" spans="1:32">
      <c r="A10" s="14" t="s">
        <v>184</v>
      </c>
      <c r="B10" s="15"/>
      <c r="D10" s="31">
        <f>IS!D38</f>
        <v>0</v>
      </c>
      <c r="E10" s="31">
        <f ca="1">1/12*(Brownsville!F39+Caledonia!F39+'New Albany'!F39)</f>
        <v>4471.4179477142116</v>
      </c>
      <c r="F10" s="31">
        <v>0</v>
      </c>
      <c r="G10" s="124">
        <f ca="1">(IS!E38-CF!E10)</f>
        <v>85244.425518741729</v>
      </c>
      <c r="H10" s="124">
        <f>IS!F38</f>
        <v>122372.11600515959</v>
      </c>
      <c r="I10" s="124">
        <f>IS!G38</f>
        <v>121860.67263279502</v>
      </c>
      <c r="J10" s="124">
        <f>IS!H38</f>
        <v>187651.64014913287</v>
      </c>
      <c r="K10" s="124">
        <f>IS!I38</f>
        <v>190109.1021750106</v>
      </c>
      <c r="L10" s="124">
        <f>IS!J38</f>
        <v>193591.99296303227</v>
      </c>
      <c r="M10" s="124">
        <f>IS!K38</f>
        <v>194788.0627973846</v>
      </c>
      <c r="N10" s="124">
        <f>IS!L38</f>
        <v>199203.15022055939</v>
      </c>
      <c r="O10" s="124">
        <f>IS!M38</f>
        <v>201177.53260156928</v>
      </c>
      <c r="P10" s="124">
        <f>IS!N38</f>
        <v>205855.99542930117</v>
      </c>
      <c r="Q10" s="124">
        <f>IS!O38</f>
        <v>206645.9062382972</v>
      </c>
      <c r="R10" s="124">
        <f>IS!P38</f>
        <v>211414.53803110844</v>
      </c>
      <c r="S10" s="124">
        <f>IS!Q38</f>
        <v>213506.78665274102</v>
      </c>
      <c r="T10" s="124">
        <f>IS!R38</f>
        <v>214835.54761544304</v>
      </c>
      <c r="U10" s="124">
        <f>IS!S38</f>
        <v>216468.3634660345</v>
      </c>
      <c r="V10" s="124">
        <f>IS!T38</f>
        <v>218387.20496215031</v>
      </c>
      <c r="W10" s="124">
        <f>IS!U38</f>
        <v>220305.41028444408</v>
      </c>
      <c r="X10" s="124">
        <f>IS!V38</f>
        <v>222191.20898447486</v>
      </c>
      <c r="Y10" s="124">
        <f>IS!W38</f>
        <v>223808.30937061677</v>
      </c>
      <c r="Z10" s="124">
        <f>IS!X38</f>
        <v>223087.61019639071</v>
      </c>
      <c r="AA10" s="124">
        <f>IS!Y38</f>
        <v>226027.72698455997</v>
      </c>
      <c r="AB10" s="760">
        <f ca="1">SUM(D10:AA10)</f>
        <v>4103004.7212266619</v>
      </c>
      <c r="AC10" s="142"/>
      <c r="AD10"/>
      <c r="AE10"/>
      <c r="AF10"/>
    </row>
    <row r="12" spans="1:32">
      <c r="A12" s="15" t="s">
        <v>402</v>
      </c>
      <c r="B12" s="15"/>
      <c r="D12" s="142">
        <v>0</v>
      </c>
      <c r="E12" s="800">
        <f ca="1">-SUM(E10,E13:E16)</f>
        <v>-1147.6255684761672</v>
      </c>
      <c r="F12" s="31">
        <v>0</v>
      </c>
      <c r="G12" s="31">
        <f>IRR!G10</f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761">
        <f t="shared" ref="AB12:AB30" ca="1" si="1">SUM(D12:AA12)</f>
        <v>-1147.6255684761672</v>
      </c>
      <c r="AC12" s="142"/>
      <c r="AD12"/>
      <c r="AE12"/>
      <c r="AF12"/>
    </row>
    <row r="13" spans="1:32">
      <c r="A13" s="15" t="s">
        <v>433</v>
      </c>
      <c r="B13" s="15"/>
      <c r="C13" s="22" t="str">
        <f>IF(D13-Debt!B102&gt;1,"CHECK","")</f>
        <v/>
      </c>
      <c r="D13" s="800">
        <f>-D10</f>
        <v>0</v>
      </c>
      <c r="E13" s="74">
        <f>-D13</f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761">
        <f t="shared" si="1"/>
        <v>0</v>
      </c>
      <c r="AC13" s="142"/>
      <c r="AD13"/>
      <c r="AE13"/>
      <c r="AF13"/>
    </row>
    <row r="14" spans="1:32">
      <c r="A14" s="15" t="s">
        <v>380</v>
      </c>
      <c r="B14" s="15"/>
      <c r="D14" s="135">
        <v>0</v>
      </c>
      <c r="E14" s="135">
        <f>-Debt!B138</f>
        <v>3218.4117874286217</v>
      </c>
      <c r="F14" s="31">
        <v>0</v>
      </c>
      <c r="G14" s="31">
        <f>-Debt!C104-E14</f>
        <v>14796.182913946746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761">
        <f t="shared" si="1"/>
        <v>18014.594701375368</v>
      </c>
      <c r="AC14" s="142"/>
      <c r="AD14"/>
      <c r="AE14"/>
      <c r="AF14"/>
    </row>
    <row r="15" spans="1:32">
      <c r="A15" s="15" t="s">
        <v>354</v>
      </c>
      <c r="B15" s="15"/>
      <c r="D15" s="39">
        <v>0</v>
      </c>
      <c r="E15" s="795">
        <f>-Debt!C31-Debt!B41-Debt!C54-Debt!B64-Debt!C77-Debt!B87</f>
        <v>-722.25</v>
      </c>
      <c r="F15" s="39">
        <v>0</v>
      </c>
      <c r="G15" s="795">
        <f>-(Debt!C36+Debt!C59+Debt!C82)</f>
        <v>-7944.75</v>
      </c>
      <c r="H15" s="795">
        <f>-(Debt!D31+Debt!D36+Debt!D54+Debt!D59+Debt!D77+Debt!D82)</f>
        <v>-25677</v>
      </c>
      <c r="I15" s="795">
        <f>-(Debt!E31+Debt!E36+Debt!E54+Debt!E59+Debt!E77+Debt!E82)</f>
        <v>-27297</v>
      </c>
      <c r="J15" s="795">
        <f>-(Debt!F31+Debt!F36+Debt!F54+Debt!F59+Debt!F77+Debt!F82)</f>
        <v>-19359</v>
      </c>
      <c r="K15" s="795">
        <f>-(Debt!G31+Debt!G36+Debt!G54+Debt!G59+Debt!G77+Debt!G82)</f>
        <v>-21631</v>
      </c>
      <c r="L15" s="795">
        <f>-(Debt!H31+Debt!H36+Debt!H54+Debt!H59+Debt!H77+Debt!H82)</f>
        <v>-25414</v>
      </c>
      <c r="M15" s="795">
        <f>-(Debt!I31+Debt!I36+Debt!I54+Debt!I59+Debt!I77+Debt!I82)</f>
        <v>-28518</v>
      </c>
      <c r="N15" s="795">
        <f>-(Debt!J31+Debt!J36+Debt!J54+Debt!J59+Debt!J77+Debt!J82)</f>
        <v>-33368</v>
      </c>
      <c r="O15" s="795">
        <f>-(Debt!K31+Debt!K36+Debt!K54+Debt!K59+Debt!K77+Debt!K82)</f>
        <v>-37830</v>
      </c>
      <c r="P15" s="795">
        <f>-(Debt!L31+Debt!L36+Debt!L54+Debt!L59+Debt!L77+Debt!L82)</f>
        <v>-47239.000000000007</v>
      </c>
      <c r="Q15" s="795">
        <f>-(Debt!M31+Debt!M36+Debt!M54+Debt!M59+Debt!M77+Debt!M82)</f>
        <v>-32430.240357681083</v>
      </c>
      <c r="R15" s="795">
        <f>-(Debt!N31+Debt!N36+Debt!N54+Debt!N59+Debt!N77+Debt!N82)</f>
        <v>-36050.707912910264</v>
      </c>
      <c r="S15" s="795">
        <f>-(Debt!O31+Debt!O36+Debt!O54+Debt!O59+Debt!O77+Debt!O82)</f>
        <v>-39714.862455105824</v>
      </c>
      <c r="T15" s="795">
        <f>-(Debt!P31+Debt!P36+Debt!P54+Debt!P59+Debt!P77+Debt!P82)</f>
        <v>-42351.698424625974</v>
      </c>
      <c r="U15" s="795">
        <f>-(Debt!Q31+Debt!Q36+Debt!Q54+Debt!Q59+Debt!Q77+Debt!Q82)</f>
        <v>-45258.755136101652</v>
      </c>
      <c r="V15" s="795">
        <f>-(Debt!R31+Debt!R36+Debt!R54+Debt!R59+Debt!R77+Debt!R82)</f>
        <v>-49324.076642179083</v>
      </c>
      <c r="W15" s="795">
        <f>-(Debt!S31+Debt!S36+Debt!S54+Debt!S59+Debt!S77+Debt!S82)</f>
        <v>-50286.886560959807</v>
      </c>
      <c r="X15" s="795">
        <f>-(Debt!T31+Debt!T36+Debt!T54+Debt!T59+Debt!T77+Debt!T82)</f>
        <v>-49119.721184857604</v>
      </c>
      <c r="Y15" s="795">
        <f>-(Debt!U31+Debt!U36+Debt!U54+Debt!U59+Debt!U77+Debt!U82)</f>
        <v>-43305.819899604146</v>
      </c>
      <c r="Z15" s="795">
        <f>-(Debt!V31+Debt!V36+Debt!V54+Debt!V59+Debt!V77+Debt!V82)</f>
        <v>-37157.231425974576</v>
      </c>
      <c r="AA15" s="39">
        <f>-(Debt!W31+Debt!W36+Debt!W54+Debt!W59+Debt!W77+Debt!W82)</f>
        <v>0</v>
      </c>
      <c r="AB15" s="771">
        <f>SUM(D15:AA15)</f>
        <v>-700000</v>
      </c>
      <c r="AC15" s="303"/>
      <c r="AD15"/>
      <c r="AE15"/>
      <c r="AF15"/>
    </row>
    <row r="16" spans="1:32">
      <c r="A16" s="15" t="s">
        <v>353</v>
      </c>
      <c r="B16" s="15"/>
      <c r="D16" s="429">
        <v>0</v>
      </c>
      <c r="E16" s="254">
        <f>-Debt!B42-Debt!C32-Debt!B65-Debt!C55-Debt!B88-Debt!C78</f>
        <v>-5819.9541666666664</v>
      </c>
      <c r="F16" s="429">
        <v>0</v>
      </c>
      <c r="G16" s="254">
        <f>-Debt!C37-Debt!C60-Debt!C83</f>
        <v>-34890.148862500006</v>
      </c>
      <c r="H16" s="254">
        <f>-(Debt!D45+Debt!D68+Debt!D91)</f>
        <v>-68647.697506249999</v>
      </c>
      <c r="I16" s="254">
        <f>-(Debt!E45+Debt!E68+Debt!E91)</f>
        <v>-66467.770325000005</v>
      </c>
      <c r="J16" s="254">
        <f>-(Debt!F45+Debt!F68+Debt!F91)</f>
        <v>-63998.301050000002</v>
      </c>
      <c r="K16" s="254">
        <f>-(Debt!G45+Debt!G68+Debt!G91)</f>
        <v>-62767.522250000002</v>
      </c>
      <c r="L16" s="254">
        <f>-(Debt!H45+Debt!H68+Debt!H91)</f>
        <v>-60485.456600000005</v>
      </c>
      <c r="M16" s="254">
        <f>-(Debt!I45+Debt!I68+Debt!I91)</f>
        <v>-57939.7886</v>
      </c>
      <c r="N16" s="254">
        <f>-(Debt!J45+Debt!J68+Debt!J91)</f>
        <v>-55049.984000000004</v>
      </c>
      <c r="O16" s="254">
        <f>-(Debt!K45+Debt!K68+Debt!K91)</f>
        <v>-51698.1878</v>
      </c>
      <c r="P16" s="254">
        <f>-(Debt!L45+Debt!L68+Debt!L91)</f>
        <v>-44096.743933333331</v>
      </c>
      <c r="Q16" s="254">
        <f>-(Debt!M45+Debt!M68+Debt!M91)</f>
        <v>-47198.455271335668</v>
      </c>
      <c r="R16" s="254">
        <f>-(Debt!N45+Debt!N68+Debt!N91)</f>
        <v>-40024.181575997936</v>
      </c>
      <c r="S16" s="254">
        <f>-(Debt!O45+Debt!O68+Debt!O91)</f>
        <v>-36166.701573666222</v>
      </c>
      <c r="T16" s="254">
        <f>-(Debt!P45+Debt!P68+Debt!P91)</f>
        <v>-31953.667218121067</v>
      </c>
      <c r="U16" s="254">
        <f>-(Debt!Q45+Debt!Q68+Debt!Q91)</f>
        <v>-27458.429645550717</v>
      </c>
      <c r="V16" s="254">
        <f>-(Debt!R45+Debt!R68+Debt!R91)</f>
        <v>-22629.624472308722</v>
      </c>
      <c r="W16" s="254">
        <f>-(Debt!S45+Debt!S68+Debt!S91)</f>
        <v>-17457.539770941141</v>
      </c>
      <c r="X16" s="254">
        <f>-(Debt!T45+Debt!T68+Debt!T91)</f>
        <v>-12240.551585054051</v>
      </c>
      <c r="Y16" s="254">
        <f>-(Debt!U45+Debt!U68+Debt!U91)</f>
        <v>-7266.5788291932095</v>
      </c>
      <c r="Z16" s="254">
        <f>-(Debt!V45+Debt!V68+Debt!V91)</f>
        <v>-2908.0178244753279</v>
      </c>
      <c r="AA16" s="429">
        <f>-(Debt!W45+Debt!W68+Debt!W91)</f>
        <v>0</v>
      </c>
      <c r="AB16" s="773">
        <f t="shared" si="1"/>
        <v>-817165.302860394</v>
      </c>
      <c r="AC16" s="142"/>
      <c r="AD16"/>
      <c r="AE16"/>
      <c r="AF16"/>
    </row>
    <row r="17" spans="1:32">
      <c r="A17" s="15"/>
      <c r="B17" s="15"/>
      <c r="D17" s="124"/>
      <c r="E17" s="74"/>
      <c r="F17" s="7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760"/>
      <c r="AC17" s="142"/>
      <c r="AD17"/>
      <c r="AE17"/>
      <c r="AF17"/>
    </row>
    <row r="18" spans="1:32">
      <c r="A18" s="14" t="s">
        <v>194</v>
      </c>
      <c r="B18" s="14"/>
      <c r="D18" s="31">
        <f t="shared" ref="D18:AA18" si="2">SUM(D10:D16)</f>
        <v>0</v>
      </c>
      <c r="E18" s="31">
        <f t="shared" ca="1" si="2"/>
        <v>0</v>
      </c>
      <c r="F18" s="31">
        <f t="shared" si="2"/>
        <v>0</v>
      </c>
      <c r="G18" s="428">
        <f t="shared" ca="1" si="2"/>
        <v>57205.709570188468</v>
      </c>
      <c r="H18" s="428">
        <f t="shared" si="2"/>
        <v>28047.418498909596</v>
      </c>
      <c r="I18" s="428">
        <f t="shared" si="2"/>
        <v>28095.902307795011</v>
      </c>
      <c r="J18" s="428">
        <f t="shared" si="2"/>
        <v>104294.33909913286</v>
      </c>
      <c r="K18" s="428">
        <f t="shared" si="2"/>
        <v>105710.57992501059</v>
      </c>
      <c r="L18" s="428">
        <f t="shared" si="2"/>
        <v>107692.53636303227</v>
      </c>
      <c r="M18" s="428">
        <f t="shared" si="2"/>
        <v>108330.2741973846</v>
      </c>
      <c r="N18" s="428">
        <f t="shared" si="2"/>
        <v>110785.16622055939</v>
      </c>
      <c r="O18" s="428">
        <f t="shared" si="2"/>
        <v>111649.34480156928</v>
      </c>
      <c r="P18" s="428">
        <f t="shared" si="2"/>
        <v>114520.25149596784</v>
      </c>
      <c r="Q18" s="428">
        <f t="shared" si="2"/>
        <v>127017.21060928045</v>
      </c>
      <c r="R18" s="428">
        <f t="shared" si="2"/>
        <v>135339.64854220024</v>
      </c>
      <c r="S18" s="428">
        <f t="shared" si="2"/>
        <v>137625.22262396899</v>
      </c>
      <c r="T18" s="428">
        <f t="shared" si="2"/>
        <v>140530.18197269601</v>
      </c>
      <c r="U18" s="428">
        <f t="shared" si="2"/>
        <v>143751.17868438212</v>
      </c>
      <c r="V18" s="428">
        <f t="shared" si="2"/>
        <v>146433.5038476625</v>
      </c>
      <c r="W18" s="428">
        <f t="shared" si="2"/>
        <v>152560.98395254315</v>
      </c>
      <c r="X18" s="428">
        <f t="shared" si="2"/>
        <v>160830.9362145632</v>
      </c>
      <c r="Y18" s="428">
        <f t="shared" si="2"/>
        <v>173235.91064181941</v>
      </c>
      <c r="Z18" s="428">
        <f t="shared" si="2"/>
        <v>183022.3609459408</v>
      </c>
      <c r="AA18" s="428">
        <f t="shared" si="2"/>
        <v>226027.72698455997</v>
      </c>
      <c r="AB18" s="763">
        <f t="shared" ca="1" si="1"/>
        <v>2602706.3874991667</v>
      </c>
      <c r="AC18" s="304"/>
      <c r="AD18"/>
      <c r="AE18"/>
      <c r="AF18"/>
    </row>
    <row r="19" spans="1:32">
      <c r="A19" s="14"/>
      <c r="B19" s="14"/>
      <c r="D19" s="31"/>
      <c r="E19" s="31"/>
      <c r="F19" s="31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757"/>
      <c r="AD19"/>
      <c r="AE19"/>
      <c r="AF19"/>
    </row>
    <row r="20" spans="1:32">
      <c r="A20" s="15" t="s">
        <v>409</v>
      </c>
      <c r="B20" s="15"/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757"/>
      <c r="AD20" s="797"/>
      <c r="AE20" s="797"/>
      <c r="AF20" s="797"/>
    </row>
    <row r="21" spans="1:32">
      <c r="A21" s="14"/>
      <c r="B21" s="14"/>
      <c r="D21" s="31"/>
      <c r="E21" s="31"/>
      <c r="F21" s="31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757"/>
      <c r="AD21"/>
      <c r="AE21"/>
      <c r="AF21"/>
    </row>
    <row r="22" spans="1:32">
      <c r="A22" s="14" t="s">
        <v>408</v>
      </c>
      <c r="B22" s="14"/>
      <c r="D22" s="74">
        <f>D18+D20</f>
        <v>0</v>
      </c>
      <c r="E22" s="74">
        <f t="shared" ref="E22:AA22" ca="1" si="3">E18+E20</f>
        <v>0</v>
      </c>
      <c r="F22" s="74">
        <f t="shared" si="3"/>
        <v>0</v>
      </c>
      <c r="G22" s="74">
        <f t="shared" ca="1" si="3"/>
        <v>57205.709570188468</v>
      </c>
      <c r="H22" s="74">
        <f t="shared" si="3"/>
        <v>28047.418498909596</v>
      </c>
      <c r="I22" s="74">
        <f t="shared" si="3"/>
        <v>28095.902307795011</v>
      </c>
      <c r="J22" s="74">
        <f t="shared" si="3"/>
        <v>104294.33909913286</v>
      </c>
      <c r="K22" s="74">
        <f t="shared" si="3"/>
        <v>105710.57992501059</v>
      </c>
      <c r="L22" s="74">
        <f t="shared" si="3"/>
        <v>107692.53636303227</v>
      </c>
      <c r="M22" s="74">
        <f t="shared" si="3"/>
        <v>108330.2741973846</v>
      </c>
      <c r="N22" s="74">
        <f t="shared" si="3"/>
        <v>110785.16622055939</v>
      </c>
      <c r="O22" s="74">
        <f t="shared" si="3"/>
        <v>111649.34480156928</v>
      </c>
      <c r="P22" s="74">
        <f t="shared" si="3"/>
        <v>114520.25149596784</v>
      </c>
      <c r="Q22" s="74">
        <f t="shared" si="3"/>
        <v>127017.21060928045</v>
      </c>
      <c r="R22" s="74">
        <f t="shared" si="3"/>
        <v>135339.64854220024</v>
      </c>
      <c r="S22" s="74">
        <f t="shared" si="3"/>
        <v>137625.22262396899</v>
      </c>
      <c r="T22" s="74">
        <f t="shared" si="3"/>
        <v>140530.18197269601</v>
      </c>
      <c r="U22" s="74">
        <f t="shared" si="3"/>
        <v>143751.17868438212</v>
      </c>
      <c r="V22" s="74">
        <f t="shared" si="3"/>
        <v>146433.5038476625</v>
      </c>
      <c r="W22" s="74">
        <f t="shared" si="3"/>
        <v>152560.98395254315</v>
      </c>
      <c r="X22" s="74">
        <f t="shared" si="3"/>
        <v>160830.9362145632</v>
      </c>
      <c r="Y22" s="74">
        <f t="shared" si="3"/>
        <v>173235.91064181941</v>
      </c>
      <c r="Z22" s="74">
        <f t="shared" si="3"/>
        <v>183022.3609459408</v>
      </c>
      <c r="AA22" s="74">
        <f t="shared" si="3"/>
        <v>226027.72698455997</v>
      </c>
      <c r="AB22" s="757"/>
      <c r="AD22"/>
      <c r="AE22"/>
      <c r="AF22"/>
    </row>
    <row r="23" spans="1:32">
      <c r="A23" s="14"/>
      <c r="B23" s="14"/>
      <c r="D23" s="31"/>
      <c r="E23" s="31"/>
      <c r="F23" s="31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757"/>
      <c r="AD23"/>
      <c r="AE23"/>
      <c r="AF23"/>
    </row>
    <row r="24" spans="1:32">
      <c r="A24" s="4" t="s">
        <v>195</v>
      </c>
      <c r="B24" s="14"/>
      <c r="D24" s="235">
        <f>-Tax!D28</f>
        <v>0</v>
      </c>
      <c r="E24" s="31">
        <v>0</v>
      </c>
      <c r="F24" s="31">
        <v>0</v>
      </c>
      <c r="G24" s="235">
        <f ca="1">-Tax!E28</f>
        <v>0</v>
      </c>
      <c r="H24" s="235">
        <f>-Tax!F28</f>
        <v>0</v>
      </c>
      <c r="I24" s="235">
        <f>-Tax!G28</f>
        <v>0</v>
      </c>
      <c r="J24" s="235">
        <f ca="1">-Tax!H28</f>
        <v>0</v>
      </c>
      <c r="K24" s="235">
        <f ca="1">-Tax!I28</f>
        <v>0</v>
      </c>
      <c r="L24" s="235">
        <f ca="1">-Tax!J28</f>
        <v>0</v>
      </c>
      <c r="M24" s="235">
        <f ca="1">-Tax!K28</f>
        <v>-3938.5908275826478</v>
      </c>
      <c r="N24" s="235">
        <f ca="1">-Tax!L28</f>
        <v>-4455.8111069677479</v>
      </c>
      <c r="O24" s="235">
        <f ca="1">-Tax!M28</f>
        <v>-4799.0782525501845</v>
      </c>
      <c r="P24" s="235">
        <f ca="1">-Tax!N28</f>
        <v>-5338.5324287974263</v>
      </c>
      <c r="Q24" s="235">
        <f ca="1">-Tax!O28</f>
        <v>-5625.0519756613012</v>
      </c>
      <c r="R24" s="235">
        <f ca="1">-Tax!P28</f>
        <v>-6130.3095025587272</v>
      </c>
      <c r="S24" s="235">
        <f ca="1">-Tax!Q28</f>
        <v>-6510.3047325139296</v>
      </c>
      <c r="T24" s="235">
        <f ca="1">-Tax!R28</f>
        <v>-6847.9401475657232</v>
      </c>
      <c r="U24" s="235">
        <f ca="1">-Tax!S28</f>
        <v>-7236.804402532207</v>
      </c>
      <c r="V24" s="235">
        <f ca="1">-Tax!T28</f>
        <v>-9835.3202684698572</v>
      </c>
      <c r="W24" s="235">
        <f ca="1">-Tax!U28</f>
        <v>-12446.507677462287</v>
      </c>
      <c r="X24" s="235">
        <f>-Tax!V28</f>
        <v>-12876.643735120799</v>
      </c>
      <c r="Y24" s="235">
        <f>-Tax!W28</f>
        <v>-13263.244927602587</v>
      </c>
      <c r="Z24" s="235">
        <f>-Tax!X28</f>
        <v>-13468.828703061043</v>
      </c>
      <c r="AA24" s="235">
        <f ca="1">-Tax!Y28</f>
        <v>-13786.462100265204</v>
      </c>
      <c r="AB24" s="757">
        <f t="shared" ca="1" si="1"/>
        <v>-126559.43078871166</v>
      </c>
      <c r="AD24"/>
      <c r="AE24"/>
      <c r="AF24"/>
    </row>
    <row r="25" spans="1:32">
      <c r="A25" s="4" t="s">
        <v>196</v>
      </c>
      <c r="B25" s="15"/>
      <c r="D25" s="430">
        <f>-Tax!D39</f>
        <v>0</v>
      </c>
      <c r="E25" s="429">
        <f ca="1">(-Tax!E39*1/12)*Allocation!$I$10</f>
        <v>302.86231476729512</v>
      </c>
      <c r="F25" s="484">
        <v>0</v>
      </c>
      <c r="G25" s="430">
        <f ca="1">(-Tax!E39*11/12)*Allocation!$I$10+(-Tax!E39)*Allocation!$I$15</f>
        <v>7827.5981604796289</v>
      </c>
      <c r="H25" s="430">
        <f>-Tax!F39</f>
        <v>21444.38033702111</v>
      </c>
      <c r="I25" s="430">
        <f>-Tax!G39</f>
        <v>16819.726480872276</v>
      </c>
      <c r="J25" s="430">
        <f ca="1">-Tax!H39</f>
        <v>-10574.654067367665</v>
      </c>
      <c r="K25" s="430">
        <f ca="1">-Tax!I39</f>
        <v>-15200.337092532762</v>
      </c>
      <c r="L25" s="430">
        <f ca="1">-Tax!J39</f>
        <v>-20234.785295711146</v>
      </c>
      <c r="M25" s="430">
        <f ca="1">-Tax!K39</f>
        <v>-21606.770962662478</v>
      </c>
      <c r="N25" s="430">
        <f ca="1">-Tax!L39</f>
        <v>-24008.874974062146</v>
      </c>
      <c r="O25" s="430">
        <f ca="1">-Tax!M39</f>
        <v>-25858.472675388486</v>
      </c>
      <c r="P25" s="430">
        <f ca="1">-Tax!N39</f>
        <v>-28765.16857448138</v>
      </c>
      <c r="Q25" s="430">
        <f ca="1">-Tax!O39</f>
        <v>-30308.997927463304</v>
      </c>
      <c r="R25" s="430">
        <f ca="1">-Tax!P39</f>
        <v>-33031.434875927051</v>
      </c>
      <c r="S25" s="430">
        <f ca="1">-Tax!Q39</f>
        <v>-35078.931447868352</v>
      </c>
      <c r="T25" s="430">
        <f ca="1">-Tax!R39</f>
        <v>-36898.184165767008</v>
      </c>
      <c r="U25" s="430">
        <f ca="1">-Tax!S39</f>
        <v>-38993.468964705797</v>
      </c>
      <c r="V25" s="430">
        <f ca="1">-Tax!T39</f>
        <v>-52994.83505624767</v>
      </c>
      <c r="W25" s="430">
        <f ca="1">-Tax!U39</f>
        <v>-67064.478165290348</v>
      </c>
      <c r="X25" s="430">
        <f>-Tax!V39</f>
        <v>-69382.144372910814</v>
      </c>
      <c r="Y25" s="430">
        <f>-Tax!W39</f>
        <v>-71465.235301205379</v>
      </c>
      <c r="Z25" s="430">
        <f>-Tax!X39</f>
        <v>-72572.965194413657</v>
      </c>
      <c r="AA25" s="430">
        <f ca="1">-Tax!Y39</f>
        <v>-74284.442709503157</v>
      </c>
      <c r="AB25" s="764">
        <f t="shared" ca="1" si="1"/>
        <v>-681929.61453036836</v>
      </c>
      <c r="AC25" s="303"/>
      <c r="AD25"/>
      <c r="AE25"/>
      <c r="AF25"/>
    </row>
    <row r="26" spans="1:32">
      <c r="A26" s="15"/>
      <c r="B26" s="15"/>
      <c r="D26" s="122"/>
      <c r="E26" s="74"/>
      <c r="F26" s="74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765"/>
      <c r="AC26" s="303"/>
      <c r="AD26"/>
      <c r="AE26"/>
      <c r="AF26"/>
    </row>
    <row r="27" spans="1:32" s="21" customFormat="1">
      <c r="A27" s="14" t="s">
        <v>197</v>
      </c>
      <c r="B27" s="14"/>
      <c r="D27" s="31">
        <f>D18+D25+D24</f>
        <v>0</v>
      </c>
      <c r="E27" s="31">
        <f ca="1">E18+E25+E24</f>
        <v>302.86231476729512</v>
      </c>
      <c r="F27" s="31">
        <f t="shared" ref="F27:Z27" si="4">F18+F25+F24</f>
        <v>0</v>
      </c>
      <c r="G27" s="74">
        <f t="shared" ca="1" si="4"/>
        <v>65033.307730668093</v>
      </c>
      <c r="H27" s="74">
        <f t="shared" si="4"/>
        <v>49491.798835930706</v>
      </c>
      <c r="I27" s="74">
        <f t="shared" si="4"/>
        <v>44915.628788667287</v>
      </c>
      <c r="J27" s="74">
        <f t="shared" ca="1" si="4"/>
        <v>93719.685031765199</v>
      </c>
      <c r="K27" s="74">
        <f t="shared" ca="1" si="4"/>
        <v>90510.24283247783</v>
      </c>
      <c r="L27" s="74">
        <f t="shared" ca="1" si="4"/>
        <v>87457.751067321122</v>
      </c>
      <c r="M27" s="74">
        <f t="shared" ca="1" si="4"/>
        <v>82784.912407139476</v>
      </c>
      <c r="N27" s="74">
        <f t="shared" ca="1" si="4"/>
        <v>82320.480139529493</v>
      </c>
      <c r="O27" s="74">
        <f t="shared" ca="1" si="4"/>
        <v>80991.79387363061</v>
      </c>
      <c r="P27" s="74">
        <f t="shared" ca="1" si="4"/>
        <v>80416.550492689043</v>
      </c>
      <c r="Q27" s="74">
        <f t="shared" ca="1" si="4"/>
        <v>91083.160706155832</v>
      </c>
      <c r="R27" s="74">
        <f t="shared" ca="1" si="4"/>
        <v>96177.904163714469</v>
      </c>
      <c r="S27" s="74">
        <f t="shared" ca="1" si="4"/>
        <v>96035.986443586706</v>
      </c>
      <c r="T27" s="74">
        <f t="shared" ca="1" si="4"/>
        <v>96784.057659363272</v>
      </c>
      <c r="U27" s="74">
        <f t="shared" ca="1" si="4"/>
        <v>97520.905317144119</v>
      </c>
      <c r="V27" s="74">
        <f t="shared" ca="1" si="4"/>
        <v>83603.348522944973</v>
      </c>
      <c r="W27" s="74">
        <f t="shared" ca="1" si="4"/>
        <v>73049.998109790511</v>
      </c>
      <c r="X27" s="74">
        <f t="shared" si="4"/>
        <v>78572.148106531589</v>
      </c>
      <c r="Y27" s="74">
        <f t="shared" si="4"/>
        <v>88507.430413011447</v>
      </c>
      <c r="Z27" s="74">
        <f t="shared" si="4"/>
        <v>96980.56704846611</v>
      </c>
      <c r="AA27" s="74">
        <f ca="1">AA18+AA25+AA24</f>
        <v>137956.8221747916</v>
      </c>
      <c r="AB27" s="762">
        <f t="shared" ca="1" si="1"/>
        <v>1794217.3421800868</v>
      </c>
      <c r="AC27" s="427"/>
      <c r="AD27"/>
      <c r="AE27"/>
      <c r="AF27"/>
    </row>
    <row r="28" spans="1:32">
      <c r="A28" s="15"/>
      <c r="B28" s="15"/>
      <c r="D28" s="31"/>
      <c r="E28" s="31"/>
      <c r="F28" s="31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765"/>
      <c r="AC28" s="303"/>
      <c r="AD28"/>
      <c r="AE28"/>
      <c r="AF28"/>
    </row>
    <row r="29" spans="1:32">
      <c r="A29" s="16" t="s">
        <v>198</v>
      </c>
      <c r="B29" s="16"/>
      <c r="C29" s="660">
        <f>Assumptions!B13</f>
        <v>0.5</v>
      </c>
      <c r="D29" s="31">
        <v>0</v>
      </c>
      <c r="E29" s="31"/>
      <c r="F29" s="31"/>
      <c r="G29" s="31">
        <f ca="1">$C$29*IS!E53</f>
        <v>3409.2593273901657</v>
      </c>
      <c r="H29" s="31">
        <f>$C$29*IS!F53</f>
        <v>5289.0877163654022</v>
      </c>
      <c r="I29" s="31">
        <f>$C$29*IS!G53</f>
        <v>5814.6365136960658</v>
      </c>
      <c r="J29" s="31">
        <f>$C$29*IS!H53</f>
        <v>26577.229740531624</v>
      </c>
      <c r="K29" s="31">
        <f>$C$29*IS!I53</f>
        <v>27770.252605254664</v>
      </c>
      <c r="L29" s="31">
        <f>$C$29*IS!J53</f>
        <v>29576.317571475418</v>
      </c>
      <c r="M29" s="31">
        <f>$C$29*IS!K53</f>
        <v>30759.148562294155</v>
      </c>
      <c r="N29" s="31">
        <f>$C$29*IS!L53</f>
        <v>33047.755908788982</v>
      </c>
      <c r="O29" s="31">
        <f>$C$29*IS!M53</f>
        <v>34728.217378698828</v>
      </c>
      <c r="P29" s="31">
        <f>$C$29*IS!N53</f>
        <v>37463.995332576196</v>
      </c>
      <c r="Q29" s="31">
        <f>$C$29*IS!O53</f>
        <v>38855.724217109098</v>
      </c>
      <c r="R29" s="31">
        <f>$C$29*IS!P53</f>
        <v>41420.141778149009</v>
      </c>
      <c r="S29" s="31">
        <f>$C$29*IS!Q53</f>
        <v>43285.30567242403</v>
      </c>
      <c r="T29" s="31">
        <f>$C$29*IS!R53</f>
        <v>45008.289292385045</v>
      </c>
      <c r="U29" s="31">
        <f>$C$29*IS!S53</f>
        <v>46917.625590568445</v>
      </c>
      <c r="V29" s="31">
        <f>$C$29*IS!T53</f>
        <v>49031.756659061968</v>
      </c>
      <c r="W29" s="31">
        <f>$C$29*IS!U53</f>
        <v>51209.405232781457</v>
      </c>
      <c r="X29" s="31">
        <f>$C$29*IS!V53</f>
        <v>53362.412840294433</v>
      </c>
      <c r="Y29" s="31">
        <f>$C$29*IS!W53</f>
        <v>55297.042330633463</v>
      </c>
      <c r="Z29" s="31">
        <f>$C$29*IS!X53</f>
        <v>56325.166532826377</v>
      </c>
      <c r="AA29" s="31">
        <f>$C$29*IS!Y53</f>
        <v>57921.70780682379</v>
      </c>
      <c r="AB29" s="761">
        <f t="shared" ca="1" si="1"/>
        <v>773070.47861012863</v>
      </c>
      <c r="AC29" s="142"/>
      <c r="AD29"/>
      <c r="AE29"/>
      <c r="AF29"/>
    </row>
    <row r="30" spans="1:32">
      <c r="A30" s="16" t="s">
        <v>199</v>
      </c>
      <c r="B30" s="16"/>
      <c r="C30" s="660">
        <v>0.5</v>
      </c>
      <c r="D30" s="31">
        <f>(D27)*$C$30</f>
        <v>0</v>
      </c>
      <c r="E30" s="31">
        <f ca="1">(E27)*$C$30</f>
        <v>151.43115738364756</v>
      </c>
      <c r="F30" s="31">
        <f t="shared" ref="F30:Z30" si="5">(F27)*$C$30</f>
        <v>0</v>
      </c>
      <c r="G30" s="124">
        <f t="shared" ca="1" si="5"/>
        <v>32516.653865334047</v>
      </c>
      <c r="H30" s="124">
        <f t="shared" si="5"/>
        <v>24745.899417965353</v>
      </c>
      <c r="I30" s="124">
        <f t="shared" si="5"/>
        <v>22457.814394333644</v>
      </c>
      <c r="J30" s="124">
        <f t="shared" ca="1" si="5"/>
        <v>46859.842515882599</v>
      </c>
      <c r="K30" s="124">
        <f t="shared" ca="1" si="5"/>
        <v>45255.121416238915</v>
      </c>
      <c r="L30" s="124">
        <f t="shared" ca="1" si="5"/>
        <v>43728.875533660561</v>
      </c>
      <c r="M30" s="124">
        <f t="shared" ca="1" si="5"/>
        <v>41392.456203569738</v>
      </c>
      <c r="N30" s="124">
        <f t="shared" ca="1" si="5"/>
        <v>41160.240069764746</v>
      </c>
      <c r="O30" s="124">
        <f t="shared" ca="1" si="5"/>
        <v>40495.896936815305</v>
      </c>
      <c r="P30" s="124">
        <f t="shared" ca="1" si="5"/>
        <v>40208.275246344521</v>
      </c>
      <c r="Q30" s="124">
        <f t="shared" ca="1" si="5"/>
        <v>45541.580353077916</v>
      </c>
      <c r="R30" s="124">
        <f t="shared" ca="1" si="5"/>
        <v>48088.952081857235</v>
      </c>
      <c r="S30" s="124">
        <f t="shared" ca="1" si="5"/>
        <v>48017.993221793353</v>
      </c>
      <c r="T30" s="124">
        <f t="shared" ca="1" si="5"/>
        <v>48392.028829681636</v>
      </c>
      <c r="U30" s="124">
        <f t="shared" ca="1" si="5"/>
        <v>48760.45265857206</v>
      </c>
      <c r="V30" s="124">
        <f t="shared" ca="1" si="5"/>
        <v>41801.674261472486</v>
      </c>
      <c r="W30" s="124">
        <f t="shared" ca="1" si="5"/>
        <v>36524.999054895256</v>
      </c>
      <c r="X30" s="124">
        <f t="shared" si="5"/>
        <v>39286.074053265795</v>
      </c>
      <c r="Y30" s="124">
        <f t="shared" si="5"/>
        <v>44253.715206505723</v>
      </c>
      <c r="Z30" s="124">
        <f t="shared" si="5"/>
        <v>48490.283524233055</v>
      </c>
      <c r="AA30" s="124">
        <f ca="1">(AA27)*$C$30</f>
        <v>68978.411087395798</v>
      </c>
      <c r="AB30" s="760">
        <f t="shared" ca="1" si="1"/>
        <v>897108.67109004338</v>
      </c>
      <c r="AC30" s="255"/>
      <c r="AD30"/>
      <c r="AE30"/>
      <c r="AF30"/>
    </row>
    <row r="31" spans="1:32">
      <c r="A31" s="15"/>
      <c r="B31" s="15"/>
      <c r="D31" s="277"/>
      <c r="E31" s="277"/>
      <c r="F31" s="277"/>
      <c r="G31" s="277"/>
      <c r="H31" s="277"/>
      <c r="I31" s="277"/>
      <c r="J31" s="277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303"/>
    </row>
    <row r="32" spans="1:32">
      <c r="A32" s="84"/>
      <c r="B32" s="84"/>
      <c r="E32" s="22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</row>
    <row r="33" spans="1:30">
      <c r="A33" s="84"/>
      <c r="B33" s="84"/>
      <c r="E33" s="22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</row>
    <row r="34" spans="1:30" ht="18.75">
      <c r="A34" s="292" t="s">
        <v>200</v>
      </c>
      <c r="B34" s="439"/>
      <c r="E34" s="22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</row>
    <row r="35" spans="1:30">
      <c r="D35" s="601"/>
      <c r="E35" s="601"/>
      <c r="F35" s="601"/>
      <c r="G35" s="601"/>
      <c r="H35" s="601"/>
      <c r="I35" s="601"/>
      <c r="J35" s="601"/>
      <c r="K35" s="601"/>
      <c r="L35" s="601"/>
      <c r="M35" s="601"/>
      <c r="N35" s="601"/>
      <c r="O35" s="601"/>
      <c r="P35" s="601"/>
      <c r="Q35" s="601"/>
      <c r="R35" s="601"/>
      <c r="S35" s="601"/>
      <c r="T35" s="601"/>
      <c r="U35" s="601"/>
      <c r="V35" s="601"/>
      <c r="W35" s="601"/>
      <c r="X35" s="601"/>
      <c r="Y35" s="601"/>
      <c r="Z35" s="601"/>
      <c r="AA35" s="601"/>
    </row>
    <row r="36" spans="1:30" ht="13.5" thickBot="1">
      <c r="A36" s="422" t="s">
        <v>164</v>
      </c>
      <c r="B36" s="422"/>
      <c r="C36" s="2"/>
      <c r="D36" s="9">
        <v>1999</v>
      </c>
      <c r="E36" s="9">
        <v>2000</v>
      </c>
      <c r="F36" s="9">
        <v>2000</v>
      </c>
      <c r="G36" s="9">
        <f>D36+1</f>
        <v>2000</v>
      </c>
      <c r="H36" s="9">
        <f t="shared" ref="H36:Q36" si="6">G36+1</f>
        <v>2001</v>
      </c>
      <c r="I36" s="9">
        <f t="shared" si="6"/>
        <v>2002</v>
      </c>
      <c r="J36" s="9">
        <f t="shared" si="6"/>
        <v>2003</v>
      </c>
      <c r="K36" s="9">
        <f t="shared" si="6"/>
        <v>2004</v>
      </c>
      <c r="L36" s="9">
        <f t="shared" si="6"/>
        <v>2005</v>
      </c>
      <c r="M36" s="9">
        <f t="shared" si="6"/>
        <v>2006</v>
      </c>
      <c r="N36" s="9">
        <f t="shared" si="6"/>
        <v>2007</v>
      </c>
      <c r="O36" s="9">
        <f t="shared" si="6"/>
        <v>2008</v>
      </c>
      <c r="P36" s="9">
        <f t="shared" si="6"/>
        <v>2009</v>
      </c>
      <c r="Q36" s="9">
        <f t="shared" si="6"/>
        <v>2010</v>
      </c>
      <c r="R36" s="9">
        <f t="shared" ref="R36:AA36" si="7">Q36+1</f>
        <v>2011</v>
      </c>
      <c r="S36" s="9">
        <f t="shared" si="7"/>
        <v>2012</v>
      </c>
      <c r="T36" s="9">
        <f t="shared" si="7"/>
        <v>2013</v>
      </c>
      <c r="U36" s="9">
        <f t="shared" si="7"/>
        <v>2014</v>
      </c>
      <c r="V36" s="9">
        <f t="shared" si="7"/>
        <v>2015</v>
      </c>
      <c r="W36" s="9">
        <f t="shared" si="7"/>
        <v>2016</v>
      </c>
      <c r="X36" s="9">
        <f t="shared" si="7"/>
        <v>2017</v>
      </c>
      <c r="Y36" s="9">
        <f t="shared" si="7"/>
        <v>2018</v>
      </c>
      <c r="Z36" s="9">
        <f t="shared" si="7"/>
        <v>2019</v>
      </c>
      <c r="AA36" s="9">
        <f t="shared" si="7"/>
        <v>2020</v>
      </c>
    </row>
    <row r="37" spans="1:30" ht="14.25" customHeight="1">
      <c r="A37" s="440"/>
      <c r="B37" s="440"/>
      <c r="E37" s="125"/>
      <c r="F37" s="125"/>
      <c r="M37" s="71"/>
    </row>
    <row r="38" spans="1:30">
      <c r="A38" s="84"/>
      <c r="B38" s="84"/>
      <c r="E38" s="22"/>
      <c r="M38" s="71"/>
    </row>
    <row r="39" spans="1:30" s="21" customFormat="1">
      <c r="A39" s="14" t="s">
        <v>194</v>
      </c>
      <c r="B39" s="84"/>
      <c r="D39" s="74">
        <f>$C$30*D18</f>
        <v>0</v>
      </c>
      <c r="E39" s="74">
        <f ca="1">$C$30*E18</f>
        <v>0</v>
      </c>
      <c r="F39" s="74">
        <f t="shared" ref="F39:AA39" si="8">$C$30*F18</f>
        <v>0</v>
      </c>
      <c r="G39" s="428">
        <f t="shared" ca="1" si="8"/>
        <v>28602.854785094234</v>
      </c>
      <c r="H39" s="428">
        <f t="shared" si="8"/>
        <v>14023.709249454798</v>
      </c>
      <c r="I39" s="428">
        <f t="shared" si="8"/>
        <v>14047.951153897506</v>
      </c>
      <c r="J39" s="428">
        <f t="shared" si="8"/>
        <v>52147.169549566432</v>
      </c>
      <c r="K39" s="428">
        <f t="shared" si="8"/>
        <v>52855.289962505296</v>
      </c>
      <c r="L39" s="428">
        <f t="shared" si="8"/>
        <v>53846.268181516134</v>
      </c>
      <c r="M39" s="428">
        <f t="shared" si="8"/>
        <v>54165.137098692299</v>
      </c>
      <c r="N39" s="428">
        <f t="shared" si="8"/>
        <v>55392.583110279695</v>
      </c>
      <c r="O39" s="428">
        <f t="shared" si="8"/>
        <v>55824.672400784642</v>
      </c>
      <c r="P39" s="428">
        <f t="shared" si="8"/>
        <v>57260.125747983919</v>
      </c>
      <c r="Q39" s="428">
        <f t="shared" si="8"/>
        <v>63508.605304640223</v>
      </c>
      <c r="R39" s="428">
        <f t="shared" si="8"/>
        <v>67669.824271100122</v>
      </c>
      <c r="S39" s="428">
        <f t="shared" si="8"/>
        <v>68812.611311984496</v>
      </c>
      <c r="T39" s="428">
        <f t="shared" si="8"/>
        <v>70265.090986348005</v>
      </c>
      <c r="U39" s="428">
        <f t="shared" si="8"/>
        <v>71875.589342191059</v>
      </c>
      <c r="V39" s="428">
        <f t="shared" si="8"/>
        <v>73216.751923831252</v>
      </c>
      <c r="W39" s="428">
        <f t="shared" si="8"/>
        <v>76280.491976271573</v>
      </c>
      <c r="X39" s="428">
        <f t="shared" si="8"/>
        <v>80415.468107281602</v>
      </c>
      <c r="Y39" s="428">
        <f t="shared" si="8"/>
        <v>86617.955320909707</v>
      </c>
      <c r="Z39" s="428">
        <f t="shared" si="8"/>
        <v>91511.180472970402</v>
      </c>
      <c r="AA39" s="428">
        <f t="shared" si="8"/>
        <v>113013.86349227998</v>
      </c>
      <c r="AB39" s="138"/>
      <c r="AC39" s="138"/>
      <c r="AD39" s="138"/>
    </row>
    <row r="40" spans="1:30">
      <c r="A40" s="14"/>
      <c r="B40" s="84"/>
      <c r="D40" s="235"/>
      <c r="E40" s="74"/>
      <c r="F40" s="74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</row>
    <row r="41" spans="1:30">
      <c r="A41" s="15" t="s">
        <v>201</v>
      </c>
      <c r="B41" s="84"/>
      <c r="D41" s="74">
        <f>$C$30*D24</f>
        <v>0</v>
      </c>
      <c r="E41" s="74">
        <f>$C$30*E24</f>
        <v>0</v>
      </c>
      <c r="F41" s="74">
        <f t="shared" ref="F41:AA41" si="9">$C$30*F24</f>
        <v>0</v>
      </c>
      <c r="G41" s="280">
        <f t="shared" ca="1" si="9"/>
        <v>0</v>
      </c>
      <c r="H41" s="280">
        <f t="shared" si="9"/>
        <v>0</v>
      </c>
      <c r="I41" s="280">
        <f t="shared" si="9"/>
        <v>0</v>
      </c>
      <c r="J41" s="280">
        <f t="shared" ca="1" si="9"/>
        <v>0</v>
      </c>
      <c r="K41" s="280">
        <f t="shared" ca="1" si="9"/>
        <v>0</v>
      </c>
      <c r="L41" s="280">
        <f t="shared" ca="1" si="9"/>
        <v>0</v>
      </c>
      <c r="M41" s="280">
        <f t="shared" ca="1" si="9"/>
        <v>-1969.2954137913239</v>
      </c>
      <c r="N41" s="280">
        <f t="shared" ca="1" si="9"/>
        <v>-2227.905553483874</v>
      </c>
      <c r="O41" s="280">
        <f t="shared" ca="1" si="9"/>
        <v>-2399.5391262750923</v>
      </c>
      <c r="P41" s="280">
        <f t="shared" ca="1" si="9"/>
        <v>-2669.2662143987131</v>
      </c>
      <c r="Q41" s="280">
        <f t="shared" ca="1" si="9"/>
        <v>-2812.5259878306506</v>
      </c>
      <c r="R41" s="280">
        <f t="shared" ca="1" si="9"/>
        <v>-3065.1547512793636</v>
      </c>
      <c r="S41" s="280">
        <f t="shared" ca="1" si="9"/>
        <v>-3255.1523662569648</v>
      </c>
      <c r="T41" s="280">
        <f t="shared" ca="1" si="9"/>
        <v>-3423.9700737828616</v>
      </c>
      <c r="U41" s="280">
        <f t="shared" ca="1" si="9"/>
        <v>-3618.4022012661035</v>
      </c>
      <c r="V41" s="280">
        <f t="shared" ca="1" si="9"/>
        <v>-4917.6601342349286</v>
      </c>
      <c r="W41" s="280">
        <f t="shared" ca="1" si="9"/>
        <v>-6223.2538387311433</v>
      </c>
      <c r="X41" s="280">
        <f t="shared" si="9"/>
        <v>-6438.3218675603994</v>
      </c>
      <c r="Y41" s="280">
        <f t="shared" si="9"/>
        <v>-6631.6224638012936</v>
      </c>
      <c r="Z41" s="280">
        <f t="shared" si="9"/>
        <v>-6734.4143515305213</v>
      </c>
      <c r="AA41" s="280">
        <f t="shared" ca="1" si="9"/>
        <v>-6893.2310501326019</v>
      </c>
    </row>
    <row r="42" spans="1:30">
      <c r="A42" s="15" t="s">
        <v>202</v>
      </c>
      <c r="B42" s="84"/>
      <c r="D42" s="484">
        <f>$C$30*D25</f>
        <v>0</v>
      </c>
      <c r="E42" s="484">
        <f ca="1">$C$30*E25</f>
        <v>151.43115738364756</v>
      </c>
      <c r="F42" s="484">
        <f t="shared" ref="F42:AA42" si="10">$C$30*F25</f>
        <v>0</v>
      </c>
      <c r="G42" s="284">
        <f t="shared" ca="1" si="10"/>
        <v>3913.7990802398144</v>
      </c>
      <c r="H42" s="284">
        <f t="shared" si="10"/>
        <v>10722.190168510555</v>
      </c>
      <c r="I42" s="284">
        <f t="shared" si="10"/>
        <v>8409.8632404361379</v>
      </c>
      <c r="J42" s="284">
        <f t="shared" ca="1" si="10"/>
        <v>-5287.3270336838323</v>
      </c>
      <c r="K42" s="284">
        <f t="shared" ca="1" si="10"/>
        <v>-7600.1685462663809</v>
      </c>
      <c r="L42" s="284">
        <f t="shared" ca="1" si="10"/>
        <v>-10117.392647855573</v>
      </c>
      <c r="M42" s="284">
        <f t="shared" ca="1" si="10"/>
        <v>-10803.385481331239</v>
      </c>
      <c r="N42" s="284">
        <f t="shared" ca="1" si="10"/>
        <v>-12004.437487031073</v>
      </c>
      <c r="O42" s="284">
        <f t="shared" ca="1" si="10"/>
        <v>-12929.236337694243</v>
      </c>
      <c r="P42" s="284">
        <f t="shared" ca="1" si="10"/>
        <v>-14382.58428724069</v>
      </c>
      <c r="Q42" s="284">
        <f t="shared" ca="1" si="10"/>
        <v>-15154.498963731652</v>
      </c>
      <c r="R42" s="284">
        <f t="shared" ca="1" si="10"/>
        <v>-16515.717437963525</v>
      </c>
      <c r="S42" s="284">
        <f t="shared" ca="1" si="10"/>
        <v>-17539.465723934176</v>
      </c>
      <c r="T42" s="284">
        <f t="shared" ca="1" si="10"/>
        <v>-18449.092082883504</v>
      </c>
      <c r="U42" s="284">
        <f t="shared" ca="1" si="10"/>
        <v>-19496.734482352898</v>
      </c>
      <c r="V42" s="284">
        <f t="shared" ca="1" si="10"/>
        <v>-26497.417528123835</v>
      </c>
      <c r="W42" s="284">
        <f t="shared" ca="1" si="10"/>
        <v>-33532.239082645174</v>
      </c>
      <c r="X42" s="284">
        <f t="shared" si="10"/>
        <v>-34691.072186455407</v>
      </c>
      <c r="Y42" s="284">
        <f t="shared" si="10"/>
        <v>-35732.61765060269</v>
      </c>
      <c r="Z42" s="284">
        <f t="shared" si="10"/>
        <v>-36286.482597206828</v>
      </c>
      <c r="AA42" s="284">
        <f t="shared" ca="1" si="10"/>
        <v>-37142.221354751578</v>
      </c>
    </row>
    <row r="43" spans="1:30">
      <c r="A43" s="15"/>
      <c r="B43" s="84"/>
      <c r="D43" s="235"/>
      <c r="E43" s="74"/>
      <c r="F43" s="74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</row>
    <row r="44" spans="1:30" s="21" customFormat="1">
      <c r="A44" s="14" t="s">
        <v>197</v>
      </c>
      <c r="B44" s="84"/>
      <c r="D44" s="74">
        <f>$C$30*D27</f>
        <v>0</v>
      </c>
      <c r="E44" s="74">
        <f ca="1">$C$30*E27</f>
        <v>151.43115738364756</v>
      </c>
      <c r="F44" s="74">
        <f t="shared" ref="F44:AA44" si="11">$C$30*F27</f>
        <v>0</v>
      </c>
      <c r="G44" s="428">
        <f t="shared" ca="1" si="11"/>
        <v>32516.653865334047</v>
      </c>
      <c r="H44" s="428">
        <f t="shared" si="11"/>
        <v>24745.899417965353</v>
      </c>
      <c r="I44" s="428">
        <f t="shared" si="11"/>
        <v>22457.814394333644</v>
      </c>
      <c r="J44" s="428">
        <f t="shared" ca="1" si="11"/>
        <v>46859.842515882599</v>
      </c>
      <c r="K44" s="428">
        <f t="shared" ca="1" si="11"/>
        <v>45255.121416238915</v>
      </c>
      <c r="L44" s="428">
        <f t="shared" ca="1" si="11"/>
        <v>43728.875533660561</v>
      </c>
      <c r="M44" s="428">
        <f t="shared" ca="1" si="11"/>
        <v>41392.456203569738</v>
      </c>
      <c r="N44" s="428">
        <f t="shared" ca="1" si="11"/>
        <v>41160.240069764746</v>
      </c>
      <c r="O44" s="428">
        <f t="shared" ca="1" si="11"/>
        <v>40495.896936815305</v>
      </c>
      <c r="P44" s="428">
        <f t="shared" ca="1" si="11"/>
        <v>40208.275246344521</v>
      </c>
      <c r="Q44" s="428">
        <f t="shared" ca="1" si="11"/>
        <v>45541.580353077916</v>
      </c>
      <c r="R44" s="428">
        <f t="shared" ca="1" si="11"/>
        <v>48088.952081857235</v>
      </c>
      <c r="S44" s="428">
        <f t="shared" ca="1" si="11"/>
        <v>48017.993221793353</v>
      </c>
      <c r="T44" s="428">
        <f t="shared" ca="1" si="11"/>
        <v>48392.028829681636</v>
      </c>
      <c r="U44" s="428">
        <f t="shared" ca="1" si="11"/>
        <v>48760.45265857206</v>
      </c>
      <c r="V44" s="428">
        <f t="shared" ca="1" si="11"/>
        <v>41801.674261472486</v>
      </c>
      <c r="W44" s="428">
        <f t="shared" ca="1" si="11"/>
        <v>36524.999054895256</v>
      </c>
      <c r="X44" s="428">
        <f t="shared" si="11"/>
        <v>39286.074053265795</v>
      </c>
      <c r="Y44" s="428">
        <f t="shared" si="11"/>
        <v>44253.715206505723</v>
      </c>
      <c r="Z44" s="428">
        <f t="shared" si="11"/>
        <v>48490.283524233055</v>
      </c>
      <c r="AA44" s="428">
        <f t="shared" ca="1" si="11"/>
        <v>68978.411087395798</v>
      </c>
      <c r="AB44" s="138"/>
      <c r="AC44" s="138"/>
      <c r="AD44" s="138"/>
    </row>
    <row r="45" spans="1:30">
      <c r="A45" s="14"/>
      <c r="B45" s="84"/>
      <c r="E45" s="22"/>
      <c r="M45" s="71"/>
    </row>
    <row r="46" spans="1:30">
      <c r="A46" s="14"/>
      <c r="B46" s="84"/>
      <c r="E46" s="22"/>
      <c r="M46" s="71"/>
    </row>
    <row r="47" spans="1:30">
      <c r="A47" s="14"/>
      <c r="B47" s="84"/>
      <c r="E47" s="22"/>
      <c r="M47" s="71"/>
    </row>
    <row r="48" spans="1:30" ht="15.75">
      <c r="A48" s="84" t="s">
        <v>203</v>
      </c>
      <c r="B48" s="84"/>
      <c r="E48" s="22"/>
      <c r="M48" s="71"/>
      <c r="AB48" s="142"/>
      <c r="AC48" s="305"/>
    </row>
    <row r="49" spans="1:29">
      <c r="A49" s="447" t="s">
        <v>204</v>
      </c>
      <c r="B49" s="447"/>
      <c r="C49" s="448">
        <f>Assumptions!B13</f>
        <v>0.5</v>
      </c>
      <c r="D49" s="74">
        <f>(D27)*$C$49</f>
        <v>0</v>
      </c>
      <c r="E49" s="74">
        <f>$C$30*E32</f>
        <v>0</v>
      </c>
      <c r="F49" s="74">
        <f>$C$30*F32</f>
        <v>0</v>
      </c>
      <c r="G49" s="31">
        <f t="shared" ref="G49:AA49" ca="1" si="12">(G27)*$C$49</f>
        <v>32516.653865334047</v>
      </c>
      <c r="H49" s="31">
        <f t="shared" si="12"/>
        <v>24745.899417965353</v>
      </c>
      <c r="I49" s="31">
        <f t="shared" si="12"/>
        <v>22457.814394333644</v>
      </c>
      <c r="J49" s="31">
        <f t="shared" ca="1" si="12"/>
        <v>46859.842515882599</v>
      </c>
      <c r="K49" s="31">
        <f t="shared" ca="1" si="12"/>
        <v>45255.121416238915</v>
      </c>
      <c r="L49" s="31">
        <f t="shared" ca="1" si="12"/>
        <v>43728.875533660561</v>
      </c>
      <c r="M49" s="31">
        <f t="shared" ca="1" si="12"/>
        <v>41392.456203569738</v>
      </c>
      <c r="N49" s="31">
        <f t="shared" ca="1" si="12"/>
        <v>41160.240069764746</v>
      </c>
      <c r="O49" s="31">
        <f t="shared" ca="1" si="12"/>
        <v>40495.896936815305</v>
      </c>
      <c r="P49" s="31">
        <f t="shared" ca="1" si="12"/>
        <v>40208.275246344521</v>
      </c>
      <c r="Q49" s="31">
        <f t="shared" ca="1" si="12"/>
        <v>45541.580353077916</v>
      </c>
      <c r="R49" s="31">
        <f t="shared" ca="1" si="12"/>
        <v>48088.952081857235</v>
      </c>
      <c r="S49" s="31">
        <f t="shared" ca="1" si="12"/>
        <v>48017.993221793353</v>
      </c>
      <c r="T49" s="31">
        <f t="shared" ca="1" si="12"/>
        <v>48392.028829681636</v>
      </c>
      <c r="U49" s="31">
        <f t="shared" ca="1" si="12"/>
        <v>48760.45265857206</v>
      </c>
      <c r="V49" s="31">
        <f t="shared" ca="1" si="12"/>
        <v>41801.674261472486</v>
      </c>
      <c r="W49" s="31">
        <f t="shared" ca="1" si="12"/>
        <v>36524.999054895256</v>
      </c>
      <c r="X49" s="31">
        <f t="shared" si="12"/>
        <v>39286.074053265795</v>
      </c>
      <c r="Y49" s="31">
        <f t="shared" si="12"/>
        <v>44253.715206505723</v>
      </c>
      <c r="Z49" s="31">
        <f t="shared" si="12"/>
        <v>48490.283524233055</v>
      </c>
      <c r="AA49" s="31">
        <f t="shared" ca="1" si="12"/>
        <v>68978.411087395798</v>
      </c>
    </row>
    <row r="50" spans="1:29">
      <c r="A50" s="157" t="s">
        <v>205</v>
      </c>
      <c r="B50" s="157"/>
      <c r="D50" s="39">
        <f>-0.5*B55</f>
        <v>-133750</v>
      </c>
      <c r="E50" s="74">
        <v>0</v>
      </c>
      <c r="F50" s="39">
        <f>D50</f>
        <v>-133750</v>
      </c>
      <c r="AB50" s="195"/>
      <c r="AC50" s="195"/>
    </row>
    <row r="51" spans="1:29">
      <c r="A51" s="157" t="s">
        <v>206</v>
      </c>
      <c r="B51" s="157"/>
      <c r="D51" s="39">
        <f>D50+D49</f>
        <v>-133750</v>
      </c>
      <c r="E51" s="74">
        <f ca="1">E44</f>
        <v>151.43115738364756</v>
      </c>
      <c r="F51" s="39">
        <f t="shared" ref="F51:AA51" si="13">F50+F49</f>
        <v>-133750</v>
      </c>
      <c r="G51" s="236">
        <f t="shared" ca="1" si="13"/>
        <v>32516.653865334047</v>
      </c>
      <c r="H51" s="236">
        <f t="shared" si="13"/>
        <v>24745.899417965353</v>
      </c>
      <c r="I51" s="236">
        <f t="shared" si="13"/>
        <v>22457.814394333644</v>
      </c>
      <c r="J51" s="236">
        <f t="shared" ca="1" si="13"/>
        <v>46859.842515882599</v>
      </c>
      <c r="K51" s="236">
        <f t="shared" ca="1" si="13"/>
        <v>45255.121416238915</v>
      </c>
      <c r="L51" s="236">
        <f t="shared" ca="1" si="13"/>
        <v>43728.875533660561</v>
      </c>
      <c r="M51" s="236">
        <f t="shared" ca="1" si="13"/>
        <v>41392.456203569738</v>
      </c>
      <c r="N51" s="236">
        <f t="shared" ca="1" si="13"/>
        <v>41160.240069764746</v>
      </c>
      <c r="O51" s="236">
        <f t="shared" ca="1" si="13"/>
        <v>40495.896936815305</v>
      </c>
      <c r="P51" s="236">
        <f t="shared" ca="1" si="13"/>
        <v>40208.275246344521</v>
      </c>
      <c r="Q51" s="236">
        <f t="shared" ca="1" si="13"/>
        <v>45541.580353077916</v>
      </c>
      <c r="R51" s="236">
        <f t="shared" ca="1" si="13"/>
        <v>48088.952081857235</v>
      </c>
      <c r="S51" s="236">
        <f t="shared" ca="1" si="13"/>
        <v>48017.993221793353</v>
      </c>
      <c r="T51" s="236">
        <f t="shared" ca="1" si="13"/>
        <v>48392.028829681636</v>
      </c>
      <c r="U51" s="236">
        <f t="shared" ca="1" si="13"/>
        <v>48760.45265857206</v>
      </c>
      <c r="V51" s="236">
        <f t="shared" ca="1" si="13"/>
        <v>41801.674261472486</v>
      </c>
      <c r="W51" s="236">
        <f t="shared" ca="1" si="13"/>
        <v>36524.999054895256</v>
      </c>
      <c r="X51" s="236">
        <f t="shared" si="13"/>
        <v>39286.074053265795</v>
      </c>
      <c r="Y51" s="236">
        <f t="shared" si="13"/>
        <v>44253.715206505723</v>
      </c>
      <c r="Z51" s="236">
        <f t="shared" si="13"/>
        <v>48490.283524233055</v>
      </c>
      <c r="AA51" s="236">
        <f t="shared" ca="1" si="13"/>
        <v>68978.411087395798</v>
      </c>
    </row>
    <row r="52" spans="1:29">
      <c r="A52" s="157"/>
      <c r="B52" s="157"/>
      <c r="D52" s="39"/>
      <c r="E52" s="236"/>
      <c r="F52" s="236"/>
      <c r="G52" s="236"/>
      <c r="H52" s="236"/>
      <c r="I52" s="236"/>
      <c r="J52" s="236"/>
      <c r="K52" s="236"/>
      <c r="L52" s="236"/>
      <c r="M52" s="236"/>
      <c r="N52" s="236"/>
      <c r="O52" s="236"/>
      <c r="P52" s="236"/>
      <c r="Q52" s="236"/>
      <c r="R52" s="236"/>
      <c r="S52" s="236"/>
      <c r="T52" s="236"/>
      <c r="U52" s="236"/>
      <c r="V52" s="236"/>
      <c r="W52" s="236"/>
      <c r="X52" s="236"/>
      <c r="Y52" s="236"/>
      <c r="Z52" s="236"/>
    </row>
    <row r="53" spans="1:29">
      <c r="A53" s="79" t="s">
        <v>207</v>
      </c>
      <c r="B53" s="79"/>
      <c r="C53" s="79"/>
      <c r="D53" s="517">
        <f ca="1">D79</f>
        <v>0.13618937635681178</v>
      </c>
      <c r="E53" s="22"/>
    </row>
    <row r="54" spans="1:29">
      <c r="A54" s="18"/>
      <c r="B54" s="18"/>
      <c r="D54" s="235"/>
      <c r="E54" s="235"/>
      <c r="F54" s="235"/>
      <c r="G54" s="235"/>
      <c r="H54" s="235"/>
      <c r="I54" s="235"/>
      <c r="J54" s="235"/>
      <c r="K54" s="235"/>
      <c r="L54" s="71"/>
    </row>
    <row r="55" spans="1:29">
      <c r="A55" s="535" t="s">
        <v>208</v>
      </c>
      <c r="B55" s="534">
        <f>Assumptions!C8*C49</f>
        <v>267500</v>
      </c>
      <c r="D55" s="31"/>
      <c r="E55" s="22"/>
    </row>
    <row r="56" spans="1:29">
      <c r="E56" s="22"/>
    </row>
    <row r="57" spans="1:29">
      <c r="E57" s="236"/>
      <c r="F57" s="236"/>
    </row>
    <row r="58" spans="1:29">
      <c r="A58" s="84" t="s">
        <v>209</v>
      </c>
      <c r="E58" s="22"/>
    </row>
    <row r="59" spans="1:29">
      <c r="A59" s="22" t="s">
        <v>210</v>
      </c>
      <c r="D59" s="236">
        <f t="shared" ref="D59:AA59" si="14">D51</f>
        <v>-133750</v>
      </c>
      <c r="E59" s="236">
        <f t="shared" ca="1" si="14"/>
        <v>151.43115738364756</v>
      </c>
      <c r="F59" s="236">
        <f t="shared" si="14"/>
        <v>-133750</v>
      </c>
      <c r="G59" s="236">
        <f t="shared" ca="1" si="14"/>
        <v>32516.653865334047</v>
      </c>
      <c r="H59" s="236">
        <f t="shared" si="14"/>
        <v>24745.899417965353</v>
      </c>
      <c r="I59" s="236">
        <f t="shared" si="14"/>
        <v>22457.814394333644</v>
      </c>
      <c r="J59" s="236">
        <f t="shared" ca="1" si="14"/>
        <v>46859.842515882599</v>
      </c>
      <c r="K59" s="236">
        <f t="shared" ca="1" si="14"/>
        <v>45255.121416238915</v>
      </c>
      <c r="L59" s="236">
        <f t="shared" ca="1" si="14"/>
        <v>43728.875533660561</v>
      </c>
      <c r="M59" s="236">
        <f t="shared" ca="1" si="14"/>
        <v>41392.456203569738</v>
      </c>
      <c r="N59" s="236">
        <f t="shared" ca="1" si="14"/>
        <v>41160.240069764746</v>
      </c>
      <c r="O59" s="236">
        <f t="shared" ca="1" si="14"/>
        <v>40495.896936815305</v>
      </c>
      <c r="P59" s="236">
        <f t="shared" ca="1" si="14"/>
        <v>40208.275246344521</v>
      </c>
      <c r="Q59" s="236">
        <f t="shared" ca="1" si="14"/>
        <v>45541.580353077916</v>
      </c>
      <c r="R59" s="236">
        <f t="shared" ca="1" si="14"/>
        <v>48088.952081857235</v>
      </c>
      <c r="S59" s="236">
        <f t="shared" ca="1" si="14"/>
        <v>48017.993221793353</v>
      </c>
      <c r="T59" s="236">
        <f t="shared" ca="1" si="14"/>
        <v>48392.028829681636</v>
      </c>
      <c r="U59" s="236">
        <f t="shared" ca="1" si="14"/>
        <v>48760.45265857206</v>
      </c>
      <c r="V59" s="236">
        <f t="shared" ca="1" si="14"/>
        <v>41801.674261472486</v>
      </c>
      <c r="W59" s="236">
        <f t="shared" ca="1" si="14"/>
        <v>36524.999054895256</v>
      </c>
      <c r="X59" s="236">
        <f t="shared" si="14"/>
        <v>39286.074053265795</v>
      </c>
      <c r="Y59" s="236">
        <f t="shared" si="14"/>
        <v>44253.715206505723</v>
      </c>
      <c r="Z59" s="236">
        <f t="shared" si="14"/>
        <v>48490.283524233055</v>
      </c>
      <c r="AA59" s="236">
        <f t="shared" ca="1" si="14"/>
        <v>68978.411087395798</v>
      </c>
    </row>
    <row r="60" spans="1:29">
      <c r="A60" s="22" t="s">
        <v>211</v>
      </c>
      <c r="D60" s="236">
        <v>0</v>
      </c>
      <c r="E60" s="236">
        <v>0</v>
      </c>
      <c r="F60" s="236">
        <v>0</v>
      </c>
      <c r="G60" s="236">
        <v>0</v>
      </c>
      <c r="H60" s="236">
        <v>0</v>
      </c>
      <c r="I60" s="236">
        <v>0</v>
      </c>
      <c r="J60" s="236">
        <v>0</v>
      </c>
      <c r="K60" s="236">
        <v>0</v>
      </c>
      <c r="L60" s="236">
        <v>0</v>
      </c>
      <c r="M60" s="236">
        <v>0</v>
      </c>
      <c r="N60" s="236">
        <v>0</v>
      </c>
      <c r="O60" s="236">
        <v>0</v>
      </c>
      <c r="P60" s="236">
        <v>0</v>
      </c>
      <c r="Q60" s="236">
        <v>0</v>
      </c>
      <c r="R60" s="236">
        <v>0</v>
      </c>
      <c r="S60" s="236">
        <v>0</v>
      </c>
      <c r="T60" s="236">
        <v>0</v>
      </c>
      <c r="U60" s="236">
        <v>0</v>
      </c>
      <c r="V60" s="236">
        <v>0</v>
      </c>
      <c r="W60" s="236">
        <v>0</v>
      </c>
      <c r="X60" s="236">
        <v>0</v>
      </c>
      <c r="Y60" s="236">
        <v>0</v>
      </c>
      <c r="Z60" s="236">
        <v>0</v>
      </c>
      <c r="AA60" s="122">
        <f>5*AA10*$C$49</f>
        <v>565069.31746139994</v>
      </c>
    </row>
    <row r="61" spans="1:29">
      <c r="A61" s="22" t="s">
        <v>212</v>
      </c>
      <c r="D61" s="236">
        <f t="shared" ref="D61:AA61" si="15">D59+D60</f>
        <v>-133750</v>
      </c>
      <c r="E61" s="236">
        <f t="shared" ca="1" si="15"/>
        <v>151.43115738364756</v>
      </c>
      <c r="F61" s="236">
        <f t="shared" si="15"/>
        <v>-133750</v>
      </c>
      <c r="G61" s="236">
        <f t="shared" ca="1" si="15"/>
        <v>32516.653865334047</v>
      </c>
      <c r="H61" s="236">
        <f t="shared" si="15"/>
        <v>24745.899417965353</v>
      </c>
      <c r="I61" s="236">
        <f t="shared" si="15"/>
        <v>22457.814394333644</v>
      </c>
      <c r="J61" s="236">
        <f t="shared" ca="1" si="15"/>
        <v>46859.842515882599</v>
      </c>
      <c r="K61" s="236">
        <f t="shared" ca="1" si="15"/>
        <v>45255.121416238915</v>
      </c>
      <c r="L61" s="236">
        <f t="shared" ca="1" si="15"/>
        <v>43728.875533660561</v>
      </c>
      <c r="M61" s="236">
        <f t="shared" ca="1" si="15"/>
        <v>41392.456203569738</v>
      </c>
      <c r="N61" s="236">
        <f t="shared" ca="1" si="15"/>
        <v>41160.240069764746</v>
      </c>
      <c r="O61" s="236">
        <f t="shared" ca="1" si="15"/>
        <v>40495.896936815305</v>
      </c>
      <c r="P61" s="236">
        <f t="shared" ca="1" si="15"/>
        <v>40208.275246344521</v>
      </c>
      <c r="Q61" s="236">
        <f t="shared" ca="1" si="15"/>
        <v>45541.580353077916</v>
      </c>
      <c r="R61" s="236">
        <f t="shared" ca="1" si="15"/>
        <v>48088.952081857235</v>
      </c>
      <c r="S61" s="236">
        <f t="shared" ca="1" si="15"/>
        <v>48017.993221793353</v>
      </c>
      <c r="T61" s="236">
        <f t="shared" ca="1" si="15"/>
        <v>48392.028829681636</v>
      </c>
      <c r="U61" s="236">
        <f t="shared" ca="1" si="15"/>
        <v>48760.45265857206</v>
      </c>
      <c r="V61" s="236">
        <f t="shared" ca="1" si="15"/>
        <v>41801.674261472486</v>
      </c>
      <c r="W61" s="236">
        <f t="shared" ca="1" si="15"/>
        <v>36524.999054895256</v>
      </c>
      <c r="X61" s="236">
        <f t="shared" si="15"/>
        <v>39286.074053265795</v>
      </c>
      <c r="Y61" s="236">
        <f t="shared" si="15"/>
        <v>44253.715206505723</v>
      </c>
      <c r="Z61" s="236">
        <f t="shared" si="15"/>
        <v>48490.283524233055</v>
      </c>
      <c r="AA61" s="236">
        <f t="shared" ca="1" si="15"/>
        <v>634047.72854879568</v>
      </c>
    </row>
    <row r="62" spans="1:29">
      <c r="A62" s="70" t="s">
        <v>213</v>
      </c>
      <c r="D62" s="273">
        <f ca="1">D83</f>
        <v>0.15394048807177699</v>
      </c>
      <c r="E62" s="236"/>
      <c r="G62" s="236"/>
      <c r="H62" s="236"/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236"/>
      <c r="W62" s="236"/>
      <c r="X62" s="236"/>
      <c r="Y62" s="236"/>
      <c r="Z62" s="236"/>
    </row>
    <row r="63" spans="1:29">
      <c r="A63" s="70"/>
      <c r="C63" s="274"/>
      <c r="E63" s="236"/>
    </row>
    <row r="64" spans="1:29">
      <c r="A64" s="84" t="s">
        <v>214</v>
      </c>
      <c r="E64" s="236"/>
    </row>
    <row r="65" spans="1:29">
      <c r="A65" s="22" t="s">
        <v>210</v>
      </c>
      <c r="D65" s="236">
        <f t="shared" ref="D65:AA65" si="16">D51</f>
        <v>-133750</v>
      </c>
      <c r="E65" s="236">
        <f t="shared" ca="1" si="16"/>
        <v>151.43115738364756</v>
      </c>
      <c r="F65" s="236">
        <f t="shared" si="16"/>
        <v>-133750</v>
      </c>
      <c r="G65" s="236">
        <f t="shared" ca="1" si="16"/>
        <v>32516.653865334047</v>
      </c>
      <c r="H65" s="236">
        <f t="shared" si="16"/>
        <v>24745.899417965353</v>
      </c>
      <c r="I65" s="236">
        <f t="shared" si="16"/>
        <v>22457.814394333644</v>
      </c>
      <c r="J65" s="236">
        <f t="shared" ca="1" si="16"/>
        <v>46859.842515882599</v>
      </c>
      <c r="K65" s="236">
        <f t="shared" ca="1" si="16"/>
        <v>45255.121416238915</v>
      </c>
      <c r="L65" s="236">
        <f t="shared" ca="1" si="16"/>
        <v>43728.875533660561</v>
      </c>
      <c r="M65" s="236">
        <f t="shared" ca="1" si="16"/>
        <v>41392.456203569738</v>
      </c>
      <c r="N65" s="236">
        <f t="shared" ca="1" si="16"/>
        <v>41160.240069764746</v>
      </c>
      <c r="O65" s="236">
        <f t="shared" ca="1" si="16"/>
        <v>40495.896936815305</v>
      </c>
      <c r="P65" s="236">
        <f t="shared" ca="1" si="16"/>
        <v>40208.275246344521</v>
      </c>
      <c r="Q65" s="236">
        <f t="shared" ca="1" si="16"/>
        <v>45541.580353077916</v>
      </c>
      <c r="R65" s="236">
        <f t="shared" ca="1" si="16"/>
        <v>48088.952081857235</v>
      </c>
      <c r="S65" s="236">
        <f t="shared" ca="1" si="16"/>
        <v>48017.993221793353</v>
      </c>
      <c r="T65" s="236">
        <f t="shared" ca="1" si="16"/>
        <v>48392.028829681636</v>
      </c>
      <c r="U65" s="236">
        <f t="shared" ca="1" si="16"/>
        <v>48760.45265857206</v>
      </c>
      <c r="V65" s="236">
        <f t="shared" ca="1" si="16"/>
        <v>41801.674261472486</v>
      </c>
      <c r="W65" s="236">
        <f t="shared" ca="1" si="16"/>
        <v>36524.999054895256</v>
      </c>
      <c r="X65" s="236">
        <f t="shared" si="16"/>
        <v>39286.074053265795</v>
      </c>
      <c r="Y65" s="236">
        <f t="shared" si="16"/>
        <v>44253.715206505723</v>
      </c>
      <c r="Z65" s="236">
        <f t="shared" si="16"/>
        <v>48490.283524233055</v>
      </c>
      <c r="AA65" s="236">
        <f t="shared" ca="1" si="16"/>
        <v>68978.411087395798</v>
      </c>
    </row>
    <row r="66" spans="1:29">
      <c r="A66" s="22" t="s">
        <v>215</v>
      </c>
      <c r="D66" s="518">
        <v>0</v>
      </c>
      <c r="E66" s="236">
        <v>0</v>
      </c>
      <c r="F66" s="236">
        <v>0</v>
      </c>
      <c r="G66" s="236">
        <v>0</v>
      </c>
      <c r="H66" s="236">
        <v>0</v>
      </c>
      <c r="I66" s="236">
        <v>0</v>
      </c>
      <c r="J66" s="236">
        <v>0</v>
      </c>
      <c r="K66" s="236">
        <v>0</v>
      </c>
      <c r="L66" s="236">
        <v>0</v>
      </c>
      <c r="M66" s="236">
        <v>0</v>
      </c>
      <c r="N66" s="236">
        <v>0</v>
      </c>
      <c r="O66" s="236">
        <v>0</v>
      </c>
      <c r="P66" s="236">
        <v>0</v>
      </c>
      <c r="Q66" s="236">
        <v>0</v>
      </c>
      <c r="R66" s="236">
        <v>0</v>
      </c>
      <c r="S66" s="236">
        <v>0</v>
      </c>
      <c r="T66" s="236">
        <v>0</v>
      </c>
      <c r="U66" s="236">
        <v>0</v>
      </c>
      <c r="V66" s="236">
        <v>0</v>
      </c>
      <c r="W66" s="236">
        <v>0</v>
      </c>
      <c r="X66" s="236">
        <v>0</v>
      </c>
      <c r="Y66" s="236">
        <v>0</v>
      </c>
      <c r="Z66" s="236">
        <v>0</v>
      </c>
      <c r="AA66" s="122">
        <f>0.5*Assumptions!$C$11*CF!$C$49</f>
        <v>308750</v>
      </c>
    </row>
    <row r="67" spans="1:29">
      <c r="A67" s="22" t="s">
        <v>212</v>
      </c>
      <c r="B67" s="16"/>
      <c r="D67" s="236">
        <f t="shared" ref="D67:Z67" si="17">D65+D66</f>
        <v>-133750</v>
      </c>
      <c r="E67" s="236">
        <f t="shared" ca="1" si="17"/>
        <v>151.43115738364756</v>
      </c>
      <c r="F67" s="236">
        <f t="shared" si="17"/>
        <v>-133750</v>
      </c>
      <c r="G67" s="236">
        <f t="shared" ca="1" si="17"/>
        <v>32516.653865334047</v>
      </c>
      <c r="H67" s="236">
        <f t="shared" si="17"/>
        <v>24745.899417965353</v>
      </c>
      <c r="I67" s="236">
        <f t="shared" si="17"/>
        <v>22457.814394333644</v>
      </c>
      <c r="J67" s="236">
        <f t="shared" ca="1" si="17"/>
        <v>46859.842515882599</v>
      </c>
      <c r="K67" s="236">
        <f t="shared" ca="1" si="17"/>
        <v>45255.121416238915</v>
      </c>
      <c r="L67" s="236">
        <f t="shared" ca="1" si="17"/>
        <v>43728.875533660561</v>
      </c>
      <c r="M67" s="236">
        <f t="shared" ca="1" si="17"/>
        <v>41392.456203569738</v>
      </c>
      <c r="N67" s="236">
        <f t="shared" ca="1" si="17"/>
        <v>41160.240069764746</v>
      </c>
      <c r="O67" s="236">
        <f t="shared" ca="1" si="17"/>
        <v>40495.896936815305</v>
      </c>
      <c r="P67" s="236">
        <f t="shared" ca="1" si="17"/>
        <v>40208.275246344521</v>
      </c>
      <c r="Q67" s="236">
        <f t="shared" ca="1" si="17"/>
        <v>45541.580353077916</v>
      </c>
      <c r="R67" s="236">
        <f t="shared" ca="1" si="17"/>
        <v>48088.952081857235</v>
      </c>
      <c r="S67" s="236">
        <f t="shared" ca="1" si="17"/>
        <v>48017.993221793353</v>
      </c>
      <c r="T67" s="236">
        <f t="shared" ca="1" si="17"/>
        <v>48392.028829681636</v>
      </c>
      <c r="U67" s="236">
        <f t="shared" ca="1" si="17"/>
        <v>48760.45265857206</v>
      </c>
      <c r="V67" s="236">
        <f t="shared" ca="1" si="17"/>
        <v>41801.674261472486</v>
      </c>
      <c r="W67" s="236">
        <f t="shared" ca="1" si="17"/>
        <v>36524.999054895256</v>
      </c>
      <c r="X67" s="236">
        <f t="shared" si="17"/>
        <v>39286.074053265795</v>
      </c>
      <c r="Y67" s="236">
        <f t="shared" si="17"/>
        <v>44253.715206505723</v>
      </c>
      <c r="Z67" s="236">
        <f t="shared" si="17"/>
        <v>48490.283524233055</v>
      </c>
      <c r="AA67" s="236">
        <f ca="1">AA65+AA66</f>
        <v>377728.4110873958</v>
      </c>
      <c r="AB67" s="195"/>
      <c r="AC67" s="195"/>
    </row>
    <row r="68" spans="1:29">
      <c r="A68" s="70" t="s">
        <v>216</v>
      </c>
      <c r="D68" s="273">
        <f ca="1">D87</f>
        <v>0.14683250983670859</v>
      </c>
      <c r="E68" s="236"/>
    </row>
    <row r="69" spans="1:29">
      <c r="E69" s="236"/>
    </row>
    <row r="70" spans="1:29">
      <c r="E70" s="236"/>
    </row>
    <row r="71" spans="1:29">
      <c r="E71" s="22"/>
    </row>
    <row r="72" spans="1:29">
      <c r="E72" s="22"/>
    </row>
    <row r="73" spans="1:29" ht="18.75">
      <c r="A73" s="292" t="s">
        <v>217</v>
      </c>
      <c r="E73" s="22"/>
    </row>
    <row r="74" spans="1:29" ht="18.75">
      <c r="A74" s="292"/>
      <c r="E74" s="22"/>
    </row>
    <row r="75" spans="1:29" ht="13.5" thickBot="1">
      <c r="A75" s="422" t="s">
        <v>164</v>
      </c>
      <c r="B75" s="422"/>
      <c r="C75" s="2"/>
      <c r="D75" s="602">
        <v>36525</v>
      </c>
      <c r="E75" s="602">
        <v>36891</v>
      </c>
      <c r="F75" s="602">
        <v>37256</v>
      </c>
      <c r="G75" s="602">
        <v>37621</v>
      </c>
      <c r="H75" s="602">
        <v>37986</v>
      </c>
      <c r="I75" s="602">
        <v>38352</v>
      </c>
      <c r="J75" s="602">
        <v>38717</v>
      </c>
      <c r="K75" s="602">
        <v>39082</v>
      </c>
      <c r="L75" s="602">
        <v>39447</v>
      </c>
      <c r="M75" s="602">
        <v>39813</v>
      </c>
      <c r="N75" s="602">
        <v>40178</v>
      </c>
      <c r="O75" s="602">
        <v>40543</v>
      </c>
      <c r="P75" s="602">
        <v>40908</v>
      </c>
      <c r="Q75" s="602">
        <v>41274</v>
      </c>
      <c r="R75" s="602">
        <v>41639</v>
      </c>
      <c r="S75" s="602">
        <v>42004</v>
      </c>
      <c r="T75" s="602">
        <v>42369</v>
      </c>
      <c r="U75" s="602">
        <v>42735</v>
      </c>
      <c r="V75" s="602">
        <v>43100</v>
      </c>
      <c r="W75" s="602">
        <v>43465</v>
      </c>
      <c r="X75" s="602">
        <v>43830</v>
      </c>
      <c r="Y75" s="602">
        <v>44196</v>
      </c>
      <c r="Z75"/>
      <c r="AA75" s="8"/>
      <c r="AC75" s="22"/>
    </row>
    <row r="76" spans="1:29">
      <c r="E76" s="22"/>
      <c r="Z76"/>
      <c r="AA76" s="8"/>
      <c r="AC76" s="22"/>
    </row>
    <row r="77" spans="1:29">
      <c r="A77" s="22" t="s">
        <v>218</v>
      </c>
      <c r="B77" s="657">
        <f ca="1">D79</f>
        <v>0.13618937635681178</v>
      </c>
      <c r="D77" s="31">
        <f ca="1">D50+F50/((1+B77)^((F8-D8)/365))</f>
        <v>-263309.44817910541</v>
      </c>
      <c r="E77" s="22"/>
      <c r="Z77"/>
      <c r="AA77" s="8"/>
      <c r="AC77" s="22"/>
    </row>
    <row r="78" spans="1:29">
      <c r="A78" s="22" t="s">
        <v>219</v>
      </c>
      <c r="D78" s="31">
        <f ca="1">D77+D49</f>
        <v>-263309.44817910541</v>
      </c>
      <c r="E78" s="236">
        <f ca="1">G51+E51</f>
        <v>32668.085022717692</v>
      </c>
      <c r="F78" s="236">
        <f t="shared" ref="F78:Y78" si="18">H51</f>
        <v>24745.899417965353</v>
      </c>
      <c r="G78" s="236">
        <f t="shared" si="18"/>
        <v>22457.814394333644</v>
      </c>
      <c r="H78" s="236">
        <f t="shared" ca="1" si="18"/>
        <v>46859.842515882599</v>
      </c>
      <c r="I78" s="236">
        <f t="shared" ca="1" si="18"/>
        <v>45255.121416238915</v>
      </c>
      <c r="J78" s="236">
        <f t="shared" ca="1" si="18"/>
        <v>43728.875533660561</v>
      </c>
      <c r="K78" s="236">
        <f t="shared" ca="1" si="18"/>
        <v>41392.456203569738</v>
      </c>
      <c r="L78" s="236">
        <f t="shared" ca="1" si="18"/>
        <v>41160.240069764746</v>
      </c>
      <c r="M78" s="236">
        <f t="shared" ca="1" si="18"/>
        <v>40495.896936815305</v>
      </c>
      <c r="N78" s="236">
        <f t="shared" ca="1" si="18"/>
        <v>40208.275246344521</v>
      </c>
      <c r="O78" s="236">
        <f t="shared" ca="1" si="18"/>
        <v>45541.580353077916</v>
      </c>
      <c r="P78" s="236">
        <f t="shared" ca="1" si="18"/>
        <v>48088.952081857235</v>
      </c>
      <c r="Q78" s="236">
        <f t="shared" ca="1" si="18"/>
        <v>48017.993221793353</v>
      </c>
      <c r="R78" s="236">
        <f t="shared" ca="1" si="18"/>
        <v>48392.028829681636</v>
      </c>
      <c r="S78" s="236">
        <f t="shared" ca="1" si="18"/>
        <v>48760.45265857206</v>
      </c>
      <c r="T78" s="236">
        <f t="shared" ca="1" si="18"/>
        <v>41801.674261472486</v>
      </c>
      <c r="U78" s="236">
        <f t="shared" ca="1" si="18"/>
        <v>36524.999054895256</v>
      </c>
      <c r="V78" s="236">
        <f t="shared" si="18"/>
        <v>39286.074053265795</v>
      </c>
      <c r="W78" s="236">
        <f t="shared" si="18"/>
        <v>44253.715206505723</v>
      </c>
      <c r="X78" s="236">
        <f t="shared" si="18"/>
        <v>48490.283524233055</v>
      </c>
      <c r="Y78" s="236">
        <f t="shared" ca="1" si="18"/>
        <v>68978.411087395798</v>
      </c>
      <c r="Z78"/>
      <c r="AA78" s="8"/>
      <c r="AC78" s="22"/>
    </row>
    <row r="79" spans="1:29">
      <c r="A79" s="22" t="s">
        <v>220</v>
      </c>
      <c r="D79" s="273">
        <f ca="1">IRR(D78:Y78)</f>
        <v>0.13618937635681183</v>
      </c>
      <c r="E79" s="22"/>
      <c r="Z79"/>
      <c r="AA79" s="8"/>
      <c r="AC79" s="22"/>
    </row>
    <row r="80" spans="1:29">
      <c r="D80" s="236"/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/>
      <c r="AA80" s="8"/>
      <c r="AC80" s="22"/>
    </row>
    <row r="81" spans="1:29">
      <c r="A81" s="22" t="s">
        <v>218</v>
      </c>
      <c r="B81" s="657">
        <f ca="1">D83</f>
        <v>0.15394048807177699</v>
      </c>
      <c r="D81" s="31">
        <f ca="1">D50+F50/((1+B81)^((F8-D8)/365))</f>
        <v>-262809.6637195294</v>
      </c>
      <c r="E81" s="236"/>
      <c r="F81" s="236"/>
      <c r="G81" s="236"/>
      <c r="H81" s="236"/>
      <c r="I81" s="236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  <c r="V81" s="236"/>
      <c r="W81" s="236"/>
      <c r="X81" s="236"/>
      <c r="Y81" s="236"/>
      <c r="Z81"/>
      <c r="AA81" s="8"/>
      <c r="AC81" s="22"/>
    </row>
    <row r="82" spans="1:29">
      <c r="A82" s="22" t="s">
        <v>209</v>
      </c>
      <c r="D82" s="236">
        <f ca="1">D81+D49</f>
        <v>-262809.6637195294</v>
      </c>
      <c r="E82" s="236">
        <f ca="1">G61+E61</f>
        <v>32668.085022717692</v>
      </c>
      <c r="F82" s="236">
        <f t="shared" ref="F82:Y82" si="19">H61</f>
        <v>24745.899417965353</v>
      </c>
      <c r="G82" s="236">
        <f t="shared" si="19"/>
        <v>22457.814394333644</v>
      </c>
      <c r="H82" s="236">
        <f t="shared" ca="1" si="19"/>
        <v>46859.842515882599</v>
      </c>
      <c r="I82" s="236">
        <f t="shared" ca="1" si="19"/>
        <v>45255.121416238915</v>
      </c>
      <c r="J82" s="236">
        <f t="shared" ca="1" si="19"/>
        <v>43728.875533660561</v>
      </c>
      <c r="K82" s="236">
        <f t="shared" ca="1" si="19"/>
        <v>41392.456203569738</v>
      </c>
      <c r="L82" s="236">
        <f t="shared" ca="1" si="19"/>
        <v>41160.240069764746</v>
      </c>
      <c r="M82" s="236">
        <f t="shared" ca="1" si="19"/>
        <v>40495.896936815305</v>
      </c>
      <c r="N82" s="236">
        <f t="shared" ca="1" si="19"/>
        <v>40208.275246344521</v>
      </c>
      <c r="O82" s="236">
        <f t="shared" ca="1" si="19"/>
        <v>45541.580353077916</v>
      </c>
      <c r="P82" s="236">
        <f t="shared" ca="1" si="19"/>
        <v>48088.952081857235</v>
      </c>
      <c r="Q82" s="236">
        <f t="shared" ca="1" si="19"/>
        <v>48017.993221793353</v>
      </c>
      <c r="R82" s="236">
        <f t="shared" ca="1" si="19"/>
        <v>48392.028829681636</v>
      </c>
      <c r="S82" s="236">
        <f t="shared" ca="1" si="19"/>
        <v>48760.45265857206</v>
      </c>
      <c r="T82" s="236">
        <f t="shared" ca="1" si="19"/>
        <v>41801.674261472486</v>
      </c>
      <c r="U82" s="236">
        <f t="shared" ca="1" si="19"/>
        <v>36524.999054895256</v>
      </c>
      <c r="V82" s="236">
        <f t="shared" si="19"/>
        <v>39286.074053265795</v>
      </c>
      <c r="W82" s="236">
        <f t="shared" si="19"/>
        <v>44253.715206505723</v>
      </c>
      <c r="X82" s="236">
        <f t="shared" si="19"/>
        <v>48490.283524233055</v>
      </c>
      <c r="Y82" s="236">
        <f t="shared" ca="1" si="19"/>
        <v>634047.72854879568</v>
      </c>
      <c r="Z82"/>
      <c r="AA82" s="8"/>
      <c r="AC82" s="22"/>
    </row>
    <row r="83" spans="1:29">
      <c r="A83" s="22" t="s">
        <v>220</v>
      </c>
      <c r="D83" s="273">
        <f ca="1">IRR(D82:Y82)</f>
        <v>0.15394048807177674</v>
      </c>
      <c r="E83" s="22"/>
      <c r="Z83"/>
      <c r="AA83" s="8"/>
      <c r="AC83" s="22"/>
    </row>
    <row r="84" spans="1:29">
      <c r="E84" s="22"/>
      <c r="Z84"/>
      <c r="AA84" s="8"/>
      <c r="AC84" s="22"/>
    </row>
    <row r="85" spans="1:29">
      <c r="A85" s="22" t="s">
        <v>218</v>
      </c>
      <c r="B85" s="657">
        <f ca="1">D87</f>
        <v>0.14683250983670859</v>
      </c>
      <c r="D85" s="31">
        <f ca="1">D50+F50/((1+B85)^((F8-D8)/365))</f>
        <v>-263008.62900201546</v>
      </c>
      <c r="E85" s="22"/>
      <c r="Z85"/>
      <c r="AA85" s="8"/>
      <c r="AC85" s="22"/>
    </row>
    <row r="86" spans="1:29">
      <c r="A86" s="22" t="s">
        <v>214</v>
      </c>
      <c r="D86" s="656">
        <f ca="1">D85+D49</f>
        <v>-263008.62900201546</v>
      </c>
      <c r="E86" s="236">
        <f ca="1">G67+E67</f>
        <v>32668.085022717692</v>
      </c>
      <c r="F86" s="236">
        <f t="shared" ref="F86:X86" si="20">H67</f>
        <v>24745.899417965353</v>
      </c>
      <c r="G86" s="236">
        <f t="shared" si="20"/>
        <v>22457.814394333644</v>
      </c>
      <c r="H86" s="236">
        <f t="shared" ca="1" si="20"/>
        <v>46859.842515882599</v>
      </c>
      <c r="I86" s="236">
        <f t="shared" ca="1" si="20"/>
        <v>45255.121416238915</v>
      </c>
      <c r="J86" s="236">
        <f t="shared" ca="1" si="20"/>
        <v>43728.875533660561</v>
      </c>
      <c r="K86" s="236">
        <f t="shared" ca="1" si="20"/>
        <v>41392.456203569738</v>
      </c>
      <c r="L86" s="236">
        <f t="shared" ca="1" si="20"/>
        <v>41160.240069764746</v>
      </c>
      <c r="M86" s="236">
        <f t="shared" ca="1" si="20"/>
        <v>40495.896936815305</v>
      </c>
      <c r="N86" s="236">
        <f t="shared" ca="1" si="20"/>
        <v>40208.275246344521</v>
      </c>
      <c r="O86" s="236">
        <f t="shared" ca="1" si="20"/>
        <v>45541.580353077916</v>
      </c>
      <c r="P86" s="236">
        <f t="shared" ca="1" si="20"/>
        <v>48088.952081857235</v>
      </c>
      <c r="Q86" s="236">
        <f t="shared" ca="1" si="20"/>
        <v>48017.993221793353</v>
      </c>
      <c r="R86" s="236">
        <f t="shared" ca="1" si="20"/>
        <v>48392.028829681636</v>
      </c>
      <c r="S86" s="236">
        <f t="shared" ca="1" si="20"/>
        <v>48760.45265857206</v>
      </c>
      <c r="T86" s="236">
        <f t="shared" ca="1" si="20"/>
        <v>41801.674261472486</v>
      </c>
      <c r="U86" s="236">
        <f t="shared" ca="1" si="20"/>
        <v>36524.999054895256</v>
      </c>
      <c r="V86" s="236">
        <f t="shared" si="20"/>
        <v>39286.074053265795</v>
      </c>
      <c r="W86" s="236">
        <f t="shared" si="20"/>
        <v>44253.715206505723</v>
      </c>
      <c r="X86" s="236">
        <f t="shared" si="20"/>
        <v>48490.283524233055</v>
      </c>
      <c r="Y86" s="236">
        <f ca="1">AA67</f>
        <v>377728.4110873958</v>
      </c>
      <c r="Z86"/>
      <c r="AA86" s="8"/>
      <c r="AC86" s="22"/>
    </row>
    <row r="87" spans="1:29">
      <c r="A87" s="22" t="s">
        <v>220</v>
      </c>
      <c r="D87" s="273">
        <f ca="1">IRR(D86:Y86)</f>
        <v>0.1468325098366936</v>
      </c>
      <c r="E87" s="22"/>
    </row>
    <row r="88" spans="1:29">
      <c r="E88" s="22"/>
      <c r="Z88"/>
    </row>
    <row r="89" spans="1:29">
      <c r="E89" s="22"/>
      <c r="Z89"/>
    </row>
    <row r="90" spans="1:29">
      <c r="E90" s="22"/>
      <c r="Z90"/>
    </row>
    <row r="91" spans="1:29">
      <c r="E91" s="22"/>
      <c r="Z91"/>
    </row>
    <row r="92" spans="1:29">
      <c r="E92" s="22"/>
      <c r="Z92"/>
    </row>
    <row r="93" spans="1:29">
      <c r="E93" s="22"/>
    </row>
    <row r="94" spans="1:29">
      <c r="E94" s="22"/>
    </row>
    <row r="95" spans="1:29">
      <c r="E95" s="22"/>
    </row>
    <row r="96" spans="1:29">
      <c r="E96" s="22"/>
    </row>
    <row r="97" spans="1:90">
      <c r="E97" s="22"/>
    </row>
    <row r="98" spans="1:90">
      <c r="E98" s="22"/>
    </row>
    <row r="99" spans="1:90">
      <c r="E99" s="22"/>
    </row>
    <row r="100" spans="1:90">
      <c r="E100" s="22"/>
    </row>
    <row r="101" spans="1:90">
      <c r="E101" s="22"/>
    </row>
    <row r="102" spans="1:90">
      <c r="E102" s="22"/>
    </row>
    <row r="103" spans="1:90">
      <c r="E103" s="22"/>
    </row>
    <row r="104" spans="1:90">
      <c r="E104" s="22"/>
    </row>
    <row r="105" spans="1:90">
      <c r="E105" s="22"/>
    </row>
    <row r="106" spans="1:90">
      <c r="E106" s="22"/>
    </row>
    <row r="107" spans="1:90">
      <c r="E107" s="22"/>
    </row>
    <row r="108" spans="1:90">
      <c r="E108" s="22"/>
    </row>
    <row r="109" spans="1:90">
      <c r="E109" s="22"/>
    </row>
    <row r="110" spans="1:90">
      <c r="E110" s="22"/>
    </row>
    <row r="111" spans="1:90">
      <c r="A111"/>
      <c r="B111"/>
      <c r="C111"/>
      <c r="D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</row>
    <row r="112" spans="1:90">
      <c r="A112"/>
      <c r="B112"/>
      <c r="C112"/>
      <c r="D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</row>
    <row r="113" spans="1:90">
      <c r="A113"/>
      <c r="B113"/>
      <c r="C113"/>
      <c r="D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</row>
    <row r="114" spans="1:90">
      <c r="A114"/>
      <c r="B114"/>
      <c r="C114"/>
      <c r="D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</row>
    <row r="115" spans="1:90">
      <c r="A115"/>
      <c r="B115"/>
      <c r="C115"/>
      <c r="D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</row>
    <row r="116" spans="1:90">
      <c r="A116"/>
      <c r="B116"/>
      <c r="C116"/>
      <c r="D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</row>
    <row r="117" spans="1:90">
      <c r="A117"/>
      <c r="B117"/>
      <c r="C117"/>
      <c r="D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</row>
    <row r="118" spans="1:90">
      <c r="A118"/>
      <c r="B118"/>
      <c r="C118"/>
      <c r="D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</row>
    <row r="119" spans="1:90">
      <c r="A119"/>
      <c r="B119"/>
      <c r="C119"/>
      <c r="D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</row>
    <row r="120" spans="1:90">
      <c r="A120"/>
      <c r="B120"/>
      <c r="C120"/>
      <c r="D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</row>
    <row r="121" spans="1:90">
      <c r="A121"/>
      <c r="B121"/>
      <c r="C121"/>
      <c r="D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</row>
    <row r="122" spans="1:90">
      <c r="A122"/>
      <c r="B122"/>
      <c r="C122"/>
      <c r="D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</row>
    <row r="123" spans="1:90">
      <c r="A123"/>
      <c r="B123"/>
      <c r="C123"/>
      <c r="D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</row>
    <row r="124" spans="1:90">
      <c r="A124"/>
      <c r="B124"/>
      <c r="C124"/>
      <c r="D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</row>
    <row r="125" spans="1:90">
      <c r="A125"/>
      <c r="B125"/>
      <c r="C125"/>
      <c r="D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</row>
    <row r="126" spans="1:90">
      <c r="E126" s="22"/>
    </row>
    <row r="127" spans="1:90">
      <c r="E127" s="22"/>
    </row>
    <row r="128" spans="1:90">
      <c r="E128" s="22"/>
    </row>
    <row r="129" spans="5:5">
      <c r="E129" s="22"/>
    </row>
  </sheetData>
  <pageMargins left="0.18" right="1.26" top="0.37" bottom="0.4" header="0.17" footer="0.21"/>
  <pageSetup scale="46" fitToWidth="2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6" max="5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8"/>
  <sheetViews>
    <sheetView tabSelected="1" topLeftCell="W78" zoomScale="75" zoomScaleNormal="75" workbookViewId="0">
      <selection activeCell="AP87" sqref="AP87"/>
    </sheetView>
  </sheetViews>
  <sheetFormatPr defaultRowHeight="12.75"/>
  <cols>
    <col min="1" max="1" width="52" style="22" customWidth="1"/>
    <col min="2" max="2" width="14.140625" style="22" customWidth="1"/>
    <col min="3" max="7" width="9.140625" style="22"/>
    <col min="8" max="8" width="9.7109375" style="22" customWidth="1"/>
    <col min="9" max="45" width="9.140625" style="22"/>
    <col min="46" max="46" width="9.7109375" style="22" bestFit="1" customWidth="1"/>
    <col min="47" max="47" width="9.28515625" style="22" bestFit="1" customWidth="1"/>
    <col min="48" max="48" width="11.7109375" style="22" bestFit="1" customWidth="1"/>
    <col min="49" max="16384" width="9.140625" style="22"/>
  </cols>
  <sheetData>
    <row r="1" spans="1:81" ht="18.75">
      <c r="A1" s="126" t="s">
        <v>419</v>
      </c>
      <c r="B1" s="66"/>
    </row>
    <row r="2" spans="1:81">
      <c r="E2" s="22">
        <v>2</v>
      </c>
      <c r="G2" s="22">
        <v>2</v>
      </c>
      <c r="H2" s="22">
        <f>1+G2</f>
        <v>3</v>
      </c>
      <c r="I2" s="22">
        <f>H2</f>
        <v>3</v>
      </c>
      <c r="J2" s="22">
        <f>1+I2</f>
        <v>4</v>
      </c>
      <c r="K2" s="22">
        <f>J2</f>
        <v>4</v>
      </c>
      <c r="L2" s="22">
        <f>1+K2</f>
        <v>5</v>
      </c>
      <c r="M2" s="22">
        <f>L2</f>
        <v>5</v>
      </c>
      <c r="N2" s="22">
        <f>1+M2</f>
        <v>6</v>
      </c>
      <c r="O2" s="22">
        <f>N2</f>
        <v>6</v>
      </c>
      <c r="P2" s="22">
        <f>1+O2</f>
        <v>7</v>
      </c>
      <c r="Q2" s="22">
        <f>P2</f>
        <v>7</v>
      </c>
      <c r="R2" s="22">
        <f>1+Q2</f>
        <v>8</v>
      </c>
      <c r="S2" s="22">
        <f>R2</f>
        <v>8</v>
      </c>
      <c r="T2" s="22">
        <f>1+S2</f>
        <v>9</v>
      </c>
      <c r="U2" s="22">
        <f>T2</f>
        <v>9</v>
      </c>
      <c r="V2" s="22">
        <f>1+U2</f>
        <v>10</v>
      </c>
      <c r="W2" s="22">
        <f>V2</f>
        <v>10</v>
      </c>
      <c r="X2" s="22">
        <f>1+W2</f>
        <v>11</v>
      </c>
      <c r="Y2" s="22">
        <f>X2</f>
        <v>11</v>
      </c>
      <c r="Z2" s="22">
        <f>1+Y2</f>
        <v>12</v>
      </c>
      <c r="AA2" s="22">
        <f>Z2</f>
        <v>12</v>
      </c>
      <c r="AB2" s="22">
        <f>1+AA2</f>
        <v>13</v>
      </c>
      <c r="AC2" s="22">
        <f>AB2</f>
        <v>13</v>
      </c>
      <c r="AD2" s="22">
        <f>1+AC2</f>
        <v>14</v>
      </c>
      <c r="AE2" s="22">
        <f>AD2</f>
        <v>14</v>
      </c>
      <c r="AF2" s="22">
        <f>1+AE2</f>
        <v>15</v>
      </c>
      <c r="AG2" s="22">
        <f>AF2</f>
        <v>15</v>
      </c>
      <c r="AH2" s="22">
        <f>1+AG2</f>
        <v>16</v>
      </c>
      <c r="AI2" s="22">
        <f>AH2</f>
        <v>16</v>
      </c>
      <c r="AJ2" s="22">
        <f>1+AI2</f>
        <v>17</v>
      </c>
      <c r="AK2" s="22">
        <f>AJ2</f>
        <v>17</v>
      </c>
      <c r="AL2" s="22">
        <f>1+AK2</f>
        <v>18</v>
      </c>
      <c r="AM2" s="22">
        <f>AL2</f>
        <v>18</v>
      </c>
      <c r="AN2" s="22">
        <f>1+AM2</f>
        <v>19</v>
      </c>
      <c r="AO2" s="22">
        <f>AN2</f>
        <v>19</v>
      </c>
      <c r="AP2" s="22">
        <f>1+AO2</f>
        <v>20</v>
      </c>
      <c r="AQ2" s="22">
        <f>AP2</f>
        <v>20</v>
      </c>
      <c r="AR2" s="22">
        <f>1+AQ2</f>
        <v>21</v>
      </c>
      <c r="AS2" s="7">
        <f>AR2</f>
        <v>21</v>
      </c>
      <c r="AT2" s="7">
        <f>AS2+1</f>
        <v>22</v>
      </c>
      <c r="AU2" s="7">
        <f>AT2</f>
        <v>22</v>
      </c>
      <c r="AV2" s="7"/>
    </row>
    <row r="3" spans="1:81">
      <c r="AS3" s="7"/>
      <c r="AT3" s="7"/>
      <c r="AU3" s="7"/>
      <c r="AV3" s="7"/>
    </row>
    <row r="4" spans="1:81" ht="18.75">
      <c r="A4" s="292" t="s">
        <v>403</v>
      </c>
      <c r="B4" s="439"/>
      <c r="E4"/>
      <c r="AB4" s="8"/>
      <c r="AC4" s="8"/>
      <c r="AD4" s="8"/>
    </row>
    <row r="5" spans="1:81" ht="18.75">
      <c r="A5" s="292"/>
      <c r="E5"/>
      <c r="AB5" s="302"/>
      <c r="AC5" s="302"/>
      <c r="AD5" s="8"/>
    </row>
    <row r="6" spans="1:81" ht="13.5" thickBot="1">
      <c r="A6" s="422" t="s">
        <v>164</v>
      </c>
      <c r="B6" s="422"/>
      <c r="C6" s="2"/>
      <c r="D6" s="803">
        <v>36525</v>
      </c>
      <c r="E6" s="803">
        <v>36571</v>
      </c>
      <c r="F6" s="803">
        <v>36616</v>
      </c>
      <c r="G6" s="803">
        <v>36753</v>
      </c>
      <c r="H6" s="803">
        <v>36937</v>
      </c>
      <c r="I6" s="803">
        <v>37118</v>
      </c>
      <c r="J6" s="803">
        <v>37302</v>
      </c>
      <c r="K6" s="803">
        <v>37483</v>
      </c>
      <c r="L6" s="803">
        <v>37667</v>
      </c>
      <c r="M6" s="803">
        <v>37848</v>
      </c>
      <c r="N6" s="803">
        <v>38032</v>
      </c>
      <c r="O6" s="803">
        <v>38214</v>
      </c>
      <c r="P6" s="803">
        <v>38398</v>
      </c>
      <c r="Q6" s="803">
        <v>38579</v>
      </c>
      <c r="R6" s="803">
        <v>38763</v>
      </c>
      <c r="S6" s="803">
        <v>38944</v>
      </c>
      <c r="T6" s="803">
        <v>39128</v>
      </c>
      <c r="U6" s="803">
        <v>39309</v>
      </c>
      <c r="V6" s="803">
        <v>39493</v>
      </c>
      <c r="W6" s="803">
        <v>39675</v>
      </c>
      <c r="X6" s="803">
        <v>39859</v>
      </c>
      <c r="Y6" s="803">
        <v>40040</v>
      </c>
      <c r="Z6" s="803">
        <v>40224</v>
      </c>
      <c r="AA6" s="803">
        <v>40405</v>
      </c>
      <c r="AB6" s="803">
        <v>40589</v>
      </c>
      <c r="AC6" s="803">
        <v>40770</v>
      </c>
      <c r="AD6" s="803">
        <v>40954</v>
      </c>
      <c r="AE6" s="803">
        <v>41136</v>
      </c>
      <c r="AF6" s="803">
        <v>41320</v>
      </c>
      <c r="AG6" s="803">
        <v>41501</v>
      </c>
      <c r="AH6" s="803">
        <v>41685</v>
      </c>
      <c r="AI6" s="803">
        <v>41866</v>
      </c>
      <c r="AJ6" s="803">
        <v>42050</v>
      </c>
      <c r="AK6" s="803">
        <v>42231</v>
      </c>
      <c r="AL6" s="803">
        <v>42415</v>
      </c>
      <c r="AM6" s="803">
        <v>42597</v>
      </c>
      <c r="AN6" s="803">
        <v>42781</v>
      </c>
      <c r="AO6" s="803">
        <v>42962</v>
      </c>
      <c r="AP6" s="803">
        <v>43146</v>
      </c>
      <c r="AQ6" s="803">
        <v>43327</v>
      </c>
      <c r="AR6" s="803">
        <v>43511</v>
      </c>
      <c r="AS6" s="602">
        <v>43692</v>
      </c>
      <c r="AT6" s="602">
        <v>43876</v>
      </c>
      <c r="AU6" s="602">
        <v>44196</v>
      </c>
      <c r="AV6" s="804" t="s">
        <v>73</v>
      </c>
    </row>
    <row r="7" spans="1:81">
      <c r="D7" s="732"/>
      <c r="E7" s="732"/>
      <c r="F7" s="732"/>
      <c r="G7" s="732"/>
      <c r="H7" s="732"/>
      <c r="I7" s="732"/>
      <c r="J7" s="732"/>
      <c r="K7" s="732"/>
      <c r="L7" s="732"/>
      <c r="M7" s="732"/>
      <c r="N7" s="732"/>
      <c r="O7" s="732"/>
      <c r="P7" s="732"/>
      <c r="Q7" s="732"/>
      <c r="R7" s="732"/>
      <c r="S7" s="732"/>
      <c r="T7" s="732"/>
      <c r="U7" s="732"/>
      <c r="V7" s="732"/>
      <c r="W7" s="732"/>
      <c r="X7" s="732"/>
      <c r="Y7" s="732"/>
      <c r="Z7" s="732"/>
      <c r="AA7" s="732"/>
      <c r="AB7" s="732"/>
      <c r="AC7" s="732"/>
      <c r="AD7" s="732"/>
      <c r="AE7" s="732"/>
      <c r="AF7" s="732"/>
      <c r="AG7" s="732"/>
      <c r="AH7" s="732"/>
      <c r="AI7" s="732"/>
      <c r="AJ7" s="732"/>
      <c r="AK7" s="732"/>
      <c r="AL7" s="732"/>
      <c r="AM7" s="732"/>
      <c r="AN7" s="732"/>
      <c r="AO7" s="732"/>
      <c r="AP7" s="732"/>
      <c r="AQ7" s="732"/>
      <c r="AR7" s="732"/>
      <c r="AS7" s="766"/>
      <c r="AT7" s="766"/>
      <c r="AU7" s="766"/>
      <c r="AV7" s="756"/>
    </row>
    <row r="8" spans="1:81">
      <c r="A8" s="21" t="s">
        <v>184</v>
      </c>
      <c r="D8" s="235">
        <f>+IS!D38</f>
        <v>0</v>
      </c>
      <c r="E8" s="253">
        <f ca="1">1/12*(Brownsville!$F$39+Caledonia!$F$39+'New Albany'!$F$39)</f>
        <v>4471.4179477142116</v>
      </c>
      <c r="F8" s="235">
        <v>0</v>
      </c>
      <c r="G8" s="235">
        <f ca="1">6/12*(Brownsville!F39+Caledonia!F39+'New Albany'!F39)+2/7*(Wilton!F39)+1/6*(Calvert!F39+Wheatland!F39)</f>
        <v>34689.213199976868</v>
      </c>
      <c r="H8" s="253">
        <f ca="1">5/12*(Brownsville!F39+Caledonia!F39+'New Albany'!F39)+5/7*(Wilton!F39)+5/6*(Calvert!F39+Wheatland!F39)+1/12*(SUM(Brownsville:Wilton!G39))</f>
        <v>60752.88865252817</v>
      </c>
      <c r="I8" s="253">
        <f>1/2*(SUM(Brownsville:Wilton!G39))</f>
        <v>61186.05800257979</v>
      </c>
      <c r="J8" s="253">
        <f>5/12*(SUM(Brownsville:Wilton!G39))+1/12*(SUM(Brownsville:Wilton!H39))</f>
        <v>61143.437721549417</v>
      </c>
      <c r="K8" s="253">
        <f>1/2*(SUM(Brownsville:Wilton!H39))</f>
        <v>60930.336316397508</v>
      </c>
      <c r="L8" s="253">
        <f>5/12*(SUM(Brownsville:Wilton!H39))+1/12*(SUM(Brownsville:Wilton!I39))</f>
        <v>66412.916942758995</v>
      </c>
      <c r="M8" s="253">
        <f>1/2*(SUM(Brownsville:Wilton!I39))</f>
        <v>93825.820074566436</v>
      </c>
      <c r="N8" s="253">
        <f>5/12*(SUM(Brownsville:Wilton!I39))+1/12*(SUM(Brownsville:Wilton!J39))</f>
        <v>94030.608576722909</v>
      </c>
      <c r="O8" s="253">
        <f>1/2*(SUM(Brownsville:Wilton!J39))</f>
        <v>95054.551087505286</v>
      </c>
      <c r="P8" s="253">
        <f>5/12*(SUM(Brownsville:Wilton!J39))+1/12*(SUM(Brownsville:Wilton!K39))</f>
        <v>95344.791986507102</v>
      </c>
      <c r="Q8" s="253">
        <f>1/2*(SUM(Brownsville:Wilton!K39))</f>
        <v>96795.996481516137</v>
      </c>
      <c r="R8" s="253">
        <f>5/12*(SUM(Brownsville:Wilton!K39))+1/12*(SUM(Brownsville:Wilton!L39))</f>
        <v>96895.668967712176</v>
      </c>
      <c r="S8" s="253">
        <f>1/2*(SUM(Brownsville:Wilton!L39))</f>
        <v>97394.031398692328</v>
      </c>
      <c r="T8" s="253">
        <f>5/12*(SUM(Brownsville:Wilton!L39))+1/12*(SUM(Brownsville:Wilton!M39))</f>
        <v>97761.955350623568</v>
      </c>
      <c r="U8" s="253">
        <f>1/2*(SUM(Brownsville:Wilton!M39))</f>
        <v>99601.575110279722</v>
      </c>
      <c r="V8" s="253">
        <f>5/12*(SUM(Brownsville:Wilton!M39))+1/12*(SUM(Brownsville:Wilton!N39))</f>
        <v>99766.106975363873</v>
      </c>
      <c r="W8" s="253">
        <f>1/2*(SUM(Brownsville:Wilton!N39))</f>
        <v>100588.76630078463</v>
      </c>
      <c r="X8" s="253">
        <f>5/12*(SUM(Brownsville:Wilton!N39))+1/12*(SUM(Brownsville:Wilton!O39))</f>
        <v>100978.63820309562</v>
      </c>
      <c r="Y8" s="253">
        <f>1/2*(SUM(Brownsville:Wilton!O39))</f>
        <v>102927.99771465058</v>
      </c>
      <c r="Z8" s="253">
        <f>5/12*(SUM(Brownsville:Wilton!O39))+1/12*(SUM(Brownsville:Wilton!P39))</f>
        <v>102993.82361540025</v>
      </c>
      <c r="AA8" s="253">
        <f>1/2*(SUM(Brownsville:Wilton!P39))</f>
        <v>103322.95311914859</v>
      </c>
      <c r="AB8" s="253">
        <f>5/12*(SUM(Brownsville:Wilton!P39))+1/12*(SUM(Brownsville:Wilton!Q39))</f>
        <v>103720.33910188286</v>
      </c>
      <c r="AC8" s="253">
        <f>1/2*(SUM(Brownsville:Wilton!Q39))</f>
        <v>105707.26901555419</v>
      </c>
      <c r="AD8" s="253">
        <f>5/12*(SUM(Brownsville:Wilton!Q39))+1/12*(SUM(Brownsville:Wilton!R39))</f>
        <v>105881.62306735691</v>
      </c>
      <c r="AE8" s="253">
        <f>1/2*(SUM(Brownsville:Wilton!R39))</f>
        <v>106753.39332637048</v>
      </c>
      <c r="AF8" s="253">
        <f>5/12*(SUM(Brownsville:Wilton!R39))+1/12*(SUM(Brownsville:Wilton!S39))</f>
        <v>106864.12340659565</v>
      </c>
      <c r="AG8" s="253">
        <f>1/2*(SUM(Brownsville:Wilton!S39))</f>
        <v>107417.7738077215</v>
      </c>
      <c r="AH8" s="253">
        <f>5/12*(SUM(Brownsville:Wilton!S39))+1/12*(SUM(Brownsville:Wilton!T39))</f>
        <v>107553.8417952708</v>
      </c>
      <c r="AI8" s="253">
        <f>1/2*(SUM(Brownsville:Wilton!T39))</f>
        <v>108234.18173301728</v>
      </c>
      <c r="AJ8" s="253">
        <f>5/12*(SUM(Brownsville:Wilton!T39))+1/12*(SUM(Brownsville:Wilton!U39))</f>
        <v>108394.08519102693</v>
      </c>
      <c r="AK8" s="253">
        <f>1/2*(SUM(Brownsville:Wilton!U39))</f>
        <v>109193.60248107514</v>
      </c>
      <c r="AL8" s="253">
        <f>5/12*(SUM(Brownsville:Wilton!U39))+1/12*(SUM(Brownsville:Wilton!V39))</f>
        <v>109353.45292459962</v>
      </c>
      <c r="AM8" s="253">
        <f>1/2*(SUM(Brownsville:Wilton!V39))</f>
        <v>110152.70514222205</v>
      </c>
      <c r="AN8" s="253">
        <f>5/12*(SUM(Brownsville:Wilton!V39))+1/12*(SUM(Brownsville:Wilton!W39))</f>
        <v>110309.85503389129</v>
      </c>
      <c r="AO8" s="253">
        <f>1/2*(SUM(Brownsville:Wilton!W39))</f>
        <v>111095.60449223744</v>
      </c>
      <c r="AP8" s="253">
        <f>5/12*(SUM(Brownsville:Wilton!W39))+1/12*(SUM(Brownsville:Wilton!X39))</f>
        <v>111230.36285774928</v>
      </c>
      <c r="AQ8" s="253">
        <f>1/2*(SUM(Brownsville:Wilton!X39))</f>
        <v>111904.15468530843</v>
      </c>
      <c r="AR8" s="253">
        <f>5/12*(SUM(Brownsville:Wilton!X39))+1/12*(SUM(Brownsville:Wilton!Y39))</f>
        <v>111844.09642078959</v>
      </c>
      <c r="AS8" s="253">
        <f>1/2*(SUM(Brownsville:Wilton!Y39))</f>
        <v>111543.80509819536</v>
      </c>
      <c r="AT8" s="253">
        <f>5/12*(SUM(Brownsville:Wilton!Y39))+1/12*(SUM(Brownsville:Wilton!Z39))</f>
        <v>111788.8148305428</v>
      </c>
      <c r="AU8" s="253">
        <f>11/12*(SUM(Brownsville:Wilton!Z39))</f>
        <v>207192.08306917993</v>
      </c>
      <c r="AV8" s="761">
        <f ca="1">SUM(D8:AU8)</f>
        <v>4103004.7212266615</v>
      </c>
      <c r="AW8" s="235"/>
      <c r="AX8" s="235"/>
      <c r="AY8" s="235"/>
      <c r="AZ8" s="235"/>
      <c r="BA8" s="235"/>
      <c r="BB8" s="235"/>
      <c r="BC8" s="235"/>
      <c r="BD8" s="235"/>
      <c r="BE8" s="235"/>
      <c r="BF8" s="235"/>
      <c r="BG8" s="235"/>
      <c r="BH8" s="235"/>
      <c r="BI8" s="235"/>
      <c r="BJ8" s="235"/>
      <c r="BK8" s="235"/>
      <c r="BL8" s="235"/>
      <c r="BM8" s="235"/>
      <c r="BN8" s="235"/>
      <c r="BO8" s="235"/>
      <c r="BP8" s="235"/>
      <c r="BQ8" s="235"/>
      <c r="BR8" s="235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</row>
    <row r="9" spans="1:81">
      <c r="D9" s="235"/>
      <c r="E9" s="235"/>
      <c r="AS9" s="7"/>
      <c r="AT9" s="7"/>
      <c r="AU9" s="7"/>
      <c r="AV9" s="761"/>
    </row>
    <row r="10" spans="1:81">
      <c r="A10" s="22" t="s">
        <v>402</v>
      </c>
      <c r="D10" s="235">
        <v>0</v>
      </c>
      <c r="E10" s="235">
        <f ca="1">SUM(CF!D12:E12)</f>
        <v>-1147.6255684761672</v>
      </c>
      <c r="F10" s="235">
        <v>0</v>
      </c>
      <c r="G10" s="235">
        <v>0</v>
      </c>
      <c r="H10" s="235">
        <v>0</v>
      </c>
      <c r="I10" s="235">
        <v>0</v>
      </c>
      <c r="J10" s="235">
        <v>0</v>
      </c>
      <c r="K10" s="235">
        <v>0</v>
      </c>
      <c r="L10" s="22">
        <v>0</v>
      </c>
      <c r="M10" s="235">
        <v>0</v>
      </c>
      <c r="N10" s="22">
        <v>0</v>
      </c>
      <c r="O10" s="235">
        <v>0</v>
      </c>
      <c r="P10" s="22">
        <v>0</v>
      </c>
      <c r="Q10" s="235">
        <v>0</v>
      </c>
      <c r="R10" s="22">
        <v>0</v>
      </c>
      <c r="S10" s="235">
        <v>0</v>
      </c>
      <c r="T10" s="22">
        <v>0</v>
      </c>
      <c r="U10" s="235">
        <v>0</v>
      </c>
      <c r="V10" s="22">
        <v>0</v>
      </c>
      <c r="W10" s="235">
        <v>0</v>
      </c>
      <c r="X10" s="22">
        <v>0</v>
      </c>
      <c r="Y10" s="235">
        <v>0</v>
      </c>
      <c r="Z10" s="22">
        <v>0</v>
      </c>
      <c r="AA10" s="235">
        <v>0</v>
      </c>
      <c r="AB10" s="22">
        <v>0</v>
      </c>
      <c r="AC10" s="235">
        <v>0</v>
      </c>
      <c r="AD10" s="22">
        <v>0</v>
      </c>
      <c r="AE10" s="235">
        <v>0</v>
      </c>
      <c r="AF10" s="22">
        <v>0</v>
      </c>
      <c r="AG10" s="235">
        <v>0</v>
      </c>
      <c r="AH10" s="22">
        <v>0</v>
      </c>
      <c r="AI10" s="235">
        <v>0</v>
      </c>
      <c r="AJ10" s="22">
        <v>0</v>
      </c>
      <c r="AK10" s="235">
        <v>0</v>
      </c>
      <c r="AL10" s="22">
        <v>0</v>
      </c>
      <c r="AM10" s="235">
        <v>0</v>
      </c>
      <c r="AN10" s="22">
        <v>0</v>
      </c>
      <c r="AO10" s="235">
        <v>0</v>
      </c>
      <c r="AP10" s="22">
        <v>0</v>
      </c>
      <c r="AQ10" s="235">
        <v>0</v>
      </c>
      <c r="AR10" s="22">
        <v>0</v>
      </c>
      <c r="AS10" s="253">
        <v>0</v>
      </c>
      <c r="AT10" s="253">
        <v>0</v>
      </c>
      <c r="AU10" s="7">
        <v>0</v>
      </c>
      <c r="AV10" s="761">
        <f ca="1">SUM(D10:AU10)</f>
        <v>-1147.6255684761672</v>
      </c>
      <c r="AW10" s="235"/>
      <c r="AX10" s="235"/>
      <c r="AY10" s="235"/>
      <c r="AZ10" s="235"/>
      <c r="BA10" s="235"/>
      <c r="BB10" s="235"/>
      <c r="BC10" s="235"/>
      <c r="BD10" s="235"/>
      <c r="BE10" s="235"/>
      <c r="BF10" s="235"/>
      <c r="BG10" s="235"/>
      <c r="BH10" s="235"/>
      <c r="BI10" s="235"/>
      <c r="BJ10" s="235"/>
      <c r="BK10" s="235"/>
    </row>
    <row r="11" spans="1:81">
      <c r="A11" s="22" t="s">
        <v>433</v>
      </c>
      <c r="D11" s="235">
        <f>-D8</f>
        <v>0</v>
      </c>
      <c r="E11" s="235">
        <f>-D11</f>
        <v>0</v>
      </c>
      <c r="F11" s="235">
        <v>0</v>
      </c>
      <c r="G11" s="235">
        <v>0</v>
      </c>
      <c r="H11" s="235">
        <v>0</v>
      </c>
      <c r="I11" s="235">
        <v>0</v>
      </c>
      <c r="J11" s="235">
        <v>0</v>
      </c>
      <c r="K11" s="235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7">
        <v>0</v>
      </c>
      <c r="AT11" s="7">
        <v>0</v>
      </c>
      <c r="AU11" s="7">
        <v>0</v>
      </c>
      <c r="AV11" s="761">
        <f>SUM(D11:AU11)</f>
        <v>0</v>
      </c>
    </row>
    <row r="12" spans="1:81" s="23" customFormat="1">
      <c r="A12" s="22" t="s">
        <v>380</v>
      </c>
      <c r="B12" s="22"/>
      <c r="C12" s="22"/>
      <c r="D12" s="280">
        <v>0</v>
      </c>
      <c r="E12" s="280">
        <f>CF!E14</f>
        <v>3218.4117874286217</v>
      </c>
      <c r="F12" s="280">
        <v>0</v>
      </c>
      <c r="G12" s="280">
        <f>CF!G14</f>
        <v>14796.182913946746</v>
      </c>
      <c r="H12" s="280">
        <v>0</v>
      </c>
      <c r="I12" s="280">
        <v>0</v>
      </c>
      <c r="J12" s="280">
        <v>0</v>
      </c>
      <c r="K12" s="280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7">
        <v>0</v>
      </c>
      <c r="AT12" s="7">
        <v>0</v>
      </c>
      <c r="AU12" s="7">
        <v>0</v>
      </c>
      <c r="AV12" s="761">
        <f>SUM(D12:AU12)</f>
        <v>18014.594701375368</v>
      </c>
    </row>
    <row r="13" spans="1:81">
      <c r="A13" s="22" t="s">
        <v>354</v>
      </c>
      <c r="D13" s="235">
        <v>0</v>
      </c>
      <c r="E13" s="235">
        <f>-Debt!C31-Debt!B41-Debt!C54-Debt!B64-Debt!C77-Debt!B87</f>
        <v>-722.25</v>
      </c>
      <c r="F13" s="235">
        <v>0</v>
      </c>
      <c r="G13" s="235">
        <f>-(Debt!C36+Debt!C59+Debt!C82)</f>
        <v>-7944.75</v>
      </c>
      <c r="H13" s="235">
        <f>-HLOOKUP(H$2,Debt!$A$17:$V$115,94)-I13</f>
        <v>-11768.625</v>
      </c>
      <c r="I13" s="235">
        <f>-(Debt!D36+Debt!D59+Debt!D82)</f>
        <v>-13908.375</v>
      </c>
      <c r="J13" s="235">
        <f>-HLOOKUP(J$2,Debt!$A$17:$V$115,94)-K13</f>
        <v>-13648.5</v>
      </c>
      <c r="K13" s="235">
        <f>-(Debt!E36+Debt!E59+Debt!E82)</f>
        <v>-13648.5</v>
      </c>
      <c r="L13" s="235">
        <f>-HLOOKUP(L$2,Debt!$A$17:$V$115,94)-M13</f>
        <v>-19359</v>
      </c>
      <c r="M13" s="235">
        <f>-(Debt!F36+Debt!F59+Debt!F82)</f>
        <v>0</v>
      </c>
      <c r="N13" s="235">
        <f>-HLOOKUP(N$2,Debt!$A$17:$V$115,94)-O13</f>
        <v>-9012.9166666666661</v>
      </c>
      <c r="O13" s="235">
        <f>-(Debt!G36+Debt!G59+Debt!G82)</f>
        <v>-12618.083333333334</v>
      </c>
      <c r="P13" s="235">
        <f>-HLOOKUP(P$2,Debt!$A$17:$V$115,94)-Q13</f>
        <v>-12707</v>
      </c>
      <c r="Q13" s="235">
        <f>-(Debt!H36+Debt!H59+Debt!H82)</f>
        <v>-12707</v>
      </c>
      <c r="R13" s="235">
        <f>-HLOOKUP(R$2,Debt!$A$17:$V$115,94)-S13</f>
        <v>-14259</v>
      </c>
      <c r="S13" s="235">
        <f>-(Debt!I36+Debt!I59+Debt!I82)</f>
        <v>-14259</v>
      </c>
      <c r="T13" s="235">
        <f>-HLOOKUP(T$2,Debt!$A$17:$V$115,94)-U13</f>
        <v>-16684</v>
      </c>
      <c r="U13" s="235">
        <f>-(Debt!J36+Debt!J59+Debt!J82)</f>
        <v>-16684</v>
      </c>
      <c r="V13" s="235">
        <f>-HLOOKUP(V$2,Debt!$A$17:$V$115,94)-W13</f>
        <v>-18915</v>
      </c>
      <c r="W13" s="235">
        <f>-(Debt!K36+Debt!K59+Debt!K82)</f>
        <v>-18915</v>
      </c>
      <c r="X13" s="235">
        <f>-HLOOKUP(X$2,Debt!$A$17:$V$115,94)-Y13</f>
        <v>-23619.500000000004</v>
      </c>
      <c r="Y13" s="235">
        <f>-(Debt!L36+Debt!L59+Debt!L82)</f>
        <v>-23619.500000000004</v>
      </c>
      <c r="Z13" s="235">
        <f>-HLOOKUP(Z$2,Debt!$A$17:$V$115,94)-AA13</f>
        <v>-16215.120178840541</v>
      </c>
      <c r="AA13" s="235">
        <f>-(Debt!M36+Debt!M59+Debt!M82)</f>
        <v>-16215.120178840541</v>
      </c>
      <c r="AB13" s="235">
        <f>-HLOOKUP(AB$2,Debt!$A$17:$V$115,94)-AC13</f>
        <v>-18025.353956455132</v>
      </c>
      <c r="AC13" s="235">
        <f>-(Debt!N36+Debt!N59+Debt!N82)</f>
        <v>-18025.353956455132</v>
      </c>
      <c r="AD13" s="235">
        <f>-HLOOKUP(AD$2,Debt!$A$17:$V$115,94)-AE13</f>
        <v>-19857.431227552912</v>
      </c>
      <c r="AE13" s="235">
        <f>-(Debt!O36+Debt!O59+Debt!O82)</f>
        <v>-19857.431227552912</v>
      </c>
      <c r="AF13" s="235">
        <f>-HLOOKUP(AF$2,Debt!$A$17:$V$115,94)-AG13</f>
        <v>-21175.849212312987</v>
      </c>
      <c r="AG13" s="235">
        <f>-(Debt!P36+Debt!P59+Debt!P82)</f>
        <v>-21175.849212312987</v>
      </c>
      <c r="AH13" s="235">
        <f>-HLOOKUP(AH$2,Debt!$A$17:$V$115,94)-AI13</f>
        <v>-22629.377568050826</v>
      </c>
      <c r="AI13" s="235">
        <f>-(Debt!Q36+Debt!Q59+Debt!Q82)</f>
        <v>-22629.377568050826</v>
      </c>
      <c r="AJ13" s="235">
        <f>-HLOOKUP(AJ$2,Debt!$A$17:$V$115,94)-AK13</f>
        <v>-24662.038321089542</v>
      </c>
      <c r="AK13" s="235">
        <f>-(Debt!R36+Debt!R59+Debt!R82)</f>
        <v>-24662.038321089542</v>
      </c>
      <c r="AL13" s="235">
        <f>-HLOOKUP(AL$2,Debt!$A$17:$V$115,94)-AM13</f>
        <v>-25143.443280479903</v>
      </c>
      <c r="AM13" s="235">
        <f>-(Debt!S36+Debt!S59+Debt!S82)</f>
        <v>-25143.443280479903</v>
      </c>
      <c r="AN13" s="235">
        <f>-HLOOKUP(AN$2,Debt!$A$17:$V$115,94)-AO13</f>
        <v>-24559.860592428802</v>
      </c>
      <c r="AO13" s="235">
        <f>-(Debt!T36+Debt!T59+Debt!T82)</f>
        <v>-24559.860592428802</v>
      </c>
      <c r="AP13" s="235">
        <f>-HLOOKUP(AP$2,Debt!$A$17:$V$115,94)-AQ13</f>
        <v>-21652.909949802073</v>
      </c>
      <c r="AQ13" s="235">
        <f>-(Debt!U36+Debt!U59+Debt!U82)</f>
        <v>-21652.909949802073</v>
      </c>
      <c r="AR13" s="235">
        <f>-HLOOKUP(AR$2,Debt!$A$17:$V$115,94)-AS13</f>
        <v>-18578.615712987288</v>
      </c>
      <c r="AS13" s="253">
        <f>-(Debt!V36+Debt!V59+Debt!V82)</f>
        <v>-18578.615712987288</v>
      </c>
      <c r="AT13" s="253">
        <v>0</v>
      </c>
      <c r="AU13" s="253">
        <v>0</v>
      </c>
      <c r="AV13" s="761">
        <f>SUM(D13:AU13)</f>
        <v>-700000</v>
      </c>
    </row>
    <row r="14" spans="1:81">
      <c r="A14" s="22" t="s">
        <v>353</v>
      </c>
      <c r="D14" s="280">
        <v>0</v>
      </c>
      <c r="E14" s="280">
        <f>-Debt!B42-Debt!C32-Debt!B65-Debt!C55-Debt!B88-Debt!C78</f>
        <v>-5819.9541666666664</v>
      </c>
      <c r="F14" s="280">
        <v>0</v>
      </c>
      <c r="G14" s="280">
        <f>-(Debt!C37+Debt!C60+Debt!C83)</f>
        <v>-34890.148862500006</v>
      </c>
      <c r="H14" s="280">
        <f>-HLOOKUP(H$2,Debt!$A$17:$V$115,92)-I14</f>
        <v>-34564.811349999996</v>
      </c>
      <c r="I14" s="280">
        <f>-(Debt!D37+Debt!D60+Debt!D83)</f>
        <v>-34082.886156250002</v>
      </c>
      <c r="J14" s="280">
        <f>-HLOOKUP(J$2,Debt!$A$17:$V$115,92)-K14</f>
        <v>-33513.338200000006</v>
      </c>
      <c r="K14" s="280">
        <f>-(Debt!E37+Debt!E60+Debt!E83)</f>
        <v>-32954.432124999999</v>
      </c>
      <c r="L14" s="280">
        <f>-HLOOKUP(L$2,Debt!$A$17:$V$115,92)-M14</f>
        <v>-32395.52605</v>
      </c>
      <c r="M14" s="280">
        <f>-(Debt!F37+Debt!F60+Debt!F83)</f>
        <v>-31602.775000000001</v>
      </c>
      <c r="N14" s="280">
        <f>-HLOOKUP(N$2,Debt!$A$17:$V$115,92)-O14</f>
        <v>-31602.775000000001</v>
      </c>
      <c r="O14" s="280">
        <f>-(Debt!G37+Debt!G60+Debt!G83)</f>
        <v>-31164.74725</v>
      </c>
      <c r="P14" s="280">
        <f>-HLOOKUP(P$2,Debt!$A$17:$V$115,92)-Q14</f>
        <v>-30551.508400000006</v>
      </c>
      <c r="Q14" s="280">
        <f>-(Debt!H37+Debt!H60+Debt!H83)</f>
        <v>-29933.948199999999</v>
      </c>
      <c r="R14" s="280">
        <f>-HLOOKUP(R$2,Debt!$A$17:$V$115,92)-S14</f>
        <v>-29316.387999999999</v>
      </c>
      <c r="S14" s="280">
        <f>-(Debt!I37+Debt!I60+Debt!I83)</f>
        <v>-28623.400600000001</v>
      </c>
      <c r="T14" s="280">
        <f>-HLOOKUP(T$2,Debt!$A$17:$V$115,92)-U14</f>
        <v>-27930.413200000003</v>
      </c>
      <c r="U14" s="280">
        <f>-(Debt!J37+Debt!J60+Debt!J83)</f>
        <v>-27119.570800000001</v>
      </c>
      <c r="V14" s="280">
        <f>-HLOOKUP(V$2,Debt!$A$17:$V$115,92)-W14</f>
        <v>-26308.7284</v>
      </c>
      <c r="W14" s="280">
        <f>-(Debt!K37+Debt!K60+Debt!K83)</f>
        <v>-25389.4594</v>
      </c>
      <c r="X14" s="280">
        <f>-HLOOKUP(X$2,Debt!$A$17:$V$115,92)-Y14</f>
        <v>-24470.190399999999</v>
      </c>
      <c r="Y14" s="280">
        <f>-(Debt!L37+Debt!L60+Debt!L83)</f>
        <v>-19626.553533333332</v>
      </c>
      <c r="Z14" s="280">
        <f>-HLOOKUP(Z$2,Debt!$A$17:$V$115,92)-AA14</f>
        <v>-25870.104166666672</v>
      </c>
      <c r="AA14" s="280">
        <f>-(Debt!M37+Debt!M60+Debt!M83)</f>
        <v>-21328.351104668996</v>
      </c>
      <c r="AB14" s="280">
        <f>-HLOOKUP(AB$2,Debt!$A$17:$V$115,92)-AC14</f>
        <v>-20482.327209337993</v>
      </c>
      <c r="AC14" s="280">
        <f>-(Debt!N37+Debt!N60+Debt!N83)</f>
        <v>-19541.854366659943</v>
      </c>
      <c r="AD14" s="280">
        <f>-HLOOKUP(AD$2,Debt!$A$17:$V$115,92)-AE14</f>
        <v>-18601.381523981898</v>
      </c>
      <c r="AE14" s="280">
        <f>-(Debt!O37+Debt!O60+Debt!O83)</f>
        <v>-17565.320049684324</v>
      </c>
      <c r="AF14" s="280">
        <f>-HLOOKUP(AF$2,Debt!$A$17:$V$115,92)-AG14</f>
        <v>-16529.25857538675</v>
      </c>
      <c r="AG14" s="280">
        <f>-(Debt!P37+Debt!P60+Debt!P83)</f>
        <v>-15424.408642734317</v>
      </c>
      <c r="AH14" s="280">
        <f>-HLOOKUP(AH$2,Debt!$A$17:$V$115,92)-AI14</f>
        <v>-14319.558710081883</v>
      </c>
      <c r="AI14" s="280">
        <f>-(Debt!Q37+Debt!Q60+Debt!Q83)</f>
        <v>-13138.870935468834</v>
      </c>
      <c r="AJ14" s="280">
        <f>-HLOOKUP(AJ$2,Debt!$A$17:$V$115,92)-AK14</f>
        <v>-11958.183160855786</v>
      </c>
      <c r="AK14" s="280">
        <f>-(Debt!R37+Debt!R60+Debt!R83)</f>
        <v>-10671.441311452936</v>
      </c>
      <c r="AL14" s="280">
        <f>-HLOOKUP(AL$2,Debt!$A$17:$V$115,92)-AM14</f>
        <v>-9384.6994620500918</v>
      </c>
      <c r="AM14" s="280">
        <f>-(Debt!S37+Debt!S60+Debt!S83)</f>
        <v>-8072.84030889105</v>
      </c>
      <c r="AN14" s="280">
        <f>-HLOOKUP(AN$2,Debt!$A$17:$V$115,92)-AO14</f>
        <v>-6760.9811557320118</v>
      </c>
      <c r="AO14" s="280">
        <f>-(Debt!T37+Debt!T60+Debt!T83)</f>
        <v>-5479.5704293220388</v>
      </c>
      <c r="AP14" s="280">
        <f>-HLOOKUP(AP$2,Debt!$A$17:$V$115,92)-AQ14</f>
        <v>-4198.1597029120667</v>
      </c>
      <c r="AQ14" s="280">
        <f>-(Debt!U37+Debt!U60+Debt!U83)</f>
        <v>-3068.4191262811428</v>
      </c>
      <c r="AR14" s="280">
        <f>-HLOOKUP(AR$2,Debt!$A$17:$V$115,92)-AS14</f>
        <v>-1938.6785496502198</v>
      </c>
      <c r="AS14" s="187">
        <f>-(Debt!V37+Debt!V60+Debt!V83)</f>
        <v>-969.33927482510796</v>
      </c>
      <c r="AT14" s="187">
        <v>0</v>
      </c>
      <c r="AU14" s="187">
        <v>0</v>
      </c>
      <c r="AV14" s="771">
        <f>SUM(D14:AU14)</f>
        <v>-817165.30286039412</v>
      </c>
      <c r="AW14" s="235"/>
      <c r="AX14" s="235"/>
      <c r="AY14" s="235"/>
      <c r="AZ14" s="235"/>
      <c r="BA14" s="235"/>
      <c r="BB14" s="235"/>
      <c r="BC14" s="235"/>
      <c r="BD14" s="235"/>
      <c r="BE14" s="235"/>
      <c r="BF14" s="235"/>
      <c r="BG14" s="235"/>
      <c r="BH14" s="235"/>
      <c r="BI14" s="235"/>
      <c r="BJ14" s="235"/>
      <c r="BK14" s="235"/>
    </row>
    <row r="15" spans="1:81">
      <c r="D15" s="118"/>
      <c r="E15" s="734"/>
      <c r="F15" s="734"/>
      <c r="G15" s="734"/>
      <c r="H15" s="734"/>
      <c r="I15" s="734"/>
      <c r="J15" s="734"/>
      <c r="K15" s="734"/>
      <c r="L15" s="734"/>
      <c r="M15" s="734"/>
      <c r="N15" s="734"/>
      <c r="O15" s="734"/>
      <c r="P15" s="734"/>
      <c r="Q15" s="734"/>
      <c r="R15" s="734"/>
      <c r="S15" s="734"/>
      <c r="T15" s="734"/>
      <c r="U15" s="734"/>
      <c r="V15" s="734"/>
      <c r="W15" s="734"/>
      <c r="X15" s="734"/>
      <c r="Y15" s="734"/>
      <c r="Z15" s="734"/>
      <c r="AA15" s="734"/>
      <c r="AB15" s="734"/>
      <c r="AC15" s="734"/>
      <c r="AD15" s="734"/>
      <c r="AE15" s="734"/>
      <c r="AF15" s="734"/>
      <c r="AG15" s="734"/>
      <c r="AH15" s="734"/>
      <c r="AI15" s="734"/>
      <c r="AJ15" s="734"/>
      <c r="AK15" s="734"/>
      <c r="AL15" s="734"/>
      <c r="AM15" s="734"/>
      <c r="AN15" s="734"/>
      <c r="AO15" s="734"/>
      <c r="AP15" s="734"/>
      <c r="AQ15" s="734"/>
      <c r="AR15" s="734"/>
      <c r="AS15" s="767"/>
      <c r="AT15" s="767"/>
      <c r="AU15" s="767"/>
      <c r="AV15" s="772"/>
    </row>
    <row r="16" spans="1:81">
      <c r="A16" s="21" t="s">
        <v>194</v>
      </c>
      <c r="D16" s="428">
        <f>SUM(D8:D14)</f>
        <v>0</v>
      </c>
      <c r="E16" s="428">
        <f ca="1">SUM(E8:E14)</f>
        <v>0</v>
      </c>
      <c r="F16" s="428">
        <v>0</v>
      </c>
      <c r="G16" s="428">
        <f ca="1">SUM(G8:G15)</f>
        <v>6650.4972514236069</v>
      </c>
      <c r="H16" s="428">
        <f t="shared" ref="H16:AS16" ca="1" si="0">SUM(H8:H15)</f>
        <v>14419.452302528174</v>
      </c>
      <c r="I16" s="428">
        <f t="shared" si="0"/>
        <v>13194.796846329788</v>
      </c>
      <c r="J16" s="428">
        <f t="shared" si="0"/>
        <v>13981.599521549411</v>
      </c>
      <c r="K16" s="428">
        <f t="shared" si="0"/>
        <v>14327.404191397509</v>
      </c>
      <c r="L16" s="428">
        <f t="shared" si="0"/>
        <v>14658.390892758995</v>
      </c>
      <c r="M16" s="428">
        <f t="shared" si="0"/>
        <v>62223.045074566435</v>
      </c>
      <c r="N16" s="428">
        <f t="shared" si="0"/>
        <v>53414.916910056236</v>
      </c>
      <c r="O16" s="428">
        <f t="shared" si="0"/>
        <v>51271.720504171957</v>
      </c>
      <c r="P16" s="428">
        <f t="shared" si="0"/>
        <v>52086.283586507096</v>
      </c>
      <c r="Q16" s="428">
        <f t="shared" si="0"/>
        <v>54155.048281516138</v>
      </c>
      <c r="R16" s="428">
        <f t="shared" si="0"/>
        <v>53320.280967712177</v>
      </c>
      <c r="S16" s="428">
        <f t="shared" si="0"/>
        <v>54511.630798692328</v>
      </c>
      <c r="T16" s="428">
        <f t="shared" si="0"/>
        <v>53147.542150623565</v>
      </c>
      <c r="U16" s="428">
        <f t="shared" si="0"/>
        <v>55798.004310279721</v>
      </c>
      <c r="V16" s="428">
        <f t="shared" si="0"/>
        <v>54542.378575363873</v>
      </c>
      <c r="W16" s="428">
        <f t="shared" si="0"/>
        <v>56284.306900784628</v>
      </c>
      <c r="X16" s="428">
        <f t="shared" si="0"/>
        <v>52888.947803095616</v>
      </c>
      <c r="Y16" s="428">
        <f t="shared" si="0"/>
        <v>59681.944181317253</v>
      </c>
      <c r="Z16" s="428">
        <f t="shared" si="0"/>
        <v>60908.599269893035</v>
      </c>
      <c r="AA16" s="428">
        <f t="shared" si="0"/>
        <v>65779.481835639046</v>
      </c>
      <c r="AB16" s="428">
        <f t="shared" si="0"/>
        <v>65212.65793608973</v>
      </c>
      <c r="AC16" s="428">
        <f t="shared" si="0"/>
        <v>68140.060692439118</v>
      </c>
      <c r="AD16" s="428">
        <f t="shared" si="0"/>
        <v>67422.810315822106</v>
      </c>
      <c r="AE16" s="428">
        <f t="shared" si="0"/>
        <v>69330.642049133254</v>
      </c>
      <c r="AF16" s="428">
        <f t="shared" si="0"/>
        <v>69159.015618895923</v>
      </c>
      <c r="AG16" s="428">
        <f t="shared" si="0"/>
        <v>70817.515952674206</v>
      </c>
      <c r="AH16" s="428">
        <f t="shared" si="0"/>
        <v>70604.90551713809</v>
      </c>
      <c r="AI16" s="428">
        <f t="shared" si="0"/>
        <v>72465.933229497619</v>
      </c>
      <c r="AJ16" s="428">
        <f t="shared" si="0"/>
        <v>71773.863709081605</v>
      </c>
      <c r="AK16" s="428">
        <f t="shared" si="0"/>
        <v>73860.122848532672</v>
      </c>
      <c r="AL16" s="428">
        <f t="shared" si="0"/>
        <v>74825.310182069632</v>
      </c>
      <c r="AM16" s="428">
        <f t="shared" si="0"/>
        <v>76936.421552851098</v>
      </c>
      <c r="AN16" s="428">
        <f t="shared" si="0"/>
        <v>78989.013285730485</v>
      </c>
      <c r="AO16" s="428">
        <f t="shared" si="0"/>
        <v>81056.17347048661</v>
      </c>
      <c r="AP16" s="428">
        <f t="shared" si="0"/>
        <v>85379.293205035152</v>
      </c>
      <c r="AQ16" s="428">
        <f t="shared" si="0"/>
        <v>87182.825609225227</v>
      </c>
      <c r="AR16" s="428">
        <f t="shared" si="0"/>
        <v>91326.802158152073</v>
      </c>
      <c r="AS16" s="259">
        <f t="shared" si="0"/>
        <v>91995.850110382962</v>
      </c>
      <c r="AT16" s="259">
        <f>SUM(AT8:AT15)</f>
        <v>111788.8148305428</v>
      </c>
      <c r="AU16" s="259">
        <f>SUM(AU8:AU15)</f>
        <v>207192.08306917993</v>
      </c>
      <c r="AV16" s="762">
        <f ca="1">SUM(D16:AU16)</f>
        <v>2602706.3874991671</v>
      </c>
    </row>
    <row r="17" spans="1:63">
      <c r="A17" s="21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  <c r="AS17" s="253"/>
      <c r="AT17" s="253"/>
      <c r="AU17" s="253"/>
      <c r="AV17" s="761"/>
    </row>
    <row r="18" spans="1:63">
      <c r="A18" s="22" t="s">
        <v>409</v>
      </c>
      <c r="D18" s="235">
        <v>0</v>
      </c>
      <c r="E18" s="235">
        <v>0</v>
      </c>
      <c r="F18" s="235">
        <v>0</v>
      </c>
      <c r="G18" s="253">
        <v>0</v>
      </c>
      <c r="H18" s="235">
        <v>0</v>
      </c>
      <c r="I18" s="235">
        <v>0</v>
      </c>
      <c r="J18" s="235">
        <v>0</v>
      </c>
      <c r="K18" s="235">
        <v>0</v>
      </c>
      <c r="L18" s="235">
        <v>0</v>
      </c>
      <c r="M18" s="235">
        <v>0</v>
      </c>
      <c r="N18" s="235">
        <v>0</v>
      </c>
      <c r="O18" s="235">
        <v>0</v>
      </c>
      <c r="P18" s="235">
        <v>0</v>
      </c>
      <c r="Q18" s="235">
        <v>0</v>
      </c>
      <c r="R18" s="235">
        <v>0</v>
      </c>
      <c r="S18" s="235">
        <v>0</v>
      </c>
      <c r="T18" s="235">
        <v>0</v>
      </c>
      <c r="U18" s="235">
        <v>0</v>
      </c>
      <c r="V18" s="235">
        <v>0</v>
      </c>
      <c r="W18" s="235">
        <v>0</v>
      </c>
      <c r="X18" s="235">
        <v>0</v>
      </c>
      <c r="Y18" s="235">
        <v>0</v>
      </c>
      <c r="Z18" s="235">
        <v>0</v>
      </c>
      <c r="AA18" s="235">
        <v>0</v>
      </c>
      <c r="AB18" s="235">
        <v>0</v>
      </c>
      <c r="AC18" s="235">
        <v>0</v>
      </c>
      <c r="AD18" s="235">
        <v>0</v>
      </c>
      <c r="AE18" s="235">
        <v>0</v>
      </c>
      <c r="AF18" s="235">
        <v>0</v>
      </c>
      <c r="AG18" s="235">
        <v>0</v>
      </c>
      <c r="AH18" s="235">
        <v>0</v>
      </c>
      <c r="AI18" s="235">
        <v>0</v>
      </c>
      <c r="AJ18" s="235">
        <v>0</v>
      </c>
      <c r="AK18" s="235">
        <v>0</v>
      </c>
      <c r="AL18" s="235">
        <v>0</v>
      </c>
      <c r="AM18" s="235">
        <v>0</v>
      </c>
      <c r="AN18" s="235">
        <v>0</v>
      </c>
      <c r="AO18" s="235">
        <v>0</v>
      </c>
      <c r="AP18" s="235">
        <v>0</v>
      </c>
      <c r="AQ18" s="235">
        <v>0</v>
      </c>
      <c r="AR18" s="235">
        <v>0</v>
      </c>
      <c r="AS18" s="253">
        <v>0</v>
      </c>
      <c r="AT18" s="253">
        <v>0</v>
      </c>
      <c r="AU18" s="253">
        <v>0</v>
      </c>
      <c r="AV18" s="761">
        <f>SUM(D18:AU18)</f>
        <v>0</v>
      </c>
      <c r="AW18" s="235"/>
      <c r="AX18" s="235"/>
      <c r="AY18" s="235"/>
      <c r="AZ18" s="235"/>
      <c r="BA18" s="235"/>
      <c r="BB18" s="235"/>
      <c r="BC18" s="235"/>
      <c r="BD18" s="235"/>
      <c r="BE18" s="235"/>
      <c r="BF18" s="235"/>
      <c r="BG18" s="235"/>
      <c r="BH18" s="235"/>
      <c r="BI18" s="235"/>
      <c r="BJ18" s="235"/>
      <c r="BK18" s="235"/>
    </row>
    <row r="19" spans="1:63"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53"/>
      <c r="AT19" s="253"/>
      <c r="AU19" s="253"/>
      <c r="AV19" s="761"/>
    </row>
    <row r="20" spans="1:63">
      <c r="A20" s="21" t="s">
        <v>408</v>
      </c>
      <c r="D20" s="428">
        <f>D16+D18</f>
        <v>0</v>
      </c>
      <c r="E20" s="428">
        <f t="shared" ref="E20:AS20" ca="1" si="1">E16+E18</f>
        <v>0</v>
      </c>
      <c r="F20" s="428">
        <f t="shared" si="1"/>
        <v>0</v>
      </c>
      <c r="G20" s="428">
        <f t="shared" ca="1" si="1"/>
        <v>6650.4972514236069</v>
      </c>
      <c r="H20" s="428">
        <f t="shared" ca="1" si="1"/>
        <v>14419.452302528174</v>
      </c>
      <c r="I20" s="428">
        <f t="shared" si="1"/>
        <v>13194.796846329788</v>
      </c>
      <c r="J20" s="428">
        <f t="shared" si="1"/>
        <v>13981.599521549411</v>
      </c>
      <c r="K20" s="428">
        <f t="shared" si="1"/>
        <v>14327.404191397509</v>
      </c>
      <c r="L20" s="428">
        <f t="shared" si="1"/>
        <v>14658.390892758995</v>
      </c>
      <c r="M20" s="428">
        <f t="shared" si="1"/>
        <v>62223.045074566435</v>
      </c>
      <c r="N20" s="428">
        <f t="shared" si="1"/>
        <v>53414.916910056236</v>
      </c>
      <c r="O20" s="428">
        <f t="shared" si="1"/>
        <v>51271.720504171957</v>
      </c>
      <c r="P20" s="428">
        <f t="shared" si="1"/>
        <v>52086.283586507096</v>
      </c>
      <c r="Q20" s="428">
        <f t="shared" si="1"/>
        <v>54155.048281516138</v>
      </c>
      <c r="R20" s="428">
        <f t="shared" si="1"/>
        <v>53320.280967712177</v>
      </c>
      <c r="S20" s="428">
        <f t="shared" si="1"/>
        <v>54511.630798692328</v>
      </c>
      <c r="T20" s="428">
        <f t="shared" si="1"/>
        <v>53147.542150623565</v>
      </c>
      <c r="U20" s="428">
        <f t="shared" si="1"/>
        <v>55798.004310279721</v>
      </c>
      <c r="V20" s="428">
        <f t="shared" si="1"/>
        <v>54542.378575363873</v>
      </c>
      <c r="W20" s="428">
        <f t="shared" si="1"/>
        <v>56284.306900784628</v>
      </c>
      <c r="X20" s="428">
        <f t="shared" si="1"/>
        <v>52888.947803095616</v>
      </c>
      <c r="Y20" s="428">
        <f t="shared" si="1"/>
        <v>59681.944181317253</v>
      </c>
      <c r="Z20" s="428">
        <f t="shared" si="1"/>
        <v>60908.599269893035</v>
      </c>
      <c r="AA20" s="428">
        <f t="shared" si="1"/>
        <v>65779.481835639046</v>
      </c>
      <c r="AB20" s="428">
        <f t="shared" si="1"/>
        <v>65212.65793608973</v>
      </c>
      <c r="AC20" s="428">
        <f t="shared" si="1"/>
        <v>68140.060692439118</v>
      </c>
      <c r="AD20" s="428">
        <f t="shared" si="1"/>
        <v>67422.810315822106</v>
      </c>
      <c r="AE20" s="428">
        <f t="shared" si="1"/>
        <v>69330.642049133254</v>
      </c>
      <c r="AF20" s="428">
        <f t="shared" si="1"/>
        <v>69159.015618895923</v>
      </c>
      <c r="AG20" s="428">
        <f t="shared" si="1"/>
        <v>70817.515952674206</v>
      </c>
      <c r="AH20" s="428">
        <f t="shared" si="1"/>
        <v>70604.90551713809</v>
      </c>
      <c r="AI20" s="428">
        <f t="shared" si="1"/>
        <v>72465.933229497619</v>
      </c>
      <c r="AJ20" s="428">
        <f t="shared" si="1"/>
        <v>71773.863709081605</v>
      </c>
      <c r="AK20" s="428">
        <f t="shared" si="1"/>
        <v>73860.122848532672</v>
      </c>
      <c r="AL20" s="428">
        <f t="shared" si="1"/>
        <v>74825.310182069632</v>
      </c>
      <c r="AM20" s="428">
        <f t="shared" si="1"/>
        <v>76936.421552851098</v>
      </c>
      <c r="AN20" s="428">
        <f t="shared" si="1"/>
        <v>78989.013285730485</v>
      </c>
      <c r="AO20" s="428">
        <f t="shared" si="1"/>
        <v>81056.17347048661</v>
      </c>
      <c r="AP20" s="428">
        <f t="shared" si="1"/>
        <v>85379.293205035152</v>
      </c>
      <c r="AQ20" s="428">
        <f t="shared" si="1"/>
        <v>87182.825609225227</v>
      </c>
      <c r="AR20" s="428">
        <f t="shared" si="1"/>
        <v>91326.802158152073</v>
      </c>
      <c r="AS20" s="259">
        <f t="shared" si="1"/>
        <v>91995.850110382962</v>
      </c>
      <c r="AT20" s="259">
        <f>AT16+AT18</f>
        <v>111788.8148305428</v>
      </c>
      <c r="AU20" s="259">
        <f>AU16+AU18</f>
        <v>207192.08306917993</v>
      </c>
      <c r="AV20" s="762">
        <f ca="1">SUM(D20:AU20)</f>
        <v>2602706.3874991671</v>
      </c>
    </row>
    <row r="21" spans="1:63"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  <c r="AP21" s="235"/>
      <c r="AQ21" s="235"/>
      <c r="AR21" s="235"/>
      <c r="AS21" s="253"/>
      <c r="AT21" s="253"/>
      <c r="AU21" s="253"/>
      <c r="AV21" s="761"/>
    </row>
    <row r="22" spans="1:63">
      <c r="A22" s="4" t="s">
        <v>195</v>
      </c>
      <c r="D22" s="22">
        <v>0</v>
      </c>
      <c r="E22" s="235">
        <v>0</v>
      </c>
      <c r="F22" s="235">
        <v>0</v>
      </c>
      <c r="G22" s="235">
        <f ca="1">1/2*(Brownsville!F69+Caledonia!F69+'New Albany'!F69)+2/7*(Calvert!F69+Wheatland!F69+Wilton!F69)</f>
        <v>0</v>
      </c>
      <c r="H22" s="235">
        <f ca="1">5/12*(Brownsville!F69+Caledonia!F69+'New Albany'!F69)+5/7*(Calvert!F69+Wheatland!F69+Wilton!F69)+1/12*(SUM(Brownsville:Wilton!G69))</f>
        <v>0</v>
      </c>
      <c r="I22" s="235">
        <f>1/2*(SUM(Brownsville:Wilton!G69))</f>
        <v>0</v>
      </c>
      <c r="J22" s="235">
        <f>5/12*(SUM(Brownsville:Wilton!G69))+1/12*(SUM(Brownsville:Wilton!H69))</f>
        <v>0</v>
      </c>
      <c r="K22" s="235">
        <f>1/2*(SUM(Brownsville:Wilton!H69))</f>
        <v>0</v>
      </c>
      <c r="L22" s="235">
        <f ca="1">5/12*(SUM(Brownsville:Wilton!H69))+1/12*(SUM(Brownsville:Wilton!I69))</f>
        <v>0</v>
      </c>
      <c r="M22" s="235">
        <f ca="1">1/2*(SUM(Brownsville:Wilton!I69))</f>
        <v>0</v>
      </c>
      <c r="N22" s="235">
        <f ca="1">5/12*(SUM(Brownsville:Wilton!I69))+1/12*(SUM(Brownsville:Wilton!J69))</f>
        <v>0</v>
      </c>
      <c r="O22" s="235">
        <f ca="1">1/2*(SUM(Brownsville:Wilton!J69))</f>
        <v>0</v>
      </c>
      <c r="P22" s="235">
        <f ca="1">5/12*(SUM(Brownsville:Wilton!J69))+1/12*(SUM(Brownsville:Wilton!K69))</f>
        <v>0</v>
      </c>
      <c r="Q22" s="235">
        <f ca="1">1/2*(SUM(Brownsville:Wilton!K69))</f>
        <v>0</v>
      </c>
      <c r="R22" s="235">
        <f ca="1">5/12*(SUM(Brownsville:Wilton!K69))+1/12*(SUM(Brownsville:Wilton!L69))</f>
        <v>-328.21590229855394</v>
      </c>
      <c r="S22" s="235">
        <f ca="1">1/2*(SUM(Brownsville:Wilton!L69))</f>
        <v>-1969.2954137913237</v>
      </c>
      <c r="T22" s="235">
        <f ca="1">5/12*(SUM(Brownsville:Wilton!L69))+1/12*(SUM(Brownsville:Wilton!M69))</f>
        <v>-2012.397103740082</v>
      </c>
      <c r="U22" s="235">
        <f ca="1">1/2*(SUM(Brownsville:Wilton!M69))</f>
        <v>-2227.905553483874</v>
      </c>
      <c r="V22" s="235">
        <f ca="1">5/12*(SUM(Brownsville:Wilton!M69))+1/12*(SUM(Brownsville:Wilton!N69))</f>
        <v>-2256.5111489490773</v>
      </c>
      <c r="W22" s="235">
        <f ca="1">1/2*(SUM(Brownsville:Wilton!N69))</f>
        <v>-2399.5391262750923</v>
      </c>
      <c r="X22" s="235">
        <f ca="1">5/12*(SUM(Brownsville:Wilton!N69))+1/12*(SUM(Brownsville:Wilton!O69))</f>
        <v>-2444.4936409623624</v>
      </c>
      <c r="Y22" s="235">
        <f ca="1">1/2*(SUM(Brownsville:Wilton!O69))</f>
        <v>-2669.2662143987127</v>
      </c>
      <c r="Z22" s="235">
        <f ca="1">5/12*(SUM(Brownsville:Wilton!O69))+1/12*(SUM(Brownsville:Wilton!P69))</f>
        <v>-2693.1428433040355</v>
      </c>
      <c r="AA22" s="235">
        <f ca="1">1/2*(SUM(Brownsville:Wilton!P69))</f>
        <v>-2812.5259878306506</v>
      </c>
      <c r="AB22" s="235">
        <f ca="1">5/12*(SUM(Brownsville:Wilton!P69))+1/12*(SUM(Brownsville:Wilton!Q69))</f>
        <v>-2854.6307817387697</v>
      </c>
      <c r="AC22" s="235">
        <f ca="1">1/2*(SUM(Brownsville:Wilton!Q69))</f>
        <v>-3065.1547512793636</v>
      </c>
      <c r="AD22" s="235">
        <f ca="1">5/12*(SUM(Brownsville:Wilton!Q69))+1/12*(SUM(Brownsville:Wilton!R69))</f>
        <v>-3096.8210204422967</v>
      </c>
      <c r="AE22" s="235">
        <f ca="1">1/2*(SUM(Brownsville:Wilton!R69))</f>
        <v>-3255.1523662569643</v>
      </c>
      <c r="AF22" s="235">
        <f ca="1">5/12*(SUM(Brownsville:Wilton!R69))+1/12*(SUM(Brownsville:Wilton!S69))</f>
        <v>-3283.288650844614</v>
      </c>
      <c r="AG22" s="235">
        <f ca="1">1/2*(SUM(Brownsville:Wilton!S69))</f>
        <v>-3423.9700737828616</v>
      </c>
      <c r="AH22" s="235">
        <f ca="1">5/12*(SUM(Brownsville:Wilton!S69))+1/12*(SUM(Brownsville:Wilton!T69))</f>
        <v>-3456.3754283634021</v>
      </c>
      <c r="AI22" s="235">
        <f ca="1">1/2*(SUM(Brownsville:Wilton!T69))</f>
        <v>-3618.402201266103</v>
      </c>
      <c r="AJ22" s="235">
        <f ca="1">5/12*(SUM(Brownsville:Wilton!T69))+1/12*(SUM(Brownsville:Wilton!U69))</f>
        <v>-3834.9451900942404</v>
      </c>
      <c r="AK22" s="235">
        <f ca="1">1/2*(SUM(Brownsville:Wilton!U69))</f>
        <v>-4917.6601342349286</v>
      </c>
      <c r="AL22" s="235">
        <f ca="1">5/12*(SUM(Brownsville:Wilton!U69))+1/12*(SUM(Brownsville:Wilton!V69))</f>
        <v>-5135.2590849842982</v>
      </c>
      <c r="AM22" s="235">
        <f ca="1">1/2*(SUM(Brownsville:Wilton!V69))</f>
        <v>-6223.2538387311433</v>
      </c>
      <c r="AN22" s="235">
        <f ca="1">5/12*(SUM(Brownsville:Wilton!V69))+1/12*(SUM(Brownsville:Wilton!W69))</f>
        <v>-6259.0985102026862</v>
      </c>
      <c r="AO22" s="235">
        <f>1/2*(SUM(Brownsville:Wilton!W69))</f>
        <v>-6438.3218675603985</v>
      </c>
      <c r="AP22" s="235">
        <f>5/12*(SUM(Brownsville:Wilton!W69))+1/12*(SUM(Brownsville:Wilton!X69))</f>
        <v>-6470.5386336005477</v>
      </c>
      <c r="AQ22" s="235">
        <f>1/2*(SUM(Brownsville:Wilton!X69))</f>
        <v>-6631.6224638012927</v>
      </c>
      <c r="AR22" s="235">
        <f>5/12*(SUM(Brownsville:Wilton!X69))+1/12*(SUM(Brownsville:Wilton!Y69))</f>
        <v>-6648.7544450894975</v>
      </c>
      <c r="AS22" s="253">
        <f>1/2*(SUM(Brownsville:Wilton!Y69))</f>
        <v>-6734.4143515305213</v>
      </c>
      <c r="AT22" s="253">
        <f ca="1">5/12*(SUM(Brownsville:Wilton!Y69))+1/12*(SUM(Brownsville:Wilton!Z69))</f>
        <v>-6760.8838012975348</v>
      </c>
      <c r="AU22" s="253">
        <f ca="1">11/12*(SUM(Brownsville:Wilton!Z69))</f>
        <v>-12637.590258576436</v>
      </c>
      <c r="AV22" s="761">
        <f ca="1">SUM(D22:AU22)</f>
        <v>-126559.43078871167</v>
      </c>
    </row>
    <row r="23" spans="1:63">
      <c r="A23" s="4" t="s">
        <v>196</v>
      </c>
      <c r="D23" s="284">
        <f>CF!D25</f>
        <v>0</v>
      </c>
      <c r="E23" s="284">
        <f ca="1">CF!E25</f>
        <v>302.86231476729512</v>
      </c>
      <c r="F23" s="284">
        <v>0</v>
      </c>
      <c r="G23" s="284">
        <f ca="1">1/2*(-Tax!E39)*Allocation!$I$10+2/7*(-Tax!E39)*Allocation!$I$15</f>
        <v>3101.7775166150223</v>
      </c>
      <c r="H23" s="284">
        <f ca="1">5/12*(-Tax!E39)*Allocation!$I$10+5/7*(-Tax!E39)*Allocation!$I$15+1/12*(SUM(Brownsville:Wilton!G70))</f>
        <v>6512.8523386163652</v>
      </c>
      <c r="I23" s="284">
        <f>1/2*(SUM(Brownsville:Wilton!G70))</f>
        <v>10722.190168510555</v>
      </c>
      <c r="J23" s="284">
        <f>5/12*(SUM(Brownsville:Wilton!G70))+1/12*(SUM(Brownsville:Wilton!H70))</f>
        <v>10336.802347164819</v>
      </c>
      <c r="K23" s="284">
        <f>1/2*(SUM(Brownsville:Wilton!H70))</f>
        <v>8409.8632404361379</v>
      </c>
      <c r="L23" s="284">
        <f ca="1">5/12*(SUM(Brownsville:Wilton!H70))+1/12*(SUM(Brownsville:Wilton!I70))</f>
        <v>6126.9981947494762</v>
      </c>
      <c r="M23" s="284">
        <f ca="1">1/2*(SUM(Brownsville:Wilton!I70))</f>
        <v>-5287.3270336838332</v>
      </c>
      <c r="N23" s="284">
        <f ca="1">5/12*(SUM(Brownsville:Wilton!I70))+1/12*(SUM(Brownsville:Wilton!J70))</f>
        <v>-5672.8006191142576</v>
      </c>
      <c r="O23" s="284">
        <f ca="1">1/2*(SUM(Brownsville:Wilton!J70))</f>
        <v>-7600.1685462663809</v>
      </c>
      <c r="P23" s="284">
        <f ca="1">5/12*(SUM(Brownsville:Wilton!J70))+1/12*(SUM(Brownsville:Wilton!K70))</f>
        <v>-8019.7058965312463</v>
      </c>
      <c r="Q23" s="284">
        <f ca="1">1/2*(SUM(Brownsville:Wilton!K70))</f>
        <v>-10117.392647855573</v>
      </c>
      <c r="R23" s="284">
        <f ca="1">5/12*(SUM(Brownsville:Wilton!K70))+1/12*(SUM(Brownsville:Wilton!L70))</f>
        <v>-10231.724786768185</v>
      </c>
      <c r="S23" s="284">
        <f ca="1">1/2*(SUM(Brownsville:Wilton!L70))</f>
        <v>-10803.385481331239</v>
      </c>
      <c r="T23" s="284">
        <f ca="1">5/12*(SUM(Brownsville:Wilton!L70))+1/12*(SUM(Brownsville:Wilton!M70))</f>
        <v>-11003.560815614544</v>
      </c>
      <c r="U23" s="284">
        <f ca="1">1/2*(SUM(Brownsville:Wilton!M70))</f>
        <v>-12004.437487031071</v>
      </c>
      <c r="V23" s="284">
        <f ca="1">5/12*(SUM(Brownsville:Wilton!M70))+1/12*(SUM(Brownsville:Wilton!N70))</f>
        <v>-12158.570628808266</v>
      </c>
      <c r="W23" s="284">
        <f ca="1">1/2*(SUM(Brownsville:Wilton!N70))</f>
        <v>-12929.236337694243</v>
      </c>
      <c r="X23" s="284">
        <f ca="1">5/12*(SUM(Brownsville:Wilton!N70))+1/12*(SUM(Brownsville:Wilton!O70))</f>
        <v>-13171.460995951984</v>
      </c>
      <c r="Y23" s="284">
        <f ca="1">1/2*(SUM(Brownsville:Wilton!O70))</f>
        <v>-14382.584287240688</v>
      </c>
      <c r="Z23" s="284">
        <f ca="1">5/12*(SUM(Brownsville:Wilton!O70))+1/12*(SUM(Brownsville:Wilton!P70))</f>
        <v>-14511.236733322516</v>
      </c>
      <c r="AA23" s="284">
        <f ca="1">1/2*(SUM(Brownsville:Wilton!P70))</f>
        <v>-15154.49896373165</v>
      </c>
      <c r="AB23" s="284">
        <f ca="1">5/12*(SUM(Brownsville:Wilton!P70))+1/12*(SUM(Brownsville:Wilton!Q70))</f>
        <v>-15381.368709436963</v>
      </c>
      <c r="AC23" s="284">
        <f ca="1">1/2*(SUM(Brownsville:Wilton!Q70))</f>
        <v>-16515.717437963525</v>
      </c>
      <c r="AD23" s="284">
        <f ca="1">5/12*(SUM(Brownsville:Wilton!Q70))+1/12*(SUM(Brownsville:Wilton!R70))</f>
        <v>-16686.342152291967</v>
      </c>
      <c r="AE23" s="284">
        <f ca="1">1/2*(SUM(Brownsville:Wilton!R70))</f>
        <v>-17539.465723934176</v>
      </c>
      <c r="AF23" s="284">
        <f ca="1">5/12*(SUM(Brownsville:Wilton!R70))+1/12*(SUM(Brownsville:Wilton!S70))</f>
        <v>-17691.070117092397</v>
      </c>
      <c r="AG23" s="284">
        <f ca="1">1/2*(SUM(Brownsville:Wilton!S70))</f>
        <v>-18449.092082883504</v>
      </c>
      <c r="AH23" s="284">
        <f ca="1">5/12*(SUM(Brownsville:Wilton!S70))+1/12*(SUM(Brownsville:Wilton!T70))</f>
        <v>-18623.699149461736</v>
      </c>
      <c r="AI23" s="284">
        <f ca="1">1/2*(SUM(Brownsville:Wilton!T70))</f>
        <v>-19496.734482352898</v>
      </c>
      <c r="AJ23" s="284">
        <f ca="1">5/12*(SUM(Brownsville:Wilton!T70))+1/12*(SUM(Brownsville:Wilton!U70))</f>
        <v>-20663.514989981388</v>
      </c>
      <c r="AK23" s="284">
        <f ca="1">1/2*(SUM(Brownsville:Wilton!U70))</f>
        <v>-26497.417528123835</v>
      </c>
      <c r="AL23" s="284">
        <f ca="1">5/12*(SUM(Brownsville:Wilton!U70))+1/12*(SUM(Brownsville:Wilton!V70))</f>
        <v>-27669.887787210726</v>
      </c>
      <c r="AM23" s="284">
        <f ca="1">1/2*(SUM(Brownsville:Wilton!V70))</f>
        <v>-33532.239082645174</v>
      </c>
      <c r="AN23" s="284">
        <f ca="1">5/12*(SUM(Brownsville:Wilton!V70))+1/12*(SUM(Brownsville:Wilton!W70))</f>
        <v>-33725.377933280215</v>
      </c>
      <c r="AO23" s="284">
        <f>1/2*(SUM(Brownsville:Wilton!W70))</f>
        <v>-34691.072186455407</v>
      </c>
      <c r="AP23" s="284">
        <f>5/12*(SUM(Brownsville:Wilton!W70))+1/12*(SUM(Brownsville:Wilton!X70))</f>
        <v>-34864.663097146622</v>
      </c>
      <c r="AQ23" s="284">
        <f>1/2*(SUM(Brownsville:Wilton!X70))</f>
        <v>-35732.61765060269</v>
      </c>
      <c r="AR23" s="284">
        <f>5/12*(SUM(Brownsville:Wilton!X70))+1/12*(SUM(Brownsville:Wilton!Y70))</f>
        <v>-35824.928475036708</v>
      </c>
      <c r="AS23" s="768">
        <f>1/2*(SUM(Brownsville:Wilton!Y70))</f>
        <v>-36286.482597206821</v>
      </c>
      <c r="AT23" s="768">
        <f ca="1">5/12*(SUM(Brownsville:Wilton!Y70))+1/12*(SUM(Brownsville:Wilton!Z70))</f>
        <v>-36429.105723464279</v>
      </c>
      <c r="AU23" s="768">
        <f ca="1">11/12*(SUM(Brownsville:Wilton!Z70))</f>
        <v>-68094.072483711221</v>
      </c>
      <c r="AV23" s="773">
        <f ca="1">SUM(D23:AU23)</f>
        <v>-681929.61453036824</v>
      </c>
      <c r="AX23" s="235"/>
    </row>
    <row r="24" spans="1:63"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  <c r="AP24" s="235"/>
      <c r="AQ24" s="235"/>
      <c r="AR24" s="235"/>
      <c r="AS24" s="7"/>
      <c r="AT24" s="253"/>
      <c r="AU24" s="253"/>
      <c r="AV24" s="761"/>
    </row>
    <row r="25" spans="1:63">
      <c r="A25" s="21" t="s">
        <v>197</v>
      </c>
      <c r="D25" s="428">
        <f>D20+SUM(D22:D23)</f>
        <v>0</v>
      </c>
      <c r="E25" s="428">
        <f ca="1">E20+SUM(E22:E23)</f>
        <v>302.86231476729512</v>
      </c>
      <c r="F25" s="428">
        <f>F20+SUM(F22:F23)</f>
        <v>0</v>
      </c>
      <c r="G25" s="428">
        <f ca="1">G20+SUM(G22:G23)</f>
        <v>9752.2747680386292</v>
      </c>
      <c r="H25" s="428">
        <f ca="1">H20+SUM(H22:H23)</f>
        <v>20932.304641144539</v>
      </c>
      <c r="I25" s="428">
        <f t="shared" ref="I25:AS25" si="2">I20+SUM(I22:I23)</f>
        <v>23916.987014840342</v>
      </c>
      <c r="J25" s="428">
        <f t="shared" si="2"/>
        <v>24318.401868714231</v>
      </c>
      <c r="K25" s="428">
        <f t="shared" si="2"/>
        <v>22737.267431833647</v>
      </c>
      <c r="L25" s="428">
        <f t="shared" ca="1" si="2"/>
        <v>20785.389087508469</v>
      </c>
      <c r="M25" s="428">
        <f t="shared" ca="1" si="2"/>
        <v>56935.718040882603</v>
      </c>
      <c r="N25" s="428">
        <f t="shared" ca="1" si="2"/>
        <v>47742.11629094198</v>
      </c>
      <c r="O25" s="428">
        <f t="shared" ca="1" si="2"/>
        <v>43671.551957905576</v>
      </c>
      <c r="P25" s="428">
        <f t="shared" ca="1" si="2"/>
        <v>44066.577689975849</v>
      </c>
      <c r="Q25" s="428">
        <f t="shared" ca="1" si="2"/>
        <v>44037.655633660564</v>
      </c>
      <c r="R25" s="428">
        <f t="shared" ca="1" si="2"/>
        <v>42760.340278645439</v>
      </c>
      <c r="S25" s="428">
        <f t="shared" ca="1" si="2"/>
        <v>41738.949903569766</v>
      </c>
      <c r="T25" s="428">
        <f t="shared" ca="1" si="2"/>
        <v>40131.584231268935</v>
      </c>
      <c r="U25" s="428">
        <f t="shared" ca="1" si="2"/>
        <v>41565.66126976478</v>
      </c>
      <c r="V25" s="428">
        <f t="shared" ca="1" si="2"/>
        <v>40127.296797606527</v>
      </c>
      <c r="W25" s="428">
        <f t="shared" ca="1" si="2"/>
        <v>40955.53143681529</v>
      </c>
      <c r="X25" s="428">
        <f t="shared" ca="1" si="2"/>
        <v>37272.993166181273</v>
      </c>
      <c r="Y25" s="428">
        <f t="shared" ca="1" si="2"/>
        <v>42630.093679677855</v>
      </c>
      <c r="Z25" s="428">
        <f t="shared" ca="1" si="2"/>
        <v>43704.219693266481</v>
      </c>
      <c r="AA25" s="428">
        <f t="shared" ca="1" si="2"/>
        <v>47812.456884076746</v>
      </c>
      <c r="AB25" s="428">
        <f t="shared" ca="1" si="2"/>
        <v>46976.658444913999</v>
      </c>
      <c r="AC25" s="428">
        <f t="shared" ca="1" si="2"/>
        <v>48559.18850319623</v>
      </c>
      <c r="AD25" s="428">
        <f t="shared" ca="1" si="2"/>
        <v>47639.647143087845</v>
      </c>
      <c r="AE25" s="428">
        <f t="shared" ca="1" si="2"/>
        <v>48536.023958942111</v>
      </c>
      <c r="AF25" s="428">
        <f t="shared" ca="1" si="2"/>
        <v>48184.656850958912</v>
      </c>
      <c r="AG25" s="428">
        <f t="shared" ca="1" si="2"/>
        <v>48944.453796007845</v>
      </c>
      <c r="AH25" s="428">
        <f t="shared" ca="1" si="2"/>
        <v>48524.830939312953</v>
      </c>
      <c r="AI25" s="428">
        <f t="shared" ca="1" si="2"/>
        <v>49350.79654587862</v>
      </c>
      <c r="AJ25" s="428">
        <f t="shared" ca="1" si="2"/>
        <v>47275.403529005976</v>
      </c>
      <c r="AK25" s="428">
        <f t="shared" ca="1" si="2"/>
        <v>42445.045186173913</v>
      </c>
      <c r="AL25" s="428">
        <f t="shared" ca="1" si="2"/>
        <v>42020.16330987461</v>
      </c>
      <c r="AM25" s="428">
        <f t="shared" ca="1" si="2"/>
        <v>37180.928631474781</v>
      </c>
      <c r="AN25" s="428">
        <f t="shared" ca="1" si="2"/>
        <v>39004.536842247588</v>
      </c>
      <c r="AO25" s="428">
        <f t="shared" si="2"/>
        <v>39926.779416470803</v>
      </c>
      <c r="AP25" s="428">
        <f t="shared" si="2"/>
        <v>44044.091474287983</v>
      </c>
      <c r="AQ25" s="428">
        <f t="shared" si="2"/>
        <v>44818.585494821244</v>
      </c>
      <c r="AR25" s="428">
        <f t="shared" si="2"/>
        <v>48853.119238025865</v>
      </c>
      <c r="AS25" s="259">
        <f t="shared" si="2"/>
        <v>48974.953161645622</v>
      </c>
      <c r="AT25" s="259">
        <f ca="1">AT20+SUM(AT22:AT23)</f>
        <v>68598.825305780992</v>
      </c>
      <c r="AU25" s="259">
        <f ca="1">AU20+SUM(AU22:AU23)</f>
        <v>126460.42032689227</v>
      </c>
      <c r="AV25" s="762">
        <f ca="1">SUM(D25:AU25)</f>
        <v>1794217.342180087</v>
      </c>
    </row>
    <row r="26" spans="1:63">
      <c r="AS26" s="7"/>
      <c r="AT26" s="7"/>
      <c r="AU26" s="7"/>
      <c r="AV26" s="761"/>
    </row>
    <row r="27" spans="1:63">
      <c r="A27" s="118" t="s">
        <v>193</v>
      </c>
      <c r="B27" s="118"/>
      <c r="C27" s="118"/>
      <c r="D27" s="734" t="s">
        <v>239</v>
      </c>
      <c r="E27" s="734">
        <f ca="1">-SUM(E10:E14)</f>
        <v>4471.4179477142116</v>
      </c>
      <c r="F27" s="118">
        <v>0</v>
      </c>
      <c r="G27" s="734">
        <f>-SUM(G10:G14)</f>
        <v>28038.715948553261</v>
      </c>
      <c r="H27" s="734">
        <f t="shared" ref="H27:AS27" si="3">-SUM(H10:H14)</f>
        <v>46333.436349999996</v>
      </c>
      <c r="I27" s="734">
        <f t="shared" si="3"/>
        <v>47991.261156250002</v>
      </c>
      <c r="J27" s="734">
        <f t="shared" si="3"/>
        <v>47161.838200000006</v>
      </c>
      <c r="K27" s="734">
        <f t="shared" si="3"/>
        <v>46602.932124999999</v>
      </c>
      <c r="L27" s="734">
        <f t="shared" si="3"/>
        <v>51754.52605</v>
      </c>
      <c r="M27" s="734">
        <f t="shared" si="3"/>
        <v>31602.775000000001</v>
      </c>
      <c r="N27" s="734">
        <f t="shared" si="3"/>
        <v>40615.691666666666</v>
      </c>
      <c r="O27" s="734">
        <f t="shared" si="3"/>
        <v>43782.830583333336</v>
      </c>
      <c r="P27" s="734">
        <f t="shared" si="3"/>
        <v>43258.508400000006</v>
      </c>
      <c r="Q27" s="734">
        <f t="shared" si="3"/>
        <v>42640.948199999999</v>
      </c>
      <c r="R27" s="734">
        <f t="shared" si="3"/>
        <v>43575.387999999999</v>
      </c>
      <c r="S27" s="734">
        <f t="shared" si="3"/>
        <v>42882.400600000001</v>
      </c>
      <c r="T27" s="734">
        <f t="shared" si="3"/>
        <v>44614.413200000003</v>
      </c>
      <c r="U27" s="734">
        <f t="shared" si="3"/>
        <v>43803.570800000001</v>
      </c>
      <c r="V27" s="734">
        <f t="shared" si="3"/>
        <v>45223.7284</v>
      </c>
      <c r="W27" s="734">
        <f t="shared" si="3"/>
        <v>44304.4594</v>
      </c>
      <c r="X27" s="734">
        <f t="shared" si="3"/>
        <v>48089.690400000007</v>
      </c>
      <c r="Y27" s="734">
        <f t="shared" si="3"/>
        <v>43246.053533333339</v>
      </c>
      <c r="Z27" s="734">
        <f t="shared" si="3"/>
        <v>42085.224345507217</v>
      </c>
      <c r="AA27" s="734">
        <f t="shared" si="3"/>
        <v>37543.471283509542</v>
      </c>
      <c r="AB27" s="734">
        <f t="shared" si="3"/>
        <v>38507.681165793125</v>
      </c>
      <c r="AC27" s="734">
        <f t="shared" si="3"/>
        <v>37567.208323115075</v>
      </c>
      <c r="AD27" s="734">
        <f t="shared" si="3"/>
        <v>38458.81275153481</v>
      </c>
      <c r="AE27" s="734">
        <f t="shared" si="3"/>
        <v>37422.751277237236</v>
      </c>
      <c r="AF27" s="734">
        <f t="shared" si="3"/>
        <v>37705.107787699737</v>
      </c>
      <c r="AG27" s="734">
        <f t="shared" si="3"/>
        <v>36600.257855047304</v>
      </c>
      <c r="AH27" s="734">
        <f t="shared" si="3"/>
        <v>36948.936278132707</v>
      </c>
      <c r="AI27" s="734">
        <f t="shared" si="3"/>
        <v>35768.248503519659</v>
      </c>
      <c r="AJ27" s="734">
        <f t="shared" si="3"/>
        <v>36620.221481945329</v>
      </c>
      <c r="AK27" s="734">
        <f t="shared" si="3"/>
        <v>35333.479632542476</v>
      </c>
      <c r="AL27" s="734">
        <f t="shared" si="3"/>
        <v>34528.142742529992</v>
      </c>
      <c r="AM27" s="734">
        <f t="shared" si="3"/>
        <v>33216.283589370956</v>
      </c>
      <c r="AN27" s="734">
        <f t="shared" si="3"/>
        <v>31320.841748160812</v>
      </c>
      <c r="AO27" s="734">
        <f t="shared" si="3"/>
        <v>30039.431021750839</v>
      </c>
      <c r="AP27" s="734">
        <f t="shared" si="3"/>
        <v>25851.069652714141</v>
      </c>
      <c r="AQ27" s="734">
        <f t="shared" si="3"/>
        <v>24721.329076083217</v>
      </c>
      <c r="AR27" s="734">
        <f t="shared" si="3"/>
        <v>20517.294262637508</v>
      </c>
      <c r="AS27" s="767">
        <f t="shared" si="3"/>
        <v>19547.954987812394</v>
      </c>
      <c r="AT27" s="767">
        <f>-SUM(AT10:AT14)</f>
        <v>0</v>
      </c>
      <c r="AU27" s="767">
        <f>-SUM(AU10:AU14)</f>
        <v>0</v>
      </c>
      <c r="AV27" s="761">
        <f ca="1">SUM(E27:AU27)</f>
        <v>1500298.3337274948</v>
      </c>
    </row>
    <row r="28" spans="1:63">
      <c r="A28" s="120" t="s">
        <v>20</v>
      </c>
      <c r="B28" s="120"/>
      <c r="C28" s="120"/>
      <c r="D28" s="735"/>
      <c r="E28" s="735">
        <f ca="1">IF(E27=0,0,SUM(E8)/E27)</f>
        <v>1</v>
      </c>
      <c r="F28" s="120">
        <v>0</v>
      </c>
      <c r="G28" s="735">
        <f t="shared" ref="G28:AS28" ca="1" si="4">SUM(G8:G10)/G27</f>
        <v>1.2371897936990499</v>
      </c>
      <c r="H28" s="735">
        <f t="shared" ca="1" si="4"/>
        <v>1.3112105088343653</v>
      </c>
      <c r="I28" s="735">
        <f t="shared" si="4"/>
        <v>1.2749416566355727</v>
      </c>
      <c r="J28" s="735">
        <f t="shared" si="4"/>
        <v>1.2964600205415533</v>
      </c>
      <c r="K28" s="735">
        <f t="shared" si="4"/>
        <v>1.3074356813637402</v>
      </c>
      <c r="L28" s="735">
        <f t="shared" si="4"/>
        <v>1.28322915909997</v>
      </c>
      <c r="M28" s="735">
        <f t="shared" si="4"/>
        <v>2.9689108021231183</v>
      </c>
      <c r="N28" s="735">
        <f t="shared" si="4"/>
        <v>2.3151300573293923</v>
      </c>
      <c r="O28" s="735">
        <f t="shared" si="4"/>
        <v>2.1710462713593803</v>
      </c>
      <c r="P28" s="735">
        <f t="shared" si="4"/>
        <v>2.2040702630076603</v>
      </c>
      <c r="Q28" s="735">
        <f t="shared" si="4"/>
        <v>2.2700244850914486</v>
      </c>
      <c r="R28" s="735">
        <f t="shared" si="4"/>
        <v>2.2236329592225816</v>
      </c>
      <c r="S28" s="735">
        <f t="shared" si="4"/>
        <v>2.2711888801927831</v>
      </c>
      <c r="T28" s="735">
        <f t="shared" si="4"/>
        <v>2.1912639512341174</v>
      </c>
      <c r="U28" s="735">
        <f t="shared" si="4"/>
        <v>2.2738231904664659</v>
      </c>
      <c r="V28" s="735">
        <f t="shared" si="4"/>
        <v>2.2060566544390414</v>
      </c>
      <c r="W28" s="735">
        <f t="shared" si="4"/>
        <v>2.2703982322101108</v>
      </c>
      <c r="X28" s="735">
        <f t="shared" si="4"/>
        <v>2.099798051581875</v>
      </c>
      <c r="Y28" s="735">
        <f t="shared" si="4"/>
        <v>2.3800552722184323</v>
      </c>
      <c r="Z28" s="735">
        <f t="shared" si="4"/>
        <v>2.4472680190522804</v>
      </c>
      <c r="AA28" s="735">
        <f t="shared" si="4"/>
        <v>2.7520884347349037</v>
      </c>
      <c r="AB28" s="735">
        <f t="shared" si="4"/>
        <v>2.6934974000464869</v>
      </c>
      <c r="AC28" s="735">
        <f t="shared" si="4"/>
        <v>2.8138175215567611</v>
      </c>
      <c r="AD28" s="735">
        <f t="shared" si="4"/>
        <v>2.7531173089354244</v>
      </c>
      <c r="AE28" s="735">
        <f t="shared" si="4"/>
        <v>2.852633483185516</v>
      </c>
      <c r="AF28" s="735">
        <f t="shared" si="4"/>
        <v>2.8342081398705656</v>
      </c>
      <c r="AG28" s="735">
        <f t="shared" si="4"/>
        <v>2.9348911757163538</v>
      </c>
      <c r="AH28" s="735">
        <f t="shared" si="4"/>
        <v>2.910877893362354</v>
      </c>
      <c r="AI28" s="735">
        <f t="shared" si="4"/>
        <v>3.0259849520550843</v>
      </c>
      <c r="AJ28" s="735">
        <f t="shared" si="4"/>
        <v>2.9599516552478491</v>
      </c>
      <c r="AK28" s="735">
        <f t="shared" si="4"/>
        <v>3.0903721800585635</v>
      </c>
      <c r="AL28" s="735">
        <f t="shared" si="4"/>
        <v>3.1670818132335761</v>
      </c>
      <c r="AM28" s="735">
        <f t="shared" si="4"/>
        <v>3.3162260565920256</v>
      </c>
      <c r="AN28" s="735">
        <f t="shared" si="4"/>
        <v>3.5219313682835098</v>
      </c>
      <c r="AO28" s="735">
        <f t="shared" si="4"/>
        <v>3.6983258574969597</v>
      </c>
      <c r="AP28" s="735">
        <f t="shared" si="4"/>
        <v>4.3027373471206074</v>
      </c>
      <c r="AQ28" s="735">
        <f t="shared" si="4"/>
        <v>4.5266237240282807</v>
      </c>
      <c r="AR28" s="735">
        <f t="shared" si="4"/>
        <v>5.4512108170354807</v>
      </c>
      <c r="AS28" s="769">
        <f t="shared" si="4"/>
        <v>5.7061623667406547</v>
      </c>
      <c r="AT28" s="769" t="s">
        <v>239</v>
      </c>
      <c r="AU28" s="769" t="s">
        <v>239</v>
      </c>
      <c r="AV28" s="761"/>
    </row>
    <row r="29" spans="1:63">
      <c r="AS29" s="7"/>
      <c r="AT29" s="7"/>
      <c r="AU29" s="7"/>
      <c r="AV29" s="761"/>
    </row>
    <row r="30" spans="1:63" ht="18.75">
      <c r="A30" s="292" t="s">
        <v>200</v>
      </c>
      <c r="B30" s="439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8"/>
      <c r="AD30" s="8"/>
    </row>
    <row r="31" spans="1:63">
      <c r="D31" s="601"/>
      <c r="E31" s="601"/>
      <c r="F31" s="601"/>
      <c r="G31" s="601"/>
      <c r="H31" s="601"/>
      <c r="I31" s="601"/>
      <c r="J31" s="601"/>
      <c r="K31" s="601"/>
      <c r="L31" s="601"/>
      <c r="M31" s="601"/>
      <c r="N31" s="601"/>
      <c r="O31" s="601"/>
      <c r="P31" s="601"/>
      <c r="Q31" s="601"/>
      <c r="R31" s="601"/>
      <c r="S31" s="601"/>
      <c r="T31" s="601"/>
      <c r="U31" s="601"/>
      <c r="V31" s="601"/>
      <c r="W31" s="601"/>
      <c r="X31" s="601"/>
      <c r="Y31" s="601"/>
      <c r="Z31" s="601"/>
      <c r="AA31" s="601"/>
      <c r="AB31" s="8"/>
      <c r="AC31" s="8"/>
      <c r="AD31" s="8"/>
    </row>
    <row r="32" spans="1:63" ht="13.5" thickBot="1">
      <c r="A32" s="422" t="s">
        <v>164</v>
      </c>
      <c r="B32" s="422"/>
      <c r="C32" s="2"/>
      <c r="D32" s="803">
        <v>36525</v>
      </c>
      <c r="E32" s="803">
        <v>36571</v>
      </c>
      <c r="F32" s="803">
        <v>36616</v>
      </c>
      <c r="G32" s="803">
        <v>36753</v>
      </c>
      <c r="H32" s="803">
        <v>36937</v>
      </c>
      <c r="I32" s="803">
        <v>37118</v>
      </c>
      <c r="J32" s="803">
        <v>37302</v>
      </c>
      <c r="K32" s="803">
        <v>37483</v>
      </c>
      <c r="L32" s="803">
        <v>37667</v>
      </c>
      <c r="M32" s="803">
        <v>37848</v>
      </c>
      <c r="N32" s="803">
        <v>38032</v>
      </c>
      <c r="O32" s="803">
        <v>38214</v>
      </c>
      <c r="P32" s="803">
        <v>38398</v>
      </c>
      <c r="Q32" s="803">
        <v>38579</v>
      </c>
      <c r="R32" s="803">
        <v>38763</v>
      </c>
      <c r="S32" s="803">
        <v>38944</v>
      </c>
      <c r="T32" s="803">
        <v>39128</v>
      </c>
      <c r="U32" s="803">
        <v>39309</v>
      </c>
      <c r="V32" s="803">
        <v>39493</v>
      </c>
      <c r="W32" s="803">
        <v>39675</v>
      </c>
      <c r="X32" s="803">
        <v>39859</v>
      </c>
      <c r="Y32" s="803">
        <v>40040</v>
      </c>
      <c r="Z32" s="803">
        <v>40224</v>
      </c>
      <c r="AA32" s="803">
        <v>40405</v>
      </c>
      <c r="AB32" s="803">
        <v>40589</v>
      </c>
      <c r="AC32" s="803">
        <v>40770</v>
      </c>
      <c r="AD32" s="803">
        <v>40954</v>
      </c>
      <c r="AE32" s="803">
        <v>41136</v>
      </c>
      <c r="AF32" s="803">
        <v>41320</v>
      </c>
      <c r="AG32" s="803">
        <v>41501</v>
      </c>
      <c r="AH32" s="803">
        <v>41685</v>
      </c>
      <c r="AI32" s="803">
        <v>41866</v>
      </c>
      <c r="AJ32" s="803">
        <v>42050</v>
      </c>
      <c r="AK32" s="803">
        <v>42231</v>
      </c>
      <c r="AL32" s="803">
        <v>42415</v>
      </c>
      <c r="AM32" s="803">
        <v>42597</v>
      </c>
      <c r="AN32" s="803">
        <v>42781</v>
      </c>
      <c r="AO32" s="803">
        <v>42962</v>
      </c>
      <c r="AP32" s="803">
        <v>43146</v>
      </c>
      <c r="AQ32" s="803">
        <v>43327</v>
      </c>
      <c r="AR32" s="803">
        <v>43511</v>
      </c>
      <c r="AS32" s="602">
        <v>43692</v>
      </c>
      <c r="AT32" s="602">
        <v>43876</v>
      </c>
      <c r="AU32" s="602">
        <v>44196</v>
      </c>
    </row>
    <row r="33" spans="1:48">
      <c r="A33" s="492"/>
      <c r="B33" s="492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8"/>
      <c r="AC33" s="8"/>
      <c r="AD33" s="8"/>
    </row>
    <row r="34" spans="1:48">
      <c r="A34" s="14" t="s">
        <v>194</v>
      </c>
      <c r="B34" s="492"/>
      <c r="C34" s="3"/>
      <c r="D34" s="801">
        <f>D20</f>
        <v>0</v>
      </c>
      <c r="E34" s="801">
        <f t="shared" ref="E34:AU34" ca="1" si="5">E20</f>
        <v>0</v>
      </c>
      <c r="F34" s="801">
        <f t="shared" si="5"/>
        <v>0</v>
      </c>
      <c r="G34" s="801">
        <f t="shared" ca="1" si="5"/>
        <v>6650.4972514236069</v>
      </c>
      <c r="H34" s="801">
        <f t="shared" ca="1" si="5"/>
        <v>14419.452302528174</v>
      </c>
      <c r="I34" s="801">
        <f t="shared" si="5"/>
        <v>13194.796846329788</v>
      </c>
      <c r="J34" s="801">
        <f t="shared" si="5"/>
        <v>13981.599521549411</v>
      </c>
      <c r="K34" s="801">
        <f t="shared" si="5"/>
        <v>14327.404191397509</v>
      </c>
      <c r="L34" s="801">
        <f t="shared" si="5"/>
        <v>14658.390892758995</v>
      </c>
      <c r="M34" s="801">
        <f t="shared" si="5"/>
        <v>62223.045074566435</v>
      </c>
      <c r="N34" s="801">
        <f t="shared" si="5"/>
        <v>53414.916910056236</v>
      </c>
      <c r="O34" s="801">
        <f t="shared" si="5"/>
        <v>51271.720504171957</v>
      </c>
      <c r="P34" s="801">
        <f t="shared" si="5"/>
        <v>52086.283586507096</v>
      </c>
      <c r="Q34" s="801">
        <f t="shared" si="5"/>
        <v>54155.048281516138</v>
      </c>
      <c r="R34" s="801">
        <f t="shared" si="5"/>
        <v>53320.280967712177</v>
      </c>
      <c r="S34" s="801">
        <f t="shared" si="5"/>
        <v>54511.630798692328</v>
      </c>
      <c r="T34" s="801">
        <f t="shared" si="5"/>
        <v>53147.542150623565</v>
      </c>
      <c r="U34" s="801">
        <f t="shared" si="5"/>
        <v>55798.004310279721</v>
      </c>
      <c r="V34" s="801">
        <f t="shared" si="5"/>
        <v>54542.378575363873</v>
      </c>
      <c r="W34" s="801">
        <f t="shared" si="5"/>
        <v>56284.306900784628</v>
      </c>
      <c r="X34" s="801">
        <f t="shared" si="5"/>
        <v>52888.947803095616</v>
      </c>
      <c r="Y34" s="801">
        <f t="shared" si="5"/>
        <v>59681.944181317253</v>
      </c>
      <c r="Z34" s="801">
        <f t="shared" si="5"/>
        <v>60908.599269893035</v>
      </c>
      <c r="AA34" s="801">
        <f t="shared" si="5"/>
        <v>65779.481835639046</v>
      </c>
      <c r="AB34" s="801">
        <f t="shared" si="5"/>
        <v>65212.65793608973</v>
      </c>
      <c r="AC34" s="801">
        <f t="shared" si="5"/>
        <v>68140.060692439118</v>
      </c>
      <c r="AD34" s="801">
        <f t="shared" si="5"/>
        <v>67422.810315822106</v>
      </c>
      <c r="AE34" s="801">
        <f t="shared" si="5"/>
        <v>69330.642049133254</v>
      </c>
      <c r="AF34" s="801">
        <f t="shared" si="5"/>
        <v>69159.015618895923</v>
      </c>
      <c r="AG34" s="801">
        <f t="shared" si="5"/>
        <v>70817.515952674206</v>
      </c>
      <c r="AH34" s="801">
        <f t="shared" si="5"/>
        <v>70604.90551713809</v>
      </c>
      <c r="AI34" s="801">
        <f t="shared" si="5"/>
        <v>72465.933229497619</v>
      </c>
      <c r="AJ34" s="801">
        <f t="shared" si="5"/>
        <v>71773.863709081605</v>
      </c>
      <c r="AK34" s="801">
        <f t="shared" si="5"/>
        <v>73860.122848532672</v>
      </c>
      <c r="AL34" s="801">
        <f t="shared" si="5"/>
        <v>74825.310182069632</v>
      </c>
      <c r="AM34" s="801">
        <f t="shared" si="5"/>
        <v>76936.421552851098</v>
      </c>
      <c r="AN34" s="801">
        <f t="shared" si="5"/>
        <v>78989.013285730485</v>
      </c>
      <c r="AO34" s="801">
        <f t="shared" si="5"/>
        <v>81056.17347048661</v>
      </c>
      <c r="AP34" s="801">
        <f t="shared" si="5"/>
        <v>85379.293205035152</v>
      </c>
      <c r="AQ34" s="801">
        <f t="shared" si="5"/>
        <v>87182.825609225227</v>
      </c>
      <c r="AR34" s="801">
        <f t="shared" si="5"/>
        <v>91326.802158152073</v>
      </c>
      <c r="AS34" s="801">
        <f t="shared" si="5"/>
        <v>91995.850110382962</v>
      </c>
      <c r="AT34" s="801">
        <f t="shared" si="5"/>
        <v>111788.8148305428</v>
      </c>
      <c r="AU34" s="801">
        <f t="shared" si="5"/>
        <v>207192.08306917993</v>
      </c>
    </row>
    <row r="35" spans="1:48">
      <c r="A35" s="14"/>
      <c r="B35" s="492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8"/>
      <c r="AC35" s="8"/>
      <c r="AD35" s="8"/>
    </row>
    <row r="36" spans="1:48">
      <c r="A36" s="15" t="s">
        <v>201</v>
      </c>
      <c r="B36" s="492"/>
      <c r="C36" s="3"/>
      <c r="D36" s="802">
        <f>D22</f>
        <v>0</v>
      </c>
      <c r="E36" s="802">
        <f t="shared" ref="E36:AU36" si="6">E22</f>
        <v>0</v>
      </c>
      <c r="F36" s="802">
        <f t="shared" si="6"/>
        <v>0</v>
      </c>
      <c r="G36" s="802">
        <f t="shared" ca="1" si="6"/>
        <v>0</v>
      </c>
      <c r="H36" s="802">
        <f t="shared" ca="1" si="6"/>
        <v>0</v>
      </c>
      <c r="I36" s="802">
        <f t="shared" si="6"/>
        <v>0</v>
      </c>
      <c r="J36" s="802">
        <f t="shared" si="6"/>
        <v>0</v>
      </c>
      <c r="K36" s="802">
        <f t="shared" si="6"/>
        <v>0</v>
      </c>
      <c r="L36" s="802">
        <f t="shared" ca="1" si="6"/>
        <v>0</v>
      </c>
      <c r="M36" s="802">
        <f t="shared" ca="1" si="6"/>
        <v>0</v>
      </c>
      <c r="N36" s="802">
        <f t="shared" ca="1" si="6"/>
        <v>0</v>
      </c>
      <c r="O36" s="802">
        <f t="shared" ca="1" si="6"/>
        <v>0</v>
      </c>
      <c r="P36" s="802">
        <f t="shared" ca="1" si="6"/>
        <v>0</v>
      </c>
      <c r="Q36" s="802">
        <f t="shared" ca="1" si="6"/>
        <v>0</v>
      </c>
      <c r="R36" s="802">
        <f t="shared" ca="1" si="6"/>
        <v>-328.21590229855394</v>
      </c>
      <c r="S36" s="802">
        <f t="shared" ca="1" si="6"/>
        <v>-1969.2954137913237</v>
      </c>
      <c r="T36" s="802">
        <f t="shared" ca="1" si="6"/>
        <v>-2012.397103740082</v>
      </c>
      <c r="U36" s="802">
        <f t="shared" ca="1" si="6"/>
        <v>-2227.905553483874</v>
      </c>
      <c r="V36" s="802">
        <f t="shared" ca="1" si="6"/>
        <v>-2256.5111489490773</v>
      </c>
      <c r="W36" s="802">
        <f t="shared" ca="1" si="6"/>
        <v>-2399.5391262750923</v>
      </c>
      <c r="X36" s="802">
        <f t="shared" ca="1" si="6"/>
        <v>-2444.4936409623624</v>
      </c>
      <c r="Y36" s="802">
        <f t="shared" ca="1" si="6"/>
        <v>-2669.2662143987127</v>
      </c>
      <c r="Z36" s="802">
        <f t="shared" ca="1" si="6"/>
        <v>-2693.1428433040355</v>
      </c>
      <c r="AA36" s="802">
        <f t="shared" ca="1" si="6"/>
        <v>-2812.5259878306506</v>
      </c>
      <c r="AB36" s="802">
        <f t="shared" ca="1" si="6"/>
        <v>-2854.6307817387697</v>
      </c>
      <c r="AC36" s="802">
        <f t="shared" ca="1" si="6"/>
        <v>-3065.1547512793636</v>
      </c>
      <c r="AD36" s="802">
        <f t="shared" ca="1" si="6"/>
        <v>-3096.8210204422967</v>
      </c>
      <c r="AE36" s="802">
        <f t="shared" ca="1" si="6"/>
        <v>-3255.1523662569643</v>
      </c>
      <c r="AF36" s="802">
        <f t="shared" ca="1" si="6"/>
        <v>-3283.288650844614</v>
      </c>
      <c r="AG36" s="802">
        <f t="shared" ca="1" si="6"/>
        <v>-3423.9700737828616</v>
      </c>
      <c r="AH36" s="802">
        <f t="shared" ca="1" si="6"/>
        <v>-3456.3754283634021</v>
      </c>
      <c r="AI36" s="802">
        <f t="shared" ca="1" si="6"/>
        <v>-3618.402201266103</v>
      </c>
      <c r="AJ36" s="802">
        <f t="shared" ca="1" si="6"/>
        <v>-3834.9451900942404</v>
      </c>
      <c r="AK36" s="802">
        <f t="shared" ca="1" si="6"/>
        <v>-4917.6601342349286</v>
      </c>
      <c r="AL36" s="802">
        <f t="shared" ca="1" si="6"/>
        <v>-5135.2590849842982</v>
      </c>
      <c r="AM36" s="802">
        <f t="shared" ca="1" si="6"/>
        <v>-6223.2538387311433</v>
      </c>
      <c r="AN36" s="802">
        <f t="shared" ca="1" si="6"/>
        <v>-6259.0985102026862</v>
      </c>
      <c r="AO36" s="802">
        <f t="shared" si="6"/>
        <v>-6438.3218675603985</v>
      </c>
      <c r="AP36" s="802">
        <f t="shared" si="6"/>
        <v>-6470.5386336005477</v>
      </c>
      <c r="AQ36" s="802">
        <f t="shared" si="6"/>
        <v>-6631.6224638012927</v>
      </c>
      <c r="AR36" s="802">
        <f t="shared" si="6"/>
        <v>-6648.7544450894975</v>
      </c>
      <c r="AS36" s="802">
        <f t="shared" si="6"/>
        <v>-6734.4143515305213</v>
      </c>
      <c r="AT36" s="802">
        <f t="shared" ca="1" si="6"/>
        <v>-6760.8838012975348</v>
      </c>
      <c r="AU36" s="802">
        <f t="shared" ca="1" si="6"/>
        <v>-12637.590258576436</v>
      </c>
    </row>
    <row r="37" spans="1:48">
      <c r="A37" s="15" t="s">
        <v>202</v>
      </c>
      <c r="B37" s="492"/>
      <c r="C37" s="3"/>
      <c r="D37" s="805">
        <f>D23</f>
        <v>0</v>
      </c>
      <c r="E37" s="805">
        <f t="shared" ref="E37:AU37" ca="1" si="7">E23</f>
        <v>302.86231476729512</v>
      </c>
      <c r="F37" s="805">
        <f t="shared" si="7"/>
        <v>0</v>
      </c>
      <c r="G37" s="805">
        <f t="shared" ca="1" si="7"/>
        <v>3101.7775166150223</v>
      </c>
      <c r="H37" s="805">
        <f t="shared" ca="1" si="7"/>
        <v>6512.8523386163652</v>
      </c>
      <c r="I37" s="805">
        <f t="shared" si="7"/>
        <v>10722.190168510555</v>
      </c>
      <c r="J37" s="805">
        <f t="shared" si="7"/>
        <v>10336.802347164819</v>
      </c>
      <c r="K37" s="805">
        <f t="shared" si="7"/>
        <v>8409.8632404361379</v>
      </c>
      <c r="L37" s="805">
        <f t="shared" ca="1" si="7"/>
        <v>6126.9981947494762</v>
      </c>
      <c r="M37" s="805">
        <f t="shared" ca="1" si="7"/>
        <v>-5287.3270336838332</v>
      </c>
      <c r="N37" s="805">
        <f t="shared" ca="1" si="7"/>
        <v>-5672.8006191142576</v>
      </c>
      <c r="O37" s="805">
        <f t="shared" ca="1" si="7"/>
        <v>-7600.1685462663809</v>
      </c>
      <c r="P37" s="805">
        <f t="shared" ca="1" si="7"/>
        <v>-8019.7058965312463</v>
      </c>
      <c r="Q37" s="805">
        <f t="shared" ca="1" si="7"/>
        <v>-10117.392647855573</v>
      </c>
      <c r="R37" s="805">
        <f t="shared" ca="1" si="7"/>
        <v>-10231.724786768185</v>
      </c>
      <c r="S37" s="805">
        <f t="shared" ca="1" si="7"/>
        <v>-10803.385481331239</v>
      </c>
      <c r="T37" s="805">
        <f t="shared" ca="1" si="7"/>
        <v>-11003.560815614544</v>
      </c>
      <c r="U37" s="805">
        <f t="shared" ca="1" si="7"/>
        <v>-12004.437487031071</v>
      </c>
      <c r="V37" s="805">
        <f t="shared" ca="1" si="7"/>
        <v>-12158.570628808266</v>
      </c>
      <c r="W37" s="805">
        <f t="shared" ca="1" si="7"/>
        <v>-12929.236337694243</v>
      </c>
      <c r="X37" s="805">
        <f t="shared" ca="1" si="7"/>
        <v>-13171.460995951984</v>
      </c>
      <c r="Y37" s="805">
        <f t="shared" ca="1" si="7"/>
        <v>-14382.584287240688</v>
      </c>
      <c r="Z37" s="805">
        <f t="shared" ca="1" si="7"/>
        <v>-14511.236733322516</v>
      </c>
      <c r="AA37" s="805">
        <f t="shared" ca="1" si="7"/>
        <v>-15154.49896373165</v>
      </c>
      <c r="AB37" s="805">
        <f t="shared" ca="1" si="7"/>
        <v>-15381.368709436963</v>
      </c>
      <c r="AC37" s="805">
        <f t="shared" ca="1" si="7"/>
        <v>-16515.717437963525</v>
      </c>
      <c r="AD37" s="805">
        <f t="shared" ca="1" si="7"/>
        <v>-16686.342152291967</v>
      </c>
      <c r="AE37" s="805">
        <f t="shared" ca="1" si="7"/>
        <v>-17539.465723934176</v>
      </c>
      <c r="AF37" s="805">
        <f t="shared" ca="1" si="7"/>
        <v>-17691.070117092397</v>
      </c>
      <c r="AG37" s="805">
        <f t="shared" ca="1" si="7"/>
        <v>-18449.092082883504</v>
      </c>
      <c r="AH37" s="805">
        <f t="shared" ca="1" si="7"/>
        <v>-18623.699149461736</v>
      </c>
      <c r="AI37" s="805">
        <f t="shared" ca="1" si="7"/>
        <v>-19496.734482352898</v>
      </c>
      <c r="AJ37" s="805">
        <f t="shared" ca="1" si="7"/>
        <v>-20663.514989981388</v>
      </c>
      <c r="AK37" s="805">
        <f t="shared" ca="1" si="7"/>
        <v>-26497.417528123835</v>
      </c>
      <c r="AL37" s="805">
        <f t="shared" ca="1" si="7"/>
        <v>-27669.887787210726</v>
      </c>
      <c r="AM37" s="805">
        <f t="shared" ca="1" si="7"/>
        <v>-33532.239082645174</v>
      </c>
      <c r="AN37" s="805">
        <f t="shared" ca="1" si="7"/>
        <v>-33725.377933280215</v>
      </c>
      <c r="AO37" s="805">
        <f t="shared" si="7"/>
        <v>-34691.072186455407</v>
      </c>
      <c r="AP37" s="805">
        <f t="shared" si="7"/>
        <v>-34864.663097146622</v>
      </c>
      <c r="AQ37" s="805">
        <f t="shared" si="7"/>
        <v>-35732.61765060269</v>
      </c>
      <c r="AR37" s="805">
        <f t="shared" si="7"/>
        <v>-35824.928475036708</v>
      </c>
      <c r="AS37" s="805">
        <f t="shared" si="7"/>
        <v>-36286.482597206821</v>
      </c>
      <c r="AT37" s="805">
        <f t="shared" ca="1" si="7"/>
        <v>-36429.105723464279</v>
      </c>
      <c r="AU37" s="805">
        <f t="shared" ca="1" si="7"/>
        <v>-68094.072483711221</v>
      </c>
    </row>
    <row r="38" spans="1:48">
      <c r="A38" s="15"/>
      <c r="B38" s="492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8"/>
      <c r="AC38" s="8"/>
      <c r="AD38" s="8"/>
    </row>
    <row r="39" spans="1:48">
      <c r="A39" s="14" t="s">
        <v>197</v>
      </c>
      <c r="B39" s="492"/>
      <c r="C39" s="3"/>
      <c r="D39" s="801">
        <f>D25</f>
        <v>0</v>
      </c>
      <c r="E39" s="801">
        <f t="shared" ref="E39:AU39" ca="1" si="8">E25</f>
        <v>302.86231476729512</v>
      </c>
      <c r="F39" s="801">
        <f t="shared" si="8"/>
        <v>0</v>
      </c>
      <c r="G39" s="801">
        <f t="shared" ca="1" si="8"/>
        <v>9752.2747680386292</v>
      </c>
      <c r="H39" s="801">
        <f t="shared" ca="1" si="8"/>
        <v>20932.304641144539</v>
      </c>
      <c r="I39" s="801">
        <f t="shared" si="8"/>
        <v>23916.987014840342</v>
      </c>
      <c r="J39" s="801">
        <f t="shared" si="8"/>
        <v>24318.401868714231</v>
      </c>
      <c r="K39" s="801">
        <f t="shared" si="8"/>
        <v>22737.267431833647</v>
      </c>
      <c r="L39" s="801">
        <f t="shared" ca="1" si="8"/>
        <v>20785.389087508469</v>
      </c>
      <c r="M39" s="801">
        <f t="shared" ca="1" si="8"/>
        <v>56935.718040882603</v>
      </c>
      <c r="N39" s="801">
        <f t="shared" ca="1" si="8"/>
        <v>47742.11629094198</v>
      </c>
      <c r="O39" s="801">
        <f t="shared" ca="1" si="8"/>
        <v>43671.551957905576</v>
      </c>
      <c r="P39" s="801">
        <f t="shared" ca="1" si="8"/>
        <v>44066.577689975849</v>
      </c>
      <c r="Q39" s="801">
        <f t="shared" ca="1" si="8"/>
        <v>44037.655633660564</v>
      </c>
      <c r="R39" s="801">
        <f t="shared" ca="1" si="8"/>
        <v>42760.340278645439</v>
      </c>
      <c r="S39" s="801">
        <f t="shared" ca="1" si="8"/>
        <v>41738.949903569766</v>
      </c>
      <c r="T39" s="801">
        <f t="shared" ca="1" si="8"/>
        <v>40131.584231268935</v>
      </c>
      <c r="U39" s="801">
        <f t="shared" ca="1" si="8"/>
        <v>41565.66126976478</v>
      </c>
      <c r="V39" s="801">
        <f t="shared" ca="1" si="8"/>
        <v>40127.296797606527</v>
      </c>
      <c r="W39" s="801">
        <f t="shared" ca="1" si="8"/>
        <v>40955.53143681529</v>
      </c>
      <c r="X39" s="801">
        <f t="shared" ca="1" si="8"/>
        <v>37272.993166181273</v>
      </c>
      <c r="Y39" s="801">
        <f t="shared" ca="1" si="8"/>
        <v>42630.093679677855</v>
      </c>
      <c r="Z39" s="801">
        <f t="shared" ca="1" si="8"/>
        <v>43704.219693266481</v>
      </c>
      <c r="AA39" s="801">
        <f t="shared" ca="1" si="8"/>
        <v>47812.456884076746</v>
      </c>
      <c r="AB39" s="801">
        <f t="shared" ca="1" si="8"/>
        <v>46976.658444913999</v>
      </c>
      <c r="AC39" s="801">
        <f t="shared" ca="1" si="8"/>
        <v>48559.18850319623</v>
      </c>
      <c r="AD39" s="801">
        <f t="shared" ca="1" si="8"/>
        <v>47639.647143087845</v>
      </c>
      <c r="AE39" s="801">
        <f t="shared" ca="1" si="8"/>
        <v>48536.023958942111</v>
      </c>
      <c r="AF39" s="801">
        <f t="shared" ca="1" si="8"/>
        <v>48184.656850958912</v>
      </c>
      <c r="AG39" s="801">
        <f t="shared" ca="1" si="8"/>
        <v>48944.453796007845</v>
      </c>
      <c r="AH39" s="801">
        <f t="shared" ca="1" si="8"/>
        <v>48524.830939312953</v>
      </c>
      <c r="AI39" s="801">
        <f t="shared" ca="1" si="8"/>
        <v>49350.79654587862</v>
      </c>
      <c r="AJ39" s="801">
        <f t="shared" ca="1" si="8"/>
        <v>47275.403529005976</v>
      </c>
      <c r="AK39" s="801">
        <f t="shared" ca="1" si="8"/>
        <v>42445.045186173913</v>
      </c>
      <c r="AL39" s="801">
        <f t="shared" ca="1" si="8"/>
        <v>42020.16330987461</v>
      </c>
      <c r="AM39" s="801">
        <f t="shared" ca="1" si="8"/>
        <v>37180.928631474781</v>
      </c>
      <c r="AN39" s="801">
        <f t="shared" ca="1" si="8"/>
        <v>39004.536842247588</v>
      </c>
      <c r="AO39" s="801">
        <f t="shared" si="8"/>
        <v>39926.779416470803</v>
      </c>
      <c r="AP39" s="801">
        <f t="shared" si="8"/>
        <v>44044.091474287983</v>
      </c>
      <c r="AQ39" s="801">
        <f t="shared" si="8"/>
        <v>44818.585494821244</v>
      </c>
      <c r="AR39" s="801">
        <f t="shared" si="8"/>
        <v>48853.119238025865</v>
      </c>
      <c r="AS39" s="801">
        <f t="shared" si="8"/>
        <v>48974.953161645622</v>
      </c>
      <c r="AT39" s="801">
        <f t="shared" ca="1" si="8"/>
        <v>68598.825305780992</v>
      </c>
      <c r="AU39" s="801">
        <f t="shared" ca="1" si="8"/>
        <v>126460.42032689227</v>
      </c>
    </row>
    <row r="40" spans="1:48">
      <c r="A40" s="492"/>
      <c r="B40" s="492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8"/>
      <c r="AC40" s="8"/>
      <c r="AD40" s="8"/>
    </row>
    <row r="41" spans="1:48">
      <c r="A41" s="492"/>
      <c r="B41" s="492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8"/>
      <c r="AC41" s="8"/>
      <c r="AD41" s="8"/>
    </row>
    <row r="42" spans="1:48">
      <c r="A42" s="84" t="s">
        <v>203</v>
      </c>
      <c r="B42" s="84"/>
      <c r="C42" s="84"/>
      <c r="AS42" s="7"/>
      <c r="AT42" s="7"/>
      <c r="AU42" s="7"/>
      <c r="AV42" s="761"/>
    </row>
    <row r="43" spans="1:48">
      <c r="A43" s="447" t="s">
        <v>204</v>
      </c>
      <c r="B43" s="448">
        <f>Assumptions!B13</f>
        <v>0.5</v>
      </c>
      <c r="C43" s="74">
        <v>0</v>
      </c>
      <c r="D43" s="235">
        <f>D25*$B$43</f>
        <v>0</v>
      </c>
      <c r="E43" s="235">
        <f ca="1">E25*$B$43</f>
        <v>151.43115738364756</v>
      </c>
      <c r="F43" s="74">
        <f ca="1">$D$75*H8</f>
        <v>0</v>
      </c>
      <c r="G43" s="235">
        <f ca="1">G25*$B$43</f>
        <v>4876.1373840193146</v>
      </c>
      <c r="H43" s="235">
        <f t="shared" ref="H43:AS43" ca="1" si="9">H25*$B$43</f>
        <v>10466.15232057227</v>
      </c>
      <c r="I43" s="235">
        <f t="shared" si="9"/>
        <v>11958.493507420171</v>
      </c>
      <c r="J43" s="235">
        <f>J25*$B$43</f>
        <v>12159.200934357115</v>
      </c>
      <c r="K43" s="235">
        <f t="shared" si="9"/>
        <v>11368.633715916823</v>
      </c>
      <c r="L43" s="235">
        <f t="shared" ca="1" si="9"/>
        <v>10392.694543754234</v>
      </c>
      <c r="M43" s="235">
        <f t="shared" ca="1" si="9"/>
        <v>28467.859020441301</v>
      </c>
      <c r="N43" s="235">
        <f t="shared" ca="1" si="9"/>
        <v>23871.05814547099</v>
      </c>
      <c r="O43" s="235">
        <f t="shared" ca="1" si="9"/>
        <v>21835.775978952788</v>
      </c>
      <c r="P43" s="235">
        <f t="shared" ca="1" si="9"/>
        <v>22033.288844987925</v>
      </c>
      <c r="Q43" s="235">
        <f t="shared" ca="1" si="9"/>
        <v>22018.827816830282</v>
      </c>
      <c r="R43" s="235">
        <f t="shared" ca="1" si="9"/>
        <v>21380.170139322719</v>
      </c>
      <c r="S43" s="235">
        <f t="shared" ca="1" si="9"/>
        <v>20869.474951784883</v>
      </c>
      <c r="T43" s="235">
        <f t="shared" ca="1" si="9"/>
        <v>20065.792115634467</v>
      </c>
      <c r="U43" s="235">
        <f t="shared" ca="1" si="9"/>
        <v>20782.83063488239</v>
      </c>
      <c r="V43" s="235">
        <f t="shared" ca="1" si="9"/>
        <v>20063.648398803263</v>
      </c>
      <c r="W43" s="235">
        <f t="shared" ca="1" si="9"/>
        <v>20477.765718407645</v>
      </c>
      <c r="X43" s="235">
        <f t="shared" ca="1" si="9"/>
        <v>18636.496583090637</v>
      </c>
      <c r="Y43" s="235">
        <f t="shared" ca="1" si="9"/>
        <v>21315.046839838928</v>
      </c>
      <c r="Z43" s="235">
        <f t="shared" ca="1" si="9"/>
        <v>21852.109846633241</v>
      </c>
      <c r="AA43" s="235">
        <f t="shared" ca="1" si="9"/>
        <v>23906.228442038373</v>
      </c>
      <c r="AB43" s="235">
        <f t="shared" ca="1" si="9"/>
        <v>23488.329222457</v>
      </c>
      <c r="AC43" s="235">
        <f t="shared" ca="1" si="9"/>
        <v>24279.594251598115</v>
      </c>
      <c r="AD43" s="235">
        <f t="shared" ca="1" si="9"/>
        <v>23819.823571543922</v>
      </c>
      <c r="AE43" s="235">
        <f t="shared" ca="1" si="9"/>
        <v>24268.011979471055</v>
      </c>
      <c r="AF43" s="235">
        <f t="shared" ca="1" si="9"/>
        <v>24092.328425479456</v>
      </c>
      <c r="AG43" s="235">
        <f t="shared" ca="1" si="9"/>
        <v>24472.226898003923</v>
      </c>
      <c r="AH43" s="235">
        <f t="shared" ca="1" si="9"/>
        <v>24262.415469656476</v>
      </c>
      <c r="AI43" s="235">
        <f t="shared" ca="1" si="9"/>
        <v>24675.39827293931</v>
      </c>
      <c r="AJ43" s="235">
        <f t="shared" ca="1" si="9"/>
        <v>23637.701764502988</v>
      </c>
      <c r="AK43" s="235">
        <f t="shared" ca="1" si="9"/>
        <v>21222.522593086956</v>
      </c>
      <c r="AL43" s="235">
        <f t="shared" ca="1" si="9"/>
        <v>21010.081654937305</v>
      </c>
      <c r="AM43" s="235">
        <f t="shared" ca="1" si="9"/>
        <v>18590.46431573739</v>
      </c>
      <c r="AN43" s="235">
        <f t="shared" ca="1" si="9"/>
        <v>19502.268421123794</v>
      </c>
      <c r="AO43" s="235">
        <f t="shared" si="9"/>
        <v>19963.389708235401</v>
      </c>
      <c r="AP43" s="235">
        <f t="shared" si="9"/>
        <v>22022.045737143992</v>
      </c>
      <c r="AQ43" s="235">
        <f t="shared" si="9"/>
        <v>22409.292747410622</v>
      </c>
      <c r="AR43" s="235">
        <f t="shared" si="9"/>
        <v>24426.559619012933</v>
      </c>
      <c r="AS43" s="253">
        <f t="shared" si="9"/>
        <v>24487.476580822811</v>
      </c>
      <c r="AT43" s="253">
        <f ca="1">AT25*$B$43</f>
        <v>34299.412652890496</v>
      </c>
      <c r="AU43" s="253">
        <f ca="1">AU25*$B$43</f>
        <v>63230.210163446136</v>
      </c>
      <c r="AV43" s="761">
        <f ca="1">SUM(D43:AU43)</f>
        <v>897108.6710900435</v>
      </c>
    </row>
    <row r="44" spans="1:48">
      <c r="A44" s="157" t="s">
        <v>205</v>
      </c>
      <c r="C44" s="74">
        <v>0</v>
      </c>
      <c r="D44" s="39">
        <f>-0.5*B75</f>
        <v>-133750</v>
      </c>
      <c r="E44" s="74">
        <f>C44</f>
        <v>0</v>
      </c>
      <c r="F44" s="39">
        <f>D44</f>
        <v>-133750</v>
      </c>
      <c r="AS44" s="7"/>
      <c r="AT44" s="7"/>
      <c r="AU44" s="7"/>
    </row>
    <row r="45" spans="1:48">
      <c r="A45" s="157" t="s">
        <v>206</v>
      </c>
      <c r="C45" s="74">
        <v>0</v>
      </c>
      <c r="D45" s="39">
        <f>D44+D43</f>
        <v>-133750</v>
      </c>
      <c r="E45" s="31">
        <f ca="1">E44+E43</f>
        <v>151.43115738364756</v>
      </c>
      <c r="F45" s="39">
        <f ca="1">F44+F43</f>
        <v>-133750</v>
      </c>
      <c r="G45" s="235">
        <f ca="1">G44+G43</f>
        <v>4876.1373840193146</v>
      </c>
      <c r="H45" s="235">
        <f t="shared" ref="H45:AS45" ca="1" si="10">H44+H43</f>
        <v>10466.15232057227</v>
      </c>
      <c r="I45" s="235">
        <f t="shared" si="10"/>
        <v>11958.493507420171</v>
      </c>
      <c r="J45" s="235">
        <f t="shared" si="10"/>
        <v>12159.200934357115</v>
      </c>
      <c r="K45" s="235">
        <f t="shared" si="10"/>
        <v>11368.633715916823</v>
      </c>
      <c r="L45" s="235">
        <f t="shared" ca="1" si="10"/>
        <v>10392.694543754234</v>
      </c>
      <c r="M45" s="235">
        <f t="shared" ca="1" si="10"/>
        <v>28467.859020441301</v>
      </c>
      <c r="N45" s="235">
        <f t="shared" ca="1" si="10"/>
        <v>23871.05814547099</v>
      </c>
      <c r="O45" s="235">
        <f t="shared" ca="1" si="10"/>
        <v>21835.775978952788</v>
      </c>
      <c r="P45" s="235">
        <f t="shared" ca="1" si="10"/>
        <v>22033.288844987925</v>
      </c>
      <c r="Q45" s="235">
        <f t="shared" ca="1" si="10"/>
        <v>22018.827816830282</v>
      </c>
      <c r="R45" s="235">
        <f t="shared" ca="1" si="10"/>
        <v>21380.170139322719</v>
      </c>
      <c r="S45" s="235">
        <f t="shared" ca="1" si="10"/>
        <v>20869.474951784883</v>
      </c>
      <c r="T45" s="235">
        <f t="shared" ca="1" si="10"/>
        <v>20065.792115634467</v>
      </c>
      <c r="U45" s="235">
        <f t="shared" ca="1" si="10"/>
        <v>20782.83063488239</v>
      </c>
      <c r="V45" s="235">
        <f t="shared" ca="1" si="10"/>
        <v>20063.648398803263</v>
      </c>
      <c r="W45" s="235">
        <f t="shared" ca="1" si="10"/>
        <v>20477.765718407645</v>
      </c>
      <c r="X45" s="235">
        <f t="shared" ca="1" si="10"/>
        <v>18636.496583090637</v>
      </c>
      <c r="Y45" s="235">
        <f t="shared" ca="1" si="10"/>
        <v>21315.046839838928</v>
      </c>
      <c r="Z45" s="235">
        <f t="shared" ca="1" si="10"/>
        <v>21852.109846633241</v>
      </c>
      <c r="AA45" s="235">
        <f t="shared" ca="1" si="10"/>
        <v>23906.228442038373</v>
      </c>
      <c r="AB45" s="235">
        <f t="shared" ca="1" si="10"/>
        <v>23488.329222457</v>
      </c>
      <c r="AC45" s="235">
        <f t="shared" ca="1" si="10"/>
        <v>24279.594251598115</v>
      </c>
      <c r="AD45" s="235">
        <f t="shared" ca="1" si="10"/>
        <v>23819.823571543922</v>
      </c>
      <c r="AE45" s="235">
        <f t="shared" ca="1" si="10"/>
        <v>24268.011979471055</v>
      </c>
      <c r="AF45" s="235">
        <f t="shared" ca="1" si="10"/>
        <v>24092.328425479456</v>
      </c>
      <c r="AG45" s="235">
        <f t="shared" ca="1" si="10"/>
        <v>24472.226898003923</v>
      </c>
      <c r="AH45" s="235">
        <f t="shared" ca="1" si="10"/>
        <v>24262.415469656476</v>
      </c>
      <c r="AI45" s="235">
        <f t="shared" ca="1" si="10"/>
        <v>24675.39827293931</v>
      </c>
      <c r="AJ45" s="235">
        <f t="shared" ca="1" si="10"/>
        <v>23637.701764502988</v>
      </c>
      <c r="AK45" s="235">
        <f t="shared" ca="1" si="10"/>
        <v>21222.522593086956</v>
      </c>
      <c r="AL45" s="235">
        <f t="shared" ca="1" si="10"/>
        <v>21010.081654937305</v>
      </c>
      <c r="AM45" s="235">
        <f t="shared" ca="1" si="10"/>
        <v>18590.46431573739</v>
      </c>
      <c r="AN45" s="235">
        <f t="shared" ca="1" si="10"/>
        <v>19502.268421123794</v>
      </c>
      <c r="AO45" s="235">
        <f t="shared" si="10"/>
        <v>19963.389708235401</v>
      </c>
      <c r="AP45" s="235">
        <f t="shared" si="10"/>
        <v>22022.045737143992</v>
      </c>
      <c r="AQ45" s="235">
        <f t="shared" si="10"/>
        <v>22409.292747410622</v>
      </c>
      <c r="AR45" s="235">
        <f t="shared" si="10"/>
        <v>24426.559619012933</v>
      </c>
      <c r="AS45" s="253">
        <f t="shared" si="10"/>
        <v>24487.476580822811</v>
      </c>
      <c r="AT45" s="253">
        <f ca="1">AT44+AT43</f>
        <v>34299.412652890496</v>
      </c>
      <c r="AU45" s="253">
        <f ca="1">AU44+AU43</f>
        <v>63230.210163446136</v>
      </c>
    </row>
    <row r="46" spans="1:48">
      <c r="A46" s="157"/>
      <c r="C46" s="60"/>
      <c r="D46" s="39"/>
      <c r="E46" s="236"/>
      <c r="F46" s="236"/>
      <c r="AS46" s="7"/>
      <c r="AT46" s="7"/>
      <c r="AU46" s="7"/>
    </row>
    <row r="47" spans="1:48">
      <c r="A47" s="79" t="s">
        <v>207</v>
      </c>
      <c r="B47" s="79"/>
      <c r="C47" s="79"/>
      <c r="D47" s="733">
        <f ca="1">D62</f>
        <v>0.13196115254562821</v>
      </c>
      <c r="AS47" s="7"/>
      <c r="AT47" s="7"/>
      <c r="AU47" s="7"/>
    </row>
    <row r="48" spans="1:48">
      <c r="AS48" s="7"/>
      <c r="AT48" s="7"/>
      <c r="AU48" s="7"/>
    </row>
    <row r="49" spans="1:47">
      <c r="AS49" s="7"/>
      <c r="AT49" s="7"/>
      <c r="AU49" s="7"/>
    </row>
    <row r="50" spans="1:47">
      <c r="A50" s="535" t="s">
        <v>208</v>
      </c>
      <c r="B50" s="534">
        <f>Assumptions!C8*B43</f>
        <v>267500</v>
      </c>
      <c r="E50" s="85"/>
      <c r="G50" s="85"/>
      <c r="AS50" s="7"/>
      <c r="AT50" s="7"/>
      <c r="AU50" s="7"/>
    </row>
    <row r="51" spans="1:47">
      <c r="G51" s="235"/>
      <c r="AS51" s="7"/>
      <c r="AT51" s="7"/>
      <c r="AU51" s="7"/>
    </row>
    <row r="52" spans="1:47">
      <c r="D52" s="799"/>
    </row>
    <row r="54" spans="1:47" ht="18.75">
      <c r="A54" s="292" t="s">
        <v>217</v>
      </c>
      <c r="D54"/>
      <c r="E54"/>
      <c r="F54"/>
      <c r="AB54" s="8"/>
      <c r="AC54" s="8"/>
      <c r="AD54" s="8"/>
    </row>
    <row r="55" spans="1:47" ht="18.75">
      <c r="A55" s="292"/>
      <c r="D55" s="22" t="s">
        <v>412</v>
      </c>
      <c r="AB55" s="8"/>
      <c r="AC55" s="8"/>
      <c r="AD55" s="8"/>
    </row>
    <row r="56" spans="1:47" customFormat="1">
      <c r="B56" t="s">
        <v>413</v>
      </c>
      <c r="C56" s="85">
        <f>I58-E77</f>
        <v>320</v>
      </c>
      <c r="H56" s="137" t="s">
        <v>415</v>
      </c>
    </row>
    <row r="57" spans="1:47" customFormat="1">
      <c r="B57" t="s">
        <v>414</v>
      </c>
      <c r="C57" s="85">
        <f>I58-G77</f>
        <v>138</v>
      </c>
    </row>
    <row r="58" spans="1:47" ht="13.5" thickBot="1">
      <c r="A58" s="422" t="s">
        <v>164</v>
      </c>
      <c r="B58" s="422"/>
      <c r="C58" s="2"/>
      <c r="D58" s="602">
        <v>36525</v>
      </c>
      <c r="E58" s="602"/>
      <c r="F58" s="602"/>
      <c r="G58" s="602"/>
      <c r="H58" s="602">
        <v>36525</v>
      </c>
      <c r="I58" s="602">
        <v>36891</v>
      </c>
      <c r="J58" s="602">
        <f t="shared" ref="J58:AC58" si="11">I58+365.25</f>
        <v>37256.25</v>
      </c>
      <c r="K58" s="602">
        <f t="shared" si="11"/>
        <v>37621.5</v>
      </c>
      <c r="L58" s="602">
        <f t="shared" si="11"/>
        <v>37986.75</v>
      </c>
      <c r="M58" s="602">
        <f t="shared" si="11"/>
        <v>38352</v>
      </c>
      <c r="N58" s="602">
        <f t="shared" si="11"/>
        <v>38717.25</v>
      </c>
      <c r="O58" s="602">
        <f t="shared" si="11"/>
        <v>39082.5</v>
      </c>
      <c r="P58" s="602">
        <f t="shared" si="11"/>
        <v>39447.75</v>
      </c>
      <c r="Q58" s="602">
        <f t="shared" si="11"/>
        <v>39813</v>
      </c>
      <c r="R58" s="602">
        <f t="shared" si="11"/>
        <v>40178.25</v>
      </c>
      <c r="S58" s="602">
        <f t="shared" si="11"/>
        <v>40543.5</v>
      </c>
      <c r="T58" s="602">
        <f t="shared" si="11"/>
        <v>40908.75</v>
      </c>
      <c r="U58" s="602">
        <f t="shared" si="11"/>
        <v>41274</v>
      </c>
      <c r="V58" s="602">
        <f t="shared" si="11"/>
        <v>41639.25</v>
      </c>
      <c r="W58" s="602">
        <f t="shared" si="11"/>
        <v>42004.5</v>
      </c>
      <c r="X58" s="602">
        <f t="shared" si="11"/>
        <v>42369.75</v>
      </c>
      <c r="Y58" s="602">
        <f t="shared" si="11"/>
        <v>42735</v>
      </c>
      <c r="Z58" s="602">
        <f t="shared" si="11"/>
        <v>43100.25</v>
      </c>
      <c r="AA58" s="602">
        <f t="shared" si="11"/>
        <v>43465.5</v>
      </c>
      <c r="AB58" s="602">
        <f t="shared" si="11"/>
        <v>43830.75</v>
      </c>
      <c r="AC58" s="602">
        <f t="shared" si="11"/>
        <v>44196</v>
      </c>
      <c r="AD58"/>
      <c r="AE58"/>
      <c r="AF58"/>
    </row>
    <row r="59" spans="1:47">
      <c r="S59" s="8"/>
    </row>
    <row r="60" spans="1:47">
      <c r="A60" s="22" t="s">
        <v>218</v>
      </c>
      <c r="B60" s="657">
        <f ca="1">D62</f>
        <v>0.13196115254562821</v>
      </c>
      <c r="D60" s="31">
        <f ca="1">D44+F44/((1+B60)^((F6-D6)/365))</f>
        <v>-263429.93403619103</v>
      </c>
      <c r="S60" s="8"/>
    </row>
    <row r="61" spans="1:47">
      <c r="A61" s="22" t="s">
        <v>219</v>
      </c>
      <c r="B61" s="886">
        <v>0.13231733462845141</v>
      </c>
      <c r="D61" s="31">
        <f ca="1">D60+$D$43</f>
        <v>-263429.93403619103</v>
      </c>
      <c r="E61" s="236"/>
      <c r="F61" s="236"/>
      <c r="G61" s="236"/>
      <c r="H61" s="236">
        <f ca="1">D61</f>
        <v>-263429.93403619103</v>
      </c>
      <c r="I61" s="236">
        <f ca="1">E79*((1+$B$60)^((I58-E77)/365))+G79*((1+$B$60)^((I58-G77)/365))</f>
        <v>5278.9060609539556</v>
      </c>
      <c r="J61" s="236">
        <f ca="1">H79*((1+$B$60)^($C$56/365))+I79*((1+$B$60)^($C$57/365))</f>
        <v>24199.862174826281</v>
      </c>
      <c r="K61" s="236">
        <f ca="1">J79*((1+$B$60)^($C$56/365))+K79*((1+$B$60)^($C$57/365))</f>
        <v>25469.102304426517</v>
      </c>
      <c r="L61" s="236">
        <f ca="1">L79*((1+$B$60)^($C$56/365))+M79*((1+$B$60)^($C$57/365))</f>
        <v>41419.446594672096</v>
      </c>
      <c r="M61" s="236">
        <f ca="1">N79*((1+$B$60)^($C$56/365))+O79*((1+$B$60)^($C$57/365))</f>
        <v>49494.763893598021</v>
      </c>
      <c r="N61" s="236">
        <f ca="1">P79*((1+$B$60)^($C$56/365))+Q79*((1+$B$60)^($C$57/365))</f>
        <v>47637.863610411994</v>
      </c>
      <c r="O61" s="236">
        <f ca="1">R79*((1+$B$60)^($C$56/365))+S79*((1+$B$60)^($C$57/365))</f>
        <v>45705.272456489358</v>
      </c>
      <c r="P61" s="236">
        <f ca="1">T79*((1+$B$60)^($C$56/365))+U79*((1+$B$60)^($C$57/365))</f>
        <v>44149.209801682206</v>
      </c>
      <c r="Q61" s="236">
        <f ca="1">V79*((1+$B$60)^($C$56/365))+W79*((1+$B$60)^($C$57/365))</f>
        <v>43827.118254392408</v>
      </c>
      <c r="R61" s="236">
        <f ca="1">X79*((1+$B$60)^($C$56/365))+Y79*((1+$B$60)^($C$57/365))</f>
        <v>43113.590826847052</v>
      </c>
      <c r="S61" s="236">
        <f ca="1">Z79*((1+$B$60)^($C$56/365))+AA79*((1+$B$60)^($C$57/365))</f>
        <v>49413.843234853412</v>
      </c>
      <c r="T61" s="236">
        <f ca="1">AB79*((1+$B$60)^($C$56/365))+AC79*((1+$B$60)^($C$57/365))</f>
        <v>51629.17102500124</v>
      </c>
      <c r="U61" s="236">
        <f ca="1">AD79*((1+$B$60)^($C$56/365))+AE79*((1+$B$60)^($C$57/365))</f>
        <v>51986.581070542888</v>
      </c>
      <c r="V61" s="236">
        <f ca="1">AF79*((1+$B$60)^($C$56/365))+AG79*((1+$B$60)^($C$57/365))</f>
        <v>52504.380967462217</v>
      </c>
      <c r="W61" s="236">
        <f ca="1">AH79*((1+$B$60)^($C$56/365))+AI79*((1+$B$60)^($C$57/365))</f>
        <v>52906.91245637316</v>
      </c>
      <c r="X61" s="236">
        <f ca="1">AJ79*((1+$B$60)^($C$56/365))+AK79*((1+$B$60)^($C$57/365))</f>
        <v>48591.942611350263</v>
      </c>
      <c r="Y61" s="236">
        <f ca="1">AL79*((1+$B$60)^($C$56/365))+AM79*((1+$B$60)^($C$57/365))</f>
        <v>42904.343737293471</v>
      </c>
      <c r="Z61" s="236">
        <f ca="1">AN79*((1+$B$60)^($C$56/365))+AO79*((1+$B$60)^($C$57/365))</f>
        <v>42662.239570788661</v>
      </c>
      <c r="AA61" s="236">
        <f ca="1">AP79*((1+$B$60)^($C$56/365))+AQ79*((1+$B$60)^($C$57/365))</f>
        <v>48034.529055518738</v>
      </c>
      <c r="AB61" s="236">
        <f ca="1">AR79*((1+$B$60)^($C$56/365))+AS79*((1+$B$60)^($C$57/365))</f>
        <v>52892.961367405282</v>
      </c>
      <c r="AC61" s="236">
        <f ca="1">AT79*((1+$B$60)^($C$56/365))+AU79*((1+$B$60)^($C$57/365))</f>
        <v>104500.74831859019</v>
      </c>
      <c r="AD61" s="236"/>
    </row>
    <row r="62" spans="1:47">
      <c r="A62" s="22" t="s">
        <v>220</v>
      </c>
      <c r="B62" s="887">
        <v>535000</v>
      </c>
      <c r="D62" s="273">
        <f ca="1">IRR(H61:AC61)</f>
        <v>0.13196115254562835</v>
      </c>
      <c r="S62" s="8"/>
    </row>
    <row r="63" spans="1:47"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8"/>
    </row>
    <row r="64" spans="1:47">
      <c r="A64" s="22" t="s">
        <v>218</v>
      </c>
      <c r="B64" s="657">
        <f ca="1">D66</f>
        <v>0.15001909683309328</v>
      </c>
      <c r="D64" s="31">
        <f ca="1">D44+F44/((1+B64)^((F6-D6)/365))</f>
        <v>-262919.24064009619</v>
      </c>
      <c r="E64" s="236"/>
      <c r="F64" s="236"/>
      <c r="G64" s="236"/>
      <c r="H64" s="236"/>
      <c r="I64" s="236"/>
      <c r="J64" s="236"/>
      <c r="K64" s="236"/>
      <c r="L64" s="236"/>
      <c r="M64" s="236"/>
      <c r="N64" s="236"/>
      <c r="O64" s="236"/>
      <c r="P64" s="236"/>
      <c r="Q64" s="236"/>
      <c r="R64" s="236"/>
      <c r="S64" s="8"/>
    </row>
    <row r="65" spans="1:47">
      <c r="A65" s="22" t="s">
        <v>209</v>
      </c>
      <c r="D65" s="31">
        <f ca="1">D64+$D$43</f>
        <v>-262919.24064009619</v>
      </c>
      <c r="E65" s="236"/>
      <c r="F65" s="236"/>
      <c r="G65" s="236"/>
      <c r="H65" s="236">
        <f ca="1">D65</f>
        <v>-262919.24064009619</v>
      </c>
      <c r="I65" s="236">
        <f ca="1">E79*((1+$B$64)^((I58-E77)/365))+G79*((1+$B$64)^((I58-G77)/365))</f>
        <v>5311.9345582945061</v>
      </c>
      <c r="J65" s="236">
        <f ca="1">H79*((1+$B$64)^($C$56/365))+I79*((1+$B$64)^($C$57/365))</f>
        <v>24438.102076002731</v>
      </c>
      <c r="K65" s="236">
        <f ca="1">J79*((1+$B$64)^($C$56/365))+K79*((1+$B$64)^($C$57/365))</f>
        <v>25730.003534281608</v>
      </c>
      <c r="L65" s="236">
        <f ca="1">L79*((1+$B$64)^($C$56/365))+M79*((1+$B$64)^($C$57/365))</f>
        <v>41760.382339932403</v>
      </c>
      <c r="M65" s="236">
        <f ca="1">N79*((1+$B$64)^($C$56/365))+O79*((1+$B$64)^($C$57/365))</f>
        <v>50003.928229584519</v>
      </c>
      <c r="N65" s="236">
        <f ca="1">P79*((1+$B$64)^($C$56/365))+Q79*((1+$B$64)^($C$57/365))</f>
        <v>48119.553680205689</v>
      </c>
      <c r="O65" s="236">
        <f ca="1">R79*((1+$B$64)^($C$56/365))+S79*((1+$B$64)^($C$57/365))</f>
        <v>46169.560202429522</v>
      </c>
      <c r="P65" s="236">
        <f ca="1">T79*((1+$B$64)^($C$56/365))+U79*((1+$B$64)^($C$57/365))</f>
        <v>44592.479447745092</v>
      </c>
      <c r="Q65" s="236">
        <f ca="1">V79*((1+$B$64)^($C$56/365))+W79*((1+$B$64)^($C$57/365))</f>
        <v>44268.435722416449</v>
      </c>
      <c r="R65" s="236">
        <f ca="1">X79*((1+$B$64)^($C$56/365))+Y79*((1+$B$64)^($C$57/365))</f>
        <v>43537.944872876164</v>
      </c>
      <c r="S65" s="236">
        <f ca="1">Z79*((1+$B$64)^($C$56/365))+AA79*((1+$B$64)^($C$57/365))</f>
        <v>49904.582516829534</v>
      </c>
      <c r="T65" s="236">
        <f ca="1">AB79*((1+$B$64)^($C$56/365))+AC79*((1+$B$64)^($C$57/365))</f>
        <v>52147.744910708556</v>
      </c>
      <c r="U65" s="236">
        <f ca="1">AD79*((1+$B$64)^($C$56/365))+AE79*((1+$B$64)^($C$57/365))</f>
        <v>52510.245557108661</v>
      </c>
      <c r="V65" s="236">
        <f ca="1">AF79*((1+$B$64)^($C$56/365))+AG79*((1+$B$64)^($C$57/365))</f>
        <v>53033.574531465885</v>
      </c>
      <c r="W65" s="236">
        <f ca="1">AH79*((1+$B$64)^($C$56/365))+AI79*((1+$B$64)^($C$57/365))</f>
        <v>53440.033245120067</v>
      </c>
      <c r="X65" s="236">
        <f ca="1">AJ79*((1+$B$64)^($C$56/365))+AK79*((1+$B$64)^($C$57/365))</f>
        <v>49093.614901509762</v>
      </c>
      <c r="Y65" s="236">
        <f ca="1">AL79*((1+$B$64)^($C$56/365))+AM79*((1+$B$64)^($C$57/365))</f>
        <v>43348.532436055786</v>
      </c>
      <c r="Z65" s="236">
        <f ca="1">AN79*((1+$B$64)^($C$56/365))+AO79*((1+$B$64)^($C$57/365))</f>
        <v>43091.577519318504</v>
      </c>
      <c r="AA65" s="236">
        <f ca="1">AP79*((1+$B$64)^($C$56/365))+AQ79*((1+$B$64)^($C$57/365))</f>
        <v>48518.499932439801</v>
      </c>
      <c r="AB65" s="236">
        <f ca="1">AR79*((1+$B$64)^($C$56/365))+AS79*((1+$B$64)^($C$57/365))</f>
        <v>53427.456928851854</v>
      </c>
      <c r="AC65" s="236">
        <f ca="1">AT79*((1+$B$64)^($C$56/365))+AU79*((1+$B$64)^($C$57/365))+5*IS!Y38*$B$43</f>
        <v>670502.02644202393</v>
      </c>
      <c r="AD65" s="236"/>
    </row>
    <row r="66" spans="1:47">
      <c r="A66" s="22" t="s">
        <v>220</v>
      </c>
      <c r="D66" s="273">
        <f ca="1">IRR(H65:AC65)</f>
        <v>0.15001909683309322</v>
      </c>
    </row>
    <row r="68" spans="1:47">
      <c r="A68" s="22" t="s">
        <v>218</v>
      </c>
      <c r="B68" s="657">
        <f ca="1">D70</f>
        <v>0.14280249061526212</v>
      </c>
      <c r="D68" s="31">
        <f ca="1">D44+F44/((1+B68)^((F6-D6)/365))</f>
        <v>-263122.12223616266</v>
      </c>
    </row>
    <row r="69" spans="1:47">
      <c r="A69" s="22" t="s">
        <v>214</v>
      </c>
      <c r="D69" s="31">
        <f ca="1">D68+$D$43</f>
        <v>-263122.12223616266</v>
      </c>
      <c r="E69" s="236"/>
      <c r="F69" s="236"/>
      <c r="G69" s="236"/>
      <c r="H69" s="236">
        <f ca="1">D69</f>
        <v>-263122.12223616266</v>
      </c>
      <c r="I69" s="236">
        <f ca="1">E79*((1+$B$68)^((I58-E77)/365))+G79*((1+$B$68)^((I58-G77)/365))</f>
        <v>5298.7719141867547</v>
      </c>
      <c r="J69" s="236">
        <f ca="1">H79*((1+$B$68)^($C$56/365))+I79*((1+$B$68)^($C$57/365))</f>
        <v>24343.019689860739</v>
      </c>
      <c r="K69" s="236">
        <f ca="1">J79*((1+$B$68)^($C$56/365))+K79*((1+$B$68)^($C$57/365))</f>
        <v>25625.866655604219</v>
      </c>
      <c r="L69" s="236">
        <f ca="1">L79*((1+$B$68)^($C$56/365))+M79*((1+$B$68)^($C$57/365))</f>
        <v>41624.381229111117</v>
      </c>
      <c r="M69" s="236">
        <f ca="1">N79*((1+$B$68)^($C$56/365))+O79*((1+$B$68)^($C$57/365))</f>
        <v>49800.69680293111</v>
      </c>
      <c r="N69" s="236">
        <f ca="1">P79*((1+$B$68)^($C$56/365))+Q79*((1+$B$68)^($C$57/365))</f>
        <v>47927.296623527363</v>
      </c>
      <c r="O69" s="236">
        <f ca="1">R79*((1+$B$68)^($C$56/365))+S79*((1+$B$68)^($C$57/365))</f>
        <v>45984.246833668352</v>
      </c>
      <c r="P69" s="236">
        <f ca="1">T79*((1+$B$68)^($C$56/365))+U79*((1+$B$68)^($C$57/365))</f>
        <v>44415.560237799058</v>
      </c>
      <c r="Q69" s="236">
        <f ca="1">V79*((1+$B$68)^($C$56/365))+W79*((1+$B$68)^($C$57/365))</f>
        <v>44092.29440170763</v>
      </c>
      <c r="R69" s="236">
        <f ca="1">X79*((1+$B$68)^($C$56/365))+Y79*((1+$B$68)^($C$57/365))</f>
        <v>43368.583760464098</v>
      </c>
      <c r="S69" s="236">
        <f ca="1">Z79*((1+$B$68)^($C$56/365))+AA79*((1+$B$68)^($C$57/365))</f>
        <v>49708.722413727031</v>
      </c>
      <c r="T69" s="236">
        <f ca="1">AB79*((1+$B$68)^($C$56/365))+AC79*((1+$B$68)^($C$57/365))</f>
        <v>51940.769828239281</v>
      </c>
      <c r="U69" s="236">
        <f ca="1">AD79*((1+$B$68)^($C$56/365))+AE79*((1+$B$68)^($C$57/365))</f>
        <v>52301.237208809151</v>
      </c>
      <c r="V69" s="236">
        <f ca="1">AF79*((1+$B$68)^($C$56/365))+AG79*((1+$B$68)^($C$57/365))</f>
        <v>52822.35907265127</v>
      </c>
      <c r="W69" s="236">
        <f ca="1">AH79*((1+$B$68)^($C$56/365))+AI79*((1+$B$68)^($C$57/365))</f>
        <v>53227.250452991866</v>
      </c>
      <c r="X69" s="236">
        <f ca="1">AJ79*((1+$B$68)^($C$56/365))+AK79*((1+$B$68)^($C$57/365))</f>
        <v>48893.372165746543</v>
      </c>
      <c r="Y69" s="236">
        <f ca="1">AL79*((1+$B$68)^($C$56/365))+AM79*((1+$B$68)^($C$57/365))</f>
        <v>43171.233111834066</v>
      </c>
      <c r="Z69" s="236">
        <f ca="1">AN79*((1+$B$68)^($C$56/365))+AO79*((1+$B$68)^($C$57/365))</f>
        <v>42920.217784362525</v>
      </c>
      <c r="AA69" s="236">
        <f ca="1">AP79*((1+$B$68)^($C$56/365))+AQ79*((1+$B$68)^($C$57/365))</f>
        <v>48325.334239414864</v>
      </c>
      <c r="AB69" s="236">
        <f ca="1">AR79*((1+$B$68)^($C$56/365))+AS79*((1+$B$68)^($C$57/365))</f>
        <v>53214.123931583279</v>
      </c>
      <c r="AC69" s="236">
        <f ca="1">AT79*((1+$B$68)^($C$56/365))+AU79*((1+$B$68)^($C$57/365))+0.5*Assumptions!$C$11*$B$43</f>
        <v>413810.85805296706</v>
      </c>
      <c r="AD69" s="236"/>
    </row>
    <row r="70" spans="1:47">
      <c r="A70" s="22" t="s">
        <v>220</v>
      </c>
      <c r="D70" s="273">
        <f ca="1">IRR(H69:AC69)</f>
        <v>0.14280249061528449</v>
      </c>
      <c r="AB70" s="8"/>
      <c r="AC70" s="8"/>
      <c r="AD70" s="8"/>
    </row>
    <row r="74" spans="1:47">
      <c r="A74" s="21" t="s">
        <v>417</v>
      </c>
    </row>
    <row r="75" spans="1:47">
      <c r="A75" s="535" t="s">
        <v>208</v>
      </c>
      <c r="B75" s="534">
        <f>Assumptions!C8*$B$43</f>
        <v>267500</v>
      </c>
      <c r="AS75" s="7"/>
      <c r="AT75" s="7"/>
      <c r="AU75" s="7"/>
    </row>
    <row r="76" spans="1:47">
      <c r="AS76" s="7"/>
      <c r="AT76" s="7"/>
      <c r="AU76" s="7"/>
    </row>
    <row r="77" spans="1:47">
      <c r="D77" s="726">
        <v>36525</v>
      </c>
      <c r="E77" s="726">
        <v>36571</v>
      </c>
      <c r="F77" s="726">
        <v>36616</v>
      </c>
      <c r="G77" s="726">
        <f t="shared" ref="G77:AU77" si="12">G6</f>
        <v>36753</v>
      </c>
      <c r="H77" s="726">
        <f t="shared" si="12"/>
        <v>36937</v>
      </c>
      <c r="I77" s="726">
        <f t="shared" si="12"/>
        <v>37118</v>
      </c>
      <c r="J77" s="726">
        <f t="shared" si="12"/>
        <v>37302</v>
      </c>
      <c r="K77" s="726">
        <f t="shared" si="12"/>
        <v>37483</v>
      </c>
      <c r="L77" s="726">
        <f t="shared" si="12"/>
        <v>37667</v>
      </c>
      <c r="M77" s="726">
        <f t="shared" si="12"/>
        <v>37848</v>
      </c>
      <c r="N77" s="726">
        <f t="shared" si="12"/>
        <v>38032</v>
      </c>
      <c r="O77" s="726">
        <f t="shared" si="12"/>
        <v>38214</v>
      </c>
      <c r="P77" s="726">
        <f t="shared" si="12"/>
        <v>38398</v>
      </c>
      <c r="Q77" s="726">
        <f t="shared" si="12"/>
        <v>38579</v>
      </c>
      <c r="R77" s="726">
        <f t="shared" si="12"/>
        <v>38763</v>
      </c>
      <c r="S77" s="726">
        <f t="shared" si="12"/>
        <v>38944</v>
      </c>
      <c r="T77" s="726">
        <f t="shared" si="12"/>
        <v>39128</v>
      </c>
      <c r="U77" s="726">
        <f t="shared" si="12"/>
        <v>39309</v>
      </c>
      <c r="V77" s="726">
        <f t="shared" si="12"/>
        <v>39493</v>
      </c>
      <c r="W77" s="726">
        <f t="shared" si="12"/>
        <v>39675</v>
      </c>
      <c r="X77" s="726">
        <f t="shared" si="12"/>
        <v>39859</v>
      </c>
      <c r="Y77" s="726">
        <f t="shared" si="12"/>
        <v>40040</v>
      </c>
      <c r="Z77" s="726">
        <f t="shared" si="12"/>
        <v>40224</v>
      </c>
      <c r="AA77" s="726">
        <f t="shared" si="12"/>
        <v>40405</v>
      </c>
      <c r="AB77" s="726">
        <f t="shared" si="12"/>
        <v>40589</v>
      </c>
      <c r="AC77" s="726">
        <f t="shared" si="12"/>
        <v>40770</v>
      </c>
      <c r="AD77" s="726">
        <f t="shared" si="12"/>
        <v>40954</v>
      </c>
      <c r="AE77" s="726">
        <f t="shared" si="12"/>
        <v>41136</v>
      </c>
      <c r="AF77" s="726">
        <f t="shared" si="12"/>
        <v>41320</v>
      </c>
      <c r="AG77" s="726">
        <f t="shared" si="12"/>
        <v>41501</v>
      </c>
      <c r="AH77" s="726">
        <f t="shared" si="12"/>
        <v>41685</v>
      </c>
      <c r="AI77" s="726">
        <f t="shared" si="12"/>
        <v>41866</v>
      </c>
      <c r="AJ77" s="726">
        <f t="shared" si="12"/>
        <v>42050</v>
      </c>
      <c r="AK77" s="726">
        <f t="shared" si="12"/>
        <v>42231</v>
      </c>
      <c r="AL77" s="726">
        <f t="shared" si="12"/>
        <v>42415</v>
      </c>
      <c r="AM77" s="726">
        <f t="shared" si="12"/>
        <v>42597</v>
      </c>
      <c r="AN77" s="726">
        <f t="shared" si="12"/>
        <v>42781</v>
      </c>
      <c r="AO77" s="726">
        <f t="shared" si="12"/>
        <v>42962</v>
      </c>
      <c r="AP77" s="726">
        <f t="shared" si="12"/>
        <v>43146</v>
      </c>
      <c r="AQ77" s="726">
        <f t="shared" si="12"/>
        <v>43327</v>
      </c>
      <c r="AR77" s="726">
        <f t="shared" si="12"/>
        <v>43511</v>
      </c>
      <c r="AS77" s="770">
        <f t="shared" si="12"/>
        <v>43692</v>
      </c>
      <c r="AT77" s="770">
        <f t="shared" si="12"/>
        <v>43876</v>
      </c>
      <c r="AU77" s="770">
        <f t="shared" si="12"/>
        <v>44196</v>
      </c>
    </row>
    <row r="78" spans="1:47">
      <c r="A78" s="22" t="s">
        <v>218</v>
      </c>
      <c r="B78" s="657">
        <f ca="1">D80</f>
        <v>0.1316975772380829</v>
      </c>
      <c r="D78" s="236"/>
      <c r="F78" s="31"/>
      <c r="AS78" s="7"/>
      <c r="AT78" s="7"/>
      <c r="AU78" s="7"/>
    </row>
    <row r="79" spans="1:47">
      <c r="A79" s="22" t="s">
        <v>219</v>
      </c>
      <c r="D79" s="236">
        <f>D45</f>
        <v>-133750</v>
      </c>
      <c r="E79" s="236">
        <f ca="1">E45</f>
        <v>151.43115738364756</v>
      </c>
      <c r="F79" s="31">
        <f>F44</f>
        <v>-133750</v>
      </c>
      <c r="G79" s="235">
        <f t="shared" ref="G79:AU79" ca="1" si="13">G45</f>
        <v>4876.1373840193146</v>
      </c>
      <c r="H79" s="235">
        <f t="shared" ca="1" si="13"/>
        <v>10466.15232057227</v>
      </c>
      <c r="I79" s="235">
        <f t="shared" si="13"/>
        <v>11958.493507420171</v>
      </c>
      <c r="J79" s="235">
        <f t="shared" si="13"/>
        <v>12159.200934357115</v>
      </c>
      <c r="K79" s="235">
        <f t="shared" si="13"/>
        <v>11368.633715916823</v>
      </c>
      <c r="L79" s="235">
        <f t="shared" ca="1" si="13"/>
        <v>10392.694543754234</v>
      </c>
      <c r="M79" s="235">
        <f t="shared" ca="1" si="13"/>
        <v>28467.859020441301</v>
      </c>
      <c r="N79" s="235">
        <f t="shared" ca="1" si="13"/>
        <v>23871.05814547099</v>
      </c>
      <c r="O79" s="235">
        <f t="shared" ca="1" si="13"/>
        <v>21835.775978952788</v>
      </c>
      <c r="P79" s="235">
        <f t="shared" ca="1" si="13"/>
        <v>22033.288844987925</v>
      </c>
      <c r="Q79" s="235">
        <f t="shared" ca="1" si="13"/>
        <v>22018.827816830282</v>
      </c>
      <c r="R79" s="235">
        <f t="shared" ca="1" si="13"/>
        <v>21380.170139322719</v>
      </c>
      <c r="S79" s="235">
        <f t="shared" ca="1" si="13"/>
        <v>20869.474951784883</v>
      </c>
      <c r="T79" s="235">
        <f t="shared" ca="1" si="13"/>
        <v>20065.792115634467</v>
      </c>
      <c r="U79" s="235">
        <f t="shared" ca="1" si="13"/>
        <v>20782.83063488239</v>
      </c>
      <c r="V79" s="235">
        <f t="shared" ca="1" si="13"/>
        <v>20063.648398803263</v>
      </c>
      <c r="W79" s="235">
        <f t="shared" ca="1" si="13"/>
        <v>20477.765718407645</v>
      </c>
      <c r="X79" s="235">
        <f t="shared" ca="1" si="13"/>
        <v>18636.496583090637</v>
      </c>
      <c r="Y79" s="235">
        <f t="shared" ca="1" si="13"/>
        <v>21315.046839838928</v>
      </c>
      <c r="Z79" s="235">
        <f t="shared" ca="1" si="13"/>
        <v>21852.109846633241</v>
      </c>
      <c r="AA79" s="235">
        <f t="shared" ca="1" si="13"/>
        <v>23906.228442038373</v>
      </c>
      <c r="AB79" s="235">
        <f t="shared" ca="1" si="13"/>
        <v>23488.329222457</v>
      </c>
      <c r="AC79" s="235">
        <f t="shared" ca="1" si="13"/>
        <v>24279.594251598115</v>
      </c>
      <c r="AD79" s="235">
        <f t="shared" ca="1" si="13"/>
        <v>23819.823571543922</v>
      </c>
      <c r="AE79" s="235">
        <f t="shared" ca="1" si="13"/>
        <v>24268.011979471055</v>
      </c>
      <c r="AF79" s="235">
        <f t="shared" ca="1" si="13"/>
        <v>24092.328425479456</v>
      </c>
      <c r="AG79" s="235">
        <f t="shared" ca="1" si="13"/>
        <v>24472.226898003923</v>
      </c>
      <c r="AH79" s="235">
        <f t="shared" ca="1" si="13"/>
        <v>24262.415469656476</v>
      </c>
      <c r="AI79" s="235">
        <f t="shared" ca="1" si="13"/>
        <v>24675.39827293931</v>
      </c>
      <c r="AJ79" s="235">
        <f t="shared" ca="1" si="13"/>
        <v>23637.701764502988</v>
      </c>
      <c r="AK79" s="235">
        <f t="shared" ca="1" si="13"/>
        <v>21222.522593086956</v>
      </c>
      <c r="AL79" s="235">
        <f t="shared" ca="1" si="13"/>
        <v>21010.081654937305</v>
      </c>
      <c r="AM79" s="235">
        <f t="shared" ca="1" si="13"/>
        <v>18590.46431573739</v>
      </c>
      <c r="AN79" s="235">
        <f t="shared" ca="1" si="13"/>
        <v>19502.268421123794</v>
      </c>
      <c r="AO79" s="235">
        <f t="shared" si="13"/>
        <v>19963.389708235401</v>
      </c>
      <c r="AP79" s="235">
        <f t="shared" si="13"/>
        <v>22022.045737143992</v>
      </c>
      <c r="AQ79" s="235">
        <f t="shared" si="13"/>
        <v>22409.292747410622</v>
      </c>
      <c r="AR79" s="235">
        <f t="shared" si="13"/>
        <v>24426.559619012933</v>
      </c>
      <c r="AS79" s="253">
        <f t="shared" si="13"/>
        <v>24487.476580822811</v>
      </c>
      <c r="AT79" s="253">
        <f t="shared" ca="1" si="13"/>
        <v>34299.412652890496</v>
      </c>
      <c r="AU79" s="253">
        <f t="shared" ca="1" si="13"/>
        <v>63230.210163446136</v>
      </c>
    </row>
    <row r="80" spans="1:47">
      <c r="A80" s="22" t="s">
        <v>220</v>
      </c>
      <c r="D80" s="273">
        <f ca="1">XIRR(D79:AU79,D77:AU77)</f>
        <v>0.1316975772380829</v>
      </c>
      <c r="AS80" s="7"/>
      <c r="AT80" s="7"/>
      <c r="AU80" s="7"/>
    </row>
    <row r="82" spans="1:47">
      <c r="A82" s="21" t="s">
        <v>516</v>
      </c>
    </row>
    <row r="83" spans="1:47">
      <c r="A83" s="535" t="s">
        <v>208</v>
      </c>
      <c r="B83" s="534">
        <f>Assumptions!C18*$B$43</f>
        <v>18262.5</v>
      </c>
    </row>
    <row r="85" spans="1:47">
      <c r="D85" s="726">
        <f>D77</f>
        <v>36525</v>
      </c>
      <c r="E85" s="726">
        <f t="shared" ref="E85:AU85" si="14">E77</f>
        <v>36571</v>
      </c>
      <c r="F85" s="726">
        <f t="shared" si="14"/>
        <v>36616</v>
      </c>
      <c r="G85" s="726">
        <f t="shared" si="14"/>
        <v>36753</v>
      </c>
      <c r="H85" s="726">
        <f t="shared" si="14"/>
        <v>36937</v>
      </c>
      <c r="I85" s="726">
        <f t="shared" si="14"/>
        <v>37118</v>
      </c>
      <c r="J85" s="726">
        <f t="shared" si="14"/>
        <v>37302</v>
      </c>
      <c r="K85" s="726">
        <f t="shared" si="14"/>
        <v>37483</v>
      </c>
      <c r="L85" s="726">
        <f t="shared" si="14"/>
        <v>37667</v>
      </c>
      <c r="M85" s="726">
        <f t="shared" si="14"/>
        <v>37848</v>
      </c>
      <c r="N85" s="726">
        <f t="shared" si="14"/>
        <v>38032</v>
      </c>
      <c r="O85" s="726">
        <f t="shared" si="14"/>
        <v>38214</v>
      </c>
      <c r="P85" s="726">
        <f t="shared" si="14"/>
        <v>38398</v>
      </c>
      <c r="Q85" s="726">
        <f t="shared" si="14"/>
        <v>38579</v>
      </c>
      <c r="R85" s="726">
        <f t="shared" si="14"/>
        <v>38763</v>
      </c>
      <c r="S85" s="726">
        <f t="shared" si="14"/>
        <v>38944</v>
      </c>
      <c r="T85" s="726">
        <f t="shared" si="14"/>
        <v>39128</v>
      </c>
      <c r="U85" s="726">
        <f t="shared" si="14"/>
        <v>39309</v>
      </c>
      <c r="V85" s="726">
        <f t="shared" si="14"/>
        <v>39493</v>
      </c>
      <c r="W85" s="726">
        <f t="shared" si="14"/>
        <v>39675</v>
      </c>
      <c r="X85" s="726">
        <f t="shared" si="14"/>
        <v>39859</v>
      </c>
      <c r="Y85" s="726">
        <f t="shared" si="14"/>
        <v>40040</v>
      </c>
      <c r="Z85" s="726">
        <f t="shared" si="14"/>
        <v>40224</v>
      </c>
      <c r="AA85" s="726">
        <f t="shared" si="14"/>
        <v>40405</v>
      </c>
      <c r="AB85" s="726">
        <f t="shared" si="14"/>
        <v>40589</v>
      </c>
      <c r="AC85" s="726">
        <f t="shared" si="14"/>
        <v>40770</v>
      </c>
      <c r="AD85" s="726">
        <f t="shared" si="14"/>
        <v>40954</v>
      </c>
      <c r="AE85" s="726">
        <f t="shared" si="14"/>
        <v>41136</v>
      </c>
      <c r="AF85" s="726">
        <f t="shared" si="14"/>
        <v>41320</v>
      </c>
      <c r="AG85" s="726">
        <f t="shared" si="14"/>
        <v>41501</v>
      </c>
      <c r="AH85" s="726">
        <f t="shared" si="14"/>
        <v>41685</v>
      </c>
      <c r="AI85" s="726">
        <f t="shared" si="14"/>
        <v>41866</v>
      </c>
      <c r="AJ85" s="726">
        <f t="shared" si="14"/>
        <v>42050</v>
      </c>
      <c r="AK85" s="726">
        <f t="shared" si="14"/>
        <v>42231</v>
      </c>
      <c r="AL85" s="726">
        <f t="shared" si="14"/>
        <v>42415</v>
      </c>
      <c r="AM85" s="726">
        <f t="shared" si="14"/>
        <v>42597</v>
      </c>
      <c r="AN85" s="726">
        <f t="shared" si="14"/>
        <v>42781</v>
      </c>
      <c r="AO85" s="726">
        <f t="shared" si="14"/>
        <v>42962</v>
      </c>
      <c r="AP85" s="726">
        <f t="shared" si="14"/>
        <v>43146</v>
      </c>
      <c r="AQ85" s="726">
        <f t="shared" si="14"/>
        <v>43327</v>
      </c>
      <c r="AR85" s="726">
        <f t="shared" si="14"/>
        <v>43511</v>
      </c>
      <c r="AS85" s="726">
        <f t="shared" si="14"/>
        <v>43692</v>
      </c>
      <c r="AT85" s="726">
        <f t="shared" si="14"/>
        <v>43876</v>
      </c>
      <c r="AU85" s="726">
        <f t="shared" si="14"/>
        <v>44196</v>
      </c>
    </row>
    <row r="86" spans="1:47">
      <c r="B86" s="657">
        <f ca="1">D88</f>
        <v>0.15890756249427804</v>
      </c>
      <c r="D86" s="236"/>
      <c r="F86" s="31"/>
      <c r="AS86" s="7"/>
      <c r="AT86" s="7"/>
      <c r="AU86" s="7"/>
    </row>
    <row r="87" spans="1:47">
      <c r="D87" s="236">
        <f>D45</f>
        <v>-133750</v>
      </c>
      <c r="E87" s="236">
        <f ca="1">E16</f>
        <v>0</v>
      </c>
      <c r="F87" s="31">
        <f>F44</f>
        <v>-133750</v>
      </c>
      <c r="G87" s="235">
        <f ca="1">G16*$B$43</f>
        <v>3325.2486257118035</v>
      </c>
      <c r="H87" s="235">
        <f t="shared" ref="H87:AU87" ca="1" si="15">H16*$B$43</f>
        <v>7209.7261512640871</v>
      </c>
      <c r="I87" s="235">
        <f t="shared" si="15"/>
        <v>6597.3984231648938</v>
      </c>
      <c r="J87" s="235">
        <f t="shared" si="15"/>
        <v>6990.7997607747056</v>
      </c>
      <c r="K87" s="235">
        <f t="shared" si="15"/>
        <v>7163.7020956987544</v>
      </c>
      <c r="L87" s="235">
        <f t="shared" si="15"/>
        <v>7329.1954463794973</v>
      </c>
      <c r="M87" s="235">
        <f t="shared" si="15"/>
        <v>31111.522537283217</v>
      </c>
      <c r="N87" s="235">
        <f t="shared" si="15"/>
        <v>26707.458455028118</v>
      </c>
      <c r="O87" s="235">
        <f t="shared" si="15"/>
        <v>25635.860252085979</v>
      </c>
      <c r="P87" s="235">
        <f t="shared" si="15"/>
        <v>26043.141793253548</v>
      </c>
      <c r="Q87" s="235">
        <f t="shared" si="15"/>
        <v>27077.524140758069</v>
      </c>
      <c r="R87" s="235">
        <f t="shared" si="15"/>
        <v>26660.140483856088</v>
      </c>
      <c r="S87" s="235">
        <f t="shared" si="15"/>
        <v>27255.815399346164</v>
      </c>
      <c r="T87" s="235">
        <f t="shared" si="15"/>
        <v>26573.771075311783</v>
      </c>
      <c r="U87" s="235">
        <f t="shared" si="15"/>
        <v>27899.00215513986</v>
      </c>
      <c r="V87" s="235">
        <f t="shared" si="15"/>
        <v>27271.189287681937</v>
      </c>
      <c r="W87" s="235">
        <f t="shared" si="15"/>
        <v>28142.153450392314</v>
      </c>
      <c r="X87" s="235">
        <f t="shared" si="15"/>
        <v>26444.473901547808</v>
      </c>
      <c r="Y87" s="235">
        <f t="shared" si="15"/>
        <v>29840.972090658626</v>
      </c>
      <c r="Z87" s="235">
        <f t="shared" si="15"/>
        <v>30454.299634946517</v>
      </c>
      <c r="AA87" s="235">
        <f t="shared" si="15"/>
        <v>32889.740917819523</v>
      </c>
      <c r="AB87" s="235">
        <f t="shared" si="15"/>
        <v>32606.328968044865</v>
      </c>
      <c r="AC87" s="235">
        <f t="shared" si="15"/>
        <v>34070.030346219559</v>
      </c>
      <c r="AD87" s="235">
        <f t="shared" si="15"/>
        <v>33711.405157911053</v>
      </c>
      <c r="AE87" s="235">
        <f t="shared" si="15"/>
        <v>34665.321024566627</v>
      </c>
      <c r="AF87" s="235">
        <f t="shared" si="15"/>
        <v>34579.507809447961</v>
      </c>
      <c r="AG87" s="235">
        <f t="shared" si="15"/>
        <v>35408.757976337103</v>
      </c>
      <c r="AH87" s="235">
        <f t="shared" si="15"/>
        <v>35302.452758569045</v>
      </c>
      <c r="AI87" s="235">
        <f t="shared" si="15"/>
        <v>36232.96661474881</v>
      </c>
      <c r="AJ87" s="235">
        <f t="shared" si="15"/>
        <v>35886.931854540802</v>
      </c>
      <c r="AK87" s="235">
        <f t="shared" si="15"/>
        <v>36930.061424266336</v>
      </c>
      <c r="AL87" s="235">
        <f t="shared" si="15"/>
        <v>37412.655091034816</v>
      </c>
      <c r="AM87" s="235">
        <f t="shared" si="15"/>
        <v>38468.210776425549</v>
      </c>
      <c r="AN87" s="235">
        <f t="shared" si="15"/>
        <v>39494.506642865243</v>
      </c>
      <c r="AO87" s="235">
        <f t="shared" si="15"/>
        <v>40528.086735243305</v>
      </c>
      <c r="AP87" s="235">
        <f t="shared" si="15"/>
        <v>42689.646602517576</v>
      </c>
      <c r="AQ87" s="235">
        <f t="shared" si="15"/>
        <v>43591.412804612613</v>
      </c>
      <c r="AR87" s="235">
        <f t="shared" si="15"/>
        <v>45663.401079076037</v>
      </c>
      <c r="AS87" s="235">
        <f t="shared" si="15"/>
        <v>45997.925055191481</v>
      </c>
      <c r="AT87" s="235">
        <f t="shared" si="15"/>
        <v>55894.407415271402</v>
      </c>
      <c r="AU87" s="235">
        <f t="shared" si="15"/>
        <v>103596.04153458997</v>
      </c>
    </row>
    <row r="88" spans="1:47">
      <c r="D88" s="273">
        <f ca="1">XIRR(D87:AU87,D85:AU85)</f>
        <v>0.15890756249427804</v>
      </c>
      <c r="AS88" s="7"/>
      <c r="AT88" s="7"/>
      <c r="AU88" s="7"/>
    </row>
  </sheetData>
  <pageMargins left="0.5" right="0.53" top="1" bottom="1" header="0.5" footer="0.5"/>
  <pageSetup scale="45" fitToWidth="2" orientation="landscape" horizontalDpi="0" r:id="rId1"/>
  <headerFooter alignWithMargins="0"/>
  <colBreaks count="1" manualBreakCount="1">
    <brk id="25" max="49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264"/>
  <sheetViews>
    <sheetView topLeftCell="F54" zoomScale="75" zoomScaleNormal="75" workbookViewId="0">
      <pane ySplit="5835" topLeftCell="A112"/>
      <selection activeCell="F82" sqref="F82"/>
      <selection pane="bottomLeft" activeCell="M115" sqref="M115:V115"/>
    </sheetView>
  </sheetViews>
  <sheetFormatPr defaultRowHeight="12.75"/>
  <cols>
    <col min="1" max="1" width="36" style="22" customWidth="1"/>
    <col min="2" max="2" width="18.42578125" style="22" customWidth="1"/>
    <col min="3" max="6" width="14.5703125" style="22" customWidth="1"/>
    <col min="7" max="7" width="17.5703125" style="22" customWidth="1"/>
    <col min="8" max="8" width="16.140625" style="22" customWidth="1"/>
    <col min="9" max="9" width="16.28515625" style="22" customWidth="1"/>
    <col min="10" max="22" width="14.5703125" style="22" customWidth="1"/>
    <col min="23" max="26" width="14.42578125" style="22" customWidth="1"/>
    <col min="27" max="28" width="14.42578125" style="8" customWidth="1"/>
    <col min="29" max="42" width="14.42578125" style="22" customWidth="1"/>
    <col min="43" max="16384" width="9.140625" style="22"/>
  </cols>
  <sheetData>
    <row r="1" spans="1:28" ht="18.75">
      <c r="A1" s="132"/>
    </row>
    <row r="2" spans="1:28" ht="18.75">
      <c r="A2" s="132"/>
    </row>
    <row r="4" spans="1:28" ht="15.75">
      <c r="A4" s="76"/>
      <c r="C4" s="109" t="s">
        <v>70</v>
      </c>
      <c r="D4" s="110"/>
      <c r="E4" s="110"/>
      <c r="F4" s="111"/>
      <c r="I4" s="109" t="s">
        <v>71</v>
      </c>
      <c r="J4" s="110"/>
      <c r="K4" s="110"/>
      <c r="L4" s="111"/>
      <c r="O4" s="109" t="s">
        <v>72</v>
      </c>
      <c r="P4" s="110"/>
      <c r="Q4" s="110"/>
      <c r="R4" s="111"/>
    </row>
    <row r="5" spans="1:28">
      <c r="A5" s="76"/>
      <c r="C5" s="112" t="s">
        <v>426</v>
      </c>
      <c r="D5" s="113"/>
      <c r="E5" s="113"/>
      <c r="F5" s="114">
        <v>5.9400000000000001E-2</v>
      </c>
      <c r="G5" s="774"/>
      <c r="I5" s="112" t="s">
        <v>427</v>
      </c>
      <c r="J5" s="113"/>
      <c r="K5" s="113"/>
      <c r="L5" s="114">
        <v>6.2199999999999998E-2</v>
      </c>
      <c r="O5" s="112" t="s">
        <v>428</v>
      </c>
      <c r="P5" s="113"/>
      <c r="Q5" s="113"/>
      <c r="R5" s="114">
        <v>6.3100000000000003E-2</v>
      </c>
    </row>
    <row r="6" spans="1:28">
      <c r="A6" s="76"/>
      <c r="C6" s="112" t="s">
        <v>221</v>
      </c>
      <c r="D6" s="113"/>
      <c r="E6" s="113"/>
      <c r="F6" s="114">
        <v>2.2499999999999999E-2</v>
      </c>
      <c r="I6" s="112" t="s">
        <v>222</v>
      </c>
      <c r="J6" s="113"/>
      <c r="K6" s="113"/>
      <c r="L6" s="114">
        <v>3.5000000000000003E-2</v>
      </c>
      <c r="O6" s="112" t="s">
        <v>222</v>
      </c>
      <c r="P6" s="113"/>
      <c r="Q6" s="113"/>
      <c r="R6" s="114">
        <v>4.1250000000000002E-2</v>
      </c>
    </row>
    <row r="7" spans="1:28">
      <c r="A7" s="76"/>
      <c r="C7" s="115" t="s">
        <v>223</v>
      </c>
      <c r="D7" s="116"/>
      <c r="E7" s="116"/>
      <c r="F7" s="117">
        <f>F6+F5</f>
        <v>8.1900000000000001E-2</v>
      </c>
      <c r="I7" s="115" t="s">
        <v>223</v>
      </c>
      <c r="J7" s="116"/>
      <c r="K7" s="116"/>
      <c r="L7" s="117">
        <f>L5+L6</f>
        <v>9.7200000000000009E-2</v>
      </c>
      <c r="O7" s="115" t="s">
        <v>223</v>
      </c>
      <c r="P7" s="116"/>
      <c r="Q7" s="116"/>
      <c r="R7" s="117">
        <f>R5+R6</f>
        <v>0.10435</v>
      </c>
    </row>
    <row r="8" spans="1:28" ht="15.75">
      <c r="A8" s="76"/>
      <c r="C8" s="94" t="s">
        <v>224</v>
      </c>
      <c r="D8" s="118"/>
      <c r="E8" s="119"/>
      <c r="F8" s="98">
        <v>3.33</v>
      </c>
      <c r="I8" s="94" t="s">
        <v>225</v>
      </c>
      <c r="J8" s="99"/>
      <c r="K8" s="99"/>
      <c r="L8" s="98">
        <v>9.83</v>
      </c>
      <c r="O8" s="94" t="s">
        <v>225</v>
      </c>
      <c r="P8" s="99"/>
      <c r="Q8" s="99"/>
      <c r="R8" s="98">
        <v>19.829999999999998</v>
      </c>
    </row>
    <row r="9" spans="1:28" ht="15.75">
      <c r="A9" s="76"/>
      <c r="C9" s="100" t="s">
        <v>226</v>
      </c>
      <c r="D9" s="120"/>
      <c r="E9" s="120"/>
      <c r="F9" s="101">
        <f>B131</f>
        <v>2.0102517123287673</v>
      </c>
      <c r="I9" s="100" t="s">
        <v>227</v>
      </c>
      <c r="J9" s="102"/>
      <c r="K9" s="102"/>
      <c r="L9" s="101">
        <f>B132</f>
        <v>7.2795310502283126</v>
      </c>
      <c r="O9" s="100" t="s">
        <v>476</v>
      </c>
      <c r="P9" s="102"/>
      <c r="Q9" s="102"/>
      <c r="R9" s="101">
        <f>B133</f>
        <v>15.039434304588985</v>
      </c>
    </row>
    <row r="10" spans="1:28">
      <c r="A10" s="76"/>
      <c r="C10" s="128" t="s">
        <v>228</v>
      </c>
      <c r="D10" s="129"/>
      <c r="E10" s="129"/>
      <c r="F10" s="130">
        <v>81000</v>
      </c>
      <c r="I10" s="128" t="s">
        <v>228</v>
      </c>
      <c r="J10" s="133"/>
      <c r="K10" s="133"/>
      <c r="L10" s="130">
        <v>194000</v>
      </c>
      <c r="O10" s="128" t="s">
        <v>228</v>
      </c>
      <c r="P10" s="133"/>
      <c r="Q10" s="133"/>
      <c r="R10" s="130">
        <f>E160</f>
        <v>425000</v>
      </c>
    </row>
    <row r="11" spans="1:28">
      <c r="A11" s="76"/>
      <c r="C11" s="131"/>
      <c r="D11" s="113"/>
      <c r="E11" s="113"/>
      <c r="F11" s="327"/>
      <c r="I11" s="131"/>
      <c r="J11" s="131"/>
      <c r="K11" s="131"/>
      <c r="L11" s="327"/>
      <c r="O11" s="131"/>
      <c r="P11" s="131"/>
      <c r="Q11" s="131"/>
      <c r="R11"/>
    </row>
    <row r="12" spans="1:28">
      <c r="A12" s="76"/>
      <c r="C12" s="131"/>
      <c r="D12" s="113"/>
      <c r="E12" s="113"/>
      <c r="F12" s="327"/>
      <c r="I12" s="131"/>
      <c r="J12" s="131"/>
      <c r="K12" s="131"/>
      <c r="L12" s="327"/>
      <c r="O12" s="131"/>
      <c r="P12" s="131"/>
      <c r="Q12" s="131"/>
      <c r="R12" s="327"/>
    </row>
    <row r="13" spans="1:28" hidden="1">
      <c r="A13" s="76"/>
      <c r="C13" s="131"/>
      <c r="D13" s="113"/>
      <c r="E13" s="113"/>
      <c r="F13" s="288"/>
      <c r="I13" s="131"/>
      <c r="J13" s="131"/>
      <c r="K13" s="131"/>
      <c r="L13" s="288"/>
      <c r="O13" s="131"/>
      <c r="P13" s="131"/>
      <c r="Q13" s="131"/>
      <c r="R13" s="288"/>
    </row>
    <row r="14" spans="1:28" ht="18.75">
      <c r="A14" s="126" t="s">
        <v>229</v>
      </c>
      <c r="C14" s="131"/>
      <c r="D14" s="113"/>
      <c r="E14" s="113"/>
      <c r="F14" s="327"/>
      <c r="I14" s="131"/>
      <c r="J14" s="131"/>
      <c r="K14" s="131"/>
      <c r="L14" s="327"/>
      <c r="O14" s="131"/>
      <c r="P14" s="131"/>
      <c r="Q14" s="131"/>
      <c r="R14" s="327"/>
    </row>
    <row r="15" spans="1:28" s="23" customFormat="1">
      <c r="A15" s="3"/>
      <c r="P15" s="544"/>
      <c r="Q15" s="544"/>
      <c r="R15" s="544"/>
      <c r="S15" s="544"/>
      <c r="T15" s="544"/>
      <c r="U15" s="544"/>
      <c r="V15" s="544"/>
      <c r="W15" s="544"/>
      <c r="X15" s="544"/>
      <c r="Y15" s="544"/>
      <c r="Z15" s="544"/>
      <c r="AA15" s="8"/>
      <c r="AB15" s="8"/>
    </row>
    <row r="16" spans="1:28" s="23" customFormat="1">
      <c r="A16" s="492"/>
      <c r="P16" s="544"/>
      <c r="Q16" s="544"/>
      <c r="R16" s="544"/>
      <c r="S16" s="544"/>
      <c r="T16" s="544"/>
      <c r="U16" s="544"/>
      <c r="V16" s="544"/>
      <c r="W16" s="544"/>
      <c r="X16" s="544"/>
      <c r="Y16" s="544"/>
      <c r="Z16" s="544"/>
      <c r="AA16" s="306"/>
      <c r="AB16" s="8"/>
    </row>
    <row r="17" spans="1:34" s="545" customFormat="1" ht="13.5">
      <c r="A17" s="78"/>
      <c r="B17" s="540">
        <v>1</v>
      </c>
      <c r="C17" s="540">
        <f>B17+1</f>
        <v>2</v>
      </c>
      <c r="D17" s="540">
        <f t="shared" ref="D17:Z17" si="0">C17+1</f>
        <v>3</v>
      </c>
      <c r="E17" s="540">
        <f t="shared" si="0"/>
        <v>4</v>
      </c>
      <c r="F17" s="540">
        <f t="shared" si="0"/>
        <v>5</v>
      </c>
      <c r="G17" s="540">
        <f t="shared" si="0"/>
        <v>6</v>
      </c>
      <c r="H17" s="540">
        <f t="shared" si="0"/>
        <v>7</v>
      </c>
      <c r="I17" s="540">
        <f t="shared" si="0"/>
        <v>8</v>
      </c>
      <c r="J17" s="540">
        <f t="shared" si="0"/>
        <v>9</v>
      </c>
      <c r="K17" s="540">
        <f t="shared" si="0"/>
        <v>10</v>
      </c>
      <c r="L17" s="540">
        <f t="shared" si="0"/>
        <v>11</v>
      </c>
      <c r="M17" s="540">
        <f t="shared" si="0"/>
        <v>12</v>
      </c>
      <c r="N17" s="540">
        <f t="shared" si="0"/>
        <v>13</v>
      </c>
      <c r="O17" s="540">
        <f t="shared" si="0"/>
        <v>14</v>
      </c>
      <c r="P17" s="540">
        <f t="shared" si="0"/>
        <v>15</v>
      </c>
      <c r="Q17" s="540">
        <f t="shared" si="0"/>
        <v>16</v>
      </c>
      <c r="R17" s="540">
        <f t="shared" si="0"/>
        <v>17</v>
      </c>
      <c r="S17" s="540">
        <f t="shared" si="0"/>
        <v>18</v>
      </c>
      <c r="T17" s="540">
        <f t="shared" si="0"/>
        <v>19</v>
      </c>
      <c r="U17" s="540">
        <f t="shared" si="0"/>
        <v>20</v>
      </c>
      <c r="V17" s="540">
        <f t="shared" si="0"/>
        <v>21</v>
      </c>
      <c r="W17" s="540">
        <f t="shared" si="0"/>
        <v>22</v>
      </c>
      <c r="X17" s="540">
        <f t="shared" si="0"/>
        <v>23</v>
      </c>
      <c r="Y17" s="540">
        <f t="shared" si="0"/>
        <v>24</v>
      </c>
      <c r="Z17" s="540">
        <f t="shared" si="0"/>
        <v>25</v>
      </c>
      <c r="AA17" s="159"/>
      <c r="AB17" s="279"/>
    </row>
    <row r="18" spans="1:34" ht="13.5" thickBot="1">
      <c r="A18" s="422" t="s">
        <v>164</v>
      </c>
      <c r="B18" s="816">
        <v>36525</v>
      </c>
      <c r="C18" s="583">
        <v>2000</v>
      </c>
      <c r="D18" s="583">
        <v>2001</v>
      </c>
      <c r="E18" s="583">
        <v>2002</v>
      </c>
      <c r="F18" s="583">
        <v>2003</v>
      </c>
      <c r="G18" s="583">
        <v>2004</v>
      </c>
      <c r="H18" s="583">
        <v>2005</v>
      </c>
      <c r="I18" s="583">
        <v>2006</v>
      </c>
      <c r="J18" s="583">
        <v>2007</v>
      </c>
      <c r="K18" s="583">
        <v>2008</v>
      </c>
      <c r="L18" s="583">
        <v>2009</v>
      </c>
      <c r="M18" s="583">
        <v>2010</v>
      </c>
      <c r="N18" s="583">
        <v>2011</v>
      </c>
      <c r="O18" s="583">
        <v>2012</v>
      </c>
      <c r="P18" s="583">
        <v>2013</v>
      </c>
      <c r="Q18" s="583">
        <v>2014</v>
      </c>
      <c r="R18" s="583">
        <v>2015</v>
      </c>
      <c r="S18" s="583">
        <v>2016</v>
      </c>
      <c r="T18" s="583">
        <v>2017</v>
      </c>
      <c r="U18" s="583">
        <v>2018</v>
      </c>
      <c r="V18" s="583">
        <v>2019</v>
      </c>
      <c r="W18"/>
      <c r="X18"/>
      <c r="Y18"/>
      <c r="Z18"/>
      <c r="AA18" s="21"/>
      <c r="AB18" s="138"/>
      <c r="AC18" s="21"/>
      <c r="AD18" s="21"/>
      <c r="AE18" s="21"/>
      <c r="AF18" s="21"/>
      <c r="AG18" s="21"/>
      <c r="AH18" s="21"/>
    </row>
    <row r="19" spans="1:34" s="90" customFormat="1">
      <c r="A19" s="546"/>
      <c r="B19" s="546"/>
      <c r="C19" s="546"/>
      <c r="D19" s="546"/>
      <c r="E19" s="546"/>
      <c r="F19" s="546"/>
      <c r="G19" s="546"/>
      <c r="H19" s="546"/>
      <c r="I19" s="546"/>
      <c r="J19" s="546"/>
      <c r="K19" s="546"/>
      <c r="L19" s="546"/>
      <c r="M19" s="546"/>
      <c r="N19" s="546"/>
      <c r="O19" s="546"/>
      <c r="P19" s="546"/>
      <c r="Q19" s="546"/>
      <c r="R19" s="546"/>
      <c r="S19" s="546"/>
      <c r="T19" s="546"/>
      <c r="U19" s="546"/>
      <c r="V19" s="546"/>
      <c r="W19"/>
      <c r="X19"/>
      <c r="Y19"/>
      <c r="Z19"/>
      <c r="AA19" s="11"/>
      <c r="AB19" s="138"/>
      <c r="AC19" s="21"/>
      <c r="AD19" s="21"/>
      <c r="AE19" s="21"/>
      <c r="AF19" s="21"/>
      <c r="AG19" s="21"/>
      <c r="AH19" s="21"/>
    </row>
    <row r="20" spans="1:34">
      <c r="R20" s="23"/>
      <c r="S20" s="23"/>
      <c r="T20" s="23"/>
      <c r="U20" s="23"/>
      <c r="V20" s="23"/>
      <c r="W20"/>
      <c r="X20"/>
      <c r="Y20"/>
      <c r="Z20"/>
    </row>
    <row r="21" spans="1:34">
      <c r="A21" s="76" t="s">
        <v>230</v>
      </c>
      <c r="B21" s="578">
        <v>0</v>
      </c>
      <c r="C21" s="578">
        <v>0.107</v>
      </c>
      <c r="D21" s="578">
        <v>0.317</v>
      </c>
      <c r="E21" s="578">
        <v>0.33700000000000002</v>
      </c>
      <c r="F21" s="578">
        <f>1-SUM(B21:E21)</f>
        <v>0.23899999999999999</v>
      </c>
      <c r="G21" s="579"/>
      <c r="H21" s="579"/>
      <c r="I21" s="579"/>
      <c r="J21" s="579"/>
      <c r="K21" s="579"/>
      <c r="L21" s="579"/>
      <c r="M21" s="579"/>
      <c r="N21" s="579"/>
      <c r="O21" s="579"/>
      <c r="P21" s="579"/>
      <c r="Q21" s="579"/>
      <c r="R21" s="579"/>
      <c r="S21" s="579"/>
      <c r="T21" s="579"/>
      <c r="U21" s="579"/>
      <c r="V21" s="579"/>
      <c r="W21"/>
      <c r="X21"/>
      <c r="Y21"/>
      <c r="Z21"/>
      <c r="AA21" s="307"/>
      <c r="AB21" s="148"/>
      <c r="AC21" s="80"/>
      <c r="AD21" s="80"/>
      <c r="AE21" s="80"/>
      <c r="AF21" s="80"/>
      <c r="AG21" s="80"/>
      <c r="AH21" s="80"/>
    </row>
    <row r="22" spans="1:34">
      <c r="A22" s="81" t="str">
        <f>IF(SUM(B21:U21)&lt;&gt;1,"CHECK!","")</f>
        <v/>
      </c>
      <c r="B22" s="580"/>
      <c r="C22" s="580"/>
      <c r="D22" s="580"/>
      <c r="E22" s="580"/>
      <c r="F22" s="580"/>
      <c r="G22" s="891"/>
      <c r="H22" s="891"/>
      <c r="I22" s="891"/>
      <c r="J22" s="891"/>
      <c r="K22" s="891"/>
      <c r="L22" s="580"/>
      <c r="M22" s="580"/>
      <c r="N22" s="580"/>
      <c r="O22" s="580"/>
      <c r="P22" s="580"/>
      <c r="Q22" s="580"/>
      <c r="R22" s="580"/>
      <c r="S22" s="580"/>
      <c r="T22" s="580"/>
      <c r="U22" s="580"/>
      <c r="V22" s="580"/>
      <c r="W22"/>
      <c r="X22"/>
      <c r="Y22"/>
      <c r="Z22"/>
    </row>
    <row r="23" spans="1:34">
      <c r="A23" s="76" t="s">
        <v>231</v>
      </c>
      <c r="B23" s="581">
        <f>SUM(B190,B195,B200)/$B$189</f>
        <v>0</v>
      </c>
      <c r="C23" s="581">
        <v>0</v>
      </c>
      <c r="D23" s="581">
        <v>0</v>
      </c>
      <c r="E23" s="581">
        <v>0</v>
      </c>
      <c r="F23" s="581">
        <v>0</v>
      </c>
      <c r="G23" s="581">
        <v>0.1115</v>
      </c>
      <c r="H23" s="581">
        <v>0.13100000000000001</v>
      </c>
      <c r="I23" s="581">
        <v>0.14699999999999999</v>
      </c>
      <c r="J23" s="581">
        <v>0.17199999999999999</v>
      </c>
      <c r="K23" s="581">
        <v>0.19500000000000001</v>
      </c>
      <c r="L23" s="581">
        <f>1-SUM(F23:K23)</f>
        <v>0.24350000000000005</v>
      </c>
      <c r="M23"/>
      <c r="N23" s="582"/>
      <c r="O23" s="582"/>
      <c r="P23" s="582"/>
      <c r="Q23" s="582"/>
      <c r="R23" s="582"/>
      <c r="S23" s="582"/>
      <c r="T23" s="582"/>
      <c r="U23" s="582"/>
      <c r="V23" s="582"/>
      <c r="W23"/>
      <c r="X23"/>
      <c r="Y23"/>
      <c r="Z23"/>
      <c r="AA23" s="308"/>
    </row>
    <row r="24" spans="1:34">
      <c r="A24" s="81" t="str">
        <f>IF(SUM(B23:U23)&lt;&gt;1,"CHECK!","")</f>
        <v/>
      </c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0"/>
      <c r="P24" s="580"/>
      <c r="Q24" s="580"/>
      <c r="R24" s="580"/>
      <c r="S24" s="580"/>
      <c r="T24" s="580"/>
      <c r="U24" s="580"/>
      <c r="V24" s="580"/>
      <c r="W24"/>
      <c r="X24"/>
      <c r="Y24"/>
      <c r="Z24"/>
    </row>
    <row r="25" spans="1:34">
      <c r="A25" s="76" t="s">
        <v>232</v>
      </c>
      <c r="B25" s="581">
        <f>SUM(B77,B82,B87)/$R$10</f>
        <v>0</v>
      </c>
      <c r="C25" s="581">
        <v>0</v>
      </c>
      <c r="D25" s="581">
        <v>0</v>
      </c>
      <c r="E25" s="581">
        <v>0</v>
      </c>
      <c r="F25" s="581">
        <v>0</v>
      </c>
      <c r="G25" s="581">
        <v>0</v>
      </c>
      <c r="H25" s="581">
        <v>0</v>
      </c>
      <c r="I25" s="581">
        <v>0</v>
      </c>
      <c r="J25" s="581">
        <v>0</v>
      </c>
      <c r="K25" s="581">
        <v>0</v>
      </c>
      <c r="L25" s="581">
        <v>0</v>
      </c>
      <c r="M25" s="581">
        <v>7.630644790042608E-2</v>
      </c>
      <c r="N25" s="581">
        <v>8.4825195089200625E-2</v>
      </c>
      <c r="O25" s="581">
        <v>9.3446735188484287E-2</v>
      </c>
      <c r="P25" s="581">
        <v>9.9651055116767001E-2</v>
      </c>
      <c r="Q25" s="581">
        <v>0.1064911885555333</v>
      </c>
      <c r="R25" s="581">
        <v>0.11605665092277431</v>
      </c>
      <c r="S25" s="581">
        <v>0.11832208602578778</v>
      </c>
      <c r="T25" s="581">
        <v>0.11557581455260613</v>
      </c>
      <c r="U25" s="581">
        <v>0.10189604682259799</v>
      </c>
      <c r="V25" s="581">
        <f>1-SUM(B25:U25)</f>
        <v>8.7428779825822533E-2</v>
      </c>
      <c r="W25"/>
      <c r="X25"/>
      <c r="Y25"/>
      <c r="Z25"/>
      <c r="AA25" s="308"/>
      <c r="AC25" s="7"/>
      <c r="AD25" s="7"/>
      <c r="AE25" s="7"/>
      <c r="AF25" s="7"/>
      <c r="AG25" s="7"/>
      <c r="AH25" s="7"/>
    </row>
    <row r="26" spans="1:34">
      <c r="A26" s="81" t="str">
        <f>IF(SUM(B25:V25)&lt;&gt;1,"CHECK!","")</f>
        <v/>
      </c>
      <c r="C26" s="273"/>
      <c r="D26" s="273"/>
      <c r="E26" s="273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73"/>
      <c r="W26"/>
      <c r="X26"/>
      <c r="Y26"/>
      <c r="Z26"/>
    </row>
    <row r="27" spans="1:34">
      <c r="A27" s="81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/>
      <c r="X27"/>
      <c r="Y27"/>
      <c r="Z27"/>
    </row>
    <row r="28" spans="1:34">
      <c r="A28" s="82" t="str">
        <f>CONCATENATE("Tranche 1 @ ",F7*100,"%")</f>
        <v>Tranche 1 @ 8.19%</v>
      </c>
      <c r="C28" s="83"/>
      <c r="W28"/>
      <c r="X28"/>
      <c r="Y28"/>
      <c r="Z28"/>
    </row>
    <row r="29" spans="1:34">
      <c r="A29" s="84" t="s">
        <v>375</v>
      </c>
      <c r="B29" s="85"/>
      <c r="W29"/>
      <c r="X29"/>
      <c r="Y29"/>
      <c r="Z29"/>
    </row>
    <row r="30" spans="1:34">
      <c r="A30" s="85" t="s">
        <v>233</v>
      </c>
      <c r="B30" s="86">
        <f>F10</f>
        <v>81000</v>
      </c>
      <c r="C30" s="85">
        <f>B43</f>
        <v>81000</v>
      </c>
      <c r="D30" s="85">
        <f t="shared" ref="D30:V30" si="1">C43</f>
        <v>72333</v>
      </c>
      <c r="E30" s="85">
        <f t="shared" si="1"/>
        <v>46656</v>
      </c>
      <c r="F30" s="85">
        <f t="shared" si="1"/>
        <v>19359</v>
      </c>
      <c r="G30" s="85">
        <f t="shared" si="1"/>
        <v>0</v>
      </c>
      <c r="H30" s="85">
        <f t="shared" si="1"/>
        <v>0</v>
      </c>
      <c r="I30" s="85">
        <f t="shared" si="1"/>
        <v>0</v>
      </c>
      <c r="J30" s="85">
        <f t="shared" si="1"/>
        <v>0</v>
      </c>
      <c r="K30" s="85">
        <f t="shared" si="1"/>
        <v>0</v>
      </c>
      <c r="L30" s="85">
        <f t="shared" si="1"/>
        <v>0</v>
      </c>
      <c r="M30" s="85">
        <f t="shared" si="1"/>
        <v>0</v>
      </c>
      <c r="N30" s="85">
        <f t="shared" si="1"/>
        <v>0</v>
      </c>
      <c r="O30" s="85">
        <f t="shared" si="1"/>
        <v>0</v>
      </c>
      <c r="P30" s="85">
        <f t="shared" si="1"/>
        <v>0</v>
      </c>
      <c r="Q30" s="85">
        <f t="shared" si="1"/>
        <v>0</v>
      </c>
      <c r="R30" s="85">
        <f t="shared" si="1"/>
        <v>0</v>
      </c>
      <c r="S30" s="85">
        <f t="shared" si="1"/>
        <v>0</v>
      </c>
      <c r="T30" s="85">
        <f t="shared" si="1"/>
        <v>0</v>
      </c>
      <c r="U30" s="85">
        <f t="shared" si="1"/>
        <v>0</v>
      </c>
      <c r="V30" s="85">
        <f t="shared" si="1"/>
        <v>0</v>
      </c>
      <c r="W30"/>
      <c r="X30"/>
      <c r="Y30"/>
      <c r="Z30"/>
      <c r="AA30" s="309"/>
      <c r="AB30" s="309"/>
      <c r="AC30" s="85"/>
      <c r="AD30" s="85"/>
      <c r="AE30" s="85"/>
      <c r="AF30" s="85"/>
      <c r="AG30" s="85"/>
      <c r="AH30" s="85"/>
    </row>
    <row r="31" spans="1:34">
      <c r="A31" s="85" t="s">
        <v>234</v>
      </c>
      <c r="B31" s="85">
        <v>0</v>
      </c>
      <c r="C31" s="85">
        <f>$B$30*C21*1/12</f>
        <v>722.25</v>
      </c>
      <c r="D31" s="85">
        <f>$B$30*D21*5.5/12</f>
        <v>11768.625</v>
      </c>
      <c r="E31" s="85">
        <f>$B$30*E21*6/12</f>
        <v>13648.5</v>
      </c>
      <c r="F31" s="85">
        <f>$B$30*F21*12/12</f>
        <v>19359</v>
      </c>
      <c r="G31" s="85">
        <f t="shared" ref="G31:V31" si="2">$B$30*G21*7/12</f>
        <v>0</v>
      </c>
      <c r="H31" s="85">
        <f t="shared" si="2"/>
        <v>0</v>
      </c>
      <c r="I31" s="85">
        <f t="shared" si="2"/>
        <v>0</v>
      </c>
      <c r="J31" s="85">
        <f t="shared" si="2"/>
        <v>0</v>
      </c>
      <c r="K31" s="85">
        <f t="shared" si="2"/>
        <v>0</v>
      </c>
      <c r="L31" s="85">
        <f t="shared" si="2"/>
        <v>0</v>
      </c>
      <c r="M31" s="85">
        <f t="shared" si="2"/>
        <v>0</v>
      </c>
      <c r="N31" s="85">
        <f t="shared" si="2"/>
        <v>0</v>
      </c>
      <c r="O31" s="85">
        <f t="shared" si="2"/>
        <v>0</v>
      </c>
      <c r="P31" s="85">
        <f t="shared" si="2"/>
        <v>0</v>
      </c>
      <c r="Q31" s="85">
        <f t="shared" si="2"/>
        <v>0</v>
      </c>
      <c r="R31" s="85">
        <f t="shared" si="2"/>
        <v>0</v>
      </c>
      <c r="S31" s="85">
        <f t="shared" si="2"/>
        <v>0</v>
      </c>
      <c r="T31" s="85">
        <f t="shared" si="2"/>
        <v>0</v>
      </c>
      <c r="U31" s="85">
        <f t="shared" si="2"/>
        <v>0</v>
      </c>
      <c r="V31" s="85">
        <f t="shared" si="2"/>
        <v>0</v>
      </c>
      <c r="W31"/>
      <c r="X31"/>
      <c r="Y31"/>
      <c r="Z31"/>
      <c r="AA31" s="309"/>
      <c r="AB31" s="309"/>
      <c r="AC31" s="85"/>
      <c r="AD31" s="85"/>
      <c r="AE31" s="85"/>
      <c r="AF31" s="85"/>
      <c r="AG31" s="85"/>
      <c r="AH31" s="85"/>
    </row>
    <row r="32" spans="1:34">
      <c r="A32" s="85" t="s">
        <v>235</v>
      </c>
      <c r="B32" s="727">
        <v>0</v>
      </c>
      <c r="C32" s="85">
        <f>C30*$F$7*1/12</f>
        <v>552.82499999999993</v>
      </c>
      <c r="D32" s="85">
        <f t="shared" ref="D32:V32" si="3">D30*$F$7*1/12</f>
        <v>493.67272499999996</v>
      </c>
      <c r="E32" s="85">
        <f t="shared" si="3"/>
        <v>318.42720000000003</v>
      </c>
      <c r="F32" s="85">
        <f t="shared" si="3"/>
        <v>132.12517499999998</v>
      </c>
      <c r="G32" s="85">
        <f t="shared" si="3"/>
        <v>0</v>
      </c>
      <c r="H32" s="85">
        <f t="shared" si="3"/>
        <v>0</v>
      </c>
      <c r="I32" s="85">
        <f t="shared" si="3"/>
        <v>0</v>
      </c>
      <c r="J32" s="85">
        <f t="shared" si="3"/>
        <v>0</v>
      </c>
      <c r="K32" s="85">
        <f t="shared" si="3"/>
        <v>0</v>
      </c>
      <c r="L32" s="85">
        <f t="shared" si="3"/>
        <v>0</v>
      </c>
      <c r="M32" s="85">
        <f t="shared" si="3"/>
        <v>0</v>
      </c>
      <c r="N32" s="85">
        <f t="shared" si="3"/>
        <v>0</v>
      </c>
      <c r="O32" s="85">
        <f t="shared" si="3"/>
        <v>0</v>
      </c>
      <c r="P32" s="85">
        <f t="shared" si="3"/>
        <v>0</v>
      </c>
      <c r="Q32" s="85">
        <f t="shared" si="3"/>
        <v>0</v>
      </c>
      <c r="R32" s="85">
        <f t="shared" si="3"/>
        <v>0</v>
      </c>
      <c r="S32" s="85">
        <f t="shared" si="3"/>
        <v>0</v>
      </c>
      <c r="T32" s="85">
        <f t="shared" si="3"/>
        <v>0</v>
      </c>
      <c r="U32" s="85">
        <f t="shared" si="3"/>
        <v>0</v>
      </c>
      <c r="V32" s="85">
        <f t="shared" si="3"/>
        <v>0</v>
      </c>
      <c r="W32"/>
      <c r="X32"/>
      <c r="Y32"/>
      <c r="Z32"/>
      <c r="AA32" s="309"/>
      <c r="AB32" s="309"/>
      <c r="AC32" s="85"/>
      <c r="AD32" s="85"/>
      <c r="AE32" s="85"/>
      <c r="AF32" s="85"/>
      <c r="AG32" s="85"/>
      <c r="AH32" s="85"/>
    </row>
    <row r="33" spans="1:34">
      <c r="A33" s="85" t="s">
        <v>236</v>
      </c>
      <c r="B33" s="727">
        <f>B30-B31</f>
        <v>81000</v>
      </c>
      <c r="C33" s="85">
        <f>C30-C31-B41</f>
        <v>80277.75</v>
      </c>
      <c r="D33" s="85">
        <f t="shared" ref="D33:R33" si="4">D30-D31</f>
        <v>60564.375</v>
      </c>
      <c r="E33" s="85">
        <f t="shared" si="4"/>
        <v>33007.5</v>
      </c>
      <c r="F33" s="85">
        <f t="shared" si="4"/>
        <v>0</v>
      </c>
      <c r="G33" s="85">
        <f t="shared" si="4"/>
        <v>0</v>
      </c>
      <c r="H33" s="85">
        <f t="shared" si="4"/>
        <v>0</v>
      </c>
      <c r="I33" s="85">
        <f t="shared" si="4"/>
        <v>0</v>
      </c>
      <c r="J33" s="85">
        <f t="shared" si="4"/>
        <v>0</v>
      </c>
      <c r="K33" s="85">
        <f t="shared" si="4"/>
        <v>0</v>
      </c>
      <c r="L33" s="85">
        <f t="shared" si="4"/>
        <v>0</v>
      </c>
      <c r="M33" s="85">
        <f t="shared" si="4"/>
        <v>0</v>
      </c>
      <c r="N33" s="85">
        <f t="shared" si="4"/>
        <v>0</v>
      </c>
      <c r="O33" s="85">
        <f t="shared" si="4"/>
        <v>0</v>
      </c>
      <c r="P33" s="85">
        <f t="shared" si="4"/>
        <v>0</v>
      </c>
      <c r="Q33" s="85">
        <f t="shared" si="4"/>
        <v>0</v>
      </c>
      <c r="R33" s="85">
        <f t="shared" si="4"/>
        <v>0</v>
      </c>
      <c r="S33" s="85">
        <f>S30-S31</f>
        <v>0</v>
      </c>
      <c r="T33" s="85">
        <f>T30-T31</f>
        <v>0</v>
      </c>
      <c r="U33" s="85">
        <f>U30-U31</f>
        <v>0</v>
      </c>
      <c r="V33" s="85">
        <f>V30-V31</f>
        <v>0</v>
      </c>
      <c r="W33"/>
      <c r="X33"/>
      <c r="Y33"/>
      <c r="Z33"/>
      <c r="AA33" s="309"/>
      <c r="AB33" s="309"/>
      <c r="AC33" s="85"/>
      <c r="AD33" s="85"/>
      <c r="AE33" s="85"/>
      <c r="AF33" s="85"/>
      <c r="AG33" s="85"/>
      <c r="AH33" s="85"/>
    </row>
    <row r="34" spans="1:34">
      <c r="A34" s="84" t="s">
        <v>376</v>
      </c>
      <c r="B34" s="727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/>
      <c r="X34"/>
      <c r="Y34"/>
      <c r="Z34"/>
      <c r="AA34" s="309"/>
      <c r="AB34" s="309"/>
      <c r="AC34" s="85"/>
      <c r="AD34" s="85"/>
      <c r="AE34" s="85"/>
      <c r="AF34" s="85"/>
      <c r="AG34" s="85"/>
      <c r="AH34" s="85"/>
    </row>
    <row r="35" spans="1:34">
      <c r="A35" s="85" t="s">
        <v>233</v>
      </c>
      <c r="B35" s="727">
        <f>B33</f>
        <v>81000</v>
      </c>
      <c r="C35" s="85">
        <f t="shared" ref="C35:V35" si="5">C33</f>
        <v>80277.75</v>
      </c>
      <c r="D35" s="85">
        <f t="shared" si="5"/>
        <v>60564.375</v>
      </c>
      <c r="E35" s="85">
        <f t="shared" si="5"/>
        <v>33007.5</v>
      </c>
      <c r="F35" s="85">
        <f t="shared" si="5"/>
        <v>0</v>
      </c>
      <c r="G35" s="85">
        <f t="shared" si="5"/>
        <v>0</v>
      </c>
      <c r="H35" s="85">
        <f t="shared" si="5"/>
        <v>0</v>
      </c>
      <c r="I35" s="85">
        <f t="shared" si="5"/>
        <v>0</v>
      </c>
      <c r="J35" s="85">
        <f t="shared" si="5"/>
        <v>0</v>
      </c>
      <c r="K35" s="85">
        <f t="shared" si="5"/>
        <v>0</v>
      </c>
      <c r="L35" s="85">
        <f t="shared" si="5"/>
        <v>0</v>
      </c>
      <c r="M35" s="85">
        <f t="shared" si="5"/>
        <v>0</v>
      </c>
      <c r="N35" s="85">
        <f t="shared" si="5"/>
        <v>0</v>
      </c>
      <c r="O35" s="85">
        <f t="shared" si="5"/>
        <v>0</v>
      </c>
      <c r="P35" s="85">
        <f t="shared" si="5"/>
        <v>0</v>
      </c>
      <c r="Q35" s="85">
        <f t="shared" si="5"/>
        <v>0</v>
      </c>
      <c r="R35" s="85">
        <f t="shared" si="5"/>
        <v>0</v>
      </c>
      <c r="S35" s="85">
        <f t="shared" si="5"/>
        <v>0</v>
      </c>
      <c r="T35" s="85">
        <f t="shared" si="5"/>
        <v>0</v>
      </c>
      <c r="U35" s="85">
        <f t="shared" si="5"/>
        <v>0</v>
      </c>
      <c r="V35" s="85">
        <f t="shared" si="5"/>
        <v>0</v>
      </c>
      <c r="W35"/>
      <c r="X35"/>
      <c r="Y35"/>
      <c r="Z35"/>
      <c r="AA35" s="309"/>
      <c r="AB35" s="309"/>
      <c r="AC35" s="85"/>
      <c r="AD35" s="85"/>
      <c r="AE35" s="85"/>
      <c r="AF35" s="85"/>
      <c r="AG35" s="85"/>
      <c r="AH35" s="85"/>
    </row>
    <row r="36" spans="1:34">
      <c r="A36" s="85" t="s">
        <v>234</v>
      </c>
      <c r="B36" s="727">
        <v>0</v>
      </c>
      <c r="C36" s="85">
        <f>$B$30*C21*11/12</f>
        <v>7944.75</v>
      </c>
      <c r="D36" s="85">
        <f>$B$30*D21*6.5/12</f>
        <v>13908.375</v>
      </c>
      <c r="E36" s="85">
        <f>$B$30*E21*6/12</f>
        <v>13648.5</v>
      </c>
      <c r="F36" s="85">
        <f>$B$30*F21*0/12</f>
        <v>0</v>
      </c>
      <c r="G36" s="85">
        <f t="shared" ref="G36:V36" si="6">$B$30*G21*5/12</f>
        <v>0</v>
      </c>
      <c r="H36" s="85">
        <f t="shared" si="6"/>
        <v>0</v>
      </c>
      <c r="I36" s="85">
        <f t="shared" si="6"/>
        <v>0</v>
      </c>
      <c r="J36" s="85">
        <f t="shared" si="6"/>
        <v>0</v>
      </c>
      <c r="K36" s="85">
        <f t="shared" si="6"/>
        <v>0</v>
      </c>
      <c r="L36" s="85">
        <f t="shared" si="6"/>
        <v>0</v>
      </c>
      <c r="M36" s="85">
        <f t="shared" si="6"/>
        <v>0</v>
      </c>
      <c r="N36" s="85">
        <f t="shared" si="6"/>
        <v>0</v>
      </c>
      <c r="O36" s="85">
        <f t="shared" si="6"/>
        <v>0</v>
      </c>
      <c r="P36" s="85">
        <f t="shared" si="6"/>
        <v>0</v>
      </c>
      <c r="Q36" s="85">
        <f t="shared" si="6"/>
        <v>0</v>
      </c>
      <c r="R36" s="85">
        <f t="shared" si="6"/>
        <v>0</v>
      </c>
      <c r="S36" s="85">
        <f t="shared" si="6"/>
        <v>0</v>
      </c>
      <c r="T36" s="85">
        <f t="shared" si="6"/>
        <v>0</v>
      </c>
      <c r="U36" s="85">
        <f t="shared" si="6"/>
        <v>0</v>
      </c>
      <c r="V36" s="85">
        <f t="shared" si="6"/>
        <v>0</v>
      </c>
      <c r="W36"/>
      <c r="X36"/>
      <c r="Y36"/>
      <c r="Z36"/>
      <c r="AA36" s="309"/>
      <c r="AB36" s="309"/>
      <c r="AC36" s="85"/>
      <c r="AD36" s="85"/>
      <c r="AE36" s="85"/>
      <c r="AF36" s="85"/>
      <c r="AG36" s="85"/>
      <c r="AH36" s="85"/>
    </row>
    <row r="37" spans="1:34">
      <c r="A37" s="85" t="s">
        <v>235</v>
      </c>
      <c r="B37" s="727">
        <v>0</v>
      </c>
      <c r="C37" s="85">
        <f t="shared" ref="C37:V37" si="7">C35*$F$7*0.5</f>
        <v>3287.3738625000001</v>
      </c>
      <c r="D37" s="85">
        <f t="shared" si="7"/>
        <v>2480.11115625</v>
      </c>
      <c r="E37" s="85">
        <f t="shared" si="7"/>
        <v>1351.657125</v>
      </c>
      <c r="F37" s="85">
        <f t="shared" si="7"/>
        <v>0</v>
      </c>
      <c r="G37" s="85">
        <f t="shared" si="7"/>
        <v>0</v>
      </c>
      <c r="H37" s="85">
        <f t="shared" si="7"/>
        <v>0</v>
      </c>
      <c r="I37" s="85">
        <f t="shared" si="7"/>
        <v>0</v>
      </c>
      <c r="J37" s="85">
        <f t="shared" si="7"/>
        <v>0</v>
      </c>
      <c r="K37" s="85">
        <f t="shared" si="7"/>
        <v>0</v>
      </c>
      <c r="L37" s="85">
        <f t="shared" si="7"/>
        <v>0</v>
      </c>
      <c r="M37" s="85">
        <f t="shared" si="7"/>
        <v>0</v>
      </c>
      <c r="N37" s="85">
        <f t="shared" si="7"/>
        <v>0</v>
      </c>
      <c r="O37" s="85">
        <f t="shared" si="7"/>
        <v>0</v>
      </c>
      <c r="P37" s="85">
        <f t="shared" si="7"/>
        <v>0</v>
      </c>
      <c r="Q37" s="85">
        <f t="shared" si="7"/>
        <v>0</v>
      </c>
      <c r="R37" s="85">
        <f t="shared" si="7"/>
        <v>0</v>
      </c>
      <c r="S37" s="85">
        <f t="shared" si="7"/>
        <v>0</v>
      </c>
      <c r="T37" s="85">
        <f t="shared" si="7"/>
        <v>0</v>
      </c>
      <c r="U37" s="85">
        <f t="shared" si="7"/>
        <v>0</v>
      </c>
      <c r="V37" s="85">
        <f t="shared" si="7"/>
        <v>0</v>
      </c>
      <c r="W37"/>
      <c r="X37"/>
      <c r="Y37"/>
      <c r="Z37"/>
      <c r="AA37" s="309"/>
      <c r="AB37" s="309"/>
      <c r="AC37" s="85"/>
      <c r="AD37" s="85"/>
      <c r="AE37" s="85"/>
      <c r="AF37" s="85"/>
      <c r="AG37" s="85"/>
      <c r="AH37" s="85"/>
    </row>
    <row r="38" spans="1:34">
      <c r="A38" s="85" t="s">
        <v>236</v>
      </c>
      <c r="B38" s="727">
        <f>B35-B36</f>
        <v>81000</v>
      </c>
      <c r="C38" s="85">
        <f t="shared" ref="C38:R38" si="8">C35-C36</f>
        <v>72333</v>
      </c>
      <c r="D38" s="85">
        <f t="shared" si="8"/>
        <v>46656</v>
      </c>
      <c r="E38" s="85">
        <f t="shared" si="8"/>
        <v>19359</v>
      </c>
      <c r="F38" s="85">
        <f t="shared" si="8"/>
        <v>0</v>
      </c>
      <c r="G38" s="85">
        <f t="shared" si="8"/>
        <v>0</v>
      </c>
      <c r="H38" s="85">
        <f t="shared" si="8"/>
        <v>0</v>
      </c>
      <c r="I38" s="85">
        <f t="shared" si="8"/>
        <v>0</v>
      </c>
      <c r="J38" s="85">
        <f t="shared" si="8"/>
        <v>0</v>
      </c>
      <c r="K38" s="85">
        <f t="shared" si="8"/>
        <v>0</v>
      </c>
      <c r="L38" s="85">
        <f t="shared" si="8"/>
        <v>0</v>
      </c>
      <c r="M38" s="85">
        <f t="shared" si="8"/>
        <v>0</v>
      </c>
      <c r="N38" s="85">
        <f t="shared" si="8"/>
        <v>0</v>
      </c>
      <c r="O38" s="85">
        <f t="shared" si="8"/>
        <v>0</v>
      </c>
      <c r="P38" s="85">
        <f t="shared" si="8"/>
        <v>0</v>
      </c>
      <c r="Q38" s="85">
        <f t="shared" si="8"/>
        <v>0</v>
      </c>
      <c r="R38" s="85">
        <f t="shared" si="8"/>
        <v>0</v>
      </c>
      <c r="S38" s="85">
        <f>S35-S36</f>
        <v>0</v>
      </c>
      <c r="T38" s="85">
        <f>T35-T36</f>
        <v>0</v>
      </c>
      <c r="U38" s="85">
        <f>U35-U36</f>
        <v>0</v>
      </c>
      <c r="V38" s="85">
        <f>V35-V36</f>
        <v>0</v>
      </c>
      <c r="W38"/>
      <c r="X38"/>
      <c r="Y38"/>
      <c r="Z38"/>
      <c r="AA38" s="309"/>
      <c r="AB38" s="309"/>
      <c r="AC38" s="85"/>
      <c r="AD38" s="85"/>
      <c r="AE38" s="85"/>
      <c r="AF38" s="85"/>
      <c r="AG38" s="85"/>
      <c r="AH38" s="85"/>
    </row>
    <row r="39" spans="1:34">
      <c r="A39" s="87" t="s">
        <v>377</v>
      </c>
      <c r="B39" s="727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/>
      <c r="X39"/>
      <c r="Y39"/>
      <c r="Z39"/>
      <c r="AA39" s="309"/>
      <c r="AB39" s="309"/>
      <c r="AC39" s="85"/>
      <c r="AD39" s="85"/>
      <c r="AE39" s="85"/>
      <c r="AF39" s="85"/>
      <c r="AG39" s="85"/>
      <c r="AH39" s="85"/>
    </row>
    <row r="40" spans="1:34">
      <c r="A40" s="85" t="s">
        <v>233</v>
      </c>
      <c r="B40" s="727">
        <f>B38</f>
        <v>81000</v>
      </c>
      <c r="C40" s="85">
        <f t="shared" ref="C40:V40" si="9">C38</f>
        <v>72333</v>
      </c>
      <c r="D40" s="85">
        <f t="shared" si="9"/>
        <v>46656</v>
      </c>
      <c r="E40" s="85">
        <f t="shared" si="9"/>
        <v>19359</v>
      </c>
      <c r="F40" s="85">
        <f t="shared" si="9"/>
        <v>0</v>
      </c>
      <c r="G40" s="85">
        <f t="shared" si="9"/>
        <v>0</v>
      </c>
      <c r="H40" s="85">
        <f t="shared" si="9"/>
        <v>0</v>
      </c>
      <c r="I40" s="85">
        <f t="shared" si="9"/>
        <v>0</v>
      </c>
      <c r="J40" s="85">
        <f t="shared" si="9"/>
        <v>0</v>
      </c>
      <c r="K40" s="85">
        <f t="shared" si="9"/>
        <v>0</v>
      </c>
      <c r="L40" s="85">
        <f t="shared" si="9"/>
        <v>0</v>
      </c>
      <c r="M40" s="85">
        <f t="shared" si="9"/>
        <v>0</v>
      </c>
      <c r="N40" s="85">
        <f t="shared" si="9"/>
        <v>0</v>
      </c>
      <c r="O40" s="85">
        <f t="shared" si="9"/>
        <v>0</v>
      </c>
      <c r="P40" s="85">
        <f t="shared" si="9"/>
        <v>0</v>
      </c>
      <c r="Q40" s="85">
        <f t="shared" si="9"/>
        <v>0</v>
      </c>
      <c r="R40" s="85">
        <f t="shared" si="9"/>
        <v>0</v>
      </c>
      <c r="S40" s="85">
        <f t="shared" si="9"/>
        <v>0</v>
      </c>
      <c r="T40" s="85">
        <f t="shared" si="9"/>
        <v>0</v>
      </c>
      <c r="U40" s="85">
        <f t="shared" si="9"/>
        <v>0</v>
      </c>
      <c r="V40" s="85">
        <f t="shared" si="9"/>
        <v>0</v>
      </c>
      <c r="W40"/>
      <c r="X40"/>
      <c r="Y40"/>
      <c r="Z40"/>
      <c r="AA40" s="309"/>
      <c r="AB40" s="309"/>
      <c r="AC40" s="85"/>
      <c r="AD40" s="85"/>
      <c r="AE40" s="85"/>
      <c r="AF40" s="85"/>
      <c r="AG40" s="85"/>
      <c r="AH40" s="85"/>
    </row>
    <row r="41" spans="1:34">
      <c r="A41" s="85" t="s">
        <v>371</v>
      </c>
      <c r="B41" s="727">
        <f>B30*B21</f>
        <v>0</v>
      </c>
      <c r="C41" s="85">
        <v>0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  <c r="I41" s="85">
        <v>0</v>
      </c>
      <c r="J41" s="85">
        <v>0</v>
      </c>
      <c r="K41" s="85">
        <v>0</v>
      </c>
      <c r="L41" s="85">
        <v>0</v>
      </c>
      <c r="M41" s="85">
        <v>0</v>
      </c>
      <c r="N41" s="85">
        <v>0</v>
      </c>
      <c r="O41" s="85">
        <v>0</v>
      </c>
      <c r="P41" s="85">
        <v>0</v>
      </c>
      <c r="Q41" s="85">
        <v>0</v>
      </c>
      <c r="R41" s="85">
        <v>0</v>
      </c>
      <c r="S41" s="85">
        <v>0</v>
      </c>
      <c r="T41" s="85">
        <v>0</v>
      </c>
      <c r="U41" s="85">
        <v>0</v>
      </c>
      <c r="V41" s="85">
        <v>0</v>
      </c>
      <c r="W41"/>
      <c r="X41"/>
      <c r="Y41"/>
      <c r="Z41"/>
      <c r="AA41" s="309"/>
      <c r="AB41" s="309"/>
      <c r="AC41" s="85"/>
      <c r="AD41" s="85"/>
      <c r="AE41" s="85"/>
      <c r="AF41" s="85"/>
      <c r="AG41" s="85"/>
      <c r="AH41" s="85"/>
    </row>
    <row r="42" spans="1:34">
      <c r="A42" s="85" t="s">
        <v>369</v>
      </c>
      <c r="B42" s="727">
        <f>B40*$F$7*(13-MONTH(Assumptions!C17))/12*0</f>
        <v>0</v>
      </c>
      <c r="C42" s="85">
        <f>C40*$F$7*5/12</f>
        <v>2468.363625</v>
      </c>
      <c r="D42" s="85">
        <f t="shared" ref="D42:V42" si="10">D40*$F$7*5/12</f>
        <v>1592.1360000000002</v>
      </c>
      <c r="E42" s="85">
        <f t="shared" si="10"/>
        <v>660.62587499999995</v>
      </c>
      <c r="F42" s="85">
        <f t="shared" si="10"/>
        <v>0</v>
      </c>
      <c r="G42" s="85">
        <f t="shared" si="10"/>
        <v>0</v>
      </c>
      <c r="H42" s="85">
        <f t="shared" si="10"/>
        <v>0</v>
      </c>
      <c r="I42" s="85">
        <f t="shared" si="10"/>
        <v>0</v>
      </c>
      <c r="J42" s="85">
        <f t="shared" si="10"/>
        <v>0</v>
      </c>
      <c r="K42" s="85">
        <f t="shared" si="10"/>
        <v>0</v>
      </c>
      <c r="L42" s="85">
        <f t="shared" si="10"/>
        <v>0</v>
      </c>
      <c r="M42" s="85">
        <f t="shared" si="10"/>
        <v>0</v>
      </c>
      <c r="N42" s="85">
        <f t="shared" si="10"/>
        <v>0</v>
      </c>
      <c r="O42" s="85">
        <f t="shared" si="10"/>
        <v>0</v>
      </c>
      <c r="P42" s="85">
        <f t="shared" si="10"/>
        <v>0</v>
      </c>
      <c r="Q42" s="85">
        <f t="shared" si="10"/>
        <v>0</v>
      </c>
      <c r="R42" s="85">
        <f t="shared" si="10"/>
        <v>0</v>
      </c>
      <c r="S42" s="85">
        <f t="shared" si="10"/>
        <v>0</v>
      </c>
      <c r="T42" s="85">
        <f t="shared" si="10"/>
        <v>0</v>
      </c>
      <c r="U42" s="85">
        <f t="shared" si="10"/>
        <v>0</v>
      </c>
      <c r="V42" s="85">
        <f t="shared" si="10"/>
        <v>0</v>
      </c>
      <c r="W42"/>
      <c r="X42"/>
      <c r="Y42"/>
      <c r="Z42"/>
      <c r="AA42" s="309"/>
      <c r="AB42" s="309"/>
      <c r="AC42" s="85"/>
      <c r="AD42" s="85"/>
      <c r="AE42" s="85"/>
      <c r="AF42" s="85"/>
      <c r="AG42" s="85"/>
      <c r="AH42" s="85"/>
    </row>
    <row r="43" spans="1:34">
      <c r="A43" s="85" t="s">
        <v>236</v>
      </c>
      <c r="B43" s="727">
        <f>B40</f>
        <v>81000</v>
      </c>
      <c r="C43" s="85">
        <f t="shared" ref="C43:R43" si="11">C40-C41</f>
        <v>72333</v>
      </c>
      <c r="D43" s="85">
        <f t="shared" si="11"/>
        <v>46656</v>
      </c>
      <c r="E43" s="85">
        <f t="shared" si="11"/>
        <v>19359</v>
      </c>
      <c r="F43" s="85">
        <f t="shared" si="11"/>
        <v>0</v>
      </c>
      <c r="G43" s="85">
        <f t="shared" si="11"/>
        <v>0</v>
      </c>
      <c r="H43" s="85">
        <f t="shared" si="11"/>
        <v>0</v>
      </c>
      <c r="I43" s="85">
        <f t="shared" si="11"/>
        <v>0</v>
      </c>
      <c r="J43" s="85">
        <f t="shared" si="11"/>
        <v>0</v>
      </c>
      <c r="K43" s="85">
        <f t="shared" si="11"/>
        <v>0</v>
      </c>
      <c r="L43" s="85">
        <f t="shared" si="11"/>
        <v>0</v>
      </c>
      <c r="M43" s="85">
        <f t="shared" si="11"/>
        <v>0</v>
      </c>
      <c r="N43" s="85">
        <f t="shared" si="11"/>
        <v>0</v>
      </c>
      <c r="O43" s="85">
        <f t="shared" si="11"/>
        <v>0</v>
      </c>
      <c r="P43" s="85">
        <f t="shared" si="11"/>
        <v>0</v>
      </c>
      <c r="Q43" s="85">
        <f t="shared" si="11"/>
        <v>0</v>
      </c>
      <c r="R43" s="85">
        <f t="shared" si="11"/>
        <v>0</v>
      </c>
      <c r="S43" s="85">
        <f>S40-S41</f>
        <v>0</v>
      </c>
      <c r="T43" s="85">
        <f>T40-T41</f>
        <v>0</v>
      </c>
      <c r="U43" s="85">
        <f>U40-U41</f>
        <v>0</v>
      </c>
      <c r="V43" s="85">
        <f>V40-V41</f>
        <v>0</v>
      </c>
      <c r="W43"/>
      <c r="X43"/>
      <c r="Y43"/>
      <c r="Z43"/>
      <c r="AA43" s="309"/>
      <c r="AB43" s="309"/>
      <c r="AC43" s="85"/>
      <c r="AD43" s="85"/>
      <c r="AE43" s="85"/>
      <c r="AF43" s="85"/>
      <c r="AG43" s="85"/>
      <c r="AH43" s="85"/>
    </row>
    <row r="44" spans="1:34">
      <c r="A44" s="85"/>
      <c r="B44" s="727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/>
      <c r="X44"/>
      <c r="Y44"/>
      <c r="Z44"/>
      <c r="AA44" s="309"/>
      <c r="AB44" s="309"/>
      <c r="AC44" s="85"/>
      <c r="AD44" s="85"/>
      <c r="AE44" s="85"/>
      <c r="AF44" s="85"/>
      <c r="AG44" s="85"/>
      <c r="AH44" s="85"/>
    </row>
    <row r="45" spans="1:34">
      <c r="A45" s="89" t="s">
        <v>355</v>
      </c>
      <c r="B45" s="727">
        <v>0</v>
      </c>
      <c r="C45" s="85">
        <f>C32+C37+B42</f>
        <v>3840.1988624999999</v>
      </c>
      <c r="D45" s="85">
        <f>D32+D37+C42</f>
        <v>5442.1475062499994</v>
      </c>
      <c r="E45" s="85">
        <f t="shared" ref="E45:V45" si="12">E32+E37+D42</f>
        <v>3262.2203250000002</v>
      </c>
      <c r="F45" s="85">
        <f t="shared" si="12"/>
        <v>792.75104999999996</v>
      </c>
      <c r="G45" s="85">
        <f t="shared" si="12"/>
        <v>0</v>
      </c>
      <c r="H45" s="85">
        <f t="shared" si="12"/>
        <v>0</v>
      </c>
      <c r="I45" s="85">
        <f t="shared" si="12"/>
        <v>0</v>
      </c>
      <c r="J45" s="85">
        <f t="shared" si="12"/>
        <v>0</v>
      </c>
      <c r="K45" s="85">
        <f t="shared" si="12"/>
        <v>0</v>
      </c>
      <c r="L45" s="85">
        <f t="shared" si="12"/>
        <v>0</v>
      </c>
      <c r="M45" s="85">
        <f t="shared" si="12"/>
        <v>0</v>
      </c>
      <c r="N45" s="85">
        <f t="shared" si="12"/>
        <v>0</v>
      </c>
      <c r="O45" s="85">
        <f t="shared" si="12"/>
        <v>0</v>
      </c>
      <c r="P45" s="85">
        <f t="shared" si="12"/>
        <v>0</v>
      </c>
      <c r="Q45" s="85">
        <f t="shared" si="12"/>
        <v>0</v>
      </c>
      <c r="R45" s="85">
        <f t="shared" si="12"/>
        <v>0</v>
      </c>
      <c r="S45" s="85">
        <f t="shared" si="12"/>
        <v>0</v>
      </c>
      <c r="T45" s="85">
        <f t="shared" si="12"/>
        <v>0</v>
      </c>
      <c r="U45" s="85">
        <f t="shared" si="12"/>
        <v>0</v>
      </c>
      <c r="V45" s="85">
        <f t="shared" si="12"/>
        <v>0</v>
      </c>
      <c r="W45"/>
      <c r="X45"/>
      <c r="Y45"/>
      <c r="Z45"/>
      <c r="AA45" s="309"/>
      <c r="AB45" s="309"/>
      <c r="AC45" s="85"/>
      <c r="AD45" s="85"/>
      <c r="AE45" s="85"/>
      <c r="AF45" s="85"/>
      <c r="AG45" s="85"/>
      <c r="AH45" s="85"/>
    </row>
    <row r="46" spans="1:34">
      <c r="A46" s="21" t="s">
        <v>356</v>
      </c>
      <c r="B46" s="727">
        <f>B32+B37+B42</f>
        <v>0</v>
      </c>
      <c r="C46" s="85">
        <f>C32+C37+C42</f>
        <v>6308.5624874999994</v>
      </c>
      <c r="D46" s="85">
        <f t="shared" ref="D46:V46" si="13">D32+D37+D42</f>
        <v>4565.9198812499999</v>
      </c>
      <c r="E46" s="85">
        <f t="shared" si="13"/>
        <v>2330.7102</v>
      </c>
      <c r="F46" s="85">
        <f t="shared" si="13"/>
        <v>132.12517499999998</v>
      </c>
      <c r="G46" s="85">
        <f t="shared" si="13"/>
        <v>0</v>
      </c>
      <c r="H46" s="85">
        <f t="shared" si="13"/>
        <v>0</v>
      </c>
      <c r="I46" s="85">
        <f t="shared" si="13"/>
        <v>0</v>
      </c>
      <c r="J46" s="85">
        <f t="shared" si="13"/>
        <v>0</v>
      </c>
      <c r="K46" s="85">
        <f t="shared" si="13"/>
        <v>0</v>
      </c>
      <c r="L46" s="85">
        <f t="shared" si="13"/>
        <v>0</v>
      </c>
      <c r="M46" s="85">
        <f t="shared" si="13"/>
        <v>0</v>
      </c>
      <c r="N46" s="85">
        <f t="shared" si="13"/>
        <v>0</v>
      </c>
      <c r="O46" s="85">
        <f t="shared" si="13"/>
        <v>0</v>
      </c>
      <c r="P46" s="85">
        <f t="shared" si="13"/>
        <v>0</v>
      </c>
      <c r="Q46" s="85">
        <f t="shared" si="13"/>
        <v>0</v>
      </c>
      <c r="R46" s="85">
        <f t="shared" si="13"/>
        <v>0</v>
      </c>
      <c r="S46" s="85">
        <f t="shared" si="13"/>
        <v>0</v>
      </c>
      <c r="T46" s="85">
        <f t="shared" si="13"/>
        <v>0</v>
      </c>
      <c r="U46" s="85">
        <f t="shared" si="13"/>
        <v>0</v>
      </c>
      <c r="V46" s="85">
        <f t="shared" si="13"/>
        <v>0</v>
      </c>
      <c r="W46"/>
      <c r="X46"/>
      <c r="Y46"/>
      <c r="Z46"/>
      <c r="AA46" s="22"/>
      <c r="AB46" s="22"/>
    </row>
    <row r="47" spans="1:34">
      <c r="A47" s="89" t="s">
        <v>373</v>
      </c>
      <c r="B47" s="727">
        <f>B31+B36</f>
        <v>0</v>
      </c>
      <c r="C47" s="727">
        <f>C31+C36+B41</f>
        <v>8667</v>
      </c>
      <c r="D47" s="727">
        <f t="shared" ref="D47:V47" si="14">D31+D36+C41</f>
        <v>25677</v>
      </c>
      <c r="E47" s="727">
        <f t="shared" si="14"/>
        <v>27297</v>
      </c>
      <c r="F47" s="727">
        <f t="shared" si="14"/>
        <v>19359</v>
      </c>
      <c r="G47" s="727">
        <f t="shared" si="14"/>
        <v>0</v>
      </c>
      <c r="H47" s="727">
        <f t="shared" si="14"/>
        <v>0</v>
      </c>
      <c r="I47" s="727">
        <f t="shared" si="14"/>
        <v>0</v>
      </c>
      <c r="J47" s="727">
        <f t="shared" si="14"/>
        <v>0</v>
      </c>
      <c r="K47" s="727">
        <f t="shared" si="14"/>
        <v>0</v>
      </c>
      <c r="L47" s="727">
        <f t="shared" si="14"/>
        <v>0</v>
      </c>
      <c r="M47" s="727">
        <f t="shared" si="14"/>
        <v>0</v>
      </c>
      <c r="N47" s="727">
        <f t="shared" si="14"/>
        <v>0</v>
      </c>
      <c r="O47" s="727">
        <f t="shared" si="14"/>
        <v>0</v>
      </c>
      <c r="P47" s="727">
        <f t="shared" si="14"/>
        <v>0</v>
      </c>
      <c r="Q47" s="727">
        <f t="shared" si="14"/>
        <v>0</v>
      </c>
      <c r="R47" s="727">
        <f t="shared" si="14"/>
        <v>0</v>
      </c>
      <c r="S47" s="727">
        <f t="shared" si="14"/>
        <v>0</v>
      </c>
      <c r="T47" s="727">
        <f t="shared" si="14"/>
        <v>0</v>
      </c>
      <c r="U47" s="727">
        <f t="shared" si="14"/>
        <v>0</v>
      </c>
      <c r="V47" s="727">
        <f t="shared" si="14"/>
        <v>0</v>
      </c>
      <c r="W47"/>
      <c r="X47"/>
      <c r="Y47"/>
      <c r="Z47"/>
      <c r="AA47" s="22"/>
      <c r="AB47" s="22"/>
    </row>
    <row r="48" spans="1:34">
      <c r="A48" s="89" t="s">
        <v>370</v>
      </c>
      <c r="B48" s="727">
        <f>B41</f>
        <v>0</v>
      </c>
      <c r="C48" s="727">
        <f t="shared" ref="C48:V48" si="15">C41</f>
        <v>0</v>
      </c>
      <c r="D48" s="727">
        <f t="shared" si="15"/>
        <v>0</v>
      </c>
      <c r="E48" s="727">
        <f t="shared" si="15"/>
        <v>0</v>
      </c>
      <c r="F48" s="727">
        <f t="shared" si="15"/>
        <v>0</v>
      </c>
      <c r="G48" s="727">
        <f t="shared" si="15"/>
        <v>0</v>
      </c>
      <c r="H48" s="727">
        <f t="shared" si="15"/>
        <v>0</v>
      </c>
      <c r="I48" s="727">
        <f t="shared" si="15"/>
        <v>0</v>
      </c>
      <c r="J48" s="727">
        <f t="shared" si="15"/>
        <v>0</v>
      </c>
      <c r="K48" s="727">
        <f t="shared" si="15"/>
        <v>0</v>
      </c>
      <c r="L48" s="727">
        <f t="shared" si="15"/>
        <v>0</v>
      </c>
      <c r="M48" s="727">
        <f t="shared" si="15"/>
        <v>0</v>
      </c>
      <c r="N48" s="727">
        <f t="shared" si="15"/>
        <v>0</v>
      </c>
      <c r="O48" s="727">
        <f t="shared" si="15"/>
        <v>0</v>
      </c>
      <c r="P48" s="727">
        <f t="shared" si="15"/>
        <v>0</v>
      </c>
      <c r="Q48" s="727">
        <f t="shared" si="15"/>
        <v>0</v>
      </c>
      <c r="R48" s="727">
        <f t="shared" si="15"/>
        <v>0</v>
      </c>
      <c r="S48" s="727">
        <f t="shared" si="15"/>
        <v>0</v>
      </c>
      <c r="T48" s="727">
        <f t="shared" si="15"/>
        <v>0</v>
      </c>
      <c r="U48" s="727">
        <f t="shared" si="15"/>
        <v>0</v>
      </c>
      <c r="V48" s="727">
        <f t="shared" si="15"/>
        <v>0</v>
      </c>
      <c r="W48"/>
      <c r="X48"/>
      <c r="Y48"/>
      <c r="Z48"/>
      <c r="AA48" s="22"/>
      <c r="AB48" s="22"/>
    </row>
    <row r="49" spans="1:34">
      <c r="B49" s="23"/>
      <c r="W49"/>
      <c r="X49"/>
      <c r="Y49"/>
      <c r="Z49"/>
      <c r="AA49" s="22"/>
      <c r="AB49" s="22"/>
    </row>
    <row r="50" spans="1:34">
      <c r="B50" s="23"/>
      <c r="W50"/>
      <c r="X50"/>
      <c r="Y50"/>
      <c r="Z50"/>
      <c r="AA50" s="22"/>
      <c r="AB50" s="22"/>
    </row>
    <row r="51" spans="1:34">
      <c r="A51" s="82" t="str">
        <f>CONCATENATE("Tranche 2 @ ",L7*100,"%")</f>
        <v>Tranche 2 @ 9.72%</v>
      </c>
      <c r="B51" s="23"/>
      <c r="C51" s="83"/>
      <c r="AA51" s="22"/>
      <c r="AB51" s="22"/>
      <c r="AF51" s="7"/>
    </row>
    <row r="52" spans="1:34">
      <c r="A52" s="84" t="s">
        <v>375</v>
      </c>
      <c r="B52" s="727"/>
      <c r="AA52" s="22"/>
      <c r="AB52" s="22"/>
      <c r="AF52" s="7"/>
    </row>
    <row r="53" spans="1:34">
      <c r="A53" s="85" t="s">
        <v>233</v>
      </c>
      <c r="B53" s="728">
        <f>L10</f>
        <v>194000</v>
      </c>
      <c r="C53" s="85">
        <f>B66</f>
        <v>194000</v>
      </c>
      <c r="D53" s="85">
        <f t="shared" ref="D53:V53" si="16">C66</f>
        <v>194000</v>
      </c>
      <c r="E53" s="85">
        <f t="shared" si="16"/>
        <v>194000</v>
      </c>
      <c r="F53" s="85">
        <f t="shared" si="16"/>
        <v>194000</v>
      </c>
      <c r="G53" s="85">
        <f t="shared" si="16"/>
        <v>194000</v>
      </c>
      <c r="H53" s="85">
        <f t="shared" si="16"/>
        <v>172369</v>
      </c>
      <c r="I53" s="85">
        <f t="shared" si="16"/>
        <v>146955</v>
      </c>
      <c r="J53" s="85">
        <f t="shared" si="16"/>
        <v>118437</v>
      </c>
      <c r="K53" s="85">
        <f t="shared" si="16"/>
        <v>85069</v>
      </c>
      <c r="L53" s="85">
        <f t="shared" si="16"/>
        <v>47239</v>
      </c>
      <c r="M53" s="85">
        <f t="shared" si="16"/>
        <v>0</v>
      </c>
      <c r="N53" s="85">
        <f t="shared" si="16"/>
        <v>0</v>
      </c>
      <c r="O53" s="85">
        <f t="shared" si="16"/>
        <v>0</v>
      </c>
      <c r="P53" s="85">
        <f t="shared" si="16"/>
        <v>0</v>
      </c>
      <c r="Q53" s="85">
        <f t="shared" si="16"/>
        <v>0</v>
      </c>
      <c r="R53" s="85">
        <f t="shared" si="16"/>
        <v>0</v>
      </c>
      <c r="S53" s="85">
        <f t="shared" si="16"/>
        <v>0</v>
      </c>
      <c r="T53" s="85">
        <f t="shared" si="16"/>
        <v>0</v>
      </c>
      <c r="U53" s="85">
        <f t="shared" si="16"/>
        <v>0</v>
      </c>
      <c r="V53" s="85">
        <f t="shared" si="16"/>
        <v>0</v>
      </c>
      <c r="W53" s="85"/>
      <c r="X53" s="85"/>
      <c r="Y53" s="85"/>
      <c r="Z53" s="85"/>
      <c r="AA53" s="309"/>
      <c r="AB53" s="309"/>
      <c r="AC53" s="85"/>
      <c r="AD53" s="85"/>
      <c r="AE53" s="85"/>
      <c r="AF53" s="719"/>
      <c r="AG53" s="85"/>
      <c r="AH53" s="31"/>
    </row>
    <row r="54" spans="1:34">
      <c r="A54" s="85" t="s">
        <v>234</v>
      </c>
      <c r="B54" s="727">
        <v>0</v>
      </c>
      <c r="C54" s="85">
        <f>$B$53*C23*1/12</f>
        <v>0</v>
      </c>
      <c r="D54" s="85">
        <f t="shared" ref="D54:V54" si="17">$B$53*D23*6/12</f>
        <v>0</v>
      </c>
      <c r="E54" s="85">
        <f t="shared" si="17"/>
        <v>0</v>
      </c>
      <c r="F54" s="85">
        <v>0</v>
      </c>
      <c r="G54" s="796">
        <f>$B$53*G23*5/12</f>
        <v>9012.9166666666661</v>
      </c>
      <c r="H54" s="85">
        <f t="shared" si="17"/>
        <v>12707</v>
      </c>
      <c r="I54" s="85">
        <f t="shared" si="17"/>
        <v>14259</v>
      </c>
      <c r="J54" s="85">
        <f t="shared" si="17"/>
        <v>16684</v>
      </c>
      <c r="K54" s="85">
        <f t="shared" si="17"/>
        <v>18915</v>
      </c>
      <c r="L54" s="85">
        <f t="shared" si="17"/>
        <v>23619.500000000004</v>
      </c>
      <c r="M54" s="85">
        <f t="shared" si="17"/>
        <v>0</v>
      </c>
      <c r="N54" s="85">
        <f t="shared" si="17"/>
        <v>0</v>
      </c>
      <c r="O54" s="85">
        <f t="shared" si="17"/>
        <v>0</v>
      </c>
      <c r="P54" s="85">
        <f t="shared" si="17"/>
        <v>0</v>
      </c>
      <c r="Q54" s="85">
        <f t="shared" si="17"/>
        <v>0</v>
      </c>
      <c r="R54" s="85">
        <f t="shared" si="17"/>
        <v>0</v>
      </c>
      <c r="S54" s="85">
        <f t="shared" si="17"/>
        <v>0</v>
      </c>
      <c r="T54" s="85">
        <f t="shared" si="17"/>
        <v>0</v>
      </c>
      <c r="U54" s="85">
        <f t="shared" si="17"/>
        <v>0</v>
      </c>
      <c r="V54" s="85">
        <f t="shared" si="17"/>
        <v>0</v>
      </c>
      <c r="W54" s="85"/>
      <c r="X54" s="85"/>
      <c r="Y54" s="85"/>
      <c r="Z54" s="85"/>
      <c r="AA54" s="309"/>
      <c r="AB54" s="309"/>
      <c r="AC54" s="85"/>
      <c r="AD54" s="85"/>
      <c r="AE54" s="85"/>
      <c r="AF54" s="720"/>
      <c r="AG54" s="85"/>
      <c r="AH54" s="31"/>
    </row>
    <row r="55" spans="1:34">
      <c r="A55" s="85" t="s">
        <v>235</v>
      </c>
      <c r="B55" s="727">
        <v>0</v>
      </c>
      <c r="C55" s="85">
        <f>C53*$L$7*1/12</f>
        <v>1571.4000000000003</v>
      </c>
      <c r="D55" s="85">
        <f t="shared" ref="D55:V55" si="18">D53*$L$7*1/12</f>
        <v>1571.4000000000003</v>
      </c>
      <c r="E55" s="85">
        <f t="shared" si="18"/>
        <v>1571.4000000000003</v>
      </c>
      <c r="F55" s="85">
        <f t="shared" si="18"/>
        <v>1571.4000000000003</v>
      </c>
      <c r="G55" s="85">
        <f t="shared" si="18"/>
        <v>1571.4000000000003</v>
      </c>
      <c r="H55" s="85">
        <f t="shared" si="18"/>
        <v>1396.1889000000001</v>
      </c>
      <c r="I55" s="85">
        <f t="shared" si="18"/>
        <v>1190.3355000000001</v>
      </c>
      <c r="J55" s="85">
        <f t="shared" si="18"/>
        <v>959.33970000000011</v>
      </c>
      <c r="K55" s="85">
        <f t="shared" si="18"/>
        <v>689.05889999999999</v>
      </c>
      <c r="L55" s="85">
        <f t="shared" si="18"/>
        <v>382.63590000000005</v>
      </c>
      <c r="M55" s="85">
        <f t="shared" si="18"/>
        <v>0</v>
      </c>
      <c r="N55" s="85">
        <f t="shared" si="18"/>
        <v>0</v>
      </c>
      <c r="O55" s="85">
        <f t="shared" si="18"/>
        <v>0</v>
      </c>
      <c r="P55" s="85">
        <f t="shared" si="18"/>
        <v>0</v>
      </c>
      <c r="Q55" s="85">
        <f t="shared" si="18"/>
        <v>0</v>
      </c>
      <c r="R55" s="85">
        <f t="shared" si="18"/>
        <v>0</v>
      </c>
      <c r="S55" s="85">
        <f t="shared" si="18"/>
        <v>0</v>
      </c>
      <c r="T55" s="85">
        <f t="shared" si="18"/>
        <v>0</v>
      </c>
      <c r="U55" s="85">
        <f t="shared" si="18"/>
        <v>0</v>
      </c>
      <c r="V55" s="85">
        <f t="shared" si="18"/>
        <v>0</v>
      </c>
      <c r="W55" s="85"/>
      <c r="X55" s="85"/>
      <c r="Y55" s="85"/>
      <c r="Z55" s="85"/>
      <c r="AA55" s="309"/>
      <c r="AB55" s="309"/>
      <c r="AC55" s="85"/>
      <c r="AD55" s="85"/>
      <c r="AE55" s="85"/>
      <c r="AF55" s="720"/>
      <c r="AG55" s="85"/>
      <c r="AH55" s="31"/>
    </row>
    <row r="56" spans="1:34">
      <c r="A56" s="85" t="s">
        <v>236</v>
      </c>
      <c r="B56" s="727">
        <f>B53-B54</f>
        <v>194000</v>
      </c>
      <c r="C56" s="85">
        <f t="shared" ref="C56:R56" si="19">C53-C54</f>
        <v>194000</v>
      </c>
      <c r="D56" s="85">
        <f t="shared" si="19"/>
        <v>194000</v>
      </c>
      <c r="E56" s="85">
        <f t="shared" si="19"/>
        <v>194000</v>
      </c>
      <c r="F56" s="85">
        <f t="shared" si="19"/>
        <v>194000</v>
      </c>
      <c r="G56" s="85">
        <f t="shared" si="19"/>
        <v>184987.08333333334</v>
      </c>
      <c r="H56" s="85">
        <f t="shared" si="19"/>
        <v>159662</v>
      </c>
      <c r="I56" s="85">
        <f t="shared" si="19"/>
        <v>132696</v>
      </c>
      <c r="J56" s="85">
        <f t="shared" si="19"/>
        <v>101753</v>
      </c>
      <c r="K56" s="85">
        <f t="shared" si="19"/>
        <v>66154</v>
      </c>
      <c r="L56" s="85">
        <f t="shared" si="19"/>
        <v>23619.499999999996</v>
      </c>
      <c r="M56" s="85">
        <f t="shared" si="19"/>
        <v>0</v>
      </c>
      <c r="N56" s="85">
        <f t="shared" si="19"/>
        <v>0</v>
      </c>
      <c r="O56" s="85">
        <f t="shared" si="19"/>
        <v>0</v>
      </c>
      <c r="P56" s="85">
        <f t="shared" si="19"/>
        <v>0</v>
      </c>
      <c r="Q56" s="85">
        <f t="shared" si="19"/>
        <v>0</v>
      </c>
      <c r="R56" s="85">
        <f t="shared" si="19"/>
        <v>0</v>
      </c>
      <c r="S56" s="85">
        <f>S53-S54</f>
        <v>0</v>
      </c>
      <c r="T56" s="85">
        <f>T53-T54</f>
        <v>0</v>
      </c>
      <c r="U56" s="85">
        <f>U53-U54</f>
        <v>0</v>
      </c>
      <c r="V56" s="85">
        <f>V53-V54</f>
        <v>0</v>
      </c>
      <c r="W56" s="85"/>
      <c r="X56" s="85"/>
      <c r="Y56" s="85"/>
      <c r="Z56" s="85"/>
      <c r="AA56" s="309"/>
      <c r="AB56" s="309"/>
      <c r="AC56" s="85"/>
      <c r="AD56" s="85"/>
      <c r="AE56" s="85"/>
      <c r="AF56" s="720"/>
      <c r="AG56" s="85"/>
      <c r="AH56" s="31"/>
    </row>
    <row r="57" spans="1:34">
      <c r="A57" s="84" t="s">
        <v>376</v>
      </c>
      <c r="B57" s="727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309"/>
      <c r="AB57" s="309"/>
      <c r="AC57" s="85"/>
      <c r="AD57" s="85"/>
      <c r="AE57" s="85"/>
      <c r="AF57" s="720"/>
      <c r="AG57" s="85"/>
      <c r="AH57" s="31"/>
    </row>
    <row r="58" spans="1:34">
      <c r="A58" s="85" t="s">
        <v>233</v>
      </c>
      <c r="B58" s="727">
        <f>B56</f>
        <v>194000</v>
      </c>
      <c r="C58" s="85">
        <f t="shared" ref="C58:V58" si="20">C56</f>
        <v>194000</v>
      </c>
      <c r="D58" s="85">
        <f t="shared" si="20"/>
        <v>194000</v>
      </c>
      <c r="E58" s="85">
        <f t="shared" si="20"/>
        <v>194000</v>
      </c>
      <c r="F58" s="85">
        <f t="shared" si="20"/>
        <v>194000</v>
      </c>
      <c r="G58" s="85">
        <f t="shared" si="20"/>
        <v>184987.08333333334</v>
      </c>
      <c r="H58" s="85">
        <f t="shared" si="20"/>
        <v>159662</v>
      </c>
      <c r="I58" s="85">
        <f t="shared" si="20"/>
        <v>132696</v>
      </c>
      <c r="J58" s="85">
        <f t="shared" si="20"/>
        <v>101753</v>
      </c>
      <c r="K58" s="85">
        <f t="shared" si="20"/>
        <v>66154</v>
      </c>
      <c r="L58" s="85">
        <f t="shared" si="20"/>
        <v>23619.499999999996</v>
      </c>
      <c r="M58" s="85">
        <f t="shared" si="20"/>
        <v>0</v>
      </c>
      <c r="N58" s="85">
        <f t="shared" si="20"/>
        <v>0</v>
      </c>
      <c r="O58" s="85">
        <f t="shared" si="20"/>
        <v>0</v>
      </c>
      <c r="P58" s="85">
        <f t="shared" si="20"/>
        <v>0</v>
      </c>
      <c r="Q58" s="85">
        <f t="shared" si="20"/>
        <v>0</v>
      </c>
      <c r="R58" s="85">
        <f t="shared" si="20"/>
        <v>0</v>
      </c>
      <c r="S58" s="85">
        <f t="shared" si="20"/>
        <v>0</v>
      </c>
      <c r="T58" s="85">
        <f t="shared" si="20"/>
        <v>0</v>
      </c>
      <c r="U58" s="85">
        <f t="shared" si="20"/>
        <v>0</v>
      </c>
      <c r="V58" s="85">
        <f t="shared" si="20"/>
        <v>0</v>
      </c>
      <c r="W58" s="85"/>
      <c r="X58" s="85"/>
      <c r="Y58" s="85"/>
      <c r="Z58" s="85"/>
      <c r="AA58" s="309"/>
      <c r="AB58" s="309"/>
      <c r="AC58" s="85"/>
      <c r="AD58" s="85"/>
      <c r="AE58" s="85"/>
      <c r="AF58" s="720"/>
      <c r="AG58" s="85"/>
      <c r="AH58" s="31"/>
    </row>
    <row r="59" spans="1:34">
      <c r="A59" s="85" t="s">
        <v>234</v>
      </c>
      <c r="B59" s="727">
        <v>0</v>
      </c>
      <c r="C59" s="85">
        <f>$B$53*6/12*C23</f>
        <v>0</v>
      </c>
      <c r="D59" s="85">
        <f t="shared" ref="D59:V59" si="21">$B$53*6/12*D23</f>
        <v>0</v>
      </c>
      <c r="E59" s="85">
        <f t="shared" si="21"/>
        <v>0</v>
      </c>
      <c r="F59" s="85">
        <f>$B$53*F23</f>
        <v>0</v>
      </c>
      <c r="G59" s="796">
        <f>$B$53*7/12*G23</f>
        <v>12618.083333333334</v>
      </c>
      <c r="H59" s="85">
        <f t="shared" si="21"/>
        <v>12707</v>
      </c>
      <c r="I59" s="85">
        <f t="shared" si="21"/>
        <v>14259</v>
      </c>
      <c r="J59" s="85">
        <f t="shared" si="21"/>
        <v>16684</v>
      </c>
      <c r="K59" s="85">
        <f t="shared" si="21"/>
        <v>18915</v>
      </c>
      <c r="L59" s="85">
        <f t="shared" si="21"/>
        <v>23619.500000000004</v>
      </c>
      <c r="M59" s="85">
        <f t="shared" si="21"/>
        <v>0</v>
      </c>
      <c r="N59" s="85">
        <f t="shared" si="21"/>
        <v>0</v>
      </c>
      <c r="O59" s="85">
        <f t="shared" si="21"/>
        <v>0</v>
      </c>
      <c r="P59" s="85">
        <f t="shared" si="21"/>
        <v>0</v>
      </c>
      <c r="Q59" s="85">
        <f t="shared" si="21"/>
        <v>0</v>
      </c>
      <c r="R59" s="85">
        <f t="shared" si="21"/>
        <v>0</v>
      </c>
      <c r="S59" s="85">
        <f t="shared" si="21"/>
        <v>0</v>
      </c>
      <c r="T59" s="85">
        <f t="shared" si="21"/>
        <v>0</v>
      </c>
      <c r="U59" s="85">
        <f t="shared" si="21"/>
        <v>0</v>
      </c>
      <c r="V59" s="85">
        <f t="shared" si="21"/>
        <v>0</v>
      </c>
      <c r="W59" s="85"/>
      <c r="X59" s="85"/>
      <c r="Y59" s="85"/>
      <c r="Z59" s="85"/>
      <c r="AA59" s="309"/>
      <c r="AB59" s="309"/>
      <c r="AC59" s="85"/>
      <c r="AD59" s="85"/>
      <c r="AE59" s="85"/>
      <c r="AF59" s="720"/>
      <c r="AG59" s="85"/>
      <c r="AH59" s="31"/>
    </row>
    <row r="60" spans="1:34">
      <c r="A60" s="85" t="s">
        <v>235</v>
      </c>
      <c r="B60" s="727">
        <v>0</v>
      </c>
      <c r="C60" s="85">
        <f t="shared" ref="C60:V60" si="22">C58*$L$7*0.5</f>
        <v>9428.4000000000015</v>
      </c>
      <c r="D60" s="85">
        <f t="shared" si="22"/>
        <v>9428.4000000000015</v>
      </c>
      <c r="E60" s="85">
        <f t="shared" si="22"/>
        <v>9428.4000000000015</v>
      </c>
      <c r="F60" s="85">
        <f t="shared" si="22"/>
        <v>9428.4000000000015</v>
      </c>
      <c r="G60" s="85">
        <f t="shared" si="22"/>
        <v>8990.3722500000022</v>
      </c>
      <c r="H60" s="85">
        <f t="shared" si="22"/>
        <v>7759.5732000000007</v>
      </c>
      <c r="I60" s="85">
        <f t="shared" si="22"/>
        <v>6449.0256000000008</v>
      </c>
      <c r="J60" s="85">
        <f t="shared" si="22"/>
        <v>4945.1958000000004</v>
      </c>
      <c r="K60" s="85">
        <f t="shared" si="22"/>
        <v>3215.0844000000002</v>
      </c>
      <c r="L60" s="85">
        <f t="shared" si="22"/>
        <v>1147.9077</v>
      </c>
      <c r="M60" s="85">
        <f t="shared" si="22"/>
        <v>0</v>
      </c>
      <c r="N60" s="85">
        <f t="shared" si="22"/>
        <v>0</v>
      </c>
      <c r="O60" s="85">
        <f t="shared" si="22"/>
        <v>0</v>
      </c>
      <c r="P60" s="85">
        <f t="shared" si="22"/>
        <v>0</v>
      </c>
      <c r="Q60" s="85">
        <f t="shared" si="22"/>
        <v>0</v>
      </c>
      <c r="R60" s="85">
        <f t="shared" si="22"/>
        <v>0</v>
      </c>
      <c r="S60" s="85">
        <f t="shared" si="22"/>
        <v>0</v>
      </c>
      <c r="T60" s="85">
        <f t="shared" si="22"/>
        <v>0</v>
      </c>
      <c r="U60" s="85">
        <f t="shared" si="22"/>
        <v>0</v>
      </c>
      <c r="V60" s="85">
        <f t="shared" si="22"/>
        <v>0</v>
      </c>
      <c r="W60" s="85"/>
      <c r="X60" s="85"/>
      <c r="Y60" s="85"/>
      <c r="Z60" s="85"/>
      <c r="AA60" s="309"/>
      <c r="AB60" s="309"/>
      <c r="AC60" s="85"/>
      <c r="AD60" s="85"/>
      <c r="AE60" s="85"/>
      <c r="AF60" s="720"/>
      <c r="AG60" s="85"/>
      <c r="AH60" s="31"/>
    </row>
    <row r="61" spans="1:34">
      <c r="A61" s="85" t="s">
        <v>236</v>
      </c>
      <c r="B61" s="727">
        <f>B58-B59</f>
        <v>194000</v>
      </c>
      <c r="C61" s="85">
        <f t="shared" ref="C61:R61" si="23">C58-C59</f>
        <v>194000</v>
      </c>
      <c r="D61" s="85">
        <f t="shared" si="23"/>
        <v>194000</v>
      </c>
      <c r="E61" s="85">
        <f t="shared" si="23"/>
        <v>194000</v>
      </c>
      <c r="F61" s="85">
        <f t="shared" si="23"/>
        <v>194000</v>
      </c>
      <c r="G61" s="85">
        <f t="shared" si="23"/>
        <v>172369</v>
      </c>
      <c r="H61" s="85">
        <f t="shared" si="23"/>
        <v>146955</v>
      </c>
      <c r="I61" s="85">
        <f t="shared" si="23"/>
        <v>118437</v>
      </c>
      <c r="J61" s="85">
        <f t="shared" si="23"/>
        <v>85069</v>
      </c>
      <c r="K61" s="85">
        <f t="shared" si="23"/>
        <v>47239</v>
      </c>
      <c r="L61" s="85">
        <f t="shared" si="23"/>
        <v>0</v>
      </c>
      <c r="M61" s="85">
        <f t="shared" si="23"/>
        <v>0</v>
      </c>
      <c r="N61" s="85">
        <f t="shared" si="23"/>
        <v>0</v>
      </c>
      <c r="O61" s="85">
        <f t="shared" si="23"/>
        <v>0</v>
      </c>
      <c r="P61" s="85">
        <f t="shared" si="23"/>
        <v>0</v>
      </c>
      <c r="Q61" s="85">
        <f t="shared" si="23"/>
        <v>0</v>
      </c>
      <c r="R61" s="85">
        <f t="shared" si="23"/>
        <v>0</v>
      </c>
      <c r="S61" s="85">
        <f>S58-S59</f>
        <v>0</v>
      </c>
      <c r="T61" s="85">
        <f>T58-T59</f>
        <v>0</v>
      </c>
      <c r="U61" s="85">
        <f>U58-U59</f>
        <v>0</v>
      </c>
      <c r="V61" s="85">
        <f>V58-V59</f>
        <v>0</v>
      </c>
      <c r="W61" s="85"/>
      <c r="X61" s="85"/>
      <c r="Y61" s="85"/>
      <c r="Z61" s="85"/>
      <c r="AA61" s="309"/>
      <c r="AB61" s="309"/>
      <c r="AC61" s="85"/>
      <c r="AD61" s="85"/>
      <c r="AE61" s="85"/>
      <c r="AF61" s="720"/>
      <c r="AG61" s="85"/>
      <c r="AH61" s="31"/>
    </row>
    <row r="62" spans="1:34">
      <c r="A62" s="87" t="s">
        <v>377</v>
      </c>
      <c r="B62" s="727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309"/>
      <c r="AB62" s="309"/>
      <c r="AC62" s="85"/>
      <c r="AD62" s="85"/>
      <c r="AE62" s="85"/>
      <c r="AF62" s="720"/>
      <c r="AG62" s="85"/>
      <c r="AH62" s="31"/>
    </row>
    <row r="63" spans="1:34">
      <c r="A63" s="85" t="s">
        <v>233</v>
      </c>
      <c r="B63" s="727">
        <f>B61</f>
        <v>194000</v>
      </c>
      <c r="C63" s="85">
        <f t="shared" ref="C63:V63" si="24">C61</f>
        <v>194000</v>
      </c>
      <c r="D63" s="85">
        <f t="shared" si="24"/>
        <v>194000</v>
      </c>
      <c r="E63" s="85">
        <f t="shared" si="24"/>
        <v>194000</v>
      </c>
      <c r="F63" s="85">
        <f t="shared" si="24"/>
        <v>194000</v>
      </c>
      <c r="G63" s="85">
        <f t="shared" si="24"/>
        <v>172369</v>
      </c>
      <c r="H63" s="85">
        <f t="shared" si="24"/>
        <v>146955</v>
      </c>
      <c r="I63" s="85">
        <f t="shared" si="24"/>
        <v>118437</v>
      </c>
      <c r="J63" s="85">
        <f t="shared" si="24"/>
        <v>85069</v>
      </c>
      <c r="K63" s="85">
        <f t="shared" si="24"/>
        <v>47239</v>
      </c>
      <c r="L63" s="85">
        <f t="shared" si="24"/>
        <v>0</v>
      </c>
      <c r="M63" s="85">
        <f t="shared" si="24"/>
        <v>0</v>
      </c>
      <c r="N63" s="85">
        <f t="shared" si="24"/>
        <v>0</v>
      </c>
      <c r="O63" s="85">
        <f t="shared" si="24"/>
        <v>0</v>
      </c>
      <c r="P63" s="85">
        <f t="shared" si="24"/>
        <v>0</v>
      </c>
      <c r="Q63" s="85">
        <f t="shared" si="24"/>
        <v>0</v>
      </c>
      <c r="R63" s="85">
        <f t="shared" si="24"/>
        <v>0</v>
      </c>
      <c r="S63" s="85">
        <f t="shared" si="24"/>
        <v>0</v>
      </c>
      <c r="T63" s="85">
        <f t="shared" si="24"/>
        <v>0</v>
      </c>
      <c r="U63" s="85">
        <f t="shared" si="24"/>
        <v>0</v>
      </c>
      <c r="V63" s="85">
        <f t="shared" si="24"/>
        <v>0</v>
      </c>
      <c r="W63" s="85"/>
      <c r="X63" s="85"/>
      <c r="Y63" s="85"/>
      <c r="Z63" s="85"/>
      <c r="AA63" s="309"/>
      <c r="AB63" s="309"/>
      <c r="AC63" s="85"/>
      <c r="AD63" s="85"/>
      <c r="AE63" s="85"/>
      <c r="AF63" s="720"/>
      <c r="AG63" s="85"/>
      <c r="AH63" s="31"/>
    </row>
    <row r="64" spans="1:34">
      <c r="A64" s="85" t="s">
        <v>370</v>
      </c>
      <c r="B64" s="727">
        <f>B53*5/12*C23</f>
        <v>0</v>
      </c>
      <c r="C64" s="85">
        <v>0</v>
      </c>
      <c r="D64" s="85">
        <v>0</v>
      </c>
      <c r="E64" s="85">
        <v>0</v>
      </c>
      <c r="F64" s="85">
        <v>0</v>
      </c>
      <c r="G64" s="85">
        <v>0</v>
      </c>
      <c r="H64" s="85">
        <v>0</v>
      </c>
      <c r="I64" s="85">
        <v>0</v>
      </c>
      <c r="J64" s="85">
        <v>0</v>
      </c>
      <c r="K64" s="85">
        <v>0</v>
      </c>
      <c r="L64" s="85">
        <v>0</v>
      </c>
      <c r="M64" s="85">
        <v>0</v>
      </c>
      <c r="N64" s="85">
        <v>0</v>
      </c>
      <c r="O64" s="85">
        <v>0</v>
      </c>
      <c r="P64" s="85">
        <v>0</v>
      </c>
      <c r="Q64" s="85">
        <v>0</v>
      </c>
      <c r="R64" s="85">
        <v>0</v>
      </c>
      <c r="S64" s="85">
        <v>0</v>
      </c>
      <c r="T64" s="85">
        <v>0</v>
      </c>
      <c r="U64" s="85">
        <v>0</v>
      </c>
      <c r="V64" s="85">
        <v>0</v>
      </c>
      <c r="W64" s="85"/>
      <c r="X64" s="85"/>
      <c r="Y64" s="85"/>
      <c r="Z64" s="85"/>
      <c r="AA64" s="309"/>
      <c r="AB64" s="309"/>
      <c r="AC64" s="85"/>
      <c r="AD64" s="85"/>
      <c r="AE64" s="85"/>
      <c r="AF64" s="720"/>
      <c r="AG64" s="85"/>
      <c r="AH64" s="31"/>
    </row>
    <row r="65" spans="1:34">
      <c r="A65" s="85" t="s">
        <v>369</v>
      </c>
      <c r="B65" s="727">
        <f>B63*$L$7*(13-MONTH(Assumptions!C17))/12*0</f>
        <v>0</v>
      </c>
      <c r="C65" s="85">
        <f t="shared" ref="C65:V65" si="25">C63*$L$7*5/12</f>
        <v>7857.0000000000009</v>
      </c>
      <c r="D65" s="85">
        <f t="shared" si="25"/>
        <v>7857.0000000000009</v>
      </c>
      <c r="E65" s="85">
        <f t="shared" si="25"/>
        <v>7857.0000000000009</v>
      </c>
      <c r="F65" s="85">
        <f t="shared" si="25"/>
        <v>7857.0000000000009</v>
      </c>
      <c r="G65" s="85">
        <f t="shared" si="25"/>
        <v>6980.9445000000005</v>
      </c>
      <c r="H65" s="85">
        <f t="shared" si="25"/>
        <v>5951.6775000000007</v>
      </c>
      <c r="I65" s="85">
        <f t="shared" si="25"/>
        <v>4796.6985000000013</v>
      </c>
      <c r="J65" s="85">
        <f t="shared" si="25"/>
        <v>3445.2945</v>
      </c>
      <c r="K65" s="85">
        <f t="shared" si="25"/>
        <v>1913.1795000000002</v>
      </c>
      <c r="L65" s="85">
        <f t="shared" si="25"/>
        <v>0</v>
      </c>
      <c r="M65" s="85">
        <f t="shared" si="25"/>
        <v>0</v>
      </c>
      <c r="N65" s="85">
        <f t="shared" si="25"/>
        <v>0</v>
      </c>
      <c r="O65" s="85">
        <f t="shared" si="25"/>
        <v>0</v>
      </c>
      <c r="P65" s="85">
        <f t="shared" si="25"/>
        <v>0</v>
      </c>
      <c r="Q65" s="85">
        <f t="shared" si="25"/>
        <v>0</v>
      </c>
      <c r="R65" s="85">
        <f t="shared" si="25"/>
        <v>0</v>
      </c>
      <c r="S65" s="85">
        <f t="shared" si="25"/>
        <v>0</v>
      </c>
      <c r="T65" s="85">
        <f t="shared" si="25"/>
        <v>0</v>
      </c>
      <c r="U65" s="85">
        <f t="shared" si="25"/>
        <v>0</v>
      </c>
      <c r="V65" s="85">
        <f t="shared" si="25"/>
        <v>0</v>
      </c>
      <c r="W65" s="85"/>
      <c r="X65" s="85"/>
      <c r="Y65" s="85"/>
      <c r="Z65" s="85"/>
      <c r="AA65" s="309"/>
      <c r="AB65" s="309"/>
      <c r="AC65" s="85"/>
      <c r="AD65" s="85"/>
      <c r="AE65" s="85"/>
      <c r="AF65" s="720"/>
      <c r="AG65" s="85"/>
      <c r="AH65" s="31"/>
    </row>
    <row r="66" spans="1:34">
      <c r="A66" s="85" t="s">
        <v>236</v>
      </c>
      <c r="B66" s="727">
        <f>B63-B64</f>
        <v>194000</v>
      </c>
      <c r="C66" s="85">
        <f t="shared" ref="C66:R66" si="26">C63-C64</f>
        <v>194000</v>
      </c>
      <c r="D66" s="85">
        <f t="shared" si="26"/>
        <v>194000</v>
      </c>
      <c r="E66" s="85">
        <f t="shared" si="26"/>
        <v>194000</v>
      </c>
      <c r="F66" s="85">
        <f t="shared" si="26"/>
        <v>194000</v>
      </c>
      <c r="G66" s="85">
        <f t="shared" si="26"/>
        <v>172369</v>
      </c>
      <c r="H66" s="85">
        <f t="shared" si="26"/>
        <v>146955</v>
      </c>
      <c r="I66" s="85">
        <f t="shared" si="26"/>
        <v>118437</v>
      </c>
      <c r="J66" s="85">
        <f t="shared" si="26"/>
        <v>85069</v>
      </c>
      <c r="K66" s="85">
        <f t="shared" si="26"/>
        <v>47239</v>
      </c>
      <c r="L66" s="85">
        <f t="shared" si="26"/>
        <v>0</v>
      </c>
      <c r="M66" s="85">
        <f t="shared" si="26"/>
        <v>0</v>
      </c>
      <c r="N66" s="85">
        <f t="shared" si="26"/>
        <v>0</v>
      </c>
      <c r="O66" s="85">
        <f t="shared" si="26"/>
        <v>0</v>
      </c>
      <c r="P66" s="85">
        <f t="shared" si="26"/>
        <v>0</v>
      </c>
      <c r="Q66" s="85">
        <f t="shared" si="26"/>
        <v>0</v>
      </c>
      <c r="R66" s="85">
        <f t="shared" si="26"/>
        <v>0</v>
      </c>
      <c r="S66" s="85">
        <f>S63-S64</f>
        <v>0</v>
      </c>
      <c r="T66" s="85">
        <f>T63-T64</f>
        <v>0</v>
      </c>
      <c r="U66" s="85">
        <f>U63-U64</f>
        <v>0</v>
      </c>
      <c r="V66" s="85">
        <f>V63-V64</f>
        <v>0</v>
      </c>
      <c r="W66" s="85"/>
      <c r="X66" s="85"/>
      <c r="Y66" s="85"/>
      <c r="Z66" s="85"/>
      <c r="AA66" s="309"/>
      <c r="AB66" s="309"/>
      <c r="AC66" s="85"/>
      <c r="AD66" s="85"/>
      <c r="AE66" s="85"/>
      <c r="AF66" s="720"/>
      <c r="AG66" s="85"/>
      <c r="AH66" s="31"/>
    </row>
    <row r="67" spans="1:34">
      <c r="A67" s="85"/>
      <c r="B67" s="727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309"/>
      <c r="AB67" s="309"/>
      <c r="AC67" s="85"/>
      <c r="AD67" s="85"/>
      <c r="AE67" s="85"/>
      <c r="AF67" s="720"/>
      <c r="AG67" s="85"/>
      <c r="AH67" s="31"/>
    </row>
    <row r="68" spans="1:34">
      <c r="A68" s="89" t="s">
        <v>355</v>
      </c>
      <c r="B68" s="727">
        <v>0</v>
      </c>
      <c r="C68" s="85">
        <f>C55+C60+B65</f>
        <v>10999.800000000001</v>
      </c>
      <c r="D68" s="85">
        <f>D55+D60+C65</f>
        <v>18856.800000000003</v>
      </c>
      <c r="E68" s="85">
        <f t="shared" ref="E68:V68" si="27">E55+E60+D65</f>
        <v>18856.800000000003</v>
      </c>
      <c r="F68" s="85">
        <f t="shared" si="27"/>
        <v>18856.800000000003</v>
      </c>
      <c r="G68" s="85">
        <f t="shared" si="27"/>
        <v>18418.772250000002</v>
      </c>
      <c r="H68" s="85">
        <f t="shared" si="27"/>
        <v>16136.706600000001</v>
      </c>
      <c r="I68" s="85">
        <f t="shared" si="27"/>
        <v>13591.038600000002</v>
      </c>
      <c r="J68" s="85">
        <f t="shared" si="27"/>
        <v>10701.234000000002</v>
      </c>
      <c r="K68" s="85">
        <f t="shared" si="27"/>
        <v>7349.4377999999997</v>
      </c>
      <c r="L68" s="85">
        <f t="shared" si="27"/>
        <v>3443.7231000000002</v>
      </c>
      <c r="M68" s="85">
        <f t="shared" si="27"/>
        <v>0</v>
      </c>
      <c r="N68" s="85">
        <f t="shared" si="27"/>
        <v>0</v>
      </c>
      <c r="O68" s="85">
        <f t="shared" si="27"/>
        <v>0</v>
      </c>
      <c r="P68" s="85">
        <f t="shared" si="27"/>
        <v>0</v>
      </c>
      <c r="Q68" s="85">
        <f t="shared" si="27"/>
        <v>0</v>
      </c>
      <c r="R68" s="85">
        <f t="shared" si="27"/>
        <v>0</v>
      </c>
      <c r="S68" s="85">
        <f t="shared" si="27"/>
        <v>0</v>
      </c>
      <c r="T68" s="85">
        <f t="shared" si="27"/>
        <v>0</v>
      </c>
      <c r="U68" s="85">
        <f t="shared" si="27"/>
        <v>0</v>
      </c>
      <c r="V68" s="85">
        <f t="shared" si="27"/>
        <v>0</v>
      </c>
      <c r="W68" s="85"/>
      <c r="X68" s="85"/>
      <c r="Y68" s="85"/>
      <c r="Z68" s="85"/>
      <c r="AA68" s="309"/>
      <c r="AB68" s="309"/>
      <c r="AC68" s="85"/>
      <c r="AD68" s="85"/>
      <c r="AE68" s="85"/>
      <c r="AF68" s="720"/>
      <c r="AG68" s="85"/>
      <c r="AH68" s="31"/>
    </row>
    <row r="69" spans="1:34">
      <c r="A69" s="21" t="s">
        <v>356</v>
      </c>
      <c r="B69" s="727">
        <f>B55+B60+B65</f>
        <v>0</v>
      </c>
      <c r="C69" s="85">
        <f>C55+C60+C65</f>
        <v>18856.800000000003</v>
      </c>
      <c r="D69" s="85">
        <f t="shared" ref="D69:V69" si="28">D55+D60+D65</f>
        <v>18856.800000000003</v>
      </c>
      <c r="E69" s="85">
        <f t="shared" si="28"/>
        <v>18856.800000000003</v>
      </c>
      <c r="F69" s="85">
        <f t="shared" si="28"/>
        <v>18856.800000000003</v>
      </c>
      <c r="G69" s="85">
        <f t="shared" si="28"/>
        <v>17542.716750000003</v>
      </c>
      <c r="H69" s="85">
        <f t="shared" si="28"/>
        <v>15107.439600000002</v>
      </c>
      <c r="I69" s="85">
        <f t="shared" si="28"/>
        <v>12436.059600000002</v>
      </c>
      <c r="J69" s="85">
        <f t="shared" si="28"/>
        <v>9349.8300000000017</v>
      </c>
      <c r="K69" s="85">
        <f t="shared" si="28"/>
        <v>5817.3227999999999</v>
      </c>
      <c r="L69" s="85">
        <f t="shared" si="28"/>
        <v>1530.5436</v>
      </c>
      <c r="M69" s="85">
        <f t="shared" si="28"/>
        <v>0</v>
      </c>
      <c r="N69" s="85">
        <f t="shared" si="28"/>
        <v>0</v>
      </c>
      <c r="O69" s="85">
        <f t="shared" si="28"/>
        <v>0</v>
      </c>
      <c r="P69" s="85">
        <f t="shared" si="28"/>
        <v>0</v>
      </c>
      <c r="Q69" s="85">
        <f t="shared" si="28"/>
        <v>0</v>
      </c>
      <c r="R69" s="85">
        <f t="shared" si="28"/>
        <v>0</v>
      </c>
      <c r="S69" s="85">
        <f t="shared" si="28"/>
        <v>0</v>
      </c>
      <c r="T69" s="85">
        <f t="shared" si="28"/>
        <v>0</v>
      </c>
      <c r="U69" s="85">
        <f t="shared" si="28"/>
        <v>0</v>
      </c>
      <c r="V69" s="85">
        <f t="shared" si="28"/>
        <v>0</v>
      </c>
      <c r="AA69" s="22"/>
      <c r="AB69" s="22"/>
      <c r="AF69" s="7"/>
      <c r="AG69" s="85"/>
      <c r="AH69" s="31"/>
    </row>
    <row r="70" spans="1:34">
      <c r="A70" s="89" t="s">
        <v>373</v>
      </c>
      <c r="B70" s="727">
        <f>B54+B59</f>
        <v>0</v>
      </c>
      <c r="C70" s="727">
        <f>C54+C59+B64</f>
        <v>0</v>
      </c>
      <c r="D70" s="727">
        <f t="shared" ref="D70:V70" si="29">D54+D59+C64</f>
        <v>0</v>
      </c>
      <c r="E70" s="727">
        <f t="shared" si="29"/>
        <v>0</v>
      </c>
      <c r="F70" s="727">
        <f t="shared" si="29"/>
        <v>0</v>
      </c>
      <c r="G70" s="727">
        <f t="shared" si="29"/>
        <v>21631</v>
      </c>
      <c r="H70" s="727">
        <f t="shared" si="29"/>
        <v>25414</v>
      </c>
      <c r="I70" s="727">
        <f t="shared" si="29"/>
        <v>28518</v>
      </c>
      <c r="J70" s="727">
        <f t="shared" si="29"/>
        <v>33368</v>
      </c>
      <c r="K70" s="727">
        <f t="shared" si="29"/>
        <v>37830</v>
      </c>
      <c r="L70" s="727">
        <f t="shared" si="29"/>
        <v>47239.000000000007</v>
      </c>
      <c r="M70" s="727">
        <f t="shared" si="29"/>
        <v>0</v>
      </c>
      <c r="N70" s="727">
        <f t="shared" si="29"/>
        <v>0</v>
      </c>
      <c r="O70" s="727">
        <f t="shared" si="29"/>
        <v>0</v>
      </c>
      <c r="P70" s="727">
        <f t="shared" si="29"/>
        <v>0</v>
      </c>
      <c r="Q70" s="727">
        <f t="shared" si="29"/>
        <v>0</v>
      </c>
      <c r="R70" s="727">
        <f t="shared" si="29"/>
        <v>0</v>
      </c>
      <c r="S70" s="727">
        <f t="shared" si="29"/>
        <v>0</v>
      </c>
      <c r="T70" s="727">
        <f t="shared" si="29"/>
        <v>0</v>
      </c>
      <c r="U70" s="727">
        <f t="shared" si="29"/>
        <v>0</v>
      </c>
      <c r="V70" s="727">
        <f t="shared" si="29"/>
        <v>0</v>
      </c>
      <c r="AA70" s="22"/>
      <c r="AB70" s="22"/>
      <c r="AF70" s="7"/>
      <c r="AG70" s="85"/>
      <c r="AH70" s="31"/>
    </row>
    <row r="71" spans="1:34">
      <c r="A71" s="21" t="s">
        <v>371</v>
      </c>
      <c r="B71" s="727">
        <f>B64</f>
        <v>0</v>
      </c>
      <c r="C71" s="727">
        <f t="shared" ref="C71:V71" si="30">C64</f>
        <v>0</v>
      </c>
      <c r="D71" s="727">
        <f t="shared" si="30"/>
        <v>0</v>
      </c>
      <c r="E71" s="727">
        <f t="shared" si="30"/>
        <v>0</v>
      </c>
      <c r="F71" s="727">
        <f t="shared" si="30"/>
        <v>0</v>
      </c>
      <c r="G71" s="727">
        <f t="shared" si="30"/>
        <v>0</v>
      </c>
      <c r="H71" s="727">
        <f t="shared" si="30"/>
        <v>0</v>
      </c>
      <c r="I71" s="727">
        <f t="shared" si="30"/>
        <v>0</v>
      </c>
      <c r="J71" s="727">
        <f t="shared" si="30"/>
        <v>0</v>
      </c>
      <c r="K71" s="727">
        <f t="shared" si="30"/>
        <v>0</v>
      </c>
      <c r="L71" s="727">
        <f t="shared" si="30"/>
        <v>0</v>
      </c>
      <c r="M71" s="727">
        <f t="shared" si="30"/>
        <v>0</v>
      </c>
      <c r="N71" s="727">
        <f t="shared" si="30"/>
        <v>0</v>
      </c>
      <c r="O71" s="727">
        <f t="shared" si="30"/>
        <v>0</v>
      </c>
      <c r="P71" s="727">
        <f t="shared" si="30"/>
        <v>0</v>
      </c>
      <c r="Q71" s="727">
        <f t="shared" si="30"/>
        <v>0</v>
      </c>
      <c r="R71" s="727">
        <f t="shared" si="30"/>
        <v>0</v>
      </c>
      <c r="S71" s="727">
        <f t="shared" si="30"/>
        <v>0</v>
      </c>
      <c r="T71" s="727">
        <f t="shared" si="30"/>
        <v>0</v>
      </c>
      <c r="U71" s="727">
        <f t="shared" si="30"/>
        <v>0</v>
      </c>
      <c r="V71" s="727">
        <f t="shared" si="30"/>
        <v>0</v>
      </c>
      <c r="AA71" s="22"/>
      <c r="AB71" s="22"/>
      <c r="AF71" s="7"/>
      <c r="AG71" s="85"/>
      <c r="AH71" s="31"/>
    </row>
    <row r="72" spans="1:34">
      <c r="B72" s="312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309"/>
      <c r="AB72" s="309"/>
      <c r="AC72" s="85"/>
      <c r="AD72" s="85"/>
      <c r="AE72" s="85"/>
      <c r="AF72" s="719"/>
      <c r="AG72" s="85"/>
      <c r="AH72" s="31"/>
    </row>
    <row r="73" spans="1:34">
      <c r="B73" s="727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309"/>
      <c r="AB73" s="309"/>
      <c r="AC73" s="85"/>
      <c r="AD73" s="85"/>
      <c r="AE73" s="85"/>
      <c r="AF73" s="720"/>
      <c r="AG73" s="85"/>
      <c r="AH73" s="31"/>
    </row>
    <row r="74" spans="1:34">
      <c r="A74" s="82" t="str">
        <f>CONCATENATE("Tranche 3 @ ",R7*100,"%")</f>
        <v>Tranche 3 @ 10.435%</v>
      </c>
      <c r="B74" s="23"/>
      <c r="C74" s="83"/>
      <c r="AA74" s="22"/>
      <c r="AB74" s="22"/>
      <c r="AF74" s="7"/>
    </row>
    <row r="75" spans="1:34">
      <c r="A75" s="84" t="s">
        <v>375</v>
      </c>
      <c r="B75" s="727"/>
      <c r="AA75" s="22"/>
      <c r="AB75" s="22"/>
      <c r="AF75" s="7"/>
    </row>
    <row r="76" spans="1:34">
      <c r="A76" s="85" t="s">
        <v>233</v>
      </c>
      <c r="B76" s="728">
        <f>R10</f>
        <v>425000</v>
      </c>
      <c r="C76" s="85">
        <f>B89</f>
        <v>425000</v>
      </c>
      <c r="D76" s="85">
        <f t="shared" ref="D76:V76" si="31">C89</f>
        <v>425000</v>
      </c>
      <c r="E76" s="85">
        <f t="shared" si="31"/>
        <v>425000</v>
      </c>
      <c r="F76" s="85">
        <f t="shared" si="31"/>
        <v>425000</v>
      </c>
      <c r="G76" s="85">
        <f t="shared" si="31"/>
        <v>425000</v>
      </c>
      <c r="H76" s="85">
        <f t="shared" si="31"/>
        <v>425000</v>
      </c>
      <c r="I76" s="85">
        <f t="shared" si="31"/>
        <v>425000</v>
      </c>
      <c r="J76" s="85">
        <f t="shared" si="31"/>
        <v>425000</v>
      </c>
      <c r="K76" s="85">
        <f t="shared" si="31"/>
        <v>425000</v>
      </c>
      <c r="L76" s="85">
        <f t="shared" si="31"/>
        <v>425000</v>
      </c>
      <c r="M76" s="85">
        <f t="shared" si="31"/>
        <v>425000</v>
      </c>
      <c r="N76" s="85">
        <f t="shared" si="31"/>
        <v>392569.75964231894</v>
      </c>
      <c r="O76" s="85">
        <f t="shared" si="31"/>
        <v>356519.05172940867</v>
      </c>
      <c r="P76" s="85">
        <f t="shared" si="31"/>
        <v>316804.1892743028</v>
      </c>
      <c r="Q76" s="85">
        <f t="shared" si="31"/>
        <v>274452.49084967677</v>
      </c>
      <c r="R76" s="85">
        <f t="shared" si="31"/>
        <v>229193.73571357515</v>
      </c>
      <c r="S76" s="85">
        <f t="shared" si="31"/>
        <v>179869.65907139605</v>
      </c>
      <c r="T76" s="85">
        <f t="shared" si="31"/>
        <v>129582.77251043625</v>
      </c>
      <c r="U76" s="85">
        <f t="shared" si="31"/>
        <v>80463.05132557865</v>
      </c>
      <c r="V76" s="85">
        <f t="shared" si="31"/>
        <v>37157.231425974504</v>
      </c>
      <c r="W76" s="85"/>
      <c r="X76" s="85"/>
      <c r="Y76" s="85"/>
      <c r="Z76" s="85"/>
      <c r="AA76" s="309"/>
      <c r="AB76" s="309"/>
      <c r="AC76" s="85"/>
      <c r="AD76" s="85"/>
      <c r="AE76" s="85"/>
      <c r="AF76" s="719"/>
      <c r="AG76" s="85"/>
      <c r="AH76" s="31"/>
    </row>
    <row r="77" spans="1:34">
      <c r="A77" s="85" t="s">
        <v>234</v>
      </c>
      <c r="B77" s="727">
        <v>0</v>
      </c>
      <c r="C77" s="85">
        <f>$B$76*1/12*C25</f>
        <v>0</v>
      </c>
      <c r="D77" s="85">
        <f t="shared" ref="D77:V77" si="32">$B$76*6/12*D25</f>
        <v>0</v>
      </c>
      <c r="E77" s="85">
        <f t="shared" si="32"/>
        <v>0</v>
      </c>
      <c r="F77" s="85">
        <f t="shared" si="32"/>
        <v>0</v>
      </c>
      <c r="G77" s="85">
        <f t="shared" si="32"/>
        <v>0</v>
      </c>
      <c r="H77" s="85">
        <f t="shared" si="32"/>
        <v>0</v>
      </c>
      <c r="I77" s="85">
        <f t="shared" si="32"/>
        <v>0</v>
      </c>
      <c r="J77" s="85">
        <f t="shared" si="32"/>
        <v>0</v>
      </c>
      <c r="K77" s="85">
        <f t="shared" si="32"/>
        <v>0</v>
      </c>
      <c r="L77" s="85">
        <v>0</v>
      </c>
      <c r="M77" s="720">
        <f t="shared" si="32"/>
        <v>16215.120178840541</v>
      </c>
      <c r="N77" s="85">
        <f t="shared" si="32"/>
        <v>18025.353956455132</v>
      </c>
      <c r="O77" s="85">
        <f t="shared" si="32"/>
        <v>19857.431227552912</v>
      </c>
      <c r="P77" s="85">
        <f t="shared" si="32"/>
        <v>21175.849212312987</v>
      </c>
      <c r="Q77" s="85">
        <f t="shared" si="32"/>
        <v>22629.377568050826</v>
      </c>
      <c r="R77" s="85">
        <f t="shared" si="32"/>
        <v>24662.038321089542</v>
      </c>
      <c r="S77" s="85">
        <f t="shared" si="32"/>
        <v>25143.443280479903</v>
      </c>
      <c r="T77" s="85">
        <f t="shared" si="32"/>
        <v>24559.860592428802</v>
      </c>
      <c r="U77" s="85">
        <f t="shared" si="32"/>
        <v>21652.909949802073</v>
      </c>
      <c r="V77" s="85">
        <f t="shared" si="32"/>
        <v>18578.615712987288</v>
      </c>
      <c r="W77" s="720"/>
      <c r="X77" s="720"/>
      <c r="Y77" s="720"/>
      <c r="Z77" s="720"/>
      <c r="AA77" s="309"/>
      <c r="AB77" s="309"/>
      <c r="AC77" s="720"/>
      <c r="AD77" s="720"/>
      <c r="AE77" s="720"/>
      <c r="AF77" s="720"/>
      <c r="AG77" s="720"/>
      <c r="AH77" s="31"/>
    </row>
    <row r="78" spans="1:34">
      <c r="A78" s="85" t="s">
        <v>235</v>
      </c>
      <c r="B78" s="727">
        <v>0</v>
      </c>
      <c r="C78" s="85">
        <f>C76*$R$7*1/12</f>
        <v>3695.7291666666665</v>
      </c>
      <c r="D78" s="85">
        <f t="shared" ref="D78:V78" si="33">D76*$R$7*1/12</f>
        <v>3695.7291666666665</v>
      </c>
      <c r="E78" s="85">
        <f t="shared" si="33"/>
        <v>3695.7291666666665</v>
      </c>
      <c r="F78" s="85">
        <f t="shared" si="33"/>
        <v>3695.7291666666665</v>
      </c>
      <c r="G78" s="85">
        <f t="shared" si="33"/>
        <v>3695.7291666666665</v>
      </c>
      <c r="H78" s="85">
        <f t="shared" si="33"/>
        <v>3695.7291666666665</v>
      </c>
      <c r="I78" s="85">
        <f t="shared" si="33"/>
        <v>3695.7291666666665</v>
      </c>
      <c r="J78" s="85">
        <f t="shared" si="33"/>
        <v>3695.7291666666665</v>
      </c>
      <c r="K78" s="85">
        <f t="shared" si="33"/>
        <v>3695.7291666666665</v>
      </c>
      <c r="L78" s="85">
        <f t="shared" si="33"/>
        <v>3695.7291666666665</v>
      </c>
      <c r="M78" s="720">
        <f t="shared" si="33"/>
        <v>3695.7291666666665</v>
      </c>
      <c r="N78" s="720">
        <f t="shared" si="33"/>
        <v>3413.7212015563314</v>
      </c>
      <c r="O78" s="720">
        <f t="shared" si="33"/>
        <v>3100.2302539969828</v>
      </c>
      <c r="P78" s="720">
        <f t="shared" si="33"/>
        <v>2754.8764292311248</v>
      </c>
      <c r="Q78" s="720">
        <f t="shared" si="33"/>
        <v>2386.5931183469806</v>
      </c>
      <c r="R78" s="720">
        <f t="shared" si="33"/>
        <v>1993.0305268092973</v>
      </c>
      <c r="S78" s="720">
        <f t="shared" si="33"/>
        <v>1564.116577008348</v>
      </c>
      <c r="T78" s="720">
        <f t="shared" si="33"/>
        <v>1126.8301926220017</v>
      </c>
      <c r="U78" s="720">
        <f t="shared" si="33"/>
        <v>699.69328381867763</v>
      </c>
      <c r="V78" s="720">
        <f t="shared" si="33"/>
        <v>323.11309160836998</v>
      </c>
      <c r="W78" s="720"/>
      <c r="X78" s="720"/>
      <c r="Y78" s="720"/>
      <c r="Z78" s="720"/>
      <c r="AA78" s="309"/>
      <c r="AB78" s="309"/>
      <c r="AC78" s="720"/>
      <c r="AD78" s="720"/>
      <c r="AE78" s="720"/>
      <c r="AF78" s="720"/>
      <c r="AG78" s="720"/>
      <c r="AH78" s="31"/>
    </row>
    <row r="79" spans="1:34">
      <c r="A79" s="85" t="s">
        <v>236</v>
      </c>
      <c r="B79" s="727">
        <f>B76-B77</f>
        <v>425000</v>
      </c>
      <c r="C79" s="85">
        <f t="shared" ref="C79:R79" si="34">C76-C77</f>
        <v>425000</v>
      </c>
      <c r="D79" s="85">
        <f t="shared" si="34"/>
        <v>425000</v>
      </c>
      <c r="E79" s="85">
        <f t="shared" si="34"/>
        <v>425000</v>
      </c>
      <c r="F79" s="85">
        <f t="shared" si="34"/>
        <v>425000</v>
      </c>
      <c r="G79" s="85">
        <f t="shared" si="34"/>
        <v>425000</v>
      </c>
      <c r="H79" s="85">
        <f t="shared" si="34"/>
        <v>425000</v>
      </c>
      <c r="I79" s="85">
        <f t="shared" si="34"/>
        <v>425000</v>
      </c>
      <c r="J79" s="85">
        <f t="shared" si="34"/>
        <v>425000</v>
      </c>
      <c r="K79" s="85">
        <f t="shared" si="34"/>
        <v>425000</v>
      </c>
      <c r="L79" s="85">
        <f t="shared" si="34"/>
        <v>425000</v>
      </c>
      <c r="M79" s="720">
        <f t="shared" si="34"/>
        <v>408784.87982115947</v>
      </c>
      <c r="N79" s="720">
        <f t="shared" si="34"/>
        <v>374544.40568586381</v>
      </c>
      <c r="O79" s="720">
        <f t="shared" si="34"/>
        <v>336661.62050185574</v>
      </c>
      <c r="P79" s="720">
        <f t="shared" si="34"/>
        <v>295628.34006198979</v>
      </c>
      <c r="Q79" s="720">
        <f t="shared" si="34"/>
        <v>251823.11328162596</v>
      </c>
      <c r="R79" s="720">
        <f t="shared" si="34"/>
        <v>204531.6973924856</v>
      </c>
      <c r="S79" s="720">
        <f>S76-S77</f>
        <v>154726.21579091615</v>
      </c>
      <c r="T79" s="720">
        <f>T76-T77</f>
        <v>105022.91191800745</v>
      </c>
      <c r="U79" s="720">
        <f>U76-U77</f>
        <v>58810.141375776577</v>
      </c>
      <c r="V79" s="720">
        <f>V76-V77</f>
        <v>18578.615712987215</v>
      </c>
      <c r="W79" s="720"/>
      <c r="X79" s="720"/>
      <c r="Y79" s="720"/>
      <c r="Z79" s="720"/>
      <c r="AA79" s="309"/>
      <c r="AB79" s="309"/>
      <c r="AC79" s="720"/>
      <c r="AD79" s="720"/>
      <c r="AE79" s="720"/>
      <c r="AF79" s="720"/>
      <c r="AG79" s="720"/>
      <c r="AH79" s="31"/>
    </row>
    <row r="80" spans="1:34">
      <c r="A80" s="84" t="s">
        <v>376</v>
      </c>
      <c r="B80" s="727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720"/>
      <c r="N80" s="720"/>
      <c r="O80" s="720"/>
      <c r="P80" s="720"/>
      <c r="Q80" s="720"/>
      <c r="R80" s="720"/>
      <c r="S80" s="720"/>
      <c r="T80" s="720"/>
      <c r="U80" s="720"/>
      <c r="V80" s="720"/>
      <c r="W80" s="720"/>
      <c r="X80" s="720"/>
      <c r="Y80" s="720"/>
      <c r="Z80" s="720"/>
      <c r="AA80" s="309"/>
      <c r="AB80" s="309"/>
      <c r="AC80" s="720"/>
      <c r="AD80" s="720"/>
      <c r="AE80" s="720"/>
      <c r="AF80" s="720"/>
      <c r="AG80" s="720"/>
      <c r="AH80" s="31"/>
    </row>
    <row r="81" spans="1:34">
      <c r="A81" s="85" t="s">
        <v>233</v>
      </c>
      <c r="B81" s="727">
        <f>B79</f>
        <v>425000</v>
      </c>
      <c r="C81" s="85">
        <f t="shared" ref="C81:V81" si="35">C79</f>
        <v>425000</v>
      </c>
      <c r="D81" s="85">
        <f t="shared" si="35"/>
        <v>425000</v>
      </c>
      <c r="E81" s="85">
        <f t="shared" si="35"/>
        <v>425000</v>
      </c>
      <c r="F81" s="85">
        <f t="shared" si="35"/>
        <v>425000</v>
      </c>
      <c r="G81" s="85">
        <f t="shared" si="35"/>
        <v>425000</v>
      </c>
      <c r="H81" s="85">
        <f t="shared" si="35"/>
        <v>425000</v>
      </c>
      <c r="I81" s="85">
        <f t="shared" si="35"/>
        <v>425000</v>
      </c>
      <c r="J81" s="85">
        <f t="shared" si="35"/>
        <v>425000</v>
      </c>
      <c r="K81" s="85">
        <f t="shared" si="35"/>
        <v>425000</v>
      </c>
      <c r="L81" s="85">
        <f t="shared" si="35"/>
        <v>425000</v>
      </c>
      <c r="M81" s="720">
        <f t="shared" si="35"/>
        <v>408784.87982115947</v>
      </c>
      <c r="N81" s="720">
        <f t="shared" si="35"/>
        <v>374544.40568586381</v>
      </c>
      <c r="O81" s="720">
        <f t="shared" si="35"/>
        <v>336661.62050185574</v>
      </c>
      <c r="P81" s="720">
        <f t="shared" si="35"/>
        <v>295628.34006198979</v>
      </c>
      <c r="Q81" s="720">
        <f t="shared" si="35"/>
        <v>251823.11328162596</v>
      </c>
      <c r="R81" s="720">
        <f t="shared" si="35"/>
        <v>204531.6973924856</v>
      </c>
      <c r="S81" s="720">
        <f t="shared" si="35"/>
        <v>154726.21579091615</v>
      </c>
      <c r="T81" s="720">
        <f t="shared" si="35"/>
        <v>105022.91191800745</v>
      </c>
      <c r="U81" s="720">
        <f t="shared" si="35"/>
        <v>58810.141375776577</v>
      </c>
      <c r="V81" s="720">
        <f t="shared" si="35"/>
        <v>18578.615712987215</v>
      </c>
      <c r="W81" s="720"/>
      <c r="X81" s="720"/>
      <c r="Y81" s="720"/>
      <c r="Z81" s="720"/>
      <c r="AA81" s="309"/>
      <c r="AB81" s="309"/>
      <c r="AC81" s="720"/>
      <c r="AD81" s="720"/>
      <c r="AE81" s="720"/>
      <c r="AF81" s="720"/>
      <c r="AG81" s="720"/>
      <c r="AH81" s="31"/>
    </row>
    <row r="82" spans="1:34">
      <c r="A82" s="85" t="s">
        <v>234</v>
      </c>
      <c r="B82" s="727">
        <v>0</v>
      </c>
      <c r="C82" s="85">
        <f>$B$76*6/12*C25</f>
        <v>0</v>
      </c>
      <c r="D82" s="85">
        <f t="shared" ref="D82:V82" si="36">$B$76*6/12*D25</f>
        <v>0</v>
      </c>
      <c r="E82" s="85">
        <f t="shared" si="36"/>
        <v>0</v>
      </c>
      <c r="F82" s="85">
        <f t="shared" si="36"/>
        <v>0</v>
      </c>
      <c r="G82" s="85">
        <f t="shared" si="36"/>
        <v>0</v>
      </c>
      <c r="H82" s="85">
        <f t="shared" si="36"/>
        <v>0</v>
      </c>
      <c r="I82" s="85">
        <f t="shared" si="36"/>
        <v>0</v>
      </c>
      <c r="J82" s="85">
        <f t="shared" si="36"/>
        <v>0</v>
      </c>
      <c r="K82" s="85">
        <f t="shared" si="36"/>
        <v>0</v>
      </c>
      <c r="L82" s="85">
        <f>$B$76*L25</f>
        <v>0</v>
      </c>
      <c r="M82" s="85">
        <f t="shared" si="36"/>
        <v>16215.120178840541</v>
      </c>
      <c r="N82" s="85">
        <f t="shared" si="36"/>
        <v>18025.353956455132</v>
      </c>
      <c r="O82" s="85">
        <f t="shared" si="36"/>
        <v>19857.431227552912</v>
      </c>
      <c r="P82" s="85">
        <f t="shared" si="36"/>
        <v>21175.849212312987</v>
      </c>
      <c r="Q82" s="85">
        <f t="shared" si="36"/>
        <v>22629.377568050826</v>
      </c>
      <c r="R82" s="85">
        <f t="shared" si="36"/>
        <v>24662.038321089542</v>
      </c>
      <c r="S82" s="85">
        <f t="shared" si="36"/>
        <v>25143.443280479903</v>
      </c>
      <c r="T82" s="720">
        <f t="shared" si="36"/>
        <v>24559.860592428802</v>
      </c>
      <c r="U82" s="720">
        <f t="shared" si="36"/>
        <v>21652.909949802073</v>
      </c>
      <c r="V82" s="720">
        <f t="shared" si="36"/>
        <v>18578.615712987288</v>
      </c>
      <c r="W82" s="720"/>
      <c r="X82" s="720"/>
      <c r="Y82" s="720"/>
      <c r="Z82" s="720"/>
      <c r="AA82" s="309"/>
      <c r="AB82" s="309"/>
      <c r="AC82" s="720"/>
      <c r="AD82" s="720"/>
      <c r="AE82" s="720"/>
      <c r="AF82" s="720"/>
      <c r="AG82" s="720"/>
      <c r="AH82" s="31"/>
    </row>
    <row r="83" spans="1:34">
      <c r="A83" s="85" t="s">
        <v>235</v>
      </c>
      <c r="B83" s="727">
        <v>0</v>
      </c>
      <c r="C83" s="85">
        <f t="shared" ref="C83:V83" si="37">C81*$R$7*0.5</f>
        <v>22174.375</v>
      </c>
      <c r="D83" s="85">
        <f t="shared" si="37"/>
        <v>22174.375</v>
      </c>
      <c r="E83" s="85">
        <f t="shared" si="37"/>
        <v>22174.375</v>
      </c>
      <c r="F83" s="85">
        <f t="shared" si="37"/>
        <v>22174.375</v>
      </c>
      <c r="G83" s="85">
        <f t="shared" si="37"/>
        <v>22174.375</v>
      </c>
      <c r="H83" s="85">
        <f t="shared" si="37"/>
        <v>22174.375</v>
      </c>
      <c r="I83" s="85">
        <f t="shared" si="37"/>
        <v>22174.375</v>
      </c>
      <c r="J83" s="85">
        <f t="shared" si="37"/>
        <v>22174.375</v>
      </c>
      <c r="K83" s="85">
        <f t="shared" si="37"/>
        <v>22174.375</v>
      </c>
      <c r="L83" s="888">
        <f>L81*$R$7*5/12</f>
        <v>18478.645833333332</v>
      </c>
      <c r="M83" s="85">
        <f t="shared" si="37"/>
        <v>21328.351104668996</v>
      </c>
      <c r="N83" s="85">
        <f t="shared" si="37"/>
        <v>19541.854366659943</v>
      </c>
      <c r="O83" s="85">
        <f t="shared" si="37"/>
        <v>17565.320049684324</v>
      </c>
      <c r="P83" s="85">
        <f t="shared" si="37"/>
        <v>15424.408642734317</v>
      </c>
      <c r="Q83" s="85">
        <f t="shared" si="37"/>
        <v>13138.870935468834</v>
      </c>
      <c r="R83" s="85">
        <f t="shared" si="37"/>
        <v>10671.441311452936</v>
      </c>
      <c r="S83" s="85">
        <f t="shared" si="37"/>
        <v>8072.84030889105</v>
      </c>
      <c r="T83" s="720">
        <f t="shared" si="37"/>
        <v>5479.5704293220388</v>
      </c>
      <c r="U83" s="720">
        <f t="shared" si="37"/>
        <v>3068.4191262811428</v>
      </c>
      <c r="V83" s="720">
        <f t="shared" si="37"/>
        <v>969.33927482510796</v>
      </c>
      <c r="W83" s="720"/>
      <c r="X83" s="85"/>
      <c r="Y83" s="85"/>
      <c r="Z83" s="85"/>
      <c r="AA83" s="309"/>
      <c r="AB83" s="309"/>
      <c r="AC83" s="85"/>
      <c r="AD83" s="85"/>
      <c r="AE83" s="85"/>
      <c r="AF83" s="720"/>
      <c r="AG83" s="85"/>
      <c r="AH83" s="31"/>
    </row>
    <row r="84" spans="1:34">
      <c r="A84" s="85" t="s">
        <v>236</v>
      </c>
      <c r="B84" s="727">
        <f>B81-B82</f>
        <v>425000</v>
      </c>
      <c r="C84" s="85">
        <f t="shared" ref="C84:R84" si="38">C81-C82</f>
        <v>425000</v>
      </c>
      <c r="D84" s="85">
        <f t="shared" si="38"/>
        <v>425000</v>
      </c>
      <c r="E84" s="85">
        <f t="shared" si="38"/>
        <v>425000</v>
      </c>
      <c r="F84" s="85">
        <f t="shared" si="38"/>
        <v>425000</v>
      </c>
      <c r="G84" s="85">
        <f t="shared" si="38"/>
        <v>425000</v>
      </c>
      <c r="H84" s="85">
        <f t="shared" si="38"/>
        <v>425000</v>
      </c>
      <c r="I84" s="85">
        <f t="shared" si="38"/>
        <v>425000</v>
      </c>
      <c r="J84" s="85">
        <f t="shared" si="38"/>
        <v>425000</v>
      </c>
      <c r="K84" s="85">
        <f t="shared" si="38"/>
        <v>425000</v>
      </c>
      <c r="L84" s="85">
        <f t="shared" si="38"/>
        <v>425000</v>
      </c>
      <c r="M84" s="85">
        <f t="shared" si="38"/>
        <v>392569.75964231894</v>
      </c>
      <c r="N84" s="85">
        <f t="shared" si="38"/>
        <v>356519.05172940867</v>
      </c>
      <c r="O84" s="85">
        <f t="shared" si="38"/>
        <v>316804.1892743028</v>
      </c>
      <c r="P84" s="85">
        <f t="shared" si="38"/>
        <v>274452.49084967677</v>
      </c>
      <c r="Q84" s="85">
        <f t="shared" si="38"/>
        <v>229193.73571357515</v>
      </c>
      <c r="R84" s="85">
        <f t="shared" si="38"/>
        <v>179869.65907139605</v>
      </c>
      <c r="S84" s="85">
        <f>S81-S82</f>
        <v>129582.77251043625</v>
      </c>
      <c r="T84" s="720">
        <f>T81-T82</f>
        <v>80463.05132557865</v>
      </c>
      <c r="U84" s="720">
        <f>U81-U82</f>
        <v>37157.231425974504</v>
      </c>
      <c r="V84" s="720">
        <f>V81-V82</f>
        <v>-7.2759576141834259E-11</v>
      </c>
      <c r="W84" s="720"/>
      <c r="X84" s="85"/>
      <c r="Y84" s="85"/>
      <c r="Z84" s="85"/>
      <c r="AA84" s="309"/>
      <c r="AB84" s="309"/>
      <c r="AC84" s="85"/>
      <c r="AD84" s="85"/>
      <c r="AE84" s="85"/>
      <c r="AF84" s="720"/>
      <c r="AG84" s="85"/>
      <c r="AH84" s="31"/>
    </row>
    <row r="85" spans="1:34">
      <c r="A85" s="87" t="s">
        <v>377</v>
      </c>
      <c r="B85" s="727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720"/>
      <c r="U85" s="720"/>
      <c r="V85" s="720"/>
      <c r="W85" s="720"/>
      <c r="X85" s="85"/>
      <c r="Y85" s="85"/>
      <c r="Z85" s="85"/>
      <c r="AA85" s="309"/>
      <c r="AB85" s="309"/>
      <c r="AC85" s="85"/>
      <c r="AD85" s="85"/>
      <c r="AE85" s="85"/>
      <c r="AF85" s="720"/>
      <c r="AG85" s="85"/>
      <c r="AH85" s="31"/>
    </row>
    <row r="86" spans="1:34">
      <c r="A86" s="85" t="s">
        <v>233</v>
      </c>
      <c r="B86" s="727">
        <f>B84</f>
        <v>425000</v>
      </c>
      <c r="C86" s="85">
        <f t="shared" ref="C86:V86" si="39">C84</f>
        <v>425000</v>
      </c>
      <c r="D86" s="85">
        <f t="shared" si="39"/>
        <v>425000</v>
      </c>
      <c r="E86" s="85">
        <f t="shared" si="39"/>
        <v>425000</v>
      </c>
      <c r="F86" s="85">
        <f t="shared" si="39"/>
        <v>425000</v>
      </c>
      <c r="G86" s="85">
        <f t="shared" si="39"/>
        <v>425000</v>
      </c>
      <c r="H86" s="85">
        <f t="shared" si="39"/>
        <v>425000</v>
      </c>
      <c r="I86" s="85">
        <f t="shared" si="39"/>
        <v>425000</v>
      </c>
      <c r="J86" s="85">
        <f t="shared" si="39"/>
        <v>425000</v>
      </c>
      <c r="K86" s="85">
        <f t="shared" si="39"/>
        <v>425000</v>
      </c>
      <c r="L86" s="85">
        <f t="shared" si="39"/>
        <v>425000</v>
      </c>
      <c r="M86" s="85">
        <f t="shared" si="39"/>
        <v>392569.75964231894</v>
      </c>
      <c r="N86" s="85">
        <f t="shared" si="39"/>
        <v>356519.05172940867</v>
      </c>
      <c r="O86" s="85">
        <f t="shared" si="39"/>
        <v>316804.1892743028</v>
      </c>
      <c r="P86" s="85">
        <f t="shared" si="39"/>
        <v>274452.49084967677</v>
      </c>
      <c r="Q86" s="85">
        <f t="shared" si="39"/>
        <v>229193.73571357515</v>
      </c>
      <c r="R86" s="85">
        <f t="shared" si="39"/>
        <v>179869.65907139605</v>
      </c>
      <c r="S86" s="85">
        <f t="shared" si="39"/>
        <v>129582.77251043625</v>
      </c>
      <c r="T86" s="720">
        <f t="shared" si="39"/>
        <v>80463.05132557865</v>
      </c>
      <c r="U86" s="720">
        <f t="shared" si="39"/>
        <v>37157.231425974504</v>
      </c>
      <c r="V86" s="720">
        <f t="shared" si="39"/>
        <v>-7.2759576141834259E-11</v>
      </c>
      <c r="W86" s="720"/>
      <c r="X86" s="85"/>
      <c r="Y86" s="85"/>
      <c r="Z86" s="85"/>
      <c r="AA86" s="309"/>
      <c r="AB86" s="309"/>
      <c r="AC86" s="85"/>
      <c r="AD86" s="85"/>
      <c r="AE86" s="85"/>
      <c r="AF86" s="720"/>
      <c r="AG86" s="85"/>
      <c r="AH86" s="31"/>
    </row>
    <row r="87" spans="1:34">
      <c r="A87" s="85" t="s">
        <v>370</v>
      </c>
      <c r="B87" s="727">
        <f>B76*5/12*C25</f>
        <v>0</v>
      </c>
      <c r="C87" s="85">
        <v>0</v>
      </c>
      <c r="D87" s="85">
        <v>0</v>
      </c>
      <c r="E87" s="85">
        <v>0</v>
      </c>
      <c r="F87" s="85">
        <v>0</v>
      </c>
      <c r="G87" s="85">
        <v>0</v>
      </c>
      <c r="H87" s="85">
        <v>0</v>
      </c>
      <c r="I87" s="85">
        <v>0</v>
      </c>
      <c r="J87" s="85">
        <v>0</v>
      </c>
      <c r="K87" s="85">
        <v>0</v>
      </c>
      <c r="L87" s="85">
        <v>0</v>
      </c>
      <c r="M87" s="85">
        <v>0</v>
      </c>
      <c r="N87" s="85">
        <v>0</v>
      </c>
      <c r="O87" s="85">
        <v>0</v>
      </c>
      <c r="P87" s="85">
        <v>0</v>
      </c>
      <c r="Q87" s="85">
        <v>0</v>
      </c>
      <c r="R87" s="85">
        <v>0</v>
      </c>
      <c r="S87" s="85">
        <v>0</v>
      </c>
      <c r="T87" s="720">
        <v>0</v>
      </c>
      <c r="U87" s="720">
        <v>0</v>
      </c>
      <c r="V87" s="720">
        <v>0</v>
      </c>
      <c r="W87" s="720"/>
      <c r="X87" s="85"/>
      <c r="Y87" s="85"/>
      <c r="Z87" s="85"/>
      <c r="AA87" s="309"/>
      <c r="AB87" s="309"/>
      <c r="AC87" s="85"/>
      <c r="AD87" s="85"/>
      <c r="AE87" s="85"/>
      <c r="AF87" s="720"/>
      <c r="AG87" s="85"/>
      <c r="AH87" s="31"/>
    </row>
    <row r="88" spans="1:34">
      <c r="A88" s="85" t="s">
        <v>369</v>
      </c>
      <c r="B88" s="727">
        <f>B86*$R$7*(13-MONTH(Assumptions!C17))/12*0</f>
        <v>0</v>
      </c>
      <c r="C88" s="85">
        <f t="shared" ref="C88:V88" si="40">C86*$R$7*5/12</f>
        <v>18478.645833333332</v>
      </c>
      <c r="D88" s="85">
        <f t="shared" si="40"/>
        <v>18478.645833333332</v>
      </c>
      <c r="E88" s="85">
        <f t="shared" si="40"/>
        <v>18478.645833333332</v>
      </c>
      <c r="F88" s="85">
        <f t="shared" si="40"/>
        <v>18478.645833333332</v>
      </c>
      <c r="G88" s="85">
        <f t="shared" si="40"/>
        <v>18478.645833333332</v>
      </c>
      <c r="H88" s="85">
        <f t="shared" si="40"/>
        <v>18478.645833333332</v>
      </c>
      <c r="I88" s="85">
        <f t="shared" si="40"/>
        <v>18478.645833333332</v>
      </c>
      <c r="J88" s="85">
        <f t="shared" si="40"/>
        <v>18478.645833333332</v>
      </c>
      <c r="K88" s="85">
        <f t="shared" si="40"/>
        <v>18478.645833333332</v>
      </c>
      <c r="L88" s="888">
        <f>L86*$R$7*6/12</f>
        <v>22174.375</v>
      </c>
      <c r="M88" s="85">
        <f t="shared" si="40"/>
        <v>17068.606007781658</v>
      </c>
      <c r="N88" s="85">
        <f t="shared" si="40"/>
        <v>15501.151269984914</v>
      </c>
      <c r="O88" s="85">
        <f t="shared" si="40"/>
        <v>13774.382146155624</v>
      </c>
      <c r="P88" s="85">
        <f t="shared" si="40"/>
        <v>11932.965591734903</v>
      </c>
      <c r="Q88" s="85">
        <f t="shared" si="40"/>
        <v>9965.1526340464861</v>
      </c>
      <c r="R88" s="85">
        <f t="shared" si="40"/>
        <v>7820.5828850417411</v>
      </c>
      <c r="S88" s="85">
        <f t="shared" si="40"/>
        <v>5634.1509631100089</v>
      </c>
      <c r="T88" s="720">
        <f t="shared" si="40"/>
        <v>3498.4664190933886</v>
      </c>
      <c r="U88" s="720">
        <f t="shared" si="40"/>
        <v>1615.5654580418498</v>
      </c>
      <c r="V88" s="720">
        <f t="shared" si="40"/>
        <v>-3.1635257376668351E-12</v>
      </c>
      <c r="W88" s="720"/>
      <c r="X88" s="85"/>
      <c r="Y88" s="85"/>
      <c r="Z88" s="85"/>
      <c r="AA88" s="309"/>
      <c r="AB88" s="309"/>
      <c r="AC88" s="85"/>
      <c r="AD88" s="85"/>
      <c r="AE88" s="85"/>
      <c r="AF88" s="720"/>
      <c r="AG88" s="85"/>
      <c r="AH88" s="31"/>
    </row>
    <row r="89" spans="1:34">
      <c r="A89" s="85" t="s">
        <v>236</v>
      </c>
      <c r="B89" s="85">
        <f>B86-B87</f>
        <v>425000</v>
      </c>
      <c r="C89" s="85">
        <f t="shared" ref="C89:R89" si="41">C86-C87</f>
        <v>425000</v>
      </c>
      <c r="D89" s="85">
        <f t="shared" si="41"/>
        <v>425000</v>
      </c>
      <c r="E89" s="85">
        <f t="shared" si="41"/>
        <v>425000</v>
      </c>
      <c r="F89" s="85">
        <f t="shared" si="41"/>
        <v>425000</v>
      </c>
      <c r="G89" s="85">
        <f t="shared" si="41"/>
        <v>425000</v>
      </c>
      <c r="H89" s="85">
        <f t="shared" si="41"/>
        <v>425000</v>
      </c>
      <c r="I89" s="85">
        <f t="shared" si="41"/>
        <v>425000</v>
      </c>
      <c r="J89" s="85">
        <f t="shared" si="41"/>
        <v>425000</v>
      </c>
      <c r="K89" s="85">
        <f t="shared" si="41"/>
        <v>425000</v>
      </c>
      <c r="L89" s="85">
        <f t="shared" si="41"/>
        <v>425000</v>
      </c>
      <c r="M89" s="85">
        <f t="shared" si="41"/>
        <v>392569.75964231894</v>
      </c>
      <c r="N89" s="85">
        <f t="shared" si="41"/>
        <v>356519.05172940867</v>
      </c>
      <c r="O89" s="85">
        <f t="shared" si="41"/>
        <v>316804.1892743028</v>
      </c>
      <c r="P89" s="85">
        <f t="shared" si="41"/>
        <v>274452.49084967677</v>
      </c>
      <c r="Q89" s="85">
        <f t="shared" si="41"/>
        <v>229193.73571357515</v>
      </c>
      <c r="R89" s="85">
        <f t="shared" si="41"/>
        <v>179869.65907139605</v>
      </c>
      <c r="S89" s="85">
        <f>S86-S87</f>
        <v>129582.77251043625</v>
      </c>
      <c r="T89" s="720">
        <f>T86-T87</f>
        <v>80463.05132557865</v>
      </c>
      <c r="U89" s="720">
        <f>U86-U87</f>
        <v>37157.231425974504</v>
      </c>
      <c r="V89" s="720">
        <f>V86-V87</f>
        <v>-7.2759576141834259E-11</v>
      </c>
      <c r="W89" s="720"/>
      <c r="X89" s="85"/>
      <c r="Y89" s="85"/>
      <c r="Z89" s="85"/>
      <c r="AA89" s="309"/>
      <c r="AB89" s="309"/>
      <c r="AC89" s="85"/>
      <c r="AD89" s="85"/>
      <c r="AE89" s="85"/>
      <c r="AF89" s="720"/>
      <c r="AG89" s="85"/>
      <c r="AH89" s="31"/>
    </row>
    <row r="90" spans="1:34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720"/>
      <c r="U90" s="720"/>
      <c r="V90" s="720"/>
      <c r="W90" s="720"/>
      <c r="X90" s="85"/>
      <c r="Y90" s="85"/>
      <c r="Z90" s="85"/>
      <c r="AA90" s="309"/>
      <c r="AB90" s="309"/>
      <c r="AC90" s="85"/>
      <c r="AD90" s="85"/>
      <c r="AE90" s="85"/>
      <c r="AF90" s="720"/>
      <c r="AG90" s="85"/>
      <c r="AH90" s="31"/>
    </row>
    <row r="91" spans="1:34">
      <c r="A91" s="89" t="s">
        <v>355</v>
      </c>
      <c r="B91" s="85">
        <v>0</v>
      </c>
      <c r="C91" s="85">
        <f>C78+C83+B88</f>
        <v>25870.104166666668</v>
      </c>
      <c r="D91" s="85">
        <f>D78+D83+C88</f>
        <v>44348.75</v>
      </c>
      <c r="E91" s="85">
        <f t="shared" ref="E91:V91" si="42">E78+E83+D88</f>
        <v>44348.75</v>
      </c>
      <c r="F91" s="85">
        <f t="shared" si="42"/>
        <v>44348.75</v>
      </c>
      <c r="G91" s="85">
        <f t="shared" si="42"/>
        <v>44348.75</v>
      </c>
      <c r="H91" s="85">
        <f t="shared" si="42"/>
        <v>44348.75</v>
      </c>
      <c r="I91" s="85">
        <f t="shared" si="42"/>
        <v>44348.75</v>
      </c>
      <c r="J91" s="85">
        <f t="shared" si="42"/>
        <v>44348.75</v>
      </c>
      <c r="K91" s="85">
        <f t="shared" si="42"/>
        <v>44348.75</v>
      </c>
      <c r="L91" s="85">
        <f t="shared" si="42"/>
        <v>40653.020833333328</v>
      </c>
      <c r="M91" s="85">
        <f t="shared" si="42"/>
        <v>47198.455271335668</v>
      </c>
      <c r="N91" s="85">
        <f t="shared" si="42"/>
        <v>40024.181575997936</v>
      </c>
      <c r="O91" s="85">
        <f t="shared" si="42"/>
        <v>36166.701573666222</v>
      </c>
      <c r="P91" s="85">
        <f t="shared" si="42"/>
        <v>31953.667218121067</v>
      </c>
      <c r="Q91" s="85">
        <f t="shared" si="42"/>
        <v>27458.429645550717</v>
      </c>
      <c r="R91" s="85">
        <f t="shared" si="42"/>
        <v>22629.624472308722</v>
      </c>
      <c r="S91" s="85">
        <f t="shared" si="42"/>
        <v>17457.539770941141</v>
      </c>
      <c r="T91" s="720">
        <f t="shared" si="42"/>
        <v>12240.551585054051</v>
      </c>
      <c r="U91" s="720">
        <f t="shared" si="42"/>
        <v>7266.5788291932095</v>
      </c>
      <c r="V91" s="720">
        <f t="shared" si="42"/>
        <v>2908.0178244753279</v>
      </c>
      <c r="W91" s="720"/>
      <c r="X91" s="85"/>
      <c r="Y91" s="85"/>
      <c r="Z91" s="85"/>
      <c r="AA91" s="309"/>
      <c r="AB91" s="309"/>
      <c r="AC91" s="85"/>
      <c r="AD91" s="85"/>
      <c r="AE91" s="85"/>
      <c r="AF91" s="720"/>
      <c r="AG91" s="85"/>
      <c r="AH91" s="31"/>
    </row>
    <row r="92" spans="1:34">
      <c r="A92" s="21" t="s">
        <v>356</v>
      </c>
      <c r="B92" s="85">
        <f>B78+B83+B88</f>
        <v>0</v>
      </c>
      <c r="C92" s="85">
        <f>C78+C83+C88</f>
        <v>44348.75</v>
      </c>
      <c r="D92" s="85">
        <f t="shared" ref="D92:V92" si="43">D78+D83+D88</f>
        <v>44348.75</v>
      </c>
      <c r="E92" s="85">
        <f t="shared" si="43"/>
        <v>44348.75</v>
      </c>
      <c r="F92" s="85">
        <f t="shared" si="43"/>
        <v>44348.75</v>
      </c>
      <c r="G92" s="85">
        <f t="shared" si="43"/>
        <v>44348.75</v>
      </c>
      <c r="H92" s="85">
        <f t="shared" si="43"/>
        <v>44348.75</v>
      </c>
      <c r="I92" s="85">
        <f t="shared" si="43"/>
        <v>44348.75</v>
      </c>
      <c r="J92" s="85">
        <f t="shared" si="43"/>
        <v>44348.75</v>
      </c>
      <c r="K92" s="85">
        <f t="shared" si="43"/>
        <v>44348.75</v>
      </c>
      <c r="L92" s="85">
        <f t="shared" si="43"/>
        <v>44348.75</v>
      </c>
      <c r="M92" s="85">
        <f t="shared" si="43"/>
        <v>42092.686279117319</v>
      </c>
      <c r="N92" s="85">
        <f t="shared" si="43"/>
        <v>38456.72683820119</v>
      </c>
      <c r="O92" s="85">
        <f t="shared" si="43"/>
        <v>34439.932449836931</v>
      </c>
      <c r="P92" s="85">
        <f t="shared" si="43"/>
        <v>30112.250663700346</v>
      </c>
      <c r="Q92" s="85">
        <f t="shared" si="43"/>
        <v>25490.616687862301</v>
      </c>
      <c r="R92" s="85">
        <f t="shared" si="43"/>
        <v>20485.054723303976</v>
      </c>
      <c r="S92" s="85">
        <f t="shared" si="43"/>
        <v>15271.107849009408</v>
      </c>
      <c r="T92" s="720">
        <f t="shared" si="43"/>
        <v>10104.867041037429</v>
      </c>
      <c r="U92" s="720">
        <f t="shared" si="43"/>
        <v>5383.6778681416699</v>
      </c>
      <c r="V92" s="720">
        <f t="shared" si="43"/>
        <v>1292.4523664334747</v>
      </c>
      <c r="W92" s="7"/>
      <c r="AA92" s="22"/>
      <c r="AB92" s="22"/>
      <c r="AF92" s="7"/>
      <c r="AG92" s="85"/>
      <c r="AH92" s="31"/>
    </row>
    <row r="93" spans="1:34">
      <c r="A93" s="89" t="s">
        <v>373</v>
      </c>
      <c r="B93" s="727">
        <f>B77+B82</f>
        <v>0</v>
      </c>
      <c r="C93" s="727">
        <f>C77+C82+B87</f>
        <v>0</v>
      </c>
      <c r="D93" s="727">
        <f t="shared" ref="D93:V93" si="44">D77+D82+C87</f>
        <v>0</v>
      </c>
      <c r="E93" s="727">
        <f t="shared" si="44"/>
        <v>0</v>
      </c>
      <c r="F93" s="727">
        <f t="shared" si="44"/>
        <v>0</v>
      </c>
      <c r="G93" s="727">
        <f t="shared" si="44"/>
        <v>0</v>
      </c>
      <c r="H93" s="727">
        <f t="shared" si="44"/>
        <v>0</v>
      </c>
      <c r="I93" s="727">
        <f t="shared" si="44"/>
        <v>0</v>
      </c>
      <c r="J93" s="727">
        <f t="shared" si="44"/>
        <v>0</v>
      </c>
      <c r="K93" s="727">
        <f t="shared" si="44"/>
        <v>0</v>
      </c>
      <c r="L93" s="727">
        <f t="shared" si="44"/>
        <v>0</v>
      </c>
      <c r="M93" s="727">
        <f t="shared" si="44"/>
        <v>32430.240357681083</v>
      </c>
      <c r="N93" s="727">
        <f t="shared" si="44"/>
        <v>36050.707912910264</v>
      </c>
      <c r="O93" s="727">
        <f t="shared" si="44"/>
        <v>39714.862455105824</v>
      </c>
      <c r="P93" s="727">
        <f t="shared" si="44"/>
        <v>42351.698424625974</v>
      </c>
      <c r="Q93" s="727">
        <f t="shared" si="44"/>
        <v>45258.755136101652</v>
      </c>
      <c r="R93" s="727">
        <f t="shared" si="44"/>
        <v>49324.076642179083</v>
      </c>
      <c r="S93" s="727">
        <f t="shared" si="44"/>
        <v>50286.886560959807</v>
      </c>
      <c r="T93" s="309">
        <f t="shared" si="44"/>
        <v>49119.721184857604</v>
      </c>
      <c r="U93" s="309">
        <f t="shared" si="44"/>
        <v>43305.819899604146</v>
      </c>
      <c r="V93" s="309">
        <f t="shared" si="44"/>
        <v>37157.231425974576</v>
      </c>
      <c r="W93" s="7"/>
      <c r="AA93" s="22"/>
      <c r="AB93" s="22"/>
      <c r="AF93" s="7"/>
      <c r="AG93" s="85"/>
      <c r="AH93" s="31"/>
    </row>
    <row r="94" spans="1:34">
      <c r="A94" s="21" t="s">
        <v>371</v>
      </c>
      <c r="B94" s="85">
        <f>B87</f>
        <v>0</v>
      </c>
      <c r="C94" s="85">
        <f t="shared" ref="C94:V94" si="45">C87</f>
        <v>0</v>
      </c>
      <c r="D94" s="85">
        <f t="shared" si="45"/>
        <v>0</v>
      </c>
      <c r="E94" s="85">
        <f t="shared" si="45"/>
        <v>0</v>
      </c>
      <c r="F94" s="85">
        <f t="shared" si="45"/>
        <v>0</v>
      </c>
      <c r="G94" s="85">
        <f t="shared" si="45"/>
        <v>0</v>
      </c>
      <c r="H94" s="85">
        <f t="shared" si="45"/>
        <v>0</v>
      </c>
      <c r="I94" s="85">
        <f t="shared" si="45"/>
        <v>0</v>
      </c>
      <c r="J94" s="85">
        <f t="shared" si="45"/>
        <v>0</v>
      </c>
      <c r="K94" s="85">
        <f t="shared" si="45"/>
        <v>0</v>
      </c>
      <c r="L94" s="85">
        <f t="shared" si="45"/>
        <v>0</v>
      </c>
      <c r="M94" s="85">
        <f t="shared" si="45"/>
        <v>0</v>
      </c>
      <c r="N94" s="85">
        <f t="shared" si="45"/>
        <v>0</v>
      </c>
      <c r="O94" s="85">
        <f t="shared" si="45"/>
        <v>0</v>
      </c>
      <c r="P94" s="85">
        <f t="shared" si="45"/>
        <v>0</v>
      </c>
      <c r="Q94" s="85">
        <f t="shared" si="45"/>
        <v>0</v>
      </c>
      <c r="R94" s="85">
        <f t="shared" si="45"/>
        <v>0</v>
      </c>
      <c r="S94" s="85">
        <f t="shared" si="45"/>
        <v>0</v>
      </c>
      <c r="T94" s="720">
        <f t="shared" si="45"/>
        <v>0</v>
      </c>
      <c r="U94" s="720">
        <f t="shared" si="45"/>
        <v>0</v>
      </c>
      <c r="V94" s="720">
        <f t="shared" si="45"/>
        <v>0</v>
      </c>
      <c r="W94" s="7"/>
      <c r="AA94" s="22"/>
      <c r="AB94" s="22"/>
      <c r="AF94" s="7"/>
      <c r="AG94" s="85"/>
      <c r="AH94" s="31"/>
    </row>
    <row r="95" spans="1:34">
      <c r="T95" s="7"/>
      <c r="U95" s="7"/>
      <c r="V95" s="7"/>
      <c r="W95" s="7"/>
    </row>
    <row r="97" spans="1:39">
      <c r="A97" s="103" t="s">
        <v>184</v>
      </c>
      <c r="B97" s="104">
        <v>0</v>
      </c>
      <c r="C97" s="104">
        <f ca="1">IS!E38</f>
        <v>89715.843466455946</v>
      </c>
      <c r="D97" s="104">
        <f>IS!F38</f>
        <v>122372.11600515959</v>
      </c>
      <c r="E97" s="104">
        <f>IS!G38</f>
        <v>121860.67263279502</v>
      </c>
      <c r="F97" s="104">
        <f>IS!H38</f>
        <v>187651.64014913287</v>
      </c>
      <c r="G97" s="104">
        <f>IS!I38</f>
        <v>190109.1021750106</v>
      </c>
      <c r="H97" s="104">
        <f>IS!J38</f>
        <v>193591.99296303227</v>
      </c>
      <c r="I97" s="104">
        <f>IS!K38</f>
        <v>194788.0627973846</v>
      </c>
      <c r="J97" s="104">
        <f>IS!L38</f>
        <v>199203.15022055939</v>
      </c>
      <c r="K97" s="104">
        <f>IS!M38</f>
        <v>201177.53260156928</v>
      </c>
      <c r="L97" s="104">
        <f>IS!N38</f>
        <v>205855.99542930117</v>
      </c>
      <c r="M97" s="104">
        <f>IS!O38</f>
        <v>206645.9062382972</v>
      </c>
      <c r="N97" s="104">
        <f>IS!P38</f>
        <v>211414.53803110844</v>
      </c>
      <c r="O97" s="104">
        <f>IS!Q38</f>
        <v>213506.78665274102</v>
      </c>
      <c r="P97" s="104">
        <f>IS!R38</f>
        <v>214835.54761544304</v>
      </c>
      <c r="Q97" s="104">
        <f>IS!S38</f>
        <v>216468.3634660345</v>
      </c>
      <c r="R97" s="104">
        <f>IS!T38</f>
        <v>218387.20496215031</v>
      </c>
      <c r="S97" s="104">
        <f>IS!U38</f>
        <v>220305.41028444408</v>
      </c>
      <c r="T97" s="104">
        <f>IS!V38</f>
        <v>222191.20898447486</v>
      </c>
      <c r="U97" s="104">
        <f>IS!W38</f>
        <v>223808.30937061677</v>
      </c>
      <c r="V97" s="104">
        <f>IS!X38</f>
        <v>223087.61019639071</v>
      </c>
      <c r="W97"/>
      <c r="X97"/>
      <c r="Y97"/>
      <c r="Z97"/>
      <c r="AA97"/>
      <c r="AB97" s="138"/>
      <c r="AC97" s="104"/>
      <c r="AD97" s="104"/>
      <c r="AE97" s="104"/>
      <c r="AF97" s="104"/>
      <c r="AG97" s="104"/>
      <c r="AH97" s="1"/>
      <c r="AI97" s="1"/>
      <c r="AJ97" s="1"/>
      <c r="AK97" s="1"/>
      <c r="AL97" s="1"/>
      <c r="AM97" s="1"/>
    </row>
    <row r="98" spans="1:39">
      <c r="A98" s="79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/>
      <c r="X98"/>
      <c r="Y98"/>
      <c r="Z98"/>
      <c r="AA98"/>
      <c r="AB98" s="310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</row>
    <row r="99" spans="1:39">
      <c r="A99" s="88" t="s">
        <v>366</v>
      </c>
      <c r="B99" s="88">
        <f>B45+B31+B36</f>
        <v>0</v>
      </c>
      <c r="C99" s="88">
        <f>C45+C47</f>
        <v>12507.198862499999</v>
      </c>
      <c r="D99" s="88">
        <f t="shared" ref="D99:V99" si="46">D45+D47</f>
        <v>31119.147506249999</v>
      </c>
      <c r="E99" s="88">
        <f t="shared" si="46"/>
        <v>30559.220325000002</v>
      </c>
      <c r="F99" s="88">
        <f t="shared" si="46"/>
        <v>20151.751049999999</v>
      </c>
      <c r="G99" s="88">
        <f t="shared" si="46"/>
        <v>0</v>
      </c>
      <c r="H99" s="88">
        <f t="shared" si="46"/>
        <v>0</v>
      </c>
      <c r="I99" s="88">
        <f t="shared" si="46"/>
        <v>0</v>
      </c>
      <c r="J99" s="88">
        <f t="shared" si="46"/>
        <v>0</v>
      </c>
      <c r="K99" s="88">
        <f t="shared" si="46"/>
        <v>0</v>
      </c>
      <c r="L99" s="88">
        <f t="shared" si="46"/>
        <v>0</v>
      </c>
      <c r="M99" s="88">
        <f t="shared" si="46"/>
        <v>0</v>
      </c>
      <c r="N99" s="88">
        <f t="shared" si="46"/>
        <v>0</v>
      </c>
      <c r="O99" s="88">
        <f t="shared" si="46"/>
        <v>0</v>
      </c>
      <c r="P99" s="88">
        <f t="shared" si="46"/>
        <v>0</v>
      </c>
      <c r="Q99" s="88">
        <f t="shared" si="46"/>
        <v>0</v>
      </c>
      <c r="R99" s="88">
        <f t="shared" si="46"/>
        <v>0</v>
      </c>
      <c r="S99" s="88">
        <f t="shared" si="46"/>
        <v>0</v>
      </c>
      <c r="T99" s="88">
        <f t="shared" si="46"/>
        <v>0</v>
      </c>
      <c r="U99" s="88">
        <f t="shared" si="46"/>
        <v>0</v>
      </c>
      <c r="V99" s="88">
        <f t="shared" si="46"/>
        <v>0</v>
      </c>
      <c r="W99"/>
      <c r="X99"/>
      <c r="Y99"/>
      <c r="Z99"/>
      <c r="AA99"/>
      <c r="AB99" s="311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</row>
    <row r="100" spans="1:39">
      <c r="A100" s="88" t="s">
        <v>367</v>
      </c>
      <c r="B100" s="88">
        <f>B68+B54+B59</f>
        <v>0</v>
      </c>
      <c r="C100" s="88">
        <f>C68+C70</f>
        <v>10999.800000000001</v>
      </c>
      <c r="D100" s="88">
        <f t="shared" ref="D100:V100" si="47">D68+D70</f>
        <v>18856.800000000003</v>
      </c>
      <c r="E100" s="88">
        <f t="shared" si="47"/>
        <v>18856.800000000003</v>
      </c>
      <c r="F100" s="88">
        <f t="shared" si="47"/>
        <v>18856.800000000003</v>
      </c>
      <c r="G100" s="88">
        <f t="shared" si="47"/>
        <v>40049.772250000002</v>
      </c>
      <c r="H100" s="88">
        <f t="shared" si="47"/>
        <v>41550.706600000005</v>
      </c>
      <c r="I100" s="88">
        <f t="shared" si="47"/>
        <v>42109.0386</v>
      </c>
      <c r="J100" s="88">
        <f t="shared" si="47"/>
        <v>44069.234000000004</v>
      </c>
      <c r="K100" s="88">
        <f t="shared" si="47"/>
        <v>45179.4378</v>
      </c>
      <c r="L100" s="88">
        <f t="shared" si="47"/>
        <v>50682.72310000001</v>
      </c>
      <c r="M100" s="88">
        <f t="shared" si="47"/>
        <v>0</v>
      </c>
      <c r="N100" s="88">
        <f t="shared" si="47"/>
        <v>0</v>
      </c>
      <c r="O100" s="88">
        <f t="shared" si="47"/>
        <v>0</v>
      </c>
      <c r="P100" s="88">
        <f t="shared" si="47"/>
        <v>0</v>
      </c>
      <c r="Q100" s="88">
        <f t="shared" si="47"/>
        <v>0</v>
      </c>
      <c r="R100" s="88">
        <f t="shared" si="47"/>
        <v>0</v>
      </c>
      <c r="S100" s="88">
        <f t="shared" si="47"/>
        <v>0</v>
      </c>
      <c r="T100" s="88">
        <f t="shared" si="47"/>
        <v>0</v>
      </c>
      <c r="U100" s="88">
        <f t="shared" si="47"/>
        <v>0</v>
      </c>
      <c r="V100" s="88">
        <f t="shared" si="47"/>
        <v>0</v>
      </c>
      <c r="W100"/>
      <c r="X100"/>
      <c r="Y100"/>
      <c r="Z100"/>
      <c r="AA100"/>
      <c r="AB100" s="311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</row>
    <row r="101" spans="1:39">
      <c r="A101" s="88" t="s">
        <v>368</v>
      </c>
      <c r="B101" s="88">
        <f>B91+B77+B82</f>
        <v>0</v>
      </c>
      <c r="C101" s="88">
        <f>C91+C93</f>
        <v>25870.104166666668</v>
      </c>
      <c r="D101" s="88">
        <f t="shared" ref="D101:V101" si="48">D91+D93</f>
        <v>44348.75</v>
      </c>
      <c r="E101" s="88">
        <f t="shared" si="48"/>
        <v>44348.75</v>
      </c>
      <c r="F101" s="88">
        <f t="shared" si="48"/>
        <v>44348.75</v>
      </c>
      <c r="G101" s="88">
        <f t="shared" si="48"/>
        <v>44348.75</v>
      </c>
      <c r="H101" s="88">
        <f t="shared" si="48"/>
        <v>44348.75</v>
      </c>
      <c r="I101" s="88">
        <f t="shared" si="48"/>
        <v>44348.75</v>
      </c>
      <c r="J101" s="88">
        <f t="shared" si="48"/>
        <v>44348.75</v>
      </c>
      <c r="K101" s="88">
        <f t="shared" si="48"/>
        <v>44348.75</v>
      </c>
      <c r="L101" s="88">
        <f t="shared" si="48"/>
        <v>40653.020833333328</v>
      </c>
      <c r="M101" s="88">
        <f t="shared" si="48"/>
        <v>79628.695629016758</v>
      </c>
      <c r="N101" s="88">
        <f t="shared" si="48"/>
        <v>76074.8894889082</v>
      </c>
      <c r="O101" s="88">
        <f t="shared" si="48"/>
        <v>75881.564028772045</v>
      </c>
      <c r="P101" s="88">
        <f t="shared" si="48"/>
        <v>74305.365642747041</v>
      </c>
      <c r="Q101" s="88">
        <f t="shared" si="48"/>
        <v>72717.184781652366</v>
      </c>
      <c r="R101" s="88">
        <f t="shared" si="48"/>
        <v>71953.701114487805</v>
      </c>
      <c r="S101" s="88">
        <f t="shared" si="48"/>
        <v>67744.426331900948</v>
      </c>
      <c r="T101" s="88">
        <f t="shared" si="48"/>
        <v>61360.272769911651</v>
      </c>
      <c r="U101" s="88">
        <f t="shared" si="48"/>
        <v>50572.398728797358</v>
      </c>
      <c r="V101" s="88">
        <f t="shared" si="48"/>
        <v>40065.249250449902</v>
      </c>
      <c r="W101"/>
      <c r="X101"/>
      <c r="Y101"/>
      <c r="Z101"/>
      <c r="AA101"/>
      <c r="AB101" s="311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</row>
    <row r="102" spans="1:39">
      <c r="A102" s="79" t="s">
        <v>434</v>
      </c>
      <c r="B102" s="817">
        <v>0</v>
      </c>
      <c r="C102" s="731">
        <f>IRR!D11</f>
        <v>0</v>
      </c>
      <c r="D102" s="88">
        <v>0</v>
      </c>
      <c r="E102" s="88">
        <v>0</v>
      </c>
      <c r="F102" s="88">
        <v>0</v>
      </c>
      <c r="G102" s="88">
        <v>0</v>
      </c>
      <c r="H102" s="88">
        <v>0</v>
      </c>
      <c r="I102" s="88">
        <v>0</v>
      </c>
      <c r="J102" s="88">
        <v>0</v>
      </c>
      <c r="K102" s="88">
        <v>0</v>
      </c>
      <c r="L102" s="88">
        <v>0</v>
      </c>
      <c r="M102" s="88">
        <v>0</v>
      </c>
      <c r="N102" s="88">
        <v>0</v>
      </c>
      <c r="O102" s="88">
        <v>0</v>
      </c>
      <c r="P102" s="88">
        <v>0</v>
      </c>
      <c r="Q102" s="88">
        <v>0</v>
      </c>
      <c r="R102" s="88">
        <v>0</v>
      </c>
      <c r="S102" s="88">
        <v>0</v>
      </c>
      <c r="T102" s="88">
        <v>0</v>
      </c>
      <c r="U102" s="88">
        <v>0</v>
      </c>
      <c r="V102" s="88">
        <v>0</v>
      </c>
      <c r="W102"/>
      <c r="X102"/>
      <c r="Y102"/>
      <c r="Z102"/>
      <c r="AA102"/>
      <c r="AB102" s="311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</row>
    <row r="103" spans="1:39">
      <c r="A103" s="79" t="s">
        <v>420</v>
      </c>
      <c r="B103" s="817">
        <v>0</v>
      </c>
      <c r="C103" s="731">
        <f ca="1">-CF!E12</f>
        <v>1147.6255684761672</v>
      </c>
      <c r="D103" s="731">
        <f>-CF!G12</f>
        <v>0</v>
      </c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/>
      <c r="X103"/>
      <c r="Y103"/>
      <c r="Z103"/>
      <c r="AA103"/>
      <c r="AB103" s="311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</row>
    <row r="104" spans="1:39">
      <c r="A104" s="79" t="s">
        <v>416</v>
      </c>
      <c r="B104" s="731">
        <f>-Allocation!H15*(B32+B55+B78)-4/6*(B37+B60+B83)*Allocation!$I15</f>
        <v>0</v>
      </c>
      <c r="C104" s="817">
        <f>-Allocation!I15*(C32+C55+C78)-(C37+C60+C83)*((11-Assumptions!R53)/6*Allocation!$I13+(11-Assumptions!P53)/6*Allocation!$I12+(11-Assumptions!Q53)/6*Allocation!$I14)-(B88+B65+B42)*Allocation!$I15*(MONTH(B18)-MONTH(Assumptions!C18))/(MONTH(B18)+1-MONTH(Assumptions!C17))</f>
        <v>-18014.594701375368</v>
      </c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/>
      <c r="X104"/>
      <c r="Y104"/>
      <c r="Z104"/>
      <c r="AA104"/>
      <c r="AB104" s="311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</row>
    <row r="105" spans="1:39"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/>
      <c r="X105"/>
      <c r="Y105"/>
      <c r="Z105"/>
      <c r="AA105"/>
      <c r="AB105" s="311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</row>
    <row r="106" spans="1:39">
      <c r="A106" s="89" t="s">
        <v>237</v>
      </c>
      <c r="B106" s="89">
        <v>0</v>
      </c>
      <c r="C106" s="89">
        <f ca="1">SUM(C99:C104)</f>
        <v>32510.133896267471</v>
      </c>
      <c r="D106" s="89">
        <f t="shared" ref="D106:V106" si="49">SUM(D99:D103)</f>
        <v>94324.697506249999</v>
      </c>
      <c r="E106" s="89">
        <f t="shared" si="49"/>
        <v>93764.770325000005</v>
      </c>
      <c r="F106" s="89">
        <f t="shared" si="49"/>
        <v>83357.301050000009</v>
      </c>
      <c r="G106" s="89">
        <f t="shared" si="49"/>
        <v>84398.522250000009</v>
      </c>
      <c r="H106" s="89">
        <f t="shared" si="49"/>
        <v>85899.456600000005</v>
      </c>
      <c r="I106" s="89">
        <f t="shared" si="49"/>
        <v>86457.7886</v>
      </c>
      <c r="J106" s="89">
        <f t="shared" si="49"/>
        <v>88417.983999999997</v>
      </c>
      <c r="K106" s="89">
        <f t="shared" si="49"/>
        <v>89528.1878</v>
      </c>
      <c r="L106" s="89">
        <f t="shared" si="49"/>
        <v>91335.743933333346</v>
      </c>
      <c r="M106" s="89">
        <f t="shared" si="49"/>
        <v>79628.695629016758</v>
      </c>
      <c r="N106" s="89">
        <f t="shared" si="49"/>
        <v>76074.8894889082</v>
      </c>
      <c r="O106" s="89">
        <f t="shared" si="49"/>
        <v>75881.564028772045</v>
      </c>
      <c r="P106" s="89">
        <f t="shared" si="49"/>
        <v>74305.365642747041</v>
      </c>
      <c r="Q106" s="89">
        <f t="shared" si="49"/>
        <v>72717.184781652366</v>
      </c>
      <c r="R106" s="89">
        <f t="shared" si="49"/>
        <v>71953.701114487805</v>
      </c>
      <c r="S106" s="89">
        <f t="shared" si="49"/>
        <v>67744.426331900948</v>
      </c>
      <c r="T106" s="89">
        <f t="shared" si="49"/>
        <v>61360.272769911651</v>
      </c>
      <c r="U106" s="89">
        <f t="shared" si="49"/>
        <v>50572.398728797358</v>
      </c>
      <c r="V106" s="89">
        <f t="shared" si="49"/>
        <v>40065.249250449902</v>
      </c>
      <c r="W106"/>
      <c r="X106"/>
      <c r="Y106"/>
      <c r="Z106"/>
      <c r="AA106"/>
      <c r="AB106" s="312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</row>
    <row r="107" spans="1:39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/>
      <c r="X107"/>
      <c r="Y107"/>
      <c r="Z107"/>
      <c r="AA107"/>
      <c r="AB107" s="312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</row>
    <row r="108" spans="1:39">
      <c r="A108" s="89" t="s">
        <v>364</v>
      </c>
      <c r="B108" s="89">
        <f t="shared" ref="B108:V108" si="50">B45+B68+B91</f>
        <v>0</v>
      </c>
      <c r="C108" s="89">
        <f t="shared" si="50"/>
        <v>40710.103029166668</v>
      </c>
      <c r="D108" s="89">
        <f t="shared" si="50"/>
        <v>68647.697506249999</v>
      </c>
      <c r="E108" s="89">
        <f t="shared" si="50"/>
        <v>66467.770325000005</v>
      </c>
      <c r="F108" s="89">
        <f t="shared" si="50"/>
        <v>63998.301050000002</v>
      </c>
      <c r="G108" s="89">
        <f t="shared" si="50"/>
        <v>62767.522250000002</v>
      </c>
      <c r="H108" s="89">
        <f t="shared" si="50"/>
        <v>60485.456600000005</v>
      </c>
      <c r="I108" s="89">
        <f t="shared" si="50"/>
        <v>57939.7886</v>
      </c>
      <c r="J108" s="89">
        <f t="shared" si="50"/>
        <v>55049.984000000004</v>
      </c>
      <c r="K108" s="89">
        <f t="shared" si="50"/>
        <v>51698.1878</v>
      </c>
      <c r="L108" s="89">
        <f t="shared" si="50"/>
        <v>44096.743933333331</v>
      </c>
      <c r="M108" s="89">
        <f t="shared" si="50"/>
        <v>47198.455271335668</v>
      </c>
      <c r="N108" s="89">
        <f t="shared" si="50"/>
        <v>40024.181575997936</v>
      </c>
      <c r="O108" s="89">
        <f t="shared" si="50"/>
        <v>36166.701573666222</v>
      </c>
      <c r="P108" s="89">
        <f t="shared" si="50"/>
        <v>31953.667218121067</v>
      </c>
      <c r="Q108" s="89">
        <f t="shared" si="50"/>
        <v>27458.429645550717</v>
      </c>
      <c r="R108" s="89">
        <f t="shared" si="50"/>
        <v>22629.624472308722</v>
      </c>
      <c r="S108" s="89">
        <f t="shared" si="50"/>
        <v>17457.539770941141</v>
      </c>
      <c r="T108" s="89">
        <f t="shared" si="50"/>
        <v>12240.551585054051</v>
      </c>
      <c r="U108" s="89">
        <f t="shared" si="50"/>
        <v>7266.5788291932095</v>
      </c>
      <c r="V108" s="89">
        <f t="shared" si="50"/>
        <v>2908.0178244753279</v>
      </c>
      <c r="W108"/>
      <c r="X108"/>
      <c r="Y108"/>
      <c r="Z108"/>
      <c r="AA108"/>
      <c r="AB108" s="312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89"/>
    </row>
    <row r="109" spans="1:39">
      <c r="A109" s="89" t="s">
        <v>365</v>
      </c>
      <c r="B109" s="89">
        <f>B46+B69+B92</f>
        <v>0</v>
      </c>
      <c r="C109" s="89">
        <f t="shared" ref="C109:V109" si="51">C46+C69+C92</f>
        <v>69514.11248750001</v>
      </c>
      <c r="D109" s="89">
        <f t="shared" si="51"/>
        <v>67771.469881249999</v>
      </c>
      <c r="E109" s="89">
        <f t="shared" si="51"/>
        <v>65536.260200000004</v>
      </c>
      <c r="F109" s="89">
        <f t="shared" si="51"/>
        <v>63337.675175000004</v>
      </c>
      <c r="G109" s="89">
        <f t="shared" si="51"/>
        <v>61891.466750000007</v>
      </c>
      <c r="H109" s="89">
        <f t="shared" si="51"/>
        <v>59456.189599999998</v>
      </c>
      <c r="I109" s="89">
        <f t="shared" si="51"/>
        <v>56784.809600000001</v>
      </c>
      <c r="J109" s="89">
        <f t="shared" si="51"/>
        <v>53698.58</v>
      </c>
      <c r="K109" s="89">
        <f t="shared" si="51"/>
        <v>50166.072800000002</v>
      </c>
      <c r="L109" s="89">
        <f t="shared" si="51"/>
        <v>45879.293599999997</v>
      </c>
      <c r="M109" s="89">
        <f t="shared" si="51"/>
        <v>42092.686279117319</v>
      </c>
      <c r="N109" s="89">
        <f t="shared" si="51"/>
        <v>38456.72683820119</v>
      </c>
      <c r="O109" s="89">
        <f t="shared" si="51"/>
        <v>34439.932449836931</v>
      </c>
      <c r="P109" s="89">
        <f t="shared" si="51"/>
        <v>30112.250663700346</v>
      </c>
      <c r="Q109" s="89">
        <f t="shared" si="51"/>
        <v>25490.616687862301</v>
      </c>
      <c r="R109" s="89">
        <f t="shared" si="51"/>
        <v>20485.054723303976</v>
      </c>
      <c r="S109" s="89">
        <f t="shared" si="51"/>
        <v>15271.107849009408</v>
      </c>
      <c r="T109" s="89">
        <f t="shared" si="51"/>
        <v>10104.867041037429</v>
      </c>
      <c r="U109" s="89">
        <f t="shared" si="51"/>
        <v>5383.6778681416699</v>
      </c>
      <c r="V109" s="89">
        <f t="shared" si="51"/>
        <v>1292.4523664334747</v>
      </c>
      <c r="W109"/>
      <c r="X109"/>
      <c r="Y109"/>
      <c r="Z109"/>
      <c r="AA109"/>
      <c r="AB109" s="312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</row>
    <row r="110" spans="1:39">
      <c r="A110" s="89" t="s">
        <v>373</v>
      </c>
      <c r="B110" s="89">
        <f>B93+B70+B47</f>
        <v>0</v>
      </c>
      <c r="C110" s="89">
        <f t="shared" ref="C110:V110" si="52">C93+C70+C47</f>
        <v>8667</v>
      </c>
      <c r="D110" s="89">
        <f t="shared" si="52"/>
        <v>25677</v>
      </c>
      <c r="E110" s="89">
        <f t="shared" si="52"/>
        <v>27297</v>
      </c>
      <c r="F110" s="89">
        <f t="shared" si="52"/>
        <v>19359</v>
      </c>
      <c r="G110" s="89">
        <f t="shared" si="52"/>
        <v>21631</v>
      </c>
      <c r="H110" s="89">
        <f t="shared" si="52"/>
        <v>25414</v>
      </c>
      <c r="I110" s="89">
        <f t="shared" si="52"/>
        <v>28518</v>
      </c>
      <c r="J110" s="89">
        <f t="shared" si="52"/>
        <v>33368</v>
      </c>
      <c r="K110" s="89">
        <f t="shared" si="52"/>
        <v>37830</v>
      </c>
      <c r="L110" s="89">
        <f t="shared" si="52"/>
        <v>47239.000000000007</v>
      </c>
      <c r="M110" s="89">
        <f t="shared" si="52"/>
        <v>32430.240357681083</v>
      </c>
      <c r="N110" s="89">
        <f t="shared" si="52"/>
        <v>36050.707912910264</v>
      </c>
      <c r="O110" s="89">
        <f t="shared" si="52"/>
        <v>39714.862455105824</v>
      </c>
      <c r="P110" s="89">
        <f t="shared" si="52"/>
        <v>42351.698424625974</v>
      </c>
      <c r="Q110" s="89">
        <f t="shared" si="52"/>
        <v>45258.755136101652</v>
      </c>
      <c r="R110" s="89">
        <f t="shared" si="52"/>
        <v>49324.076642179083</v>
      </c>
      <c r="S110" s="89">
        <f t="shared" si="52"/>
        <v>50286.886560959807</v>
      </c>
      <c r="T110" s="89">
        <f t="shared" si="52"/>
        <v>49119.721184857604</v>
      </c>
      <c r="U110" s="89">
        <f t="shared" si="52"/>
        <v>43305.819899604146</v>
      </c>
      <c r="V110" s="89">
        <f t="shared" si="52"/>
        <v>37157.231425974576</v>
      </c>
      <c r="W110"/>
      <c r="X110"/>
      <c r="Y110"/>
      <c r="Z110"/>
      <c r="AA110"/>
      <c r="AB110" s="312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</row>
    <row r="111" spans="1:39">
      <c r="A111" s="21" t="s">
        <v>372</v>
      </c>
      <c r="B111" s="89">
        <f>B48+B71+B94</f>
        <v>0</v>
      </c>
      <c r="C111" s="89">
        <f t="shared" ref="C111:V111" si="53">C48+C71+C94</f>
        <v>0</v>
      </c>
      <c r="D111" s="89">
        <f t="shared" si="53"/>
        <v>0</v>
      </c>
      <c r="E111" s="89">
        <f t="shared" si="53"/>
        <v>0</v>
      </c>
      <c r="F111" s="89">
        <f t="shared" si="53"/>
        <v>0</v>
      </c>
      <c r="G111" s="89">
        <f t="shared" si="53"/>
        <v>0</v>
      </c>
      <c r="H111" s="89">
        <f t="shared" si="53"/>
        <v>0</v>
      </c>
      <c r="I111" s="89">
        <f t="shared" si="53"/>
        <v>0</v>
      </c>
      <c r="J111" s="89">
        <f t="shared" si="53"/>
        <v>0</v>
      </c>
      <c r="K111" s="89">
        <f t="shared" si="53"/>
        <v>0</v>
      </c>
      <c r="L111" s="89">
        <f t="shared" si="53"/>
        <v>0</v>
      </c>
      <c r="M111" s="89">
        <f t="shared" si="53"/>
        <v>0</v>
      </c>
      <c r="N111" s="89">
        <f t="shared" si="53"/>
        <v>0</v>
      </c>
      <c r="O111" s="89">
        <f t="shared" si="53"/>
        <v>0</v>
      </c>
      <c r="P111" s="89">
        <f t="shared" si="53"/>
        <v>0</v>
      </c>
      <c r="Q111" s="89">
        <f t="shared" si="53"/>
        <v>0</v>
      </c>
      <c r="R111" s="89">
        <f t="shared" si="53"/>
        <v>0</v>
      </c>
      <c r="S111" s="89">
        <f t="shared" si="53"/>
        <v>0</v>
      </c>
      <c r="T111" s="89">
        <f t="shared" si="53"/>
        <v>0</v>
      </c>
      <c r="U111" s="89">
        <f t="shared" si="53"/>
        <v>0</v>
      </c>
      <c r="V111" s="89">
        <f t="shared" si="53"/>
        <v>0</v>
      </c>
      <c r="W111"/>
      <c r="X111"/>
      <c r="Y111"/>
      <c r="Z111"/>
      <c r="AA111"/>
      <c r="AB111" s="312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</row>
    <row r="112" spans="1:39">
      <c r="A112" s="21" t="s">
        <v>374</v>
      </c>
      <c r="B112" s="89">
        <v>0</v>
      </c>
      <c r="C112" s="89">
        <v>0</v>
      </c>
      <c r="D112" s="89">
        <v>0</v>
      </c>
      <c r="E112" s="89">
        <v>0</v>
      </c>
      <c r="F112" s="89">
        <v>0</v>
      </c>
      <c r="G112" s="89">
        <v>0</v>
      </c>
      <c r="H112" s="89">
        <v>0</v>
      </c>
      <c r="I112" s="89">
        <v>0</v>
      </c>
      <c r="J112" s="89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89">
        <v>0</v>
      </c>
      <c r="V112" s="89">
        <v>0</v>
      </c>
      <c r="W112"/>
      <c r="X112"/>
      <c r="Y112"/>
      <c r="Z112"/>
      <c r="AA112"/>
      <c r="AB112" s="312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</row>
    <row r="113" spans="1:48">
      <c r="A113" s="88"/>
      <c r="B113" s="88"/>
      <c r="C113" s="88"/>
      <c r="D113" s="88"/>
      <c r="E113" s="88"/>
      <c r="F113" s="885">
        <f>F140/SUM(F31,F32,E41,E42,F54,F55,E64,E65,F77,F78,E87,E88)</f>
        <v>-0.28629948879940709</v>
      </c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/>
      <c r="X113"/>
      <c r="Y113"/>
      <c r="Z113"/>
      <c r="AA113"/>
      <c r="AB113" s="311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</row>
    <row r="114" spans="1:48">
      <c r="A114" s="94" t="s">
        <v>238</v>
      </c>
      <c r="B114" s="721" t="str">
        <f>IF(AND(B101&lt;0.001,B100&lt;0.0001),"NA",B97/(B106))</f>
        <v>NA</v>
      </c>
      <c r="C114" s="721">
        <f ca="1">7/12*C97/C106</f>
        <v>1.6097824201243252</v>
      </c>
      <c r="D114" s="721">
        <f>D97/D106</f>
        <v>1.2973496787206888</v>
      </c>
      <c r="E114" s="721">
        <f>E97/E106</f>
        <v>1.2996424159139006</v>
      </c>
      <c r="F114" s="721" t="s">
        <v>239</v>
      </c>
      <c r="G114" s="721" t="s">
        <v>239</v>
      </c>
      <c r="H114" s="721" t="s">
        <v>239</v>
      </c>
      <c r="I114" s="721" t="s">
        <v>239</v>
      </c>
      <c r="J114" s="721" t="s">
        <v>239</v>
      </c>
      <c r="K114" s="721" t="s">
        <v>239</v>
      </c>
      <c r="L114" s="721" t="s">
        <v>239</v>
      </c>
      <c r="M114" s="721" t="s">
        <v>239</v>
      </c>
      <c r="N114" s="721" t="s">
        <v>239</v>
      </c>
      <c r="O114" s="721" t="s">
        <v>239</v>
      </c>
      <c r="P114" s="721" t="s">
        <v>239</v>
      </c>
      <c r="Q114" s="721" t="s">
        <v>239</v>
      </c>
      <c r="R114" s="721" t="s">
        <v>239</v>
      </c>
      <c r="S114" s="721" t="s">
        <v>239</v>
      </c>
      <c r="T114" s="721" t="s">
        <v>239</v>
      </c>
      <c r="U114" s="721" t="s">
        <v>239</v>
      </c>
      <c r="V114" s="722" t="s">
        <v>239</v>
      </c>
      <c r="W114"/>
      <c r="X114"/>
      <c r="Y114"/>
      <c r="Z114"/>
      <c r="AA114"/>
      <c r="AB114" s="313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</row>
    <row r="115" spans="1:48">
      <c r="A115" s="100" t="s">
        <v>240</v>
      </c>
      <c r="B115" s="577" t="s">
        <v>239</v>
      </c>
      <c r="C115" s="577" t="s">
        <v>239</v>
      </c>
      <c r="D115" s="577" t="s">
        <v>239</v>
      </c>
      <c r="E115" s="577" t="s">
        <v>239</v>
      </c>
      <c r="F115" s="577">
        <f t="shared" ref="F115:V115" si="54">F97/F106</f>
        <v>2.2511722162954175</v>
      </c>
      <c r="G115" s="577">
        <f t="shared" si="54"/>
        <v>2.2525169529850455</v>
      </c>
      <c r="H115" s="577">
        <f t="shared" si="54"/>
        <v>2.2537045125269426</v>
      </c>
      <c r="I115" s="577">
        <f t="shared" si="54"/>
        <v>2.2529845598824929</v>
      </c>
      <c r="J115" s="577">
        <f t="shared" si="54"/>
        <v>2.2529709591722811</v>
      </c>
      <c r="K115" s="577">
        <f t="shared" si="54"/>
        <v>2.2470859462830464</v>
      </c>
      <c r="L115" s="577">
        <f t="shared" si="54"/>
        <v>2.2538382736506426</v>
      </c>
      <c r="M115" s="577">
        <f t="shared" si="54"/>
        <v>2.5951185638032137</v>
      </c>
      <c r="N115" s="577">
        <f t="shared" si="54"/>
        <v>2.7790318126184448</v>
      </c>
      <c r="O115" s="577">
        <f t="shared" si="54"/>
        <v>2.8136845805100377</v>
      </c>
      <c r="P115" s="577">
        <f t="shared" si="54"/>
        <v>2.8912521425215969</v>
      </c>
      <c r="Q115" s="577">
        <f t="shared" si="54"/>
        <v>2.9768529146999199</v>
      </c>
      <c r="R115" s="577">
        <f t="shared" si="54"/>
        <v>3.0351073201178012</v>
      </c>
      <c r="S115" s="577">
        <f t="shared" si="54"/>
        <v>3.2520079099216157</v>
      </c>
      <c r="T115" s="577">
        <f>T97/T106</f>
        <v>3.6210922630289795</v>
      </c>
      <c r="U115" s="577">
        <f t="shared" si="54"/>
        <v>4.4255031399800693</v>
      </c>
      <c r="V115" s="730">
        <f t="shared" si="54"/>
        <v>5.5681073840788748</v>
      </c>
      <c r="W115"/>
      <c r="X115"/>
      <c r="Y115"/>
      <c r="Z115"/>
      <c r="AA115"/>
      <c r="AB115" s="313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</row>
    <row r="116" spans="1:48">
      <c r="A116" s="92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/>
      <c r="X116"/>
      <c r="Y116"/>
      <c r="Z116"/>
      <c r="AA116"/>
      <c r="AB116" s="313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</row>
    <row r="117" spans="1:48">
      <c r="A117" s="92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/>
      <c r="X117"/>
      <c r="Y117"/>
      <c r="Z117"/>
      <c r="AA117"/>
      <c r="AB117" s="313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</row>
    <row r="118" spans="1:48">
      <c r="A118" s="90"/>
      <c r="B118" s="94" t="s">
        <v>406</v>
      </c>
      <c r="C118" s="233"/>
      <c r="D118" s="233"/>
      <c r="E118" s="95">
        <f ca="1">AVERAGE(C114:T114)</f>
        <v>1.4022581715863047</v>
      </c>
      <c r="F118" s="90"/>
      <c r="G118" s="94" t="s">
        <v>400</v>
      </c>
      <c r="H118" s="233"/>
      <c r="I118" s="233"/>
      <c r="J118" s="95">
        <f>AVERAGE(F115:V115)</f>
        <v>2.9248253795339072</v>
      </c>
      <c r="K118" s="90"/>
      <c r="L118" s="90"/>
      <c r="M118" s="96"/>
      <c r="N118" s="90"/>
      <c r="O118" s="90"/>
      <c r="P118" s="97"/>
      <c r="Q118" s="97"/>
      <c r="R118" s="97"/>
      <c r="S118" s="90"/>
      <c r="T118" s="90"/>
      <c r="U118" s="90"/>
      <c r="V118" s="90"/>
      <c r="W118"/>
      <c r="X118"/>
      <c r="Y118"/>
      <c r="Z118"/>
      <c r="AA118"/>
      <c r="AB118" s="313"/>
      <c r="AC118" s="90"/>
      <c r="AD118" s="90"/>
      <c r="AE118" s="90"/>
      <c r="AF118" s="90"/>
      <c r="AG118" s="90"/>
      <c r="AH118" s="90"/>
      <c r="AI118" s="90"/>
      <c r="AJ118" s="90"/>
      <c r="AK118" s="90"/>
      <c r="AL118" s="90"/>
      <c r="AM118" s="90"/>
    </row>
    <row r="119" spans="1:48">
      <c r="A119" s="90"/>
      <c r="B119" s="100" t="s">
        <v>407</v>
      </c>
      <c r="C119" s="91"/>
      <c r="D119" s="91"/>
      <c r="E119" s="121">
        <f ca="1">MIN(C114:T114)</f>
        <v>1.2973496787206888</v>
      </c>
      <c r="F119" s="92"/>
      <c r="G119" s="100" t="s">
        <v>401</v>
      </c>
      <c r="H119" s="91"/>
      <c r="I119" s="91"/>
      <c r="J119" s="121">
        <f>MIN(F115:V115)</f>
        <v>2.2470859462830464</v>
      </c>
      <c r="K119" s="92"/>
      <c r="L119" s="92"/>
      <c r="M119" s="92"/>
      <c r="N119" s="92"/>
      <c r="O119" s="92"/>
      <c r="P119" s="97"/>
      <c r="Q119" s="97"/>
      <c r="R119" s="97"/>
      <c r="S119" s="90"/>
      <c r="T119" s="90"/>
      <c r="U119" s="90"/>
      <c r="V119" s="90"/>
      <c r="W119"/>
      <c r="X119"/>
      <c r="Y119"/>
      <c r="Z119"/>
      <c r="AA119"/>
      <c r="AB119" s="313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</row>
    <row r="122" spans="1:48">
      <c r="A122" s="21" t="s">
        <v>381</v>
      </c>
    </row>
    <row r="123" spans="1:48">
      <c r="B123" s="726">
        <f>Assumptions!C17</f>
        <v>36526</v>
      </c>
      <c r="C123" s="726">
        <v>36556</v>
      </c>
      <c r="D123" s="726">
        <v>36738</v>
      </c>
      <c r="E123" s="726">
        <v>36922</v>
      </c>
      <c r="F123" s="726">
        <v>37103</v>
      </c>
      <c r="G123" s="726">
        <v>37287</v>
      </c>
      <c r="H123" s="726">
        <v>37468</v>
      </c>
      <c r="I123" s="726">
        <v>37652</v>
      </c>
      <c r="J123" s="726">
        <v>37833</v>
      </c>
      <c r="K123" s="726">
        <v>38017</v>
      </c>
      <c r="L123" s="726">
        <v>38199</v>
      </c>
      <c r="M123" s="726">
        <v>38383</v>
      </c>
      <c r="N123" s="726">
        <v>38564</v>
      </c>
      <c r="O123" s="726">
        <v>38748</v>
      </c>
      <c r="P123" s="726">
        <v>38929</v>
      </c>
      <c r="Q123" s="726">
        <v>39113</v>
      </c>
      <c r="R123" s="726">
        <v>39294</v>
      </c>
      <c r="S123" s="726">
        <v>39478</v>
      </c>
      <c r="T123" s="726">
        <v>39660</v>
      </c>
      <c r="U123" s="726">
        <v>39844</v>
      </c>
      <c r="V123" s="726">
        <v>40025</v>
      </c>
      <c r="W123" s="726">
        <v>40209</v>
      </c>
      <c r="X123" s="726">
        <v>40390</v>
      </c>
      <c r="Y123" s="726">
        <v>40574</v>
      </c>
      <c r="Z123" s="726">
        <v>40755</v>
      </c>
      <c r="AA123" s="726">
        <v>40939</v>
      </c>
      <c r="AB123" s="726">
        <v>41121</v>
      </c>
      <c r="AC123" s="726">
        <v>41305</v>
      </c>
      <c r="AD123" s="726">
        <v>41486</v>
      </c>
      <c r="AE123" s="726">
        <v>41670</v>
      </c>
      <c r="AF123" s="726">
        <v>41851</v>
      </c>
      <c r="AG123" s="726">
        <v>42035</v>
      </c>
      <c r="AH123" s="726">
        <v>42216</v>
      </c>
      <c r="AI123" s="726">
        <v>42400</v>
      </c>
      <c r="AJ123" s="726">
        <v>42582</v>
      </c>
      <c r="AK123" s="726">
        <v>42766</v>
      </c>
      <c r="AL123" s="726">
        <v>42947</v>
      </c>
      <c r="AM123" s="726">
        <v>43131</v>
      </c>
      <c r="AN123" s="726">
        <v>43312</v>
      </c>
      <c r="AO123" s="726">
        <v>43496</v>
      </c>
      <c r="AP123" s="726">
        <v>43677</v>
      </c>
      <c r="AQ123" s="726"/>
      <c r="AR123" s="726"/>
      <c r="AS123" s="726"/>
      <c r="AT123" s="726"/>
      <c r="AU123" s="726"/>
      <c r="AV123" s="726"/>
    </row>
    <row r="124" spans="1:48">
      <c r="B124" s="22">
        <v>0</v>
      </c>
      <c r="C124" s="718">
        <f>(C123-$B$123)/365</f>
        <v>8.2191780821917804E-2</v>
      </c>
      <c r="D124" s="718">
        <f t="shared" ref="D124:J124" si="55">(D123-$B$123)/365</f>
        <v>0.58082191780821912</v>
      </c>
      <c r="E124" s="718">
        <f t="shared" si="55"/>
        <v>1.0849315068493151</v>
      </c>
      <c r="F124" s="718">
        <f t="shared" si="55"/>
        <v>1.5808219178082192</v>
      </c>
      <c r="G124" s="718">
        <f t="shared" si="55"/>
        <v>2.0849315068493151</v>
      </c>
      <c r="H124" s="718">
        <f t="shared" si="55"/>
        <v>2.580821917808219</v>
      </c>
      <c r="I124" s="718">
        <f t="shared" si="55"/>
        <v>3.0849315068493151</v>
      </c>
      <c r="J124" s="718">
        <f t="shared" si="55"/>
        <v>3.580821917808219</v>
      </c>
      <c r="K124" s="718">
        <f t="shared" ref="K124:AP124" si="56">(K123-$B$123)/365</f>
        <v>4.0849315068493155</v>
      </c>
      <c r="L124" s="718">
        <f t="shared" si="56"/>
        <v>4.5835616438356164</v>
      </c>
      <c r="M124" s="718">
        <f t="shared" si="56"/>
        <v>5.087671232876712</v>
      </c>
      <c r="N124" s="718">
        <f t="shared" si="56"/>
        <v>5.5835616438356164</v>
      </c>
      <c r="O124" s="718">
        <f t="shared" si="56"/>
        <v>6.087671232876712</v>
      </c>
      <c r="P124" s="718">
        <f t="shared" si="56"/>
        <v>6.5835616438356164</v>
      </c>
      <c r="Q124" s="718">
        <f t="shared" si="56"/>
        <v>7.087671232876712</v>
      </c>
      <c r="R124" s="718">
        <f t="shared" si="56"/>
        <v>7.5835616438356164</v>
      </c>
      <c r="S124" s="718">
        <f t="shared" si="56"/>
        <v>8.087671232876712</v>
      </c>
      <c r="T124" s="718">
        <f t="shared" si="56"/>
        <v>8.5863013698630137</v>
      </c>
      <c r="U124" s="718">
        <f t="shared" si="56"/>
        <v>9.0904109589041102</v>
      </c>
      <c r="V124" s="718">
        <f t="shared" si="56"/>
        <v>9.5863013698630137</v>
      </c>
      <c r="W124" s="718">
        <f t="shared" si="56"/>
        <v>10.09041095890411</v>
      </c>
      <c r="X124" s="718">
        <f t="shared" si="56"/>
        <v>10.586301369863014</v>
      </c>
      <c r="Y124" s="718">
        <f t="shared" si="56"/>
        <v>11.09041095890411</v>
      </c>
      <c r="Z124" s="718">
        <f t="shared" si="56"/>
        <v>11.586301369863014</v>
      </c>
      <c r="AA124" s="718">
        <f t="shared" si="56"/>
        <v>12.09041095890411</v>
      </c>
      <c r="AB124" s="718">
        <f t="shared" si="56"/>
        <v>12.58904109589041</v>
      </c>
      <c r="AC124" s="718">
        <f t="shared" si="56"/>
        <v>13.093150684931507</v>
      </c>
      <c r="AD124" s="718">
        <f t="shared" si="56"/>
        <v>13.58904109589041</v>
      </c>
      <c r="AE124" s="718">
        <f t="shared" si="56"/>
        <v>14.093150684931507</v>
      </c>
      <c r="AF124" s="718">
        <f t="shared" si="56"/>
        <v>14.58904109589041</v>
      </c>
      <c r="AG124" s="718">
        <f t="shared" si="56"/>
        <v>15.093150684931507</v>
      </c>
      <c r="AH124" s="718">
        <f t="shared" si="56"/>
        <v>15.58904109589041</v>
      </c>
      <c r="AI124" s="718">
        <f t="shared" si="56"/>
        <v>16.093150684931508</v>
      </c>
      <c r="AJ124" s="718">
        <f t="shared" si="56"/>
        <v>16.591780821917808</v>
      </c>
      <c r="AK124" s="718">
        <f t="shared" si="56"/>
        <v>17.095890410958905</v>
      </c>
      <c r="AL124" s="718">
        <f t="shared" si="56"/>
        <v>17.591780821917808</v>
      </c>
      <c r="AM124" s="718">
        <f t="shared" si="56"/>
        <v>18.095890410958905</v>
      </c>
      <c r="AN124" s="718">
        <f t="shared" si="56"/>
        <v>18.591780821917808</v>
      </c>
      <c r="AO124" s="718">
        <f t="shared" si="56"/>
        <v>19.095890410958905</v>
      </c>
      <c r="AP124" s="718">
        <f t="shared" si="56"/>
        <v>19.591780821917808</v>
      </c>
    </row>
    <row r="126" spans="1:48">
      <c r="A126" s="22" t="s">
        <v>357</v>
      </c>
      <c r="B126" s="85">
        <f>B31+B36</f>
        <v>0</v>
      </c>
      <c r="C126" s="85">
        <f>C31+B41</f>
        <v>722.25</v>
      </c>
      <c r="D126" s="85">
        <f>C36</f>
        <v>7944.75</v>
      </c>
      <c r="E126" s="85">
        <f>D31</f>
        <v>11768.625</v>
      </c>
      <c r="F126" s="85">
        <f>D36</f>
        <v>13908.375</v>
      </c>
      <c r="G126" s="85">
        <f>E31</f>
        <v>13648.5</v>
      </c>
      <c r="H126" s="85">
        <f>E36</f>
        <v>13648.5</v>
      </c>
      <c r="I126" s="85">
        <f>F31</f>
        <v>19359</v>
      </c>
      <c r="J126" s="85">
        <f>F36</f>
        <v>0</v>
      </c>
      <c r="K126" s="85">
        <f t="shared" ref="K126:V126" si="57">K31+K36</f>
        <v>0</v>
      </c>
      <c r="L126" s="85">
        <f t="shared" si="57"/>
        <v>0</v>
      </c>
      <c r="M126" s="85">
        <f t="shared" si="57"/>
        <v>0</v>
      </c>
      <c r="N126" s="85">
        <f t="shared" si="57"/>
        <v>0</v>
      </c>
      <c r="O126" s="85">
        <f t="shared" si="57"/>
        <v>0</v>
      </c>
      <c r="P126" s="85">
        <f t="shared" si="57"/>
        <v>0</v>
      </c>
      <c r="Q126" s="85">
        <f t="shared" si="57"/>
        <v>0</v>
      </c>
      <c r="R126" s="85">
        <f t="shared" si="57"/>
        <v>0</v>
      </c>
      <c r="S126" s="85">
        <f t="shared" si="57"/>
        <v>0</v>
      </c>
      <c r="T126" s="85">
        <f t="shared" si="57"/>
        <v>0</v>
      </c>
      <c r="U126" s="85">
        <f t="shared" si="57"/>
        <v>0</v>
      </c>
      <c r="V126" s="85">
        <f t="shared" si="57"/>
        <v>0</v>
      </c>
      <c r="W126" s="22">
        <v>0</v>
      </c>
      <c r="X126" s="22">
        <v>0</v>
      </c>
      <c r="Y126" s="22">
        <v>0</v>
      </c>
      <c r="Z126" s="22">
        <v>0</v>
      </c>
      <c r="AA126" s="8">
        <v>0</v>
      </c>
      <c r="AB126" s="8">
        <v>0</v>
      </c>
      <c r="AC126" s="22">
        <v>0</v>
      </c>
      <c r="AD126" s="22">
        <v>0</v>
      </c>
      <c r="AE126" s="22">
        <v>0</v>
      </c>
      <c r="AF126" s="22">
        <v>0</v>
      </c>
      <c r="AG126" s="22">
        <v>0</v>
      </c>
      <c r="AH126" s="22">
        <v>0</v>
      </c>
      <c r="AI126" s="22">
        <v>0</v>
      </c>
      <c r="AJ126" s="22">
        <v>0</v>
      </c>
      <c r="AK126" s="22">
        <v>0</v>
      </c>
      <c r="AL126" s="22">
        <v>0</v>
      </c>
      <c r="AM126" s="22">
        <v>0</v>
      </c>
      <c r="AN126" s="22">
        <v>0</v>
      </c>
      <c r="AO126" s="22">
        <v>0</v>
      </c>
      <c r="AP126" s="22">
        <v>0</v>
      </c>
    </row>
    <row r="127" spans="1:48">
      <c r="A127" s="22" t="s">
        <v>358</v>
      </c>
      <c r="B127" s="85">
        <v>0</v>
      </c>
      <c r="C127" s="85">
        <v>0</v>
      </c>
      <c r="D127" s="85">
        <v>0</v>
      </c>
      <c r="E127" s="85">
        <v>0</v>
      </c>
      <c r="F127" s="85">
        <v>0</v>
      </c>
      <c r="G127" s="85">
        <v>0</v>
      </c>
      <c r="H127" s="85">
        <v>0</v>
      </c>
      <c r="I127" s="85">
        <v>0</v>
      </c>
      <c r="J127" s="85">
        <v>0</v>
      </c>
      <c r="K127" s="85">
        <f>G54</f>
        <v>9012.9166666666661</v>
      </c>
      <c r="L127" s="85">
        <f>G59</f>
        <v>12618.083333333334</v>
      </c>
      <c r="M127" s="85">
        <f>H54</f>
        <v>12707</v>
      </c>
      <c r="N127" s="85">
        <f>H59</f>
        <v>12707</v>
      </c>
      <c r="O127" s="85">
        <f>I54</f>
        <v>14259</v>
      </c>
      <c r="P127" s="85">
        <f>I59</f>
        <v>14259</v>
      </c>
      <c r="Q127" s="85">
        <f>J54</f>
        <v>16684</v>
      </c>
      <c r="R127" s="85">
        <f>J59</f>
        <v>16684</v>
      </c>
      <c r="S127" s="85">
        <f>K54</f>
        <v>18915</v>
      </c>
      <c r="T127" s="85">
        <f>K59</f>
        <v>18915</v>
      </c>
      <c r="U127" s="85">
        <f>L54</f>
        <v>23619.500000000004</v>
      </c>
      <c r="V127" s="85">
        <f>L59</f>
        <v>23619.500000000004</v>
      </c>
      <c r="W127" s="22">
        <v>0</v>
      </c>
      <c r="X127" s="22">
        <v>0</v>
      </c>
      <c r="Y127" s="22">
        <v>0</v>
      </c>
      <c r="Z127" s="22">
        <v>0</v>
      </c>
      <c r="AA127" s="8">
        <v>0</v>
      </c>
      <c r="AB127" s="8">
        <v>0</v>
      </c>
      <c r="AC127" s="22">
        <v>0</v>
      </c>
      <c r="AD127" s="22">
        <v>0</v>
      </c>
      <c r="AE127" s="22">
        <v>0</v>
      </c>
      <c r="AF127" s="22">
        <v>0</v>
      </c>
      <c r="AG127" s="22">
        <v>0</v>
      </c>
      <c r="AH127" s="22">
        <v>0</v>
      </c>
      <c r="AI127" s="22">
        <v>0</v>
      </c>
      <c r="AJ127" s="22">
        <v>0</v>
      </c>
      <c r="AK127" s="22">
        <v>0</v>
      </c>
      <c r="AL127" s="22">
        <v>0</v>
      </c>
      <c r="AM127" s="22">
        <v>0</v>
      </c>
      <c r="AN127" s="22">
        <v>0</v>
      </c>
      <c r="AO127" s="22">
        <v>0</v>
      </c>
      <c r="AP127" s="22">
        <v>0</v>
      </c>
    </row>
    <row r="128" spans="1:48">
      <c r="A128" s="22" t="s">
        <v>359</v>
      </c>
      <c r="B128" s="85">
        <v>0</v>
      </c>
      <c r="C128" s="85">
        <v>0</v>
      </c>
      <c r="D128" s="85">
        <v>0</v>
      </c>
      <c r="E128" s="85">
        <v>0</v>
      </c>
      <c r="F128" s="85">
        <v>0</v>
      </c>
      <c r="G128" s="85">
        <v>0</v>
      </c>
      <c r="H128" s="85">
        <v>0</v>
      </c>
      <c r="I128" s="85">
        <v>0</v>
      </c>
      <c r="J128" s="85">
        <v>0</v>
      </c>
      <c r="K128" s="85">
        <v>0</v>
      </c>
      <c r="L128" s="85">
        <v>0</v>
      </c>
      <c r="M128" s="85">
        <v>0</v>
      </c>
      <c r="N128" s="85">
        <v>0</v>
      </c>
      <c r="O128" s="85">
        <v>0</v>
      </c>
      <c r="P128" s="85">
        <v>0</v>
      </c>
      <c r="Q128" s="85">
        <v>0</v>
      </c>
      <c r="R128" s="85">
        <v>0</v>
      </c>
      <c r="S128" s="85">
        <v>0</v>
      </c>
      <c r="T128" s="85">
        <v>0</v>
      </c>
      <c r="U128" s="85">
        <v>0</v>
      </c>
      <c r="V128" s="85">
        <v>0</v>
      </c>
      <c r="W128" s="85">
        <f>M77</f>
        <v>16215.120178840541</v>
      </c>
      <c r="X128" s="85">
        <f>M82</f>
        <v>16215.120178840541</v>
      </c>
      <c r="Y128" s="85">
        <f>N77</f>
        <v>18025.353956455132</v>
      </c>
      <c r="Z128" s="85">
        <f>N82</f>
        <v>18025.353956455132</v>
      </c>
      <c r="AA128" s="309">
        <f>O77</f>
        <v>19857.431227552912</v>
      </c>
      <c r="AB128" s="309">
        <f>O82</f>
        <v>19857.431227552912</v>
      </c>
      <c r="AC128" s="85">
        <f>P77</f>
        <v>21175.849212312987</v>
      </c>
      <c r="AD128" s="85">
        <f>P82</f>
        <v>21175.849212312987</v>
      </c>
      <c r="AE128" s="85">
        <f>Q77</f>
        <v>22629.377568050826</v>
      </c>
      <c r="AF128" s="85">
        <f>Q82</f>
        <v>22629.377568050826</v>
      </c>
      <c r="AG128" s="85">
        <f>R77</f>
        <v>24662.038321089542</v>
      </c>
      <c r="AH128" s="85">
        <f>R82</f>
        <v>24662.038321089542</v>
      </c>
      <c r="AI128" s="85">
        <f>S77</f>
        <v>25143.443280479903</v>
      </c>
      <c r="AJ128" s="85">
        <f>S82</f>
        <v>25143.443280479903</v>
      </c>
      <c r="AK128" s="85">
        <f>T77</f>
        <v>24559.860592428802</v>
      </c>
      <c r="AL128" s="85">
        <f>T82</f>
        <v>24559.860592428802</v>
      </c>
      <c r="AM128" s="85">
        <f>U77</f>
        <v>21652.909949802073</v>
      </c>
      <c r="AN128" s="85">
        <f>U82</f>
        <v>21652.909949802073</v>
      </c>
      <c r="AO128" s="85">
        <f>V77</f>
        <v>18578.615712987288</v>
      </c>
      <c r="AP128" s="85">
        <f>V82</f>
        <v>18578.615712987288</v>
      </c>
    </row>
    <row r="130" spans="1:31">
      <c r="A130" s="22" t="s">
        <v>360</v>
      </c>
    </row>
    <row r="131" spans="1:31">
      <c r="A131" s="22" t="s">
        <v>70</v>
      </c>
      <c r="B131" s="290">
        <f>SUMPRODUCT(B126:AP126,B124:AP124)/SUM(B126:AP126)</f>
        <v>2.0102517123287673</v>
      </c>
    </row>
    <row r="132" spans="1:31">
      <c r="A132" s="22" t="s">
        <v>71</v>
      </c>
      <c r="B132" s="290">
        <f>SUMPRODUCT(B127:AP127,B124:AP124)/SUM(B127:AP127)</f>
        <v>7.2795310502283126</v>
      </c>
    </row>
    <row r="133" spans="1:31">
      <c r="A133" s="22" t="s">
        <v>72</v>
      </c>
      <c r="B133" s="290">
        <f>SUMPRODUCT(B128:AP128,B124:AP124)/SUM(B128:AP128)</f>
        <v>15.039434304588985</v>
      </c>
    </row>
    <row r="135" spans="1:31">
      <c r="A135" s="843"/>
      <c r="B135" s="844">
        <v>36525</v>
      </c>
      <c r="C135" s="845">
        <v>36891</v>
      </c>
    </row>
    <row r="136" spans="1:31">
      <c r="A136" s="840" t="s">
        <v>384</v>
      </c>
      <c r="B136" s="841">
        <f>-(B88+B65+B42)*Allocation!$I15*(MONTH(B18)-MONTH(Assumptions!C18))/(MONTH(B18)+1-MONTH(Assumptions!C17))</f>
        <v>0</v>
      </c>
      <c r="C136" s="842">
        <f>D136-B136</f>
        <v>-18014.594701375368</v>
      </c>
      <c r="D136" s="243">
        <f>C104</f>
        <v>-18014.594701375368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</row>
    <row r="137" spans="1:31">
      <c r="A137" s="837"/>
      <c r="B137" s="838">
        <v>36571</v>
      </c>
      <c r="C137" s="839">
        <v>36753</v>
      </c>
      <c r="D137" s="243"/>
      <c r="E137"/>
      <c r="F137" s="672"/>
      <c r="G137" s="672"/>
      <c r="H137" s="672"/>
      <c r="I137" s="672"/>
      <c r="J137" s="672"/>
      <c r="K137" s="672"/>
      <c r="L137" s="672"/>
      <c r="M137" s="672"/>
      <c r="N137" s="672"/>
      <c r="O137" s="672"/>
      <c r="P137" s="672"/>
      <c r="Q137" s="672"/>
      <c r="R137" s="672"/>
      <c r="S137" s="672"/>
      <c r="T137" s="672"/>
      <c r="U137" s="672"/>
      <c r="V137" s="672"/>
      <c r="W137"/>
      <c r="X137"/>
      <c r="Y137"/>
      <c r="Z137"/>
      <c r="AA137"/>
      <c r="AB137"/>
      <c r="AC137"/>
      <c r="AD137"/>
      <c r="AE137"/>
    </row>
    <row r="138" spans="1:31">
      <c r="A138" s="840" t="s">
        <v>390</v>
      </c>
      <c r="B138" s="841">
        <f>-Allocation!I15*(C32+C55+C78)-(B88+B65+B42)*Allocation!$I15*(MONTH(B18)-MONTH(Assumptions!C18))/(MONTH(B18)+1-MONTH(Assumptions!C17))</f>
        <v>-3218.4117874286217</v>
      </c>
      <c r="C138" s="842">
        <f>D136-B138</f>
        <v>-14796.182913946746</v>
      </c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</row>
    <row r="139" spans="1:3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</row>
    <row r="140" spans="1:31" ht="10.5" customHeight="1">
      <c r="A140" s="846" t="s">
        <v>184</v>
      </c>
      <c r="B140" s="847"/>
      <c r="C140" s="848">
        <f ca="1">C97</f>
        <v>89715.843466455946</v>
      </c>
      <c r="D140" s="848">
        <f>D97</f>
        <v>122372.11600515959</v>
      </c>
      <c r="E140" s="848">
        <f>E97</f>
        <v>121860.67263279502</v>
      </c>
      <c r="F140" s="848">
        <f>F97-F154</f>
        <v>-14817.294351170596</v>
      </c>
      <c r="G140" s="846"/>
      <c r="H140" s="846"/>
      <c r="I140" s="846"/>
      <c r="J140" s="846"/>
      <c r="K140" s="846"/>
      <c r="L140" s="846"/>
      <c r="M140" s="846"/>
      <c r="N140" s="846"/>
      <c r="O140" s="846"/>
      <c r="P140" s="846"/>
      <c r="Q140" s="846"/>
      <c r="R140" s="846"/>
      <c r="S140" s="846"/>
      <c r="T140" s="846"/>
      <c r="U140" s="846"/>
      <c r="V140" s="846"/>
      <c r="AE140"/>
    </row>
    <row r="141" spans="1:31" hidden="1">
      <c r="A141" s="847"/>
      <c r="B141" s="849">
        <v>36373</v>
      </c>
      <c r="C141" s="850">
        <v>36556</v>
      </c>
      <c r="D141" s="850">
        <v>36738</v>
      </c>
      <c r="E141" s="850">
        <v>36922</v>
      </c>
      <c r="F141" s="850">
        <v>37103</v>
      </c>
      <c r="G141" s="850">
        <v>37287</v>
      </c>
      <c r="H141" s="850">
        <v>37468</v>
      </c>
      <c r="I141" s="850">
        <v>37652</v>
      </c>
      <c r="J141" s="850">
        <v>37833</v>
      </c>
      <c r="K141" s="850">
        <v>38017</v>
      </c>
      <c r="L141" s="850">
        <v>38199</v>
      </c>
      <c r="M141" s="850">
        <v>38383</v>
      </c>
      <c r="N141" s="850">
        <v>38564</v>
      </c>
      <c r="O141" s="850">
        <v>38748</v>
      </c>
      <c r="P141" s="850">
        <v>38929</v>
      </c>
      <c r="Q141" s="850">
        <v>39113</v>
      </c>
      <c r="R141" s="850">
        <v>39294</v>
      </c>
      <c r="S141" s="850">
        <v>39478</v>
      </c>
      <c r="T141" s="850">
        <v>39660</v>
      </c>
      <c r="U141" s="850">
        <v>39844</v>
      </c>
      <c r="V141" s="850">
        <v>40025</v>
      </c>
      <c r="W141" s="726">
        <v>40209</v>
      </c>
      <c r="X141" s="726">
        <v>40390</v>
      </c>
      <c r="Y141" s="726">
        <v>40574</v>
      </c>
      <c r="Z141" s="726">
        <v>40755</v>
      </c>
      <c r="AA141" s="726">
        <v>40939</v>
      </c>
      <c r="AB141" s="726">
        <v>41121</v>
      </c>
      <c r="AC141" s="726">
        <v>41305</v>
      </c>
      <c r="AD141" s="726">
        <v>41486</v>
      </c>
      <c r="AE141"/>
    </row>
    <row r="142" spans="1:31" hidden="1">
      <c r="A142" s="847"/>
      <c r="B142" s="847">
        <v>0</v>
      </c>
      <c r="C142" s="851">
        <f>(C141-$B$123)/365</f>
        <v>8.2191780821917804E-2</v>
      </c>
      <c r="D142" s="851">
        <f t="shared" ref="D142:AD142" si="58">(D141-$B$123)/365</f>
        <v>0.58082191780821912</v>
      </c>
      <c r="E142" s="851">
        <f t="shared" si="58"/>
        <v>1.0849315068493151</v>
      </c>
      <c r="F142" s="851">
        <f t="shared" si="58"/>
        <v>1.5808219178082192</v>
      </c>
      <c r="G142" s="851">
        <f t="shared" si="58"/>
        <v>2.0849315068493151</v>
      </c>
      <c r="H142" s="851">
        <f t="shared" si="58"/>
        <v>2.580821917808219</v>
      </c>
      <c r="I142" s="851">
        <f t="shared" si="58"/>
        <v>3.0849315068493151</v>
      </c>
      <c r="J142" s="851">
        <f t="shared" si="58"/>
        <v>3.580821917808219</v>
      </c>
      <c r="K142" s="851">
        <f t="shared" si="58"/>
        <v>4.0849315068493155</v>
      </c>
      <c r="L142" s="851">
        <f t="shared" si="58"/>
        <v>4.5835616438356164</v>
      </c>
      <c r="M142" s="851">
        <f t="shared" si="58"/>
        <v>5.087671232876712</v>
      </c>
      <c r="N142" s="851">
        <f t="shared" si="58"/>
        <v>5.5835616438356164</v>
      </c>
      <c r="O142" s="851">
        <f t="shared" si="58"/>
        <v>6.087671232876712</v>
      </c>
      <c r="P142" s="851">
        <f t="shared" si="58"/>
        <v>6.5835616438356164</v>
      </c>
      <c r="Q142" s="851">
        <f t="shared" si="58"/>
        <v>7.087671232876712</v>
      </c>
      <c r="R142" s="851">
        <f t="shared" si="58"/>
        <v>7.5835616438356164</v>
      </c>
      <c r="S142" s="851">
        <f t="shared" si="58"/>
        <v>8.087671232876712</v>
      </c>
      <c r="T142" s="851">
        <f t="shared" si="58"/>
        <v>8.5863013698630137</v>
      </c>
      <c r="U142" s="851">
        <f t="shared" si="58"/>
        <v>9.0904109589041102</v>
      </c>
      <c r="V142" s="851">
        <f t="shared" si="58"/>
        <v>9.5863013698630137</v>
      </c>
      <c r="W142" s="718">
        <f t="shared" si="58"/>
        <v>10.09041095890411</v>
      </c>
      <c r="X142" s="718">
        <f t="shared" si="58"/>
        <v>10.586301369863014</v>
      </c>
      <c r="Y142" s="718">
        <f t="shared" si="58"/>
        <v>11.09041095890411</v>
      </c>
      <c r="Z142" s="718">
        <f t="shared" si="58"/>
        <v>11.586301369863014</v>
      </c>
      <c r="AA142" s="718">
        <f t="shared" si="58"/>
        <v>12.09041095890411</v>
      </c>
      <c r="AB142" s="718">
        <f t="shared" si="58"/>
        <v>12.58904109589041</v>
      </c>
      <c r="AC142" s="718">
        <f t="shared" si="58"/>
        <v>13.093150684931507</v>
      </c>
      <c r="AD142" s="718">
        <f t="shared" si="58"/>
        <v>13.58904109589041</v>
      </c>
      <c r="AE142"/>
    </row>
    <row r="143" spans="1:31" hidden="1">
      <c r="A143" s="847"/>
      <c r="B143" s="847"/>
      <c r="C143" s="846"/>
      <c r="D143" s="846"/>
      <c r="E143" s="846"/>
      <c r="F143" s="846"/>
      <c r="G143" s="846"/>
      <c r="H143" s="846"/>
      <c r="I143" s="846"/>
      <c r="J143" s="846"/>
      <c r="K143" s="846"/>
      <c r="L143" s="846"/>
      <c r="M143" s="846"/>
      <c r="N143" s="846"/>
      <c r="O143" s="846"/>
      <c r="P143" s="846"/>
      <c r="Q143" s="846"/>
      <c r="R143" s="846"/>
      <c r="S143" s="846"/>
      <c r="T143" s="846"/>
      <c r="U143" s="846"/>
      <c r="V143" s="846"/>
      <c r="AE143"/>
    </row>
    <row r="144" spans="1:31" hidden="1">
      <c r="A144" s="847" t="s">
        <v>357</v>
      </c>
      <c r="B144" s="852">
        <f>B49+B54</f>
        <v>0</v>
      </c>
      <c r="C144" s="853">
        <f>C49+B59</f>
        <v>0</v>
      </c>
      <c r="D144" s="853">
        <f>C54</f>
        <v>0</v>
      </c>
      <c r="E144" s="853">
        <f>D49</f>
        <v>0</v>
      </c>
      <c r="F144" s="853">
        <f>D54</f>
        <v>0</v>
      </c>
      <c r="G144" s="853">
        <f>E49</f>
        <v>0</v>
      </c>
      <c r="H144" s="853">
        <f>E54</f>
        <v>0</v>
      </c>
      <c r="I144" s="853">
        <f>F49</f>
        <v>0</v>
      </c>
      <c r="J144" s="853">
        <f>F54</f>
        <v>0</v>
      </c>
      <c r="K144" s="853">
        <f t="shared" ref="K144:V144" si="59">K49+K54</f>
        <v>18915</v>
      </c>
      <c r="L144" s="853">
        <f t="shared" si="59"/>
        <v>23619.500000000004</v>
      </c>
      <c r="M144" s="853">
        <f t="shared" si="59"/>
        <v>0</v>
      </c>
      <c r="N144" s="853">
        <f t="shared" si="59"/>
        <v>0</v>
      </c>
      <c r="O144" s="853">
        <f t="shared" si="59"/>
        <v>0</v>
      </c>
      <c r="P144" s="853">
        <f t="shared" si="59"/>
        <v>0</v>
      </c>
      <c r="Q144" s="853">
        <f t="shared" si="59"/>
        <v>0</v>
      </c>
      <c r="R144" s="853">
        <f t="shared" si="59"/>
        <v>0</v>
      </c>
      <c r="S144" s="853">
        <f t="shared" si="59"/>
        <v>0</v>
      </c>
      <c r="T144" s="853">
        <f t="shared" si="59"/>
        <v>0</v>
      </c>
      <c r="U144" s="853">
        <f t="shared" si="59"/>
        <v>0</v>
      </c>
      <c r="V144" s="853">
        <f t="shared" si="59"/>
        <v>0</v>
      </c>
      <c r="W144" s="22">
        <v>0</v>
      </c>
      <c r="X144" s="22">
        <v>0</v>
      </c>
      <c r="Y144" s="22">
        <v>0</v>
      </c>
      <c r="Z144" s="22">
        <v>0</v>
      </c>
      <c r="AA144" s="8">
        <v>0</v>
      </c>
      <c r="AB144" s="8">
        <v>0</v>
      </c>
      <c r="AC144" s="22">
        <v>0</v>
      </c>
      <c r="AD144" s="22">
        <v>0</v>
      </c>
      <c r="AE144"/>
    </row>
    <row r="145" spans="1:31" hidden="1">
      <c r="A145" s="847" t="s">
        <v>358</v>
      </c>
      <c r="B145" s="852">
        <v>0</v>
      </c>
      <c r="C145" s="853">
        <v>0</v>
      </c>
      <c r="D145" s="853">
        <v>0</v>
      </c>
      <c r="E145" s="853">
        <v>0</v>
      </c>
      <c r="F145" s="853">
        <v>0</v>
      </c>
      <c r="G145" s="853">
        <v>0</v>
      </c>
      <c r="H145" s="853">
        <v>0</v>
      </c>
      <c r="I145" s="853">
        <v>0</v>
      </c>
      <c r="J145" s="853">
        <v>0</v>
      </c>
      <c r="K145" s="853">
        <f>G72</f>
        <v>0</v>
      </c>
      <c r="L145" s="853">
        <f>G77</f>
        <v>0</v>
      </c>
      <c r="M145" s="853">
        <f>H72</f>
        <v>0</v>
      </c>
      <c r="N145" s="853">
        <f>H77</f>
        <v>0</v>
      </c>
      <c r="O145" s="853">
        <f>I72</f>
        <v>0</v>
      </c>
      <c r="P145" s="853">
        <f>I77</f>
        <v>0</v>
      </c>
      <c r="Q145" s="853">
        <f>J72</f>
        <v>0</v>
      </c>
      <c r="R145" s="853">
        <f>J77</f>
        <v>0</v>
      </c>
      <c r="S145" s="853">
        <f>K72</f>
        <v>0</v>
      </c>
      <c r="T145" s="853">
        <f>K77</f>
        <v>0</v>
      </c>
      <c r="U145" s="853">
        <f>L72</f>
        <v>0</v>
      </c>
      <c r="V145" s="853">
        <f>L77</f>
        <v>0</v>
      </c>
      <c r="W145" s="22">
        <v>0</v>
      </c>
      <c r="X145" s="22">
        <v>0</v>
      </c>
      <c r="Y145" s="22">
        <v>0</v>
      </c>
      <c r="Z145" s="22">
        <v>0</v>
      </c>
      <c r="AA145" s="8">
        <v>0</v>
      </c>
      <c r="AB145" s="8">
        <v>0</v>
      </c>
      <c r="AC145" s="22">
        <v>0</v>
      </c>
      <c r="AD145" s="22">
        <v>0</v>
      </c>
      <c r="AE145"/>
    </row>
    <row r="146" spans="1:31" hidden="1">
      <c r="A146" s="847" t="s">
        <v>359</v>
      </c>
      <c r="B146" s="852">
        <v>0</v>
      </c>
      <c r="C146" s="853">
        <v>0</v>
      </c>
      <c r="D146" s="853">
        <v>0</v>
      </c>
      <c r="E146" s="853">
        <v>0</v>
      </c>
      <c r="F146" s="853">
        <v>0</v>
      </c>
      <c r="G146" s="853">
        <v>0</v>
      </c>
      <c r="H146" s="853">
        <v>0</v>
      </c>
      <c r="I146" s="853">
        <v>0</v>
      </c>
      <c r="J146" s="853">
        <v>0</v>
      </c>
      <c r="K146" s="853">
        <v>0</v>
      </c>
      <c r="L146" s="853">
        <v>0</v>
      </c>
      <c r="M146" s="853">
        <v>0</v>
      </c>
      <c r="N146" s="853">
        <v>0</v>
      </c>
      <c r="O146" s="853">
        <v>0</v>
      </c>
      <c r="P146" s="853">
        <v>0</v>
      </c>
      <c r="Q146" s="853">
        <v>0</v>
      </c>
      <c r="R146" s="853">
        <v>0</v>
      </c>
      <c r="S146" s="853">
        <v>0</v>
      </c>
      <c r="T146" s="853">
        <v>0</v>
      </c>
      <c r="U146" s="853">
        <v>0</v>
      </c>
      <c r="V146" s="853">
        <v>0</v>
      </c>
      <c r="W146" s="85">
        <f>M95</f>
        <v>0</v>
      </c>
      <c r="X146" s="85">
        <f>M100</f>
        <v>0</v>
      </c>
      <c r="Y146" s="85">
        <f>N95</f>
        <v>0</v>
      </c>
      <c r="Z146" s="85">
        <f>N100</f>
        <v>0</v>
      </c>
      <c r="AA146" s="309">
        <f>O95</f>
        <v>0</v>
      </c>
      <c r="AB146" s="309">
        <f>O100</f>
        <v>0</v>
      </c>
      <c r="AC146" s="85">
        <f>P95</f>
        <v>0</v>
      </c>
      <c r="AD146" s="85">
        <f>P100</f>
        <v>0</v>
      </c>
      <c r="AE146"/>
    </row>
    <row r="147" spans="1:31" hidden="1">
      <c r="A147" s="847"/>
      <c r="B147" s="847"/>
      <c r="C147" s="846"/>
      <c r="D147" s="846"/>
      <c r="E147" s="846"/>
      <c r="F147" s="846"/>
      <c r="G147" s="846"/>
      <c r="H147" s="846"/>
      <c r="I147" s="846"/>
      <c r="J147" s="846"/>
      <c r="K147" s="846"/>
      <c r="L147" s="846"/>
      <c r="M147" s="846"/>
      <c r="N147" s="846"/>
      <c r="O147" s="846"/>
      <c r="P147" s="846"/>
      <c r="Q147" s="846"/>
      <c r="R147" s="846"/>
      <c r="S147" s="846"/>
      <c r="T147" s="846"/>
      <c r="U147" s="846"/>
      <c r="V147" s="846"/>
      <c r="AE147"/>
    </row>
    <row r="148" spans="1:31" hidden="1">
      <c r="A148" s="847" t="s">
        <v>360</v>
      </c>
      <c r="B148" s="847"/>
      <c r="C148" s="846"/>
      <c r="D148" s="846"/>
      <c r="E148" s="846"/>
      <c r="F148" s="846"/>
      <c r="G148" s="846"/>
      <c r="H148" s="846"/>
      <c r="I148" s="846"/>
      <c r="J148" s="846"/>
      <c r="K148" s="846"/>
      <c r="L148" s="846"/>
      <c r="M148" s="846"/>
      <c r="N148" s="846"/>
      <c r="O148" s="846"/>
      <c r="P148" s="846"/>
      <c r="Q148" s="846"/>
      <c r="R148" s="846"/>
      <c r="S148" s="846"/>
      <c r="T148" s="846"/>
      <c r="U148" s="846"/>
      <c r="V148" s="846"/>
      <c r="AE148"/>
    </row>
    <row r="149" spans="1:31" hidden="1">
      <c r="A149" s="847" t="s">
        <v>70</v>
      </c>
      <c r="B149" s="854">
        <f>SUMPRODUCT(B144:AP144,B142:AP142)/SUM(B144:AP144)</f>
        <v>4.3618219021883453</v>
      </c>
      <c r="C149" s="846"/>
      <c r="D149" s="846"/>
      <c r="E149" s="846"/>
      <c r="F149" s="846"/>
      <c r="G149" s="846"/>
      <c r="H149" s="846"/>
      <c r="I149" s="846"/>
      <c r="J149" s="846"/>
      <c r="K149" s="846"/>
      <c r="L149" s="846"/>
      <c r="M149" s="846"/>
      <c r="N149" s="846"/>
      <c r="O149" s="846"/>
      <c r="P149" s="846"/>
      <c r="Q149" s="846"/>
      <c r="R149" s="846"/>
      <c r="S149" s="846"/>
      <c r="T149" s="846"/>
      <c r="U149" s="846"/>
      <c r="V149" s="846"/>
      <c r="AE149"/>
    </row>
    <row r="150" spans="1:31" hidden="1">
      <c r="A150" s="847" t="s">
        <v>71</v>
      </c>
      <c r="B150" s="854" t="e">
        <f>SUMPRODUCT(B145:AP145,B142:AP142)/SUM(B145:AP145)</f>
        <v>#DIV/0!</v>
      </c>
      <c r="C150" s="846"/>
      <c r="D150" s="846"/>
      <c r="E150" s="846"/>
      <c r="F150" s="846"/>
      <c r="G150" s="846"/>
      <c r="H150" s="846"/>
      <c r="I150" s="846"/>
      <c r="J150" s="846"/>
      <c r="K150" s="846"/>
      <c r="L150" s="846"/>
      <c r="M150" s="846"/>
      <c r="N150" s="846"/>
      <c r="O150" s="846"/>
      <c r="P150" s="846"/>
      <c r="Q150" s="846"/>
      <c r="R150" s="846"/>
      <c r="S150" s="846"/>
      <c r="T150" s="846"/>
      <c r="U150" s="846"/>
      <c r="V150" s="846"/>
      <c r="AE150"/>
    </row>
    <row r="151" spans="1:31" hidden="1">
      <c r="A151" s="847" t="s">
        <v>72</v>
      </c>
      <c r="B151" s="854" t="e">
        <f>SUMPRODUCT(B146:AP146,B142:AP142)/SUM(B146:AP146)</f>
        <v>#DIV/0!</v>
      </c>
      <c r="C151" s="846"/>
      <c r="D151" s="846"/>
      <c r="E151" s="846"/>
      <c r="F151" s="846"/>
      <c r="G151" s="846"/>
      <c r="H151" s="846"/>
      <c r="I151" s="846"/>
      <c r="J151" s="846"/>
      <c r="K151" s="846"/>
      <c r="L151" s="846"/>
      <c r="M151" s="846"/>
      <c r="N151" s="846"/>
      <c r="O151" s="846"/>
      <c r="P151" s="846"/>
      <c r="Q151" s="846"/>
      <c r="R151" s="846"/>
      <c r="S151" s="846"/>
      <c r="T151" s="846"/>
      <c r="U151" s="846"/>
      <c r="V151" s="846"/>
      <c r="AE151"/>
    </row>
    <row r="152" spans="1:31" hidden="1">
      <c r="A152" s="847"/>
      <c r="B152" s="847"/>
      <c r="C152" s="846"/>
      <c r="D152" s="846"/>
      <c r="E152" s="846"/>
      <c r="F152" s="846"/>
      <c r="G152" s="846"/>
      <c r="H152" s="846"/>
      <c r="I152" s="846"/>
      <c r="J152" s="846"/>
      <c r="K152" s="846"/>
      <c r="L152" s="846"/>
      <c r="M152" s="846"/>
      <c r="N152" s="846"/>
      <c r="O152" s="846"/>
      <c r="P152" s="846"/>
      <c r="Q152" s="846"/>
      <c r="R152" s="846"/>
      <c r="S152" s="846"/>
      <c r="T152" s="846"/>
      <c r="U152" s="846"/>
      <c r="V152" s="846"/>
      <c r="AE152"/>
    </row>
    <row r="153" spans="1:31" hidden="1">
      <c r="A153" s="847"/>
      <c r="B153" s="847"/>
      <c r="C153" s="846"/>
      <c r="D153" s="846"/>
      <c r="E153" s="846"/>
      <c r="F153" s="846"/>
      <c r="G153" s="846"/>
      <c r="H153" s="846"/>
      <c r="I153" s="846"/>
      <c r="J153" s="846"/>
      <c r="K153" s="846"/>
      <c r="L153" s="846"/>
      <c r="M153" s="846"/>
      <c r="N153" s="846"/>
      <c r="O153" s="846"/>
      <c r="P153" s="846"/>
      <c r="Q153" s="846"/>
      <c r="R153" s="846"/>
      <c r="S153" s="846"/>
      <c r="T153" s="846"/>
      <c r="U153" s="846"/>
      <c r="V153" s="846"/>
      <c r="AE153"/>
    </row>
    <row r="154" spans="1:31">
      <c r="A154" s="847"/>
      <c r="B154" s="855"/>
      <c r="C154" s="856"/>
      <c r="D154" s="856"/>
      <c r="E154" s="856"/>
      <c r="F154" s="848">
        <f>(IS!H13+IS!H14+IS!H15+7/12*IS!H18-7/12*IS!H35)</f>
        <v>202468.93450030347</v>
      </c>
      <c r="G154" s="848">
        <f>G97</f>
        <v>190109.1021750106</v>
      </c>
      <c r="H154" s="848">
        <f t="shared" ref="H154:V154" si="60">H97</f>
        <v>193591.99296303227</v>
      </c>
      <c r="I154" s="848">
        <f t="shared" si="60"/>
        <v>194788.0627973846</v>
      </c>
      <c r="J154" s="848">
        <f t="shared" si="60"/>
        <v>199203.15022055939</v>
      </c>
      <c r="K154" s="848">
        <f t="shared" si="60"/>
        <v>201177.53260156928</v>
      </c>
      <c r="L154" s="848">
        <f t="shared" si="60"/>
        <v>205855.99542930117</v>
      </c>
      <c r="M154" s="848">
        <f t="shared" si="60"/>
        <v>206645.9062382972</v>
      </c>
      <c r="N154" s="848">
        <f t="shared" si="60"/>
        <v>211414.53803110844</v>
      </c>
      <c r="O154" s="848">
        <f t="shared" si="60"/>
        <v>213506.78665274102</v>
      </c>
      <c r="P154" s="848">
        <f t="shared" si="60"/>
        <v>214835.54761544304</v>
      </c>
      <c r="Q154" s="848">
        <f t="shared" si="60"/>
        <v>216468.3634660345</v>
      </c>
      <c r="R154" s="848">
        <f t="shared" si="60"/>
        <v>218387.20496215031</v>
      </c>
      <c r="S154" s="848">
        <f t="shared" si="60"/>
        <v>220305.41028444408</v>
      </c>
      <c r="T154" s="848">
        <f t="shared" si="60"/>
        <v>222191.20898447486</v>
      </c>
      <c r="U154" s="848">
        <f t="shared" si="60"/>
        <v>223808.30937061677</v>
      </c>
      <c r="V154" s="848">
        <f t="shared" si="60"/>
        <v>223087.61019639071</v>
      </c>
      <c r="W154"/>
      <c r="X154"/>
      <c r="Y154"/>
      <c r="Z154"/>
      <c r="AA154"/>
      <c r="AB154"/>
      <c r="AC154"/>
      <c r="AD154"/>
      <c r="AE154"/>
    </row>
    <row r="155" spans="1:31">
      <c r="A155" s="857" t="s">
        <v>505</v>
      </c>
      <c r="B155" s="858"/>
      <c r="C155" s="858">
        <v>1.5968030590881686</v>
      </c>
      <c r="D155" s="858">
        <v>1.2883336000166394</v>
      </c>
      <c r="E155" s="858">
        <v>1.2895785504237212</v>
      </c>
      <c r="F155" s="858">
        <v>1.0038833602074084</v>
      </c>
      <c r="G155" s="858"/>
      <c r="H155" s="858"/>
      <c r="I155" s="858"/>
      <c r="J155" s="858"/>
      <c r="K155" s="858"/>
      <c r="L155" s="858"/>
      <c r="M155" s="858"/>
      <c r="N155" s="858"/>
      <c r="O155" s="858"/>
      <c r="P155" s="858"/>
      <c r="Q155" s="858"/>
      <c r="R155" s="858"/>
      <c r="S155" s="858"/>
      <c r="T155" s="858"/>
      <c r="U155" s="858"/>
      <c r="V155" s="858"/>
      <c r="W155"/>
      <c r="X155"/>
      <c r="Y155"/>
      <c r="Z155"/>
      <c r="AA155"/>
      <c r="AB155"/>
      <c r="AC155"/>
      <c r="AD155"/>
      <c r="AE155"/>
    </row>
    <row r="156" spans="1:31">
      <c r="A156" s="857"/>
      <c r="B156" s="858"/>
      <c r="C156" s="858"/>
      <c r="D156" s="858"/>
      <c r="E156" s="858"/>
      <c r="F156" s="858">
        <v>2.1433737238531241</v>
      </c>
      <c r="G156" s="858">
        <v>2.2571606858865514</v>
      </c>
      <c r="H156" s="858">
        <v>2.2504890995770466</v>
      </c>
      <c r="I156" s="858">
        <v>2.2935445264045131</v>
      </c>
      <c r="J156" s="858">
        <v>2.3309962957298449</v>
      </c>
      <c r="K156" s="858">
        <v>2.3519666692882502</v>
      </c>
      <c r="L156" s="858">
        <v>2.4386911694906761</v>
      </c>
      <c r="M156" s="858">
        <v>2.6280919474289486</v>
      </c>
      <c r="N156" s="890">
        <v>2.8102972271213718</v>
      </c>
      <c r="O156" s="858">
        <v>2.8423137583764442</v>
      </c>
      <c r="P156" s="858">
        <v>2.9177465199997066</v>
      </c>
      <c r="Q156" s="858">
        <v>3.0007532924781053</v>
      </c>
      <c r="R156" s="858">
        <v>3.0553443983632622</v>
      </c>
      <c r="S156" s="858">
        <v>3.2697115704602528</v>
      </c>
      <c r="T156" s="858">
        <v>3.6362766022922459</v>
      </c>
      <c r="U156" s="858">
        <v>4.4387683927697328</v>
      </c>
      <c r="V156" s="858">
        <v>5.5763561396499286</v>
      </c>
      <c r="W156"/>
      <c r="X156"/>
      <c r="Y156"/>
      <c r="Z156"/>
      <c r="AA156"/>
      <c r="AB156"/>
      <c r="AC156"/>
      <c r="AD156"/>
      <c r="AE156"/>
    </row>
    <row r="157" spans="1:31">
      <c r="A157" s="859" t="s">
        <v>193</v>
      </c>
      <c r="B157" s="860"/>
      <c r="C157" s="860">
        <f ca="1">7/12*C140/C155-SUM(C102:C104)</f>
        <v>49641.356509125806</v>
      </c>
      <c r="D157" s="860">
        <f>D140/D155</f>
        <v>94984.805180567448</v>
      </c>
      <c r="E157" s="860">
        <f>E140/E155</f>
        <v>94496.510191453519</v>
      </c>
      <c r="F157" s="860">
        <f>F140/F155</f>
        <v>-14759.976047525335</v>
      </c>
      <c r="G157" s="861"/>
      <c r="H157" s="861"/>
      <c r="I157" s="861"/>
      <c r="J157" s="861"/>
      <c r="K157" s="861"/>
      <c r="L157" s="861"/>
      <c r="M157" s="861"/>
      <c r="N157" s="861"/>
      <c r="O157" s="861"/>
      <c r="P157" s="861"/>
      <c r="Q157" s="861"/>
      <c r="R157" s="861"/>
      <c r="S157" s="861"/>
      <c r="T157" s="861"/>
      <c r="U157" s="861"/>
      <c r="V157" s="861"/>
      <c r="W157"/>
      <c r="X157"/>
      <c r="Y157"/>
      <c r="Z157"/>
      <c r="AA157"/>
      <c r="AB157"/>
      <c r="AC157"/>
      <c r="AD157"/>
      <c r="AE157"/>
    </row>
    <row r="158" spans="1:31">
      <c r="A158" s="859"/>
      <c r="B158" s="860"/>
      <c r="C158" s="860"/>
      <c r="D158" s="860"/>
      <c r="E158" s="860"/>
      <c r="F158" s="860">
        <f>F154/F156</f>
        <v>94462.73052947894</v>
      </c>
      <c r="G158" s="860">
        <f t="shared" ref="G158:V158" si="61">G154/G156</f>
        <v>84224.886320107471</v>
      </c>
      <c r="H158" s="860">
        <f t="shared" si="61"/>
        <v>86022.186465784544</v>
      </c>
      <c r="I158" s="860">
        <f t="shared" si="61"/>
        <v>84928.834193049261</v>
      </c>
      <c r="J158" s="860">
        <f t="shared" si="61"/>
        <v>85458.372707618575</v>
      </c>
      <c r="K158" s="860">
        <f t="shared" si="61"/>
        <v>85535.877369575755</v>
      </c>
      <c r="L158" s="860">
        <f t="shared" si="61"/>
        <v>84412.490603430721</v>
      </c>
      <c r="M158" s="860">
        <f t="shared" si="61"/>
        <v>78629.633350712116</v>
      </c>
      <c r="N158" s="860">
        <f t="shared" si="61"/>
        <v>75228.53312126825</v>
      </c>
      <c r="O158" s="860">
        <f t="shared" si="61"/>
        <v>75117.24770832411</v>
      </c>
      <c r="P158" s="860">
        <f t="shared" si="61"/>
        <v>73630.641367525182</v>
      </c>
      <c r="Q158" s="860">
        <f t="shared" si="61"/>
        <v>72138.007482537461</v>
      </c>
      <c r="R158" s="860">
        <f t="shared" si="61"/>
        <v>71477.115666286132</v>
      </c>
      <c r="S158" s="860">
        <f t="shared" si="61"/>
        <v>67377.628129270539</v>
      </c>
      <c r="T158" s="860">
        <f t="shared" si="61"/>
        <v>61104.044957528633</v>
      </c>
      <c r="U158" s="860">
        <f t="shared" si="61"/>
        <v>50421.263189846977</v>
      </c>
      <c r="V158" s="860">
        <f t="shared" si="61"/>
        <v>40005.983228036021</v>
      </c>
      <c r="W158"/>
      <c r="X158"/>
      <c r="Y158"/>
      <c r="Z158"/>
      <c r="AA158"/>
      <c r="AB158"/>
      <c r="AC158"/>
      <c r="AD158"/>
      <c r="AE158"/>
    </row>
    <row r="159" spans="1:31" ht="13.5" thickBot="1">
      <c r="A159" s="1"/>
      <c r="B159" s="227"/>
      <c r="C159" s="227"/>
      <c r="D159" s="227"/>
      <c r="E159" s="227"/>
      <c r="F159" s="862"/>
      <c r="G159" s="862"/>
      <c r="H159" s="862"/>
      <c r="I159" s="862"/>
      <c r="J159" s="862"/>
      <c r="K159" s="862"/>
      <c r="L159" s="862"/>
      <c r="M159" s="862"/>
      <c r="N159" s="862"/>
      <c r="O159" s="862"/>
      <c r="P159" s="862"/>
      <c r="Q159" s="862"/>
      <c r="R159" s="862"/>
      <c r="S159" s="862"/>
      <c r="T159" s="862"/>
      <c r="U159" s="862"/>
      <c r="V159" s="862"/>
      <c r="W159"/>
      <c r="X159"/>
      <c r="Y159"/>
      <c r="Z159"/>
      <c r="AA159"/>
      <c r="AB159"/>
      <c r="AC159"/>
      <c r="AD159"/>
      <c r="AE159"/>
    </row>
    <row r="160" spans="1:31">
      <c r="A160" s="1"/>
      <c r="B160" s="227"/>
      <c r="C160" s="863">
        <v>95000</v>
      </c>
      <c r="D160" s="864">
        <v>210000</v>
      </c>
      <c r="E160" s="865">
        <v>425000</v>
      </c>
      <c r="F160" s="227"/>
      <c r="G160" s="862"/>
      <c r="H160" s="862"/>
      <c r="I160" s="862"/>
      <c r="J160" s="862"/>
      <c r="K160" s="862"/>
      <c r="L160" s="862"/>
      <c r="M160" s="862"/>
      <c r="N160" s="862"/>
      <c r="O160" s="862"/>
      <c r="P160" s="862"/>
      <c r="Q160" s="862"/>
      <c r="R160" s="862"/>
      <c r="S160" s="862"/>
      <c r="T160" s="862"/>
      <c r="U160" s="862"/>
      <c r="V160" s="862"/>
      <c r="W160"/>
      <c r="X160"/>
      <c r="Y160"/>
      <c r="Z160"/>
      <c r="AA160"/>
      <c r="AB160"/>
      <c r="AC160"/>
      <c r="AD160"/>
      <c r="AE160"/>
    </row>
    <row r="161" spans="1:31">
      <c r="A161" s="1"/>
      <c r="B161" s="227"/>
      <c r="C161" s="866">
        <f ca="1">F169</f>
        <v>110154.4284969967</v>
      </c>
      <c r="D161" s="867">
        <f ca="1">L197</f>
        <v>0</v>
      </c>
      <c r="E161" s="868">
        <f ca="1">V220</f>
        <v>10192.830457318036</v>
      </c>
      <c r="F161" s="227"/>
      <c r="G161" s="862"/>
      <c r="H161" s="862"/>
      <c r="I161" s="862"/>
      <c r="J161" s="862"/>
      <c r="K161" s="862"/>
      <c r="L161" s="862"/>
      <c r="M161" s="862"/>
      <c r="N161" s="862"/>
      <c r="O161" s="862"/>
      <c r="P161" s="862"/>
      <c r="Q161" s="862"/>
      <c r="R161" s="862"/>
      <c r="S161" s="862"/>
      <c r="T161" s="862"/>
      <c r="U161" s="862"/>
      <c r="V161" s="862"/>
      <c r="W161"/>
      <c r="X161"/>
      <c r="Y161"/>
      <c r="Z161"/>
      <c r="AA161"/>
      <c r="AB161"/>
      <c r="AC161"/>
      <c r="AD161"/>
      <c r="AE161"/>
    </row>
    <row r="162" spans="1:31" ht="13.5" thickBot="1">
      <c r="A162" s="1"/>
      <c r="B162" s="227"/>
      <c r="C162" s="869">
        <f ca="1">SUM(C114:E114,F113)-SUM(C155:F155)</f>
        <v>-1.2581235437764309</v>
      </c>
      <c r="D162" s="870">
        <f>SUM(F115:V115)-SUM(F156:V156)</f>
        <v>-0.51985056709358446</v>
      </c>
      <c r="E162" s="871"/>
      <c r="F162" s="227"/>
      <c r="G162" s="227"/>
      <c r="H162" s="227"/>
      <c r="I162" s="227"/>
      <c r="J162" s="227"/>
      <c r="K162" s="227"/>
      <c r="L162" s="227"/>
      <c r="M162" s="227"/>
      <c r="N162" s="227"/>
      <c r="O162" s="227"/>
      <c r="P162" s="227"/>
      <c r="Q162" s="227"/>
      <c r="R162" s="227"/>
      <c r="S162" s="227"/>
      <c r="T162" s="227"/>
      <c r="U162" s="227"/>
      <c r="V162" s="227"/>
      <c r="W162"/>
      <c r="X162"/>
      <c r="Y162"/>
      <c r="Z162"/>
      <c r="AA162"/>
      <c r="AB162"/>
      <c r="AC162"/>
      <c r="AD162"/>
      <c r="AE162"/>
    </row>
    <row r="163" spans="1:31" ht="13.5" thickBot="1">
      <c r="A163"/>
      <c r="B163"/>
      <c r="C163" s="872">
        <f ca="1">SUM(C250:F250)-SUM(C155:F155)</f>
        <v>0</v>
      </c>
      <c r="D163" s="873">
        <f ca="1">SUM(F251:V251)-SUM(F156:V156)</f>
        <v>-1.4190119930520098</v>
      </c>
      <c r="E163" s="874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</row>
    <row r="164" spans="1:31">
      <c r="A164" s="82" t="str">
        <f>A28</f>
        <v>Tranche 1 @ 8.19%</v>
      </c>
      <c r="W164"/>
      <c r="X164"/>
      <c r="Y164"/>
      <c r="Z164"/>
      <c r="AB164"/>
      <c r="AC164"/>
      <c r="AD164"/>
      <c r="AE164"/>
    </row>
    <row r="165" spans="1:31">
      <c r="A165" s="84" t="s">
        <v>375</v>
      </c>
      <c r="B165" s="85"/>
      <c r="W165"/>
      <c r="X165"/>
      <c r="Y165"/>
      <c r="Z165"/>
      <c r="AB165"/>
      <c r="AC165"/>
      <c r="AD165"/>
      <c r="AE165"/>
    </row>
    <row r="166" spans="1:31">
      <c r="A166" s="85" t="s">
        <v>233</v>
      </c>
      <c r="B166" s="86">
        <f>C160</f>
        <v>95000</v>
      </c>
      <c r="C166" s="85">
        <f t="shared" ref="C166:V166" si="62">B179</f>
        <v>95000</v>
      </c>
      <c r="D166" s="85">
        <f t="shared" ca="1" si="62"/>
        <v>105846.69951965167</v>
      </c>
      <c r="E166" s="85">
        <f t="shared" ca="1" si="62"/>
        <v>83879.186265352066</v>
      </c>
      <c r="F166" s="85">
        <f t="shared" ca="1" si="62"/>
        <v>60535.162543322316</v>
      </c>
      <c r="G166" s="85">
        <f t="shared" ca="1" si="62"/>
        <v>110154.4284969967</v>
      </c>
      <c r="H166" s="85">
        <f t="shared" ca="1" si="62"/>
        <v>110154.4284969967</v>
      </c>
      <c r="I166" s="85">
        <f t="shared" ca="1" si="62"/>
        <v>110154.4284969967</v>
      </c>
      <c r="J166" s="85">
        <f t="shared" ca="1" si="62"/>
        <v>110154.4284969967</v>
      </c>
      <c r="K166" s="85">
        <f t="shared" ca="1" si="62"/>
        <v>110154.4284969967</v>
      </c>
      <c r="L166" s="85">
        <f t="shared" ca="1" si="62"/>
        <v>110154.4284969967</v>
      </c>
      <c r="M166" s="85">
        <f t="shared" ca="1" si="62"/>
        <v>110154.4284969967</v>
      </c>
      <c r="N166" s="85">
        <f t="shared" ca="1" si="62"/>
        <v>110154.4284969967</v>
      </c>
      <c r="O166" s="85">
        <f t="shared" ca="1" si="62"/>
        <v>110154.4284969967</v>
      </c>
      <c r="P166" s="85">
        <f t="shared" ca="1" si="62"/>
        <v>110154.4284969967</v>
      </c>
      <c r="Q166" s="85">
        <f t="shared" ca="1" si="62"/>
        <v>110154.4284969967</v>
      </c>
      <c r="R166" s="85">
        <f t="shared" ca="1" si="62"/>
        <v>110154.4284969967</v>
      </c>
      <c r="S166" s="85">
        <f t="shared" ca="1" si="62"/>
        <v>110154.4284969967</v>
      </c>
      <c r="T166" s="85">
        <f t="shared" ca="1" si="62"/>
        <v>110154.4284969967</v>
      </c>
      <c r="U166" s="85">
        <f t="shared" ca="1" si="62"/>
        <v>110154.4284969967</v>
      </c>
      <c r="V166" s="85">
        <f t="shared" ca="1" si="62"/>
        <v>110154.4284969967</v>
      </c>
      <c r="W166"/>
      <c r="X166"/>
      <c r="Y166"/>
      <c r="Z166"/>
      <c r="AA166" s="309"/>
      <c r="AB166"/>
      <c r="AC166"/>
      <c r="AD166"/>
      <c r="AE166"/>
    </row>
    <row r="167" spans="1:31">
      <c r="A167" s="85" t="s">
        <v>234</v>
      </c>
      <c r="B167" s="875">
        <v>0</v>
      </c>
      <c r="C167" s="875">
        <f ca="1">(C157-C168-C173-C191-C196-C214-C219-B178-B201-B224-B177)*1/12</f>
        <v>-903.89162663763966</v>
      </c>
      <c r="D167" s="875">
        <f ca="1">(D157-D168-D173-D191-D196-D214-D219-C178-C201-C224-C177)*5.5/12</f>
        <v>10068.443574887315</v>
      </c>
      <c r="E167" s="875">
        <f ca="1">(E157-E168-E173-E191-E196-E214-E219-D178-D201-D224-D177)*6/12</f>
        <v>11672.011861014873</v>
      </c>
      <c r="F167" s="875">
        <f ca="1">(F157-F168-F191-F214-E178-E201-E224-E177)</f>
        <v>-49619.265953674389</v>
      </c>
      <c r="G167" s="875">
        <v>0</v>
      </c>
      <c r="H167" s="875">
        <v>0</v>
      </c>
      <c r="I167" s="875">
        <v>0</v>
      </c>
      <c r="J167" s="875">
        <v>0</v>
      </c>
      <c r="K167" s="875">
        <v>0</v>
      </c>
      <c r="L167" s="875">
        <v>0</v>
      </c>
      <c r="M167" s="875">
        <v>0</v>
      </c>
      <c r="N167" s="875">
        <v>0</v>
      </c>
      <c r="O167" s="875">
        <v>0</v>
      </c>
      <c r="P167" s="875">
        <v>0</v>
      </c>
      <c r="Q167" s="875">
        <v>0</v>
      </c>
      <c r="R167" s="875">
        <v>0</v>
      </c>
      <c r="S167" s="875">
        <v>0</v>
      </c>
      <c r="T167" s="875">
        <v>0</v>
      </c>
      <c r="U167" s="875">
        <v>0</v>
      </c>
      <c r="V167" s="875">
        <v>0</v>
      </c>
      <c r="W167"/>
      <c r="X167"/>
      <c r="Y167"/>
      <c r="Z167"/>
      <c r="AA167" s="309"/>
      <c r="AB167"/>
      <c r="AC167"/>
      <c r="AD167"/>
      <c r="AE167"/>
    </row>
    <row r="168" spans="1:31">
      <c r="A168" s="85" t="s">
        <v>235</v>
      </c>
      <c r="B168" s="727">
        <v>0</v>
      </c>
      <c r="C168" s="85">
        <f>C166*$F$7*1/12</f>
        <v>648.375</v>
      </c>
      <c r="D168" s="85">
        <f t="shared" ref="D168:V168" ca="1" si="63">D166*$F$7*1/12</f>
        <v>722.40372422162261</v>
      </c>
      <c r="E168" s="85">
        <f t="shared" ca="1" si="63"/>
        <v>572.47544626102786</v>
      </c>
      <c r="F168" s="720">
        <f t="shared" ca="1" si="63"/>
        <v>413.15248435817483</v>
      </c>
      <c r="G168" s="85">
        <f t="shared" ca="1" si="63"/>
        <v>751.80397449200245</v>
      </c>
      <c r="H168" s="85">
        <f t="shared" ca="1" si="63"/>
        <v>751.80397449200245</v>
      </c>
      <c r="I168" s="85">
        <f t="shared" ca="1" si="63"/>
        <v>751.80397449200245</v>
      </c>
      <c r="J168" s="85">
        <f t="shared" ca="1" si="63"/>
        <v>751.80397449200245</v>
      </c>
      <c r="K168" s="85">
        <f t="shared" ca="1" si="63"/>
        <v>751.80397449200245</v>
      </c>
      <c r="L168" s="85">
        <f t="shared" ca="1" si="63"/>
        <v>751.80397449200245</v>
      </c>
      <c r="M168" s="85">
        <f t="shared" ca="1" si="63"/>
        <v>751.80397449200245</v>
      </c>
      <c r="N168" s="85">
        <f t="shared" ca="1" si="63"/>
        <v>751.80397449200245</v>
      </c>
      <c r="O168" s="85">
        <f t="shared" ca="1" si="63"/>
        <v>751.80397449200245</v>
      </c>
      <c r="P168" s="85">
        <f t="shared" ca="1" si="63"/>
        <v>751.80397449200245</v>
      </c>
      <c r="Q168" s="85">
        <f t="shared" ca="1" si="63"/>
        <v>751.80397449200245</v>
      </c>
      <c r="R168" s="85">
        <f t="shared" ca="1" si="63"/>
        <v>751.80397449200245</v>
      </c>
      <c r="S168" s="85">
        <f t="shared" ca="1" si="63"/>
        <v>751.80397449200245</v>
      </c>
      <c r="T168" s="85">
        <f t="shared" ca="1" si="63"/>
        <v>751.80397449200245</v>
      </c>
      <c r="U168" s="85">
        <f t="shared" ca="1" si="63"/>
        <v>751.80397449200245</v>
      </c>
      <c r="V168" s="85">
        <f t="shared" ca="1" si="63"/>
        <v>751.80397449200245</v>
      </c>
      <c r="W168"/>
      <c r="X168"/>
      <c r="Y168"/>
      <c r="Z168"/>
      <c r="AA168" s="309"/>
      <c r="AB168"/>
      <c r="AC168"/>
      <c r="AD168"/>
      <c r="AE168"/>
    </row>
    <row r="169" spans="1:31">
      <c r="A169" s="85" t="s">
        <v>236</v>
      </c>
      <c r="B169" s="727">
        <f>B166-B167</f>
        <v>95000</v>
      </c>
      <c r="C169" s="85">
        <f ca="1">C166-C167-B177</f>
        <v>95903.891626637633</v>
      </c>
      <c r="D169" s="85">
        <f t="shared" ref="D169:R169" ca="1" si="64">D166-D167</f>
        <v>95778.255944764358</v>
      </c>
      <c r="E169" s="85">
        <f t="shared" ca="1" si="64"/>
        <v>72207.174404337187</v>
      </c>
      <c r="F169" s="876">
        <f t="shared" ca="1" si="64"/>
        <v>110154.4284969967</v>
      </c>
      <c r="G169" s="85">
        <f t="shared" ca="1" si="64"/>
        <v>110154.4284969967</v>
      </c>
      <c r="H169" s="85">
        <f t="shared" ca="1" si="64"/>
        <v>110154.4284969967</v>
      </c>
      <c r="I169" s="85">
        <f t="shared" ca="1" si="64"/>
        <v>110154.4284969967</v>
      </c>
      <c r="J169" s="85">
        <f t="shared" ca="1" si="64"/>
        <v>110154.4284969967</v>
      </c>
      <c r="K169" s="85">
        <f t="shared" ca="1" si="64"/>
        <v>110154.4284969967</v>
      </c>
      <c r="L169" s="85">
        <f t="shared" ca="1" si="64"/>
        <v>110154.4284969967</v>
      </c>
      <c r="M169" s="85">
        <f t="shared" ca="1" si="64"/>
        <v>110154.4284969967</v>
      </c>
      <c r="N169" s="85">
        <f t="shared" ca="1" si="64"/>
        <v>110154.4284969967</v>
      </c>
      <c r="O169" s="85">
        <f t="shared" ca="1" si="64"/>
        <v>110154.4284969967</v>
      </c>
      <c r="P169" s="85">
        <f t="shared" ca="1" si="64"/>
        <v>110154.4284969967</v>
      </c>
      <c r="Q169" s="85">
        <f t="shared" ca="1" si="64"/>
        <v>110154.4284969967</v>
      </c>
      <c r="R169" s="85">
        <f t="shared" ca="1" si="64"/>
        <v>110154.4284969967</v>
      </c>
      <c r="S169" s="85">
        <f ca="1">S166-S167</f>
        <v>110154.4284969967</v>
      </c>
      <c r="T169" s="85">
        <f ca="1">T166-T167</f>
        <v>110154.4284969967</v>
      </c>
      <c r="U169" s="85">
        <f ca="1">U166-U167</f>
        <v>110154.4284969967</v>
      </c>
      <c r="V169" s="85">
        <f ca="1">V166-V167</f>
        <v>110154.4284969967</v>
      </c>
      <c r="W169"/>
      <c r="X169"/>
      <c r="Y169"/>
      <c r="Z169"/>
      <c r="AA169" s="309"/>
      <c r="AB169"/>
      <c r="AC169"/>
      <c r="AD169"/>
      <c r="AE169"/>
    </row>
    <row r="170" spans="1:31">
      <c r="A170" s="84" t="s">
        <v>376</v>
      </c>
      <c r="B170" s="727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/>
      <c r="X170"/>
      <c r="Y170"/>
      <c r="Z170"/>
      <c r="AA170" s="309"/>
      <c r="AB170"/>
      <c r="AC170"/>
      <c r="AD170"/>
      <c r="AE170"/>
    </row>
    <row r="171" spans="1:31">
      <c r="A171" s="85" t="s">
        <v>233</v>
      </c>
      <c r="B171" s="727">
        <f>B169</f>
        <v>95000</v>
      </c>
      <c r="C171" s="85">
        <f t="shared" ref="C171:V171" ca="1" si="65">C169</f>
        <v>95903.891626637633</v>
      </c>
      <c r="D171" s="85">
        <f t="shared" ca="1" si="65"/>
        <v>95778.255944764358</v>
      </c>
      <c r="E171" s="85">
        <f t="shared" ca="1" si="65"/>
        <v>72207.174404337187</v>
      </c>
      <c r="F171" s="85">
        <f t="shared" ca="1" si="65"/>
        <v>110154.4284969967</v>
      </c>
      <c r="G171" s="85">
        <f t="shared" ca="1" si="65"/>
        <v>110154.4284969967</v>
      </c>
      <c r="H171" s="85">
        <f t="shared" ca="1" si="65"/>
        <v>110154.4284969967</v>
      </c>
      <c r="I171" s="85">
        <f t="shared" ca="1" si="65"/>
        <v>110154.4284969967</v>
      </c>
      <c r="J171" s="85">
        <f t="shared" ca="1" si="65"/>
        <v>110154.4284969967</v>
      </c>
      <c r="K171" s="85">
        <f t="shared" ca="1" si="65"/>
        <v>110154.4284969967</v>
      </c>
      <c r="L171" s="85">
        <f t="shared" ca="1" si="65"/>
        <v>110154.4284969967</v>
      </c>
      <c r="M171" s="85">
        <f t="shared" ca="1" si="65"/>
        <v>110154.4284969967</v>
      </c>
      <c r="N171" s="85">
        <f t="shared" ca="1" si="65"/>
        <v>110154.4284969967</v>
      </c>
      <c r="O171" s="85">
        <f t="shared" ca="1" si="65"/>
        <v>110154.4284969967</v>
      </c>
      <c r="P171" s="85">
        <f t="shared" ca="1" si="65"/>
        <v>110154.4284969967</v>
      </c>
      <c r="Q171" s="85">
        <f t="shared" ca="1" si="65"/>
        <v>110154.4284969967</v>
      </c>
      <c r="R171" s="85">
        <f t="shared" ca="1" si="65"/>
        <v>110154.4284969967</v>
      </c>
      <c r="S171" s="85">
        <f t="shared" ca="1" si="65"/>
        <v>110154.4284969967</v>
      </c>
      <c r="T171" s="85">
        <f t="shared" ca="1" si="65"/>
        <v>110154.4284969967</v>
      </c>
      <c r="U171" s="85">
        <f t="shared" ca="1" si="65"/>
        <v>110154.4284969967</v>
      </c>
      <c r="V171" s="85">
        <f t="shared" ca="1" si="65"/>
        <v>110154.4284969967</v>
      </c>
      <c r="W171"/>
      <c r="X171"/>
      <c r="Y171"/>
      <c r="Z171"/>
      <c r="AA171" s="309"/>
      <c r="AB171"/>
      <c r="AC171"/>
      <c r="AD171"/>
      <c r="AE171"/>
    </row>
    <row r="172" spans="1:31">
      <c r="A172" s="85" t="s">
        <v>234</v>
      </c>
      <c r="B172" s="877">
        <v>0</v>
      </c>
      <c r="C172" s="878">
        <f ca="1">C157-C168-C173-B178-C191-C196-B201-C214-C219-B224-C167-B177</f>
        <v>-9942.8078930140364</v>
      </c>
      <c r="D172" s="878">
        <f ca="1">D157-D168-D173-C178-D191-D196-C201-D214-D219-C224-D167-C177</f>
        <v>11899.069679412289</v>
      </c>
      <c r="E172" s="878">
        <f ca="1">E157-E168-E173-D178-E191-E196-D201-E214-E219-D224-E167-D177</f>
        <v>11672.011861014873</v>
      </c>
      <c r="F172" s="875">
        <v>0</v>
      </c>
      <c r="G172" s="875">
        <v>0</v>
      </c>
      <c r="H172" s="875">
        <v>0</v>
      </c>
      <c r="I172" s="875">
        <v>0</v>
      </c>
      <c r="J172" s="875">
        <v>0</v>
      </c>
      <c r="K172" s="875">
        <v>0</v>
      </c>
      <c r="L172" s="875">
        <v>0</v>
      </c>
      <c r="M172" s="875">
        <v>0</v>
      </c>
      <c r="N172" s="875">
        <v>0</v>
      </c>
      <c r="O172" s="875">
        <v>0</v>
      </c>
      <c r="P172" s="875">
        <v>0</v>
      </c>
      <c r="Q172" s="875">
        <v>0</v>
      </c>
      <c r="R172" s="875">
        <v>0</v>
      </c>
      <c r="S172" s="875">
        <v>0</v>
      </c>
      <c r="T172" s="875">
        <v>0</v>
      </c>
      <c r="U172" s="875">
        <v>0</v>
      </c>
      <c r="V172" s="875">
        <v>0</v>
      </c>
      <c r="W172"/>
      <c r="X172"/>
      <c r="Y172"/>
      <c r="Z172"/>
      <c r="AA172" s="309"/>
      <c r="AB172"/>
      <c r="AC172"/>
      <c r="AD172"/>
      <c r="AE172"/>
    </row>
    <row r="173" spans="1:31">
      <c r="A173" s="85" t="s">
        <v>235</v>
      </c>
      <c r="B173" s="727">
        <v>0</v>
      </c>
      <c r="C173" s="85">
        <f t="shared" ref="C173:V173" ca="1" si="66">C171*$F$7*0.5</f>
        <v>3927.2643621108109</v>
      </c>
      <c r="D173" s="85">
        <f t="shared" ca="1" si="66"/>
        <v>3922.1195809381006</v>
      </c>
      <c r="E173" s="85">
        <f t="shared" ca="1" si="66"/>
        <v>2956.8837918576078</v>
      </c>
      <c r="F173" s="85">
        <f t="shared" ca="1" si="66"/>
        <v>4510.8238469520147</v>
      </c>
      <c r="G173" s="85">
        <f t="shared" ca="1" si="66"/>
        <v>4510.8238469520147</v>
      </c>
      <c r="H173" s="85">
        <f t="shared" ca="1" si="66"/>
        <v>4510.8238469520147</v>
      </c>
      <c r="I173" s="85">
        <f t="shared" ca="1" si="66"/>
        <v>4510.8238469520147</v>
      </c>
      <c r="J173" s="85">
        <f t="shared" ca="1" si="66"/>
        <v>4510.8238469520147</v>
      </c>
      <c r="K173" s="85">
        <f t="shared" ca="1" si="66"/>
        <v>4510.8238469520147</v>
      </c>
      <c r="L173" s="85">
        <f t="shared" ca="1" si="66"/>
        <v>4510.8238469520147</v>
      </c>
      <c r="M173" s="85">
        <f t="shared" ca="1" si="66"/>
        <v>4510.8238469520147</v>
      </c>
      <c r="N173" s="85">
        <f t="shared" ca="1" si="66"/>
        <v>4510.8238469520147</v>
      </c>
      <c r="O173" s="85">
        <f t="shared" ca="1" si="66"/>
        <v>4510.8238469520147</v>
      </c>
      <c r="P173" s="85">
        <f t="shared" ca="1" si="66"/>
        <v>4510.8238469520147</v>
      </c>
      <c r="Q173" s="85">
        <f t="shared" ca="1" si="66"/>
        <v>4510.8238469520147</v>
      </c>
      <c r="R173" s="85">
        <f t="shared" ca="1" si="66"/>
        <v>4510.8238469520147</v>
      </c>
      <c r="S173" s="85">
        <f t="shared" ca="1" si="66"/>
        <v>4510.8238469520147</v>
      </c>
      <c r="T173" s="85">
        <f t="shared" ca="1" si="66"/>
        <v>4510.8238469520147</v>
      </c>
      <c r="U173" s="85">
        <f t="shared" ca="1" si="66"/>
        <v>4510.8238469520147</v>
      </c>
      <c r="V173" s="85">
        <f t="shared" ca="1" si="66"/>
        <v>4510.8238469520147</v>
      </c>
      <c r="W173"/>
      <c r="X173"/>
      <c r="Y173"/>
      <c r="Z173"/>
      <c r="AA173" s="309"/>
      <c r="AB173"/>
      <c r="AC173"/>
      <c r="AD173"/>
      <c r="AE173"/>
    </row>
    <row r="174" spans="1:31">
      <c r="A174" s="85" t="s">
        <v>236</v>
      </c>
      <c r="B174" s="727">
        <f>B171-B172</f>
        <v>95000</v>
      </c>
      <c r="C174" s="85">
        <f t="shared" ref="C174:R174" ca="1" si="67">C171-C172</f>
        <v>105846.69951965167</v>
      </c>
      <c r="D174" s="85">
        <f t="shared" ca="1" si="67"/>
        <v>83879.186265352066</v>
      </c>
      <c r="E174" s="85">
        <f t="shared" ca="1" si="67"/>
        <v>60535.162543322316</v>
      </c>
      <c r="F174" s="85">
        <f t="shared" ca="1" si="67"/>
        <v>110154.4284969967</v>
      </c>
      <c r="G174" s="85">
        <f t="shared" ca="1" si="67"/>
        <v>110154.4284969967</v>
      </c>
      <c r="H174" s="85">
        <f t="shared" ca="1" si="67"/>
        <v>110154.4284969967</v>
      </c>
      <c r="I174" s="85">
        <f t="shared" ca="1" si="67"/>
        <v>110154.4284969967</v>
      </c>
      <c r="J174" s="85">
        <f t="shared" ca="1" si="67"/>
        <v>110154.4284969967</v>
      </c>
      <c r="K174" s="85">
        <f t="shared" ca="1" si="67"/>
        <v>110154.4284969967</v>
      </c>
      <c r="L174" s="85">
        <f t="shared" ca="1" si="67"/>
        <v>110154.4284969967</v>
      </c>
      <c r="M174" s="85">
        <f t="shared" ca="1" si="67"/>
        <v>110154.4284969967</v>
      </c>
      <c r="N174" s="85">
        <f t="shared" ca="1" si="67"/>
        <v>110154.4284969967</v>
      </c>
      <c r="O174" s="85">
        <f t="shared" ca="1" si="67"/>
        <v>110154.4284969967</v>
      </c>
      <c r="P174" s="85">
        <f t="shared" ca="1" si="67"/>
        <v>110154.4284969967</v>
      </c>
      <c r="Q174" s="85">
        <f t="shared" ca="1" si="67"/>
        <v>110154.4284969967</v>
      </c>
      <c r="R174" s="85">
        <f t="shared" ca="1" si="67"/>
        <v>110154.4284969967</v>
      </c>
      <c r="S174" s="85">
        <f ca="1">S171-S172</f>
        <v>110154.4284969967</v>
      </c>
      <c r="T174" s="85">
        <f ca="1">T171-T172</f>
        <v>110154.4284969967</v>
      </c>
      <c r="U174" s="85">
        <f ca="1">U171-U172</f>
        <v>110154.4284969967</v>
      </c>
      <c r="V174" s="85">
        <f ca="1">V171-V172</f>
        <v>110154.4284969967</v>
      </c>
      <c r="W174"/>
      <c r="X174"/>
      <c r="Y174"/>
      <c r="Z174"/>
      <c r="AA174" s="309"/>
      <c r="AB174"/>
      <c r="AC174"/>
      <c r="AD174"/>
      <c r="AE174"/>
    </row>
    <row r="175" spans="1:31">
      <c r="A175" s="87" t="s">
        <v>377</v>
      </c>
      <c r="B175" s="727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/>
      <c r="X175"/>
      <c r="Y175"/>
      <c r="Z175"/>
      <c r="AA175" s="309"/>
      <c r="AB175"/>
      <c r="AC175"/>
      <c r="AD175"/>
      <c r="AE175"/>
    </row>
    <row r="176" spans="1:31">
      <c r="A176" s="85" t="s">
        <v>233</v>
      </c>
      <c r="B176" s="727">
        <f>B174</f>
        <v>95000</v>
      </c>
      <c r="C176" s="85">
        <f t="shared" ref="C176:V176" ca="1" si="68">C174</f>
        <v>105846.69951965167</v>
      </c>
      <c r="D176" s="85">
        <f t="shared" ca="1" si="68"/>
        <v>83879.186265352066</v>
      </c>
      <c r="E176" s="85">
        <f t="shared" ca="1" si="68"/>
        <v>60535.162543322316</v>
      </c>
      <c r="F176" s="85">
        <f t="shared" ca="1" si="68"/>
        <v>110154.4284969967</v>
      </c>
      <c r="G176" s="85">
        <f t="shared" ca="1" si="68"/>
        <v>110154.4284969967</v>
      </c>
      <c r="H176" s="85">
        <f t="shared" ca="1" si="68"/>
        <v>110154.4284969967</v>
      </c>
      <c r="I176" s="85">
        <f t="shared" ca="1" si="68"/>
        <v>110154.4284969967</v>
      </c>
      <c r="J176" s="85">
        <f t="shared" ca="1" si="68"/>
        <v>110154.4284969967</v>
      </c>
      <c r="K176" s="85">
        <f t="shared" ca="1" si="68"/>
        <v>110154.4284969967</v>
      </c>
      <c r="L176" s="85">
        <f t="shared" ca="1" si="68"/>
        <v>110154.4284969967</v>
      </c>
      <c r="M176" s="85">
        <f t="shared" ca="1" si="68"/>
        <v>110154.4284969967</v>
      </c>
      <c r="N176" s="85">
        <f t="shared" ca="1" si="68"/>
        <v>110154.4284969967</v>
      </c>
      <c r="O176" s="85">
        <f t="shared" ca="1" si="68"/>
        <v>110154.4284969967</v>
      </c>
      <c r="P176" s="85">
        <f t="shared" ca="1" si="68"/>
        <v>110154.4284969967</v>
      </c>
      <c r="Q176" s="85">
        <f t="shared" ca="1" si="68"/>
        <v>110154.4284969967</v>
      </c>
      <c r="R176" s="85">
        <f t="shared" ca="1" si="68"/>
        <v>110154.4284969967</v>
      </c>
      <c r="S176" s="85">
        <f t="shared" ca="1" si="68"/>
        <v>110154.4284969967</v>
      </c>
      <c r="T176" s="85">
        <f t="shared" ca="1" si="68"/>
        <v>110154.4284969967</v>
      </c>
      <c r="U176" s="85">
        <f t="shared" ca="1" si="68"/>
        <v>110154.4284969967</v>
      </c>
      <c r="V176" s="85">
        <f t="shared" ca="1" si="68"/>
        <v>110154.4284969967</v>
      </c>
      <c r="W176"/>
      <c r="X176"/>
      <c r="Y176"/>
      <c r="Z176"/>
      <c r="AA176" s="309"/>
      <c r="AB176"/>
      <c r="AC176"/>
      <c r="AD176"/>
      <c r="AE176"/>
    </row>
    <row r="177" spans="1:31">
      <c r="A177" s="85" t="s">
        <v>371</v>
      </c>
      <c r="B177" s="879">
        <f>B111</f>
        <v>0</v>
      </c>
      <c r="C177" s="85">
        <v>0</v>
      </c>
      <c r="D177" s="85">
        <v>0</v>
      </c>
      <c r="E177" s="85">
        <v>0</v>
      </c>
      <c r="F177" s="85">
        <v>0</v>
      </c>
      <c r="G177" s="85">
        <v>0</v>
      </c>
      <c r="H177" s="85">
        <v>0</v>
      </c>
      <c r="I177" s="85">
        <v>0</v>
      </c>
      <c r="J177" s="85">
        <v>0</v>
      </c>
      <c r="K177" s="85">
        <v>0</v>
      </c>
      <c r="L177" s="85">
        <v>0</v>
      </c>
      <c r="M177" s="85">
        <v>0</v>
      </c>
      <c r="N177" s="85">
        <v>0</v>
      </c>
      <c r="O177" s="85">
        <v>0</v>
      </c>
      <c r="P177" s="85">
        <v>0</v>
      </c>
      <c r="Q177" s="85">
        <v>0</v>
      </c>
      <c r="R177" s="85">
        <v>0</v>
      </c>
      <c r="S177" s="85">
        <v>0</v>
      </c>
      <c r="T177" s="85">
        <v>0</v>
      </c>
      <c r="U177" s="85">
        <v>0</v>
      </c>
      <c r="V177" s="85">
        <v>0</v>
      </c>
      <c r="W177"/>
      <c r="X177"/>
      <c r="Y177"/>
      <c r="Z177"/>
      <c r="AA177" s="309"/>
      <c r="AB177"/>
      <c r="AC177"/>
      <c r="AD177"/>
      <c r="AE177"/>
    </row>
    <row r="178" spans="1:31">
      <c r="A178" s="85" t="s">
        <v>369</v>
      </c>
      <c r="B178" s="727">
        <f>B176*$F$7*3/12</f>
        <v>1945.125</v>
      </c>
      <c r="C178" s="85">
        <f ca="1">C176*$F$7*5/12</f>
        <v>3612.0186211081127</v>
      </c>
      <c r="D178" s="85">
        <f t="shared" ref="D178:V178" ca="1" si="69">D176*$F$7*5/12</f>
        <v>2862.3772313051395</v>
      </c>
      <c r="E178" s="85">
        <f t="shared" ca="1" si="69"/>
        <v>2065.7624217908742</v>
      </c>
      <c r="F178" s="85">
        <f t="shared" ca="1" si="69"/>
        <v>3759.0198724600123</v>
      </c>
      <c r="G178" s="85">
        <f t="shared" ca="1" si="69"/>
        <v>3759.0198724600123</v>
      </c>
      <c r="H178" s="85">
        <f t="shared" ca="1" si="69"/>
        <v>3759.0198724600123</v>
      </c>
      <c r="I178" s="85">
        <f t="shared" ca="1" si="69"/>
        <v>3759.0198724600123</v>
      </c>
      <c r="J178" s="85">
        <f t="shared" ca="1" si="69"/>
        <v>3759.0198724600123</v>
      </c>
      <c r="K178" s="85">
        <f t="shared" ca="1" si="69"/>
        <v>3759.0198724600123</v>
      </c>
      <c r="L178" s="85">
        <f t="shared" ca="1" si="69"/>
        <v>3759.0198724600123</v>
      </c>
      <c r="M178" s="85">
        <f t="shared" ca="1" si="69"/>
        <v>3759.0198724600123</v>
      </c>
      <c r="N178" s="85">
        <f t="shared" ca="1" si="69"/>
        <v>3759.0198724600123</v>
      </c>
      <c r="O178" s="85">
        <f t="shared" ca="1" si="69"/>
        <v>3759.0198724600123</v>
      </c>
      <c r="P178" s="85">
        <f t="shared" ca="1" si="69"/>
        <v>3759.0198724600123</v>
      </c>
      <c r="Q178" s="85">
        <f t="shared" ca="1" si="69"/>
        <v>3759.0198724600123</v>
      </c>
      <c r="R178" s="85">
        <f t="shared" ca="1" si="69"/>
        <v>3759.0198724600123</v>
      </c>
      <c r="S178" s="85">
        <f t="shared" ca="1" si="69"/>
        <v>3759.0198724600123</v>
      </c>
      <c r="T178" s="85">
        <f t="shared" ca="1" si="69"/>
        <v>3759.0198724600123</v>
      </c>
      <c r="U178" s="85">
        <f t="shared" ca="1" si="69"/>
        <v>3759.0198724600123</v>
      </c>
      <c r="V178" s="85">
        <f t="shared" ca="1" si="69"/>
        <v>3759.0198724600123</v>
      </c>
      <c r="W178"/>
      <c r="X178"/>
      <c r="Y178"/>
      <c r="Z178"/>
      <c r="AA178" s="309"/>
      <c r="AB178"/>
      <c r="AC178"/>
      <c r="AD178"/>
      <c r="AE178"/>
    </row>
    <row r="179" spans="1:31">
      <c r="A179" s="85" t="s">
        <v>236</v>
      </c>
      <c r="B179" s="727">
        <f>B176</f>
        <v>95000</v>
      </c>
      <c r="C179" s="85">
        <f t="shared" ref="C179:R179" ca="1" si="70">C176-C177</f>
        <v>105846.69951965167</v>
      </c>
      <c r="D179" s="85">
        <f t="shared" ca="1" si="70"/>
        <v>83879.186265352066</v>
      </c>
      <c r="E179" s="85">
        <f t="shared" ca="1" si="70"/>
        <v>60535.162543322316</v>
      </c>
      <c r="F179" s="85">
        <f t="shared" ca="1" si="70"/>
        <v>110154.4284969967</v>
      </c>
      <c r="G179" s="85">
        <f t="shared" ca="1" si="70"/>
        <v>110154.4284969967</v>
      </c>
      <c r="H179" s="85">
        <f t="shared" ca="1" si="70"/>
        <v>110154.4284969967</v>
      </c>
      <c r="I179" s="85">
        <f t="shared" ca="1" si="70"/>
        <v>110154.4284969967</v>
      </c>
      <c r="J179" s="85">
        <f t="shared" ca="1" si="70"/>
        <v>110154.4284969967</v>
      </c>
      <c r="K179" s="85">
        <f t="shared" ca="1" si="70"/>
        <v>110154.4284969967</v>
      </c>
      <c r="L179" s="85">
        <f t="shared" ca="1" si="70"/>
        <v>110154.4284969967</v>
      </c>
      <c r="M179" s="85">
        <f t="shared" ca="1" si="70"/>
        <v>110154.4284969967</v>
      </c>
      <c r="N179" s="85">
        <f t="shared" ca="1" si="70"/>
        <v>110154.4284969967</v>
      </c>
      <c r="O179" s="85">
        <f t="shared" ca="1" si="70"/>
        <v>110154.4284969967</v>
      </c>
      <c r="P179" s="85">
        <f t="shared" ca="1" si="70"/>
        <v>110154.4284969967</v>
      </c>
      <c r="Q179" s="85">
        <f t="shared" ca="1" si="70"/>
        <v>110154.4284969967</v>
      </c>
      <c r="R179" s="85">
        <f t="shared" ca="1" si="70"/>
        <v>110154.4284969967</v>
      </c>
      <c r="S179" s="85">
        <f ca="1">S176-S177</f>
        <v>110154.4284969967</v>
      </c>
      <c r="T179" s="85">
        <f ca="1">T176-T177</f>
        <v>110154.4284969967</v>
      </c>
      <c r="U179" s="85">
        <f ca="1">U176-U177</f>
        <v>110154.4284969967</v>
      </c>
      <c r="V179" s="85">
        <f ca="1">V176-V177</f>
        <v>110154.4284969967</v>
      </c>
      <c r="W179"/>
      <c r="X179"/>
      <c r="Y179"/>
      <c r="Z179"/>
      <c r="AA179" s="309"/>
      <c r="AB179"/>
      <c r="AC179"/>
      <c r="AD179"/>
      <c r="AE179"/>
    </row>
    <row r="180" spans="1:31">
      <c r="A180" s="85"/>
      <c r="B180" s="727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/>
      <c r="X180"/>
      <c r="Y180"/>
      <c r="Z180"/>
      <c r="AA180" s="309"/>
      <c r="AB180"/>
      <c r="AC180"/>
      <c r="AD180"/>
      <c r="AE180"/>
    </row>
    <row r="181" spans="1:31">
      <c r="A181" s="89" t="s">
        <v>355</v>
      </c>
      <c r="B181" s="727">
        <v>0</v>
      </c>
      <c r="C181" s="85">
        <f t="shared" ref="C181:V181" ca="1" si="71">C168+C173+B178</f>
        <v>6520.7643621108109</v>
      </c>
      <c r="D181" s="85">
        <f t="shared" ca="1" si="71"/>
        <v>8256.541926267837</v>
      </c>
      <c r="E181" s="85">
        <f t="shared" ca="1" si="71"/>
        <v>6391.7364694237749</v>
      </c>
      <c r="F181" s="85">
        <f t="shared" ca="1" si="71"/>
        <v>6989.7387531010636</v>
      </c>
      <c r="G181" s="85">
        <f t="shared" ca="1" si="71"/>
        <v>9021.6476939040294</v>
      </c>
      <c r="H181" s="85">
        <f t="shared" ca="1" si="71"/>
        <v>9021.6476939040294</v>
      </c>
      <c r="I181" s="85">
        <f t="shared" ca="1" si="71"/>
        <v>9021.6476939040294</v>
      </c>
      <c r="J181" s="85">
        <f t="shared" ca="1" si="71"/>
        <v>9021.6476939040294</v>
      </c>
      <c r="K181" s="85">
        <f t="shared" ca="1" si="71"/>
        <v>9021.6476939040294</v>
      </c>
      <c r="L181" s="85">
        <f t="shared" ca="1" si="71"/>
        <v>9021.6476939040294</v>
      </c>
      <c r="M181" s="85">
        <f t="shared" ca="1" si="71"/>
        <v>9021.6476939040294</v>
      </c>
      <c r="N181" s="85">
        <f t="shared" ca="1" si="71"/>
        <v>9021.6476939040294</v>
      </c>
      <c r="O181" s="85">
        <f t="shared" ca="1" si="71"/>
        <v>9021.6476939040294</v>
      </c>
      <c r="P181" s="85">
        <f t="shared" ca="1" si="71"/>
        <v>9021.6476939040294</v>
      </c>
      <c r="Q181" s="85">
        <f t="shared" ca="1" si="71"/>
        <v>9021.6476939040294</v>
      </c>
      <c r="R181" s="85">
        <f t="shared" ca="1" si="71"/>
        <v>9021.6476939040294</v>
      </c>
      <c r="S181" s="85">
        <f t="shared" ca="1" si="71"/>
        <v>9021.6476939040294</v>
      </c>
      <c r="T181" s="85">
        <f t="shared" ca="1" si="71"/>
        <v>9021.6476939040294</v>
      </c>
      <c r="U181" s="85">
        <f t="shared" ca="1" si="71"/>
        <v>9021.6476939040294</v>
      </c>
      <c r="V181" s="85">
        <f t="shared" ca="1" si="71"/>
        <v>9021.6476939040294</v>
      </c>
      <c r="W181"/>
      <c r="X181"/>
      <c r="Y181"/>
      <c r="Z181"/>
      <c r="AA181" s="309"/>
      <c r="AB181"/>
      <c r="AC181"/>
      <c r="AD181"/>
      <c r="AE181"/>
    </row>
    <row r="182" spans="1:31">
      <c r="A182" s="21" t="s">
        <v>356</v>
      </c>
      <c r="B182" s="727">
        <f>B168+B173+B178</f>
        <v>1945.125</v>
      </c>
      <c r="C182" s="85">
        <f ca="1">C168+C173+C178</f>
        <v>8187.6579832189236</v>
      </c>
      <c r="D182" s="85">
        <f t="shared" ref="D182:V182" ca="1" si="72">D168+D173+D178</f>
        <v>7506.9005364648629</v>
      </c>
      <c r="E182" s="85">
        <f t="shared" ca="1" si="72"/>
        <v>5595.1216599095096</v>
      </c>
      <c r="F182" s="85">
        <f t="shared" ca="1" si="72"/>
        <v>8682.9962037702026</v>
      </c>
      <c r="G182" s="85">
        <f t="shared" ca="1" si="72"/>
        <v>9021.6476939040294</v>
      </c>
      <c r="H182" s="85">
        <f t="shared" ca="1" si="72"/>
        <v>9021.6476939040294</v>
      </c>
      <c r="I182" s="85">
        <f t="shared" ca="1" si="72"/>
        <v>9021.6476939040294</v>
      </c>
      <c r="J182" s="85">
        <f t="shared" ca="1" si="72"/>
        <v>9021.6476939040294</v>
      </c>
      <c r="K182" s="85">
        <f t="shared" ca="1" si="72"/>
        <v>9021.6476939040294</v>
      </c>
      <c r="L182" s="85">
        <f t="shared" ca="1" si="72"/>
        <v>9021.6476939040294</v>
      </c>
      <c r="M182" s="85">
        <f t="shared" ca="1" si="72"/>
        <v>9021.6476939040294</v>
      </c>
      <c r="N182" s="85">
        <f t="shared" ca="1" si="72"/>
        <v>9021.6476939040294</v>
      </c>
      <c r="O182" s="85">
        <f t="shared" ca="1" si="72"/>
        <v>9021.6476939040294</v>
      </c>
      <c r="P182" s="85">
        <f t="shared" ca="1" si="72"/>
        <v>9021.6476939040294</v>
      </c>
      <c r="Q182" s="85">
        <f t="shared" ca="1" si="72"/>
        <v>9021.6476939040294</v>
      </c>
      <c r="R182" s="85">
        <f t="shared" ca="1" si="72"/>
        <v>9021.6476939040294</v>
      </c>
      <c r="S182" s="85">
        <f t="shared" ca="1" si="72"/>
        <v>9021.6476939040294</v>
      </c>
      <c r="T182" s="85">
        <f t="shared" ca="1" si="72"/>
        <v>9021.6476939040294</v>
      </c>
      <c r="U182" s="85">
        <f t="shared" ca="1" si="72"/>
        <v>9021.6476939040294</v>
      </c>
      <c r="V182" s="85">
        <f t="shared" ca="1" si="72"/>
        <v>9021.6476939040294</v>
      </c>
      <c r="W182"/>
      <c r="X182"/>
      <c r="Y182"/>
      <c r="Z182"/>
      <c r="AA182" s="22"/>
      <c r="AB182"/>
      <c r="AC182"/>
      <c r="AD182"/>
      <c r="AE182"/>
    </row>
    <row r="183" spans="1:31">
      <c r="A183" s="89" t="s">
        <v>373</v>
      </c>
      <c r="B183" s="727">
        <f>B167+B172</f>
        <v>0</v>
      </c>
      <c r="C183" s="727">
        <f t="shared" ref="C183:V183" ca="1" si="73">C167+C172+B177</f>
        <v>-10846.699519651676</v>
      </c>
      <c r="D183" s="727">
        <f t="shared" ca="1" si="73"/>
        <v>21967.513254299603</v>
      </c>
      <c r="E183" s="727">
        <f t="shared" ca="1" si="73"/>
        <v>23344.023722029746</v>
      </c>
      <c r="F183" s="727">
        <f t="shared" ca="1" si="73"/>
        <v>-49619.265953674389</v>
      </c>
      <c r="G183" s="727">
        <f t="shared" si="73"/>
        <v>0</v>
      </c>
      <c r="H183" s="727">
        <f t="shared" si="73"/>
        <v>0</v>
      </c>
      <c r="I183" s="727">
        <f t="shared" si="73"/>
        <v>0</v>
      </c>
      <c r="J183" s="727">
        <f t="shared" si="73"/>
        <v>0</v>
      </c>
      <c r="K183" s="727">
        <f t="shared" si="73"/>
        <v>0</v>
      </c>
      <c r="L183" s="727">
        <f t="shared" si="73"/>
        <v>0</v>
      </c>
      <c r="M183" s="727">
        <f t="shared" si="73"/>
        <v>0</v>
      </c>
      <c r="N183" s="727">
        <f t="shared" si="73"/>
        <v>0</v>
      </c>
      <c r="O183" s="727">
        <f t="shared" si="73"/>
        <v>0</v>
      </c>
      <c r="P183" s="727">
        <f t="shared" si="73"/>
        <v>0</v>
      </c>
      <c r="Q183" s="727">
        <f t="shared" si="73"/>
        <v>0</v>
      </c>
      <c r="R183" s="727">
        <f t="shared" si="73"/>
        <v>0</v>
      </c>
      <c r="S183" s="727">
        <f t="shared" si="73"/>
        <v>0</v>
      </c>
      <c r="T183" s="727">
        <f t="shared" si="73"/>
        <v>0</v>
      </c>
      <c r="U183" s="727">
        <f t="shared" si="73"/>
        <v>0</v>
      </c>
      <c r="V183" s="727">
        <f t="shared" si="73"/>
        <v>0</v>
      </c>
      <c r="W183"/>
      <c r="X183"/>
      <c r="Y183"/>
      <c r="Z183"/>
      <c r="AA183" s="22"/>
      <c r="AB183"/>
      <c r="AC183"/>
      <c r="AD183"/>
      <c r="AE183"/>
    </row>
    <row r="184" spans="1:31">
      <c r="A184" s="89" t="s">
        <v>370</v>
      </c>
      <c r="B184" s="727">
        <f>B177</f>
        <v>0</v>
      </c>
      <c r="C184" s="727">
        <f t="shared" ref="C184:V184" si="74">C177</f>
        <v>0</v>
      </c>
      <c r="D184" s="727">
        <f t="shared" si="74"/>
        <v>0</v>
      </c>
      <c r="E184" s="727">
        <f t="shared" si="74"/>
        <v>0</v>
      </c>
      <c r="F184" s="727">
        <f t="shared" si="74"/>
        <v>0</v>
      </c>
      <c r="G184" s="727">
        <f t="shared" si="74"/>
        <v>0</v>
      </c>
      <c r="H184" s="727">
        <f t="shared" si="74"/>
        <v>0</v>
      </c>
      <c r="I184" s="727">
        <f t="shared" si="74"/>
        <v>0</v>
      </c>
      <c r="J184" s="727">
        <f t="shared" si="74"/>
        <v>0</v>
      </c>
      <c r="K184" s="727">
        <f t="shared" si="74"/>
        <v>0</v>
      </c>
      <c r="L184" s="727">
        <f t="shared" si="74"/>
        <v>0</v>
      </c>
      <c r="M184" s="727">
        <f t="shared" si="74"/>
        <v>0</v>
      </c>
      <c r="N184" s="727">
        <f t="shared" si="74"/>
        <v>0</v>
      </c>
      <c r="O184" s="727">
        <f t="shared" si="74"/>
        <v>0</v>
      </c>
      <c r="P184" s="727">
        <f t="shared" si="74"/>
        <v>0</v>
      </c>
      <c r="Q184" s="727">
        <f t="shared" si="74"/>
        <v>0</v>
      </c>
      <c r="R184" s="727">
        <f t="shared" si="74"/>
        <v>0</v>
      </c>
      <c r="S184" s="727">
        <f t="shared" si="74"/>
        <v>0</v>
      </c>
      <c r="T184" s="727">
        <f t="shared" si="74"/>
        <v>0</v>
      </c>
      <c r="U184" s="727">
        <f t="shared" si="74"/>
        <v>0</v>
      </c>
      <c r="V184" s="727">
        <f t="shared" si="74"/>
        <v>0</v>
      </c>
      <c r="W184"/>
      <c r="X184"/>
      <c r="Y184"/>
      <c r="Z184"/>
      <c r="AA184" s="22"/>
      <c r="AB184"/>
      <c r="AC184"/>
      <c r="AD184"/>
      <c r="AE184"/>
    </row>
    <row r="185" spans="1:31">
      <c r="B185" s="23"/>
      <c r="W185"/>
      <c r="X185"/>
      <c r="Y185"/>
      <c r="Z185"/>
      <c r="AA185" s="22"/>
      <c r="AB185"/>
      <c r="AC185"/>
      <c r="AD185"/>
      <c r="AE185"/>
    </row>
    <row r="186" spans="1:31">
      <c r="B186" s="23"/>
      <c r="W186"/>
      <c r="X186"/>
      <c r="Y186"/>
      <c r="Z186"/>
      <c r="AA186" s="22"/>
      <c r="AB186"/>
      <c r="AC186"/>
      <c r="AD186"/>
      <c r="AE186"/>
    </row>
    <row r="187" spans="1:31">
      <c r="A187" s="82" t="str">
        <f>A51</f>
        <v>Tranche 2 @ 9.72%</v>
      </c>
      <c r="B187" s="23"/>
      <c r="C187" s="83"/>
      <c r="AA187" s="22"/>
      <c r="AB187"/>
      <c r="AC187"/>
      <c r="AD187"/>
      <c r="AE187"/>
    </row>
    <row r="188" spans="1:31">
      <c r="A188" s="84" t="s">
        <v>375</v>
      </c>
      <c r="B188" s="727"/>
      <c r="AA188" s="22"/>
      <c r="AB188"/>
      <c r="AC188"/>
      <c r="AD188"/>
      <c r="AE188"/>
    </row>
    <row r="189" spans="1:31">
      <c r="A189" s="85" t="s">
        <v>233</v>
      </c>
      <c r="B189" s="728">
        <f>D160</f>
        <v>210000</v>
      </c>
      <c r="C189" s="85">
        <f t="shared" ref="C189:V189" si="75">B202</f>
        <v>210000</v>
      </c>
      <c r="D189" s="85">
        <f t="shared" si="75"/>
        <v>210000</v>
      </c>
      <c r="E189" s="85">
        <f t="shared" si="75"/>
        <v>210000</v>
      </c>
      <c r="F189" s="85">
        <f t="shared" si="75"/>
        <v>210000</v>
      </c>
      <c r="G189" s="85">
        <f t="shared" si="75"/>
        <v>147917.64447052107</v>
      </c>
      <c r="H189" s="85">
        <f t="shared" ca="1" si="75"/>
        <v>121892.08562635387</v>
      </c>
      <c r="I189" s="85">
        <f t="shared" ca="1" si="75"/>
        <v>91323.749310987521</v>
      </c>
      <c r="J189" s="85">
        <f t="shared" ca="1" si="75"/>
        <v>58830.753759054256</v>
      </c>
      <c r="K189" s="85">
        <f t="shared" ca="1" si="75"/>
        <v>22558.053705514736</v>
      </c>
      <c r="L189" s="85">
        <f t="shared" ca="1" si="75"/>
        <v>-17407.596135009735</v>
      </c>
      <c r="M189" s="85">
        <f t="shared" ca="1" si="75"/>
        <v>0</v>
      </c>
      <c r="N189" s="85">
        <f t="shared" ca="1" si="75"/>
        <v>0</v>
      </c>
      <c r="O189" s="85">
        <f t="shared" ca="1" si="75"/>
        <v>0</v>
      </c>
      <c r="P189" s="85">
        <f t="shared" ca="1" si="75"/>
        <v>0</v>
      </c>
      <c r="Q189" s="85">
        <f t="shared" ca="1" si="75"/>
        <v>0</v>
      </c>
      <c r="R189" s="85">
        <f t="shared" ca="1" si="75"/>
        <v>0</v>
      </c>
      <c r="S189" s="85">
        <f t="shared" ca="1" si="75"/>
        <v>0</v>
      </c>
      <c r="T189" s="85">
        <f t="shared" ca="1" si="75"/>
        <v>0</v>
      </c>
      <c r="U189" s="85">
        <f t="shared" ca="1" si="75"/>
        <v>0</v>
      </c>
      <c r="V189" s="85">
        <f t="shared" ca="1" si="75"/>
        <v>0</v>
      </c>
      <c r="W189" s="85"/>
      <c r="X189" s="85"/>
      <c r="Y189" s="85"/>
      <c r="Z189" s="85"/>
      <c r="AA189" s="309"/>
      <c r="AB189"/>
      <c r="AC189"/>
      <c r="AD189"/>
      <c r="AE189"/>
    </row>
    <row r="190" spans="1:31">
      <c r="A190" s="85" t="s">
        <v>234</v>
      </c>
      <c r="B190" s="309">
        <v>0</v>
      </c>
      <c r="C190" s="720">
        <v>0</v>
      </c>
      <c r="D190" s="720">
        <v>0</v>
      </c>
      <c r="E190" s="720">
        <v>0</v>
      </c>
      <c r="F190" s="720">
        <v>0</v>
      </c>
      <c r="G190" s="875">
        <f ca="1">5/12*(G158-G191-F201-G214-F224-G196-G219)</f>
        <v>10843.982851736335</v>
      </c>
      <c r="H190" s="875">
        <f ca="1">6/12*(H158-H191-G201-H214-G224-H196-H219)</f>
        <v>15284.168157683176</v>
      </c>
      <c r="I190" s="875">
        <f ca="1">6/12*(I158-I191-H201-I214-H224-I196-I219)</f>
        <v>16246.497775966629</v>
      </c>
      <c r="J190" s="875">
        <f ca="1">6/12*(J158-J191-I201-J214-I224-J196-J219)</f>
        <v>18136.35002676976</v>
      </c>
      <c r="K190" s="875">
        <f ca="1">6/12*(K158-K191-J201-K214-J224-K196-K219)</f>
        <v>19982.824920262236</v>
      </c>
      <c r="L190" s="880">
        <f ca="1">L189/2</f>
        <v>-8703.7980675048675</v>
      </c>
      <c r="M190" s="720">
        <v>0</v>
      </c>
      <c r="N190" s="720">
        <v>0</v>
      </c>
      <c r="O190" s="720">
        <v>0</v>
      </c>
      <c r="P190" s="720">
        <v>0</v>
      </c>
      <c r="Q190" s="720">
        <v>0</v>
      </c>
      <c r="R190" s="720">
        <v>0</v>
      </c>
      <c r="S190" s="720">
        <v>0</v>
      </c>
      <c r="T190" s="720">
        <v>0</v>
      </c>
      <c r="U190" s="720">
        <v>0</v>
      </c>
      <c r="V190" s="720">
        <v>0</v>
      </c>
      <c r="W190" s="85"/>
      <c r="X190" s="85"/>
      <c r="Y190" s="85"/>
      <c r="Z190" s="85"/>
      <c r="AA190" s="309"/>
      <c r="AB190"/>
      <c r="AC190"/>
      <c r="AD190"/>
      <c r="AE190"/>
    </row>
    <row r="191" spans="1:31">
      <c r="A191" s="85" t="s">
        <v>235</v>
      </c>
      <c r="B191" s="727">
        <v>0</v>
      </c>
      <c r="C191" s="85">
        <f t="shared" ref="C191:L191" si="76">C189*$L$7*1/12</f>
        <v>1701</v>
      </c>
      <c r="D191" s="85">
        <f t="shared" si="76"/>
        <v>1701</v>
      </c>
      <c r="E191" s="85">
        <f t="shared" si="76"/>
        <v>1701</v>
      </c>
      <c r="F191" s="85">
        <f t="shared" si="76"/>
        <v>1701</v>
      </c>
      <c r="G191" s="85">
        <f t="shared" si="76"/>
        <v>1198.1329202112208</v>
      </c>
      <c r="H191" s="85">
        <f t="shared" ca="1" si="76"/>
        <v>987.32589357346649</v>
      </c>
      <c r="I191" s="85">
        <f t="shared" ca="1" si="76"/>
        <v>739.72236941899894</v>
      </c>
      <c r="J191" s="85">
        <f t="shared" ca="1" si="76"/>
        <v>476.52910544833952</v>
      </c>
      <c r="K191" s="85">
        <f t="shared" ca="1" si="76"/>
        <v>182.72023501466938</v>
      </c>
      <c r="L191" s="85">
        <f t="shared" ca="1" si="76"/>
        <v>-141.00152869357888</v>
      </c>
      <c r="M191" s="85">
        <v>0</v>
      </c>
      <c r="N191" s="85">
        <f t="shared" ref="N191:V191" ca="1" si="77">N189*$L$7*1/12</f>
        <v>0</v>
      </c>
      <c r="O191" s="85">
        <f t="shared" ca="1" si="77"/>
        <v>0</v>
      </c>
      <c r="P191" s="85">
        <f t="shared" ca="1" si="77"/>
        <v>0</v>
      </c>
      <c r="Q191" s="85">
        <f t="shared" ca="1" si="77"/>
        <v>0</v>
      </c>
      <c r="R191" s="85">
        <f t="shared" ca="1" si="77"/>
        <v>0</v>
      </c>
      <c r="S191" s="85">
        <f t="shared" ca="1" si="77"/>
        <v>0</v>
      </c>
      <c r="T191" s="85">
        <f t="shared" ca="1" si="77"/>
        <v>0</v>
      </c>
      <c r="U191" s="85">
        <f t="shared" ca="1" si="77"/>
        <v>0</v>
      </c>
      <c r="V191" s="85">
        <f t="shared" ca="1" si="77"/>
        <v>0</v>
      </c>
      <c r="W191" s="85"/>
      <c r="X191" s="85"/>
      <c r="Y191" s="85"/>
      <c r="Z191" s="85"/>
      <c r="AA191" s="309"/>
      <c r="AB191"/>
      <c r="AC191"/>
      <c r="AD191"/>
      <c r="AE191"/>
    </row>
    <row r="192" spans="1:31">
      <c r="A192" s="85" t="s">
        <v>236</v>
      </c>
      <c r="B192" s="727">
        <f>B189-B190</f>
        <v>210000</v>
      </c>
      <c r="C192" s="85">
        <f t="shared" ref="C192:R192" si="78">C189-C190</f>
        <v>210000</v>
      </c>
      <c r="D192" s="85">
        <f t="shared" si="78"/>
        <v>210000</v>
      </c>
      <c r="E192" s="85">
        <f t="shared" si="78"/>
        <v>210000</v>
      </c>
      <c r="F192" s="85">
        <f t="shared" si="78"/>
        <v>210000</v>
      </c>
      <c r="G192" s="85">
        <f t="shared" ca="1" si="78"/>
        <v>137073.66161878474</v>
      </c>
      <c r="H192" s="85">
        <f t="shared" ca="1" si="78"/>
        <v>106607.9174686707</v>
      </c>
      <c r="I192" s="85">
        <f t="shared" ca="1" si="78"/>
        <v>75077.251535020885</v>
      </c>
      <c r="J192" s="85">
        <f t="shared" ca="1" si="78"/>
        <v>40694.403732284496</v>
      </c>
      <c r="K192" s="85">
        <f t="shared" ca="1" si="78"/>
        <v>2575.2287852525005</v>
      </c>
      <c r="L192" s="85">
        <f t="shared" ca="1" si="78"/>
        <v>-8703.7980675048675</v>
      </c>
      <c r="M192" s="85">
        <f t="shared" ca="1" si="78"/>
        <v>0</v>
      </c>
      <c r="N192" s="85">
        <f t="shared" ca="1" si="78"/>
        <v>0</v>
      </c>
      <c r="O192" s="85">
        <f t="shared" ca="1" si="78"/>
        <v>0</v>
      </c>
      <c r="P192" s="85">
        <f t="shared" ca="1" si="78"/>
        <v>0</v>
      </c>
      <c r="Q192" s="85">
        <f t="shared" ca="1" si="78"/>
        <v>0</v>
      </c>
      <c r="R192" s="85">
        <f t="shared" ca="1" si="78"/>
        <v>0</v>
      </c>
      <c r="S192" s="85">
        <f ca="1">S189-S190</f>
        <v>0</v>
      </c>
      <c r="T192" s="85">
        <f ca="1">T189-T190</f>
        <v>0</v>
      </c>
      <c r="U192" s="85">
        <f ca="1">U189-U190</f>
        <v>0</v>
      </c>
      <c r="V192" s="85">
        <f ca="1">V189-V190</f>
        <v>0</v>
      </c>
      <c r="W192" s="85"/>
      <c r="X192" s="85"/>
      <c r="Y192" s="85"/>
      <c r="Z192" s="85"/>
      <c r="AA192" s="309"/>
      <c r="AB192"/>
      <c r="AC192"/>
      <c r="AD192"/>
      <c r="AE192"/>
    </row>
    <row r="193" spans="1:31">
      <c r="A193" s="84" t="s">
        <v>376</v>
      </c>
      <c r="B193" s="727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309"/>
      <c r="AB193"/>
      <c r="AC193"/>
      <c r="AD193"/>
      <c r="AE193"/>
    </row>
    <row r="194" spans="1:31">
      <c r="A194" s="85" t="s">
        <v>233</v>
      </c>
      <c r="B194" s="727">
        <f>B192</f>
        <v>210000</v>
      </c>
      <c r="C194" s="85">
        <f t="shared" ref="C194:V194" si="79">C192</f>
        <v>210000</v>
      </c>
      <c r="D194" s="85">
        <f t="shared" si="79"/>
        <v>210000</v>
      </c>
      <c r="E194" s="85">
        <f t="shared" si="79"/>
        <v>210000</v>
      </c>
      <c r="F194" s="85">
        <f t="shared" si="79"/>
        <v>210000</v>
      </c>
      <c r="G194" s="85">
        <f t="shared" ca="1" si="79"/>
        <v>137073.66161878474</v>
      </c>
      <c r="H194" s="85">
        <f t="shared" ca="1" si="79"/>
        <v>106607.9174686707</v>
      </c>
      <c r="I194" s="85">
        <f t="shared" ca="1" si="79"/>
        <v>75077.251535020885</v>
      </c>
      <c r="J194" s="85">
        <f t="shared" ca="1" si="79"/>
        <v>40694.403732284496</v>
      </c>
      <c r="K194" s="85">
        <f t="shared" ca="1" si="79"/>
        <v>2575.2287852525005</v>
      </c>
      <c r="L194" s="85">
        <f t="shared" ca="1" si="79"/>
        <v>-8703.7980675048675</v>
      </c>
      <c r="M194" s="85">
        <f t="shared" ca="1" si="79"/>
        <v>0</v>
      </c>
      <c r="N194" s="85">
        <f t="shared" ca="1" si="79"/>
        <v>0</v>
      </c>
      <c r="O194" s="85">
        <f t="shared" ca="1" si="79"/>
        <v>0</v>
      </c>
      <c r="P194" s="85">
        <f t="shared" ca="1" si="79"/>
        <v>0</v>
      </c>
      <c r="Q194" s="85">
        <f t="shared" ca="1" si="79"/>
        <v>0</v>
      </c>
      <c r="R194" s="85">
        <f t="shared" ca="1" si="79"/>
        <v>0</v>
      </c>
      <c r="S194" s="85">
        <f t="shared" ca="1" si="79"/>
        <v>0</v>
      </c>
      <c r="T194" s="85">
        <f t="shared" ca="1" si="79"/>
        <v>0</v>
      </c>
      <c r="U194" s="85">
        <f t="shared" ca="1" si="79"/>
        <v>0</v>
      </c>
      <c r="V194" s="85">
        <f t="shared" ca="1" si="79"/>
        <v>0</v>
      </c>
      <c r="W194" s="85"/>
      <c r="X194" s="85"/>
      <c r="Y194" s="85"/>
      <c r="Z194" s="85"/>
      <c r="AA194" s="309"/>
      <c r="AB194"/>
      <c r="AC194"/>
      <c r="AD194"/>
      <c r="AE194"/>
    </row>
    <row r="195" spans="1:31">
      <c r="A195" s="85" t="s">
        <v>234</v>
      </c>
      <c r="B195" s="309">
        <v>0</v>
      </c>
      <c r="C195" s="720">
        <v>0</v>
      </c>
      <c r="D195" s="720">
        <v>0</v>
      </c>
      <c r="E195" s="720">
        <v>0</v>
      </c>
      <c r="F195" s="875">
        <f>F158-F196-F219</f>
        <v>62082.35552947894</v>
      </c>
      <c r="G195" s="875">
        <f ca="1">G158-G191-F201-G214-F224-G196-G219-G190</f>
        <v>15181.575992430866</v>
      </c>
      <c r="H195" s="875">
        <f ca="1">H158-H191-G201-H214-G224-H196-H219-H190</f>
        <v>15284.168157683176</v>
      </c>
      <c r="I195" s="875">
        <f ca="1">I158-I191-H201-I214-H224-I196-I219-I190</f>
        <v>16246.497775966629</v>
      </c>
      <c r="J195" s="875">
        <f ca="1">J158-J191-I201-J214-I224-J196-J219-J190</f>
        <v>18136.35002676976</v>
      </c>
      <c r="K195" s="875">
        <f ca="1">K158-K191-J201-K214-J224-K196-K219-K190</f>
        <v>19982.824920262236</v>
      </c>
      <c r="L195" s="880">
        <f ca="1">L190</f>
        <v>-8703.7980675048675</v>
      </c>
      <c r="M195" s="720">
        <v>0</v>
      </c>
      <c r="N195" s="720">
        <v>0</v>
      </c>
      <c r="O195" s="720">
        <v>0</v>
      </c>
      <c r="P195" s="720">
        <v>0</v>
      </c>
      <c r="Q195" s="720">
        <v>0</v>
      </c>
      <c r="R195" s="720">
        <v>0</v>
      </c>
      <c r="S195" s="720">
        <v>0</v>
      </c>
      <c r="T195" s="720">
        <v>0</v>
      </c>
      <c r="U195" s="720">
        <v>0</v>
      </c>
      <c r="V195" s="720">
        <v>0</v>
      </c>
      <c r="W195" s="85"/>
      <c r="X195" s="85"/>
      <c r="Y195" s="85"/>
      <c r="Z195" s="85"/>
      <c r="AA195" s="309"/>
      <c r="AB195"/>
      <c r="AC195"/>
      <c r="AD195"/>
      <c r="AE195"/>
    </row>
    <row r="196" spans="1:31">
      <c r="A196" s="85" t="s">
        <v>235</v>
      </c>
      <c r="B196" s="727">
        <v>0</v>
      </c>
      <c r="C196" s="85">
        <f t="shared" ref="C196:L196" si="80">C194*$L$7*0.5</f>
        <v>10206</v>
      </c>
      <c r="D196" s="85">
        <f t="shared" si="80"/>
        <v>10206</v>
      </c>
      <c r="E196" s="85">
        <f t="shared" si="80"/>
        <v>10206</v>
      </c>
      <c r="F196" s="85">
        <f t="shared" si="80"/>
        <v>10206</v>
      </c>
      <c r="G196" s="85">
        <f t="shared" ca="1" si="80"/>
        <v>6661.7799546729393</v>
      </c>
      <c r="H196" s="85">
        <f t="shared" ca="1" si="80"/>
        <v>5181.1447889773963</v>
      </c>
      <c r="I196" s="85">
        <f t="shared" ca="1" si="80"/>
        <v>3648.7544246020152</v>
      </c>
      <c r="J196" s="85">
        <f t="shared" ca="1" si="80"/>
        <v>1977.7480213890267</v>
      </c>
      <c r="K196" s="85">
        <f t="shared" ca="1" si="80"/>
        <v>125.15611896327154</v>
      </c>
      <c r="L196" s="85">
        <f t="shared" ca="1" si="80"/>
        <v>-423.0045860807366</v>
      </c>
      <c r="M196" s="85">
        <v>0</v>
      </c>
      <c r="N196" s="85">
        <f t="shared" ref="N196:V196" ca="1" si="81">N194*$L$7*0.5</f>
        <v>0</v>
      </c>
      <c r="O196" s="85">
        <f t="shared" ca="1" si="81"/>
        <v>0</v>
      </c>
      <c r="P196" s="85">
        <f t="shared" ca="1" si="81"/>
        <v>0</v>
      </c>
      <c r="Q196" s="85">
        <f t="shared" ca="1" si="81"/>
        <v>0</v>
      </c>
      <c r="R196" s="85">
        <f t="shared" ca="1" si="81"/>
        <v>0</v>
      </c>
      <c r="S196" s="85">
        <f t="shared" ca="1" si="81"/>
        <v>0</v>
      </c>
      <c r="T196" s="85">
        <f t="shared" ca="1" si="81"/>
        <v>0</v>
      </c>
      <c r="U196" s="85">
        <f t="shared" ca="1" si="81"/>
        <v>0</v>
      </c>
      <c r="V196" s="85">
        <f t="shared" ca="1" si="81"/>
        <v>0</v>
      </c>
      <c r="W196" s="85"/>
      <c r="X196" s="85"/>
      <c r="Y196" s="85"/>
      <c r="Z196" s="85"/>
      <c r="AA196" s="309"/>
      <c r="AB196"/>
      <c r="AC196"/>
      <c r="AD196"/>
      <c r="AE196"/>
    </row>
    <row r="197" spans="1:31">
      <c r="A197" s="85" t="s">
        <v>236</v>
      </c>
      <c r="B197" s="727">
        <f>B194-B195</f>
        <v>210000</v>
      </c>
      <c r="C197" s="85">
        <f t="shared" ref="C197:R197" si="82">C194-C195</f>
        <v>210000</v>
      </c>
      <c r="D197" s="85">
        <f t="shared" si="82"/>
        <v>210000</v>
      </c>
      <c r="E197" s="85">
        <f t="shared" si="82"/>
        <v>210000</v>
      </c>
      <c r="F197" s="85">
        <f t="shared" si="82"/>
        <v>147917.64447052107</v>
      </c>
      <c r="G197" s="85">
        <f t="shared" ca="1" si="82"/>
        <v>121892.08562635387</v>
      </c>
      <c r="H197" s="85">
        <f t="shared" ca="1" si="82"/>
        <v>91323.749310987521</v>
      </c>
      <c r="I197" s="85">
        <f t="shared" ca="1" si="82"/>
        <v>58830.753759054256</v>
      </c>
      <c r="J197" s="85">
        <f t="shared" ca="1" si="82"/>
        <v>22558.053705514736</v>
      </c>
      <c r="K197" s="85">
        <f t="shared" ca="1" si="82"/>
        <v>-17407.596135009735</v>
      </c>
      <c r="L197" s="876">
        <f t="shared" ca="1" si="82"/>
        <v>0</v>
      </c>
      <c r="M197" s="85">
        <f t="shared" ca="1" si="82"/>
        <v>0</v>
      </c>
      <c r="N197" s="85">
        <f t="shared" ca="1" si="82"/>
        <v>0</v>
      </c>
      <c r="O197" s="85">
        <f t="shared" ca="1" si="82"/>
        <v>0</v>
      </c>
      <c r="P197" s="85">
        <f t="shared" ca="1" si="82"/>
        <v>0</v>
      </c>
      <c r="Q197" s="85">
        <f t="shared" ca="1" si="82"/>
        <v>0</v>
      </c>
      <c r="R197" s="85">
        <f t="shared" ca="1" si="82"/>
        <v>0</v>
      </c>
      <c r="S197" s="85">
        <f ca="1">S194-S195</f>
        <v>0</v>
      </c>
      <c r="T197" s="85">
        <f ca="1">T194-T195</f>
        <v>0</v>
      </c>
      <c r="U197" s="85">
        <f ca="1">U194-U195</f>
        <v>0</v>
      </c>
      <c r="V197" s="85">
        <f ca="1">V194-V195</f>
        <v>0</v>
      </c>
      <c r="W197" s="85"/>
      <c r="X197" s="85"/>
      <c r="Y197" s="85"/>
      <c r="Z197" s="85"/>
      <c r="AA197" s="309"/>
      <c r="AB197"/>
      <c r="AC197"/>
      <c r="AD197"/>
      <c r="AE197"/>
    </row>
    <row r="198" spans="1:31">
      <c r="A198" s="87" t="s">
        <v>377</v>
      </c>
      <c r="B198" s="727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309"/>
      <c r="AB198"/>
      <c r="AC198"/>
      <c r="AD198"/>
      <c r="AE198"/>
    </row>
    <row r="199" spans="1:31">
      <c r="A199" s="85" t="s">
        <v>233</v>
      </c>
      <c r="B199" s="727">
        <f>B197</f>
        <v>210000</v>
      </c>
      <c r="C199" s="85">
        <f t="shared" ref="C199:V199" si="83">C197</f>
        <v>210000</v>
      </c>
      <c r="D199" s="85">
        <f t="shared" si="83"/>
        <v>210000</v>
      </c>
      <c r="E199" s="85">
        <f t="shared" si="83"/>
        <v>210000</v>
      </c>
      <c r="F199" s="85">
        <f t="shared" si="83"/>
        <v>147917.64447052107</v>
      </c>
      <c r="G199" s="85">
        <f t="shared" ca="1" si="83"/>
        <v>121892.08562635387</v>
      </c>
      <c r="H199" s="85">
        <f t="shared" ca="1" si="83"/>
        <v>91323.749310987521</v>
      </c>
      <c r="I199" s="85">
        <f t="shared" ca="1" si="83"/>
        <v>58830.753759054256</v>
      </c>
      <c r="J199" s="85">
        <f t="shared" ca="1" si="83"/>
        <v>22558.053705514736</v>
      </c>
      <c r="K199" s="85">
        <f t="shared" ca="1" si="83"/>
        <v>-17407.596135009735</v>
      </c>
      <c r="L199" s="85">
        <f t="shared" ca="1" si="83"/>
        <v>0</v>
      </c>
      <c r="M199" s="85">
        <f t="shared" ca="1" si="83"/>
        <v>0</v>
      </c>
      <c r="N199" s="85">
        <f t="shared" ca="1" si="83"/>
        <v>0</v>
      </c>
      <c r="O199" s="85">
        <f t="shared" ca="1" si="83"/>
        <v>0</v>
      </c>
      <c r="P199" s="85">
        <f t="shared" ca="1" si="83"/>
        <v>0</v>
      </c>
      <c r="Q199" s="85">
        <f t="shared" ca="1" si="83"/>
        <v>0</v>
      </c>
      <c r="R199" s="85">
        <f t="shared" ca="1" si="83"/>
        <v>0</v>
      </c>
      <c r="S199" s="85">
        <f t="shared" ca="1" si="83"/>
        <v>0</v>
      </c>
      <c r="T199" s="85">
        <f t="shared" ca="1" si="83"/>
        <v>0</v>
      </c>
      <c r="U199" s="85">
        <f t="shared" ca="1" si="83"/>
        <v>0</v>
      </c>
      <c r="V199" s="85">
        <f t="shared" ca="1" si="83"/>
        <v>0</v>
      </c>
      <c r="W199" s="85"/>
      <c r="X199" s="85"/>
      <c r="Y199" s="85"/>
      <c r="Z199" s="85"/>
      <c r="AA199" s="309"/>
      <c r="AB199"/>
      <c r="AC199"/>
      <c r="AD199"/>
      <c r="AE199"/>
    </row>
    <row r="200" spans="1:31">
      <c r="A200" s="85" t="s">
        <v>370</v>
      </c>
      <c r="B200" s="727">
        <f>B189*5/12*C156</f>
        <v>0</v>
      </c>
      <c r="C200" s="85">
        <v>0</v>
      </c>
      <c r="D200" s="85">
        <v>0</v>
      </c>
      <c r="E200" s="85">
        <v>0</v>
      </c>
      <c r="F200" s="85">
        <v>0</v>
      </c>
      <c r="G200" s="85">
        <v>0</v>
      </c>
      <c r="H200" s="85">
        <v>0</v>
      </c>
      <c r="I200" s="85">
        <v>0</v>
      </c>
      <c r="J200" s="85">
        <v>0</v>
      </c>
      <c r="K200" s="85">
        <v>0</v>
      </c>
      <c r="L200" s="85">
        <v>0</v>
      </c>
      <c r="M200" s="85">
        <v>0</v>
      </c>
      <c r="N200" s="85">
        <v>0</v>
      </c>
      <c r="O200" s="85">
        <v>0</v>
      </c>
      <c r="P200" s="85">
        <v>0</v>
      </c>
      <c r="Q200" s="85">
        <v>0</v>
      </c>
      <c r="R200" s="85">
        <v>0</v>
      </c>
      <c r="S200" s="85">
        <v>0</v>
      </c>
      <c r="T200" s="85">
        <v>0</v>
      </c>
      <c r="U200" s="85">
        <v>0</v>
      </c>
      <c r="V200" s="85">
        <v>0</v>
      </c>
      <c r="W200" s="85"/>
      <c r="X200" s="85"/>
      <c r="Y200" s="85"/>
      <c r="Z200" s="85"/>
      <c r="AA200" s="309"/>
      <c r="AB200"/>
      <c r="AC200"/>
      <c r="AD200"/>
      <c r="AE200"/>
    </row>
    <row r="201" spans="1:31">
      <c r="A201" s="85" t="s">
        <v>369</v>
      </c>
      <c r="B201" s="727">
        <f>B199*$L$7*3/12</f>
        <v>5103</v>
      </c>
      <c r="C201" s="85">
        <f t="shared" ref="C201:L201" si="84">C199*$L$7*5/12</f>
        <v>8505</v>
      </c>
      <c r="D201" s="85">
        <f t="shared" si="84"/>
        <v>8505</v>
      </c>
      <c r="E201" s="85">
        <f t="shared" si="84"/>
        <v>8505</v>
      </c>
      <c r="F201" s="85">
        <f t="shared" si="84"/>
        <v>5990.6646010561044</v>
      </c>
      <c r="G201" s="85">
        <f t="shared" ca="1" si="84"/>
        <v>4936.6294678673321</v>
      </c>
      <c r="H201" s="85">
        <f t="shared" ca="1" si="84"/>
        <v>3698.611847094995</v>
      </c>
      <c r="I201" s="85">
        <f t="shared" ca="1" si="84"/>
        <v>2382.6455272416974</v>
      </c>
      <c r="J201" s="85">
        <f t="shared" ca="1" si="84"/>
        <v>913.60117507334689</v>
      </c>
      <c r="K201" s="85">
        <f t="shared" ca="1" si="84"/>
        <v>-705.00764346789435</v>
      </c>
      <c r="L201" s="85">
        <f t="shared" ca="1" si="84"/>
        <v>0</v>
      </c>
      <c r="M201" s="85">
        <f ca="1">L199*$L$7*5/12</f>
        <v>0</v>
      </c>
      <c r="N201" s="85">
        <f t="shared" ref="N201:V201" ca="1" si="85">N199*$L$7*5/12</f>
        <v>0</v>
      </c>
      <c r="O201" s="85">
        <f t="shared" ca="1" si="85"/>
        <v>0</v>
      </c>
      <c r="P201" s="85">
        <f t="shared" ca="1" si="85"/>
        <v>0</v>
      </c>
      <c r="Q201" s="85">
        <f t="shared" ca="1" si="85"/>
        <v>0</v>
      </c>
      <c r="R201" s="85">
        <f t="shared" ca="1" si="85"/>
        <v>0</v>
      </c>
      <c r="S201" s="85">
        <f t="shared" ca="1" si="85"/>
        <v>0</v>
      </c>
      <c r="T201" s="85">
        <f t="shared" ca="1" si="85"/>
        <v>0</v>
      </c>
      <c r="U201" s="85">
        <f t="shared" ca="1" si="85"/>
        <v>0</v>
      </c>
      <c r="V201" s="85">
        <f t="shared" ca="1" si="85"/>
        <v>0</v>
      </c>
      <c r="W201" s="85"/>
      <c r="X201" s="85"/>
      <c r="Y201" s="85"/>
      <c r="Z201" s="85"/>
      <c r="AA201" s="309"/>
      <c r="AB201"/>
      <c r="AC201"/>
      <c r="AD201"/>
      <c r="AE201"/>
    </row>
    <row r="202" spans="1:31">
      <c r="A202" s="85" t="s">
        <v>236</v>
      </c>
      <c r="B202" s="727">
        <f>B199-B200</f>
        <v>210000</v>
      </c>
      <c r="C202" s="85">
        <f t="shared" ref="C202:R202" si="86">C199-C200</f>
        <v>210000</v>
      </c>
      <c r="D202" s="85">
        <f t="shared" si="86"/>
        <v>210000</v>
      </c>
      <c r="E202" s="85">
        <f t="shared" si="86"/>
        <v>210000</v>
      </c>
      <c r="F202" s="85">
        <f t="shared" si="86"/>
        <v>147917.64447052107</v>
      </c>
      <c r="G202" s="85">
        <f t="shared" ca="1" si="86"/>
        <v>121892.08562635387</v>
      </c>
      <c r="H202" s="85">
        <f t="shared" ca="1" si="86"/>
        <v>91323.749310987521</v>
      </c>
      <c r="I202" s="85">
        <f t="shared" ca="1" si="86"/>
        <v>58830.753759054256</v>
      </c>
      <c r="J202" s="85">
        <f t="shared" ca="1" si="86"/>
        <v>22558.053705514736</v>
      </c>
      <c r="K202" s="85">
        <f t="shared" ca="1" si="86"/>
        <v>-17407.596135009735</v>
      </c>
      <c r="L202" s="85">
        <f t="shared" ca="1" si="86"/>
        <v>0</v>
      </c>
      <c r="M202" s="85">
        <f t="shared" ca="1" si="86"/>
        <v>0</v>
      </c>
      <c r="N202" s="85">
        <f t="shared" ca="1" si="86"/>
        <v>0</v>
      </c>
      <c r="O202" s="85">
        <f t="shared" ca="1" si="86"/>
        <v>0</v>
      </c>
      <c r="P202" s="85">
        <f t="shared" ca="1" si="86"/>
        <v>0</v>
      </c>
      <c r="Q202" s="85">
        <f t="shared" ca="1" si="86"/>
        <v>0</v>
      </c>
      <c r="R202" s="85">
        <f t="shared" ca="1" si="86"/>
        <v>0</v>
      </c>
      <c r="S202" s="85">
        <f ca="1">S199-S200</f>
        <v>0</v>
      </c>
      <c r="T202" s="85">
        <f ca="1">T199-T200</f>
        <v>0</v>
      </c>
      <c r="U202" s="85">
        <f ca="1">U199-U200</f>
        <v>0</v>
      </c>
      <c r="V202" s="85">
        <f ca="1">V199-V200</f>
        <v>0</v>
      </c>
      <c r="W202" s="85"/>
      <c r="X202" s="85"/>
      <c r="Y202" s="85"/>
      <c r="Z202" s="85"/>
      <c r="AA202" s="309"/>
      <c r="AB202"/>
      <c r="AC202"/>
      <c r="AD202"/>
      <c r="AE202"/>
    </row>
    <row r="203" spans="1:31">
      <c r="A203" s="85"/>
      <c r="B203" s="727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309"/>
      <c r="AB203"/>
      <c r="AC203"/>
      <c r="AD203"/>
      <c r="AE203"/>
    </row>
    <row r="204" spans="1:31">
      <c r="A204" s="89" t="s">
        <v>355</v>
      </c>
      <c r="B204" s="727">
        <v>0</v>
      </c>
      <c r="C204" s="85">
        <f t="shared" ref="C204:V204" si="87">C191+C196+B201</f>
        <v>17010</v>
      </c>
      <c r="D204" s="85">
        <f t="shared" si="87"/>
        <v>20412</v>
      </c>
      <c r="E204" s="85">
        <f t="shared" si="87"/>
        <v>20412</v>
      </c>
      <c r="F204" s="85">
        <f t="shared" si="87"/>
        <v>20412</v>
      </c>
      <c r="G204" s="85">
        <f t="shared" ca="1" si="87"/>
        <v>13850.577475940265</v>
      </c>
      <c r="H204" s="85">
        <f t="shared" ca="1" si="87"/>
        <v>11105.100150418195</v>
      </c>
      <c r="I204" s="85">
        <f t="shared" ca="1" si="87"/>
        <v>8087.0886411160091</v>
      </c>
      <c r="J204" s="85">
        <f t="shared" ca="1" si="87"/>
        <v>4836.9226540790642</v>
      </c>
      <c r="K204" s="85">
        <f t="shared" ca="1" si="87"/>
        <v>1221.4775290512878</v>
      </c>
      <c r="L204" s="85">
        <f t="shared" ca="1" si="87"/>
        <v>-1269.0137582422099</v>
      </c>
      <c r="M204" s="85">
        <f t="shared" ca="1" si="87"/>
        <v>0</v>
      </c>
      <c r="N204" s="85">
        <f t="shared" ca="1" si="87"/>
        <v>0</v>
      </c>
      <c r="O204" s="85">
        <f t="shared" ca="1" si="87"/>
        <v>0</v>
      </c>
      <c r="P204" s="85">
        <f t="shared" ca="1" si="87"/>
        <v>0</v>
      </c>
      <c r="Q204" s="85">
        <f t="shared" ca="1" si="87"/>
        <v>0</v>
      </c>
      <c r="R204" s="85">
        <f t="shared" ca="1" si="87"/>
        <v>0</v>
      </c>
      <c r="S204" s="85">
        <f t="shared" ca="1" si="87"/>
        <v>0</v>
      </c>
      <c r="T204" s="85">
        <f t="shared" ca="1" si="87"/>
        <v>0</v>
      </c>
      <c r="U204" s="85">
        <f t="shared" ca="1" si="87"/>
        <v>0</v>
      </c>
      <c r="V204" s="85">
        <f t="shared" ca="1" si="87"/>
        <v>0</v>
      </c>
      <c r="W204" s="85"/>
      <c r="X204" s="85"/>
      <c r="Y204" s="85"/>
      <c r="Z204" s="85"/>
      <c r="AA204" s="309"/>
      <c r="AB204"/>
      <c r="AC204"/>
      <c r="AD204"/>
      <c r="AE204"/>
    </row>
    <row r="205" spans="1:31">
      <c r="A205" s="21" t="s">
        <v>356</v>
      </c>
      <c r="B205" s="727">
        <f>B191+B196+B201</f>
        <v>5103</v>
      </c>
      <c r="C205" s="85">
        <f>C191+C196+C201</f>
        <v>20412</v>
      </c>
      <c r="D205" s="85">
        <f t="shared" ref="D205:V205" si="88">D191+D196+D201</f>
        <v>20412</v>
      </c>
      <c r="E205" s="85">
        <f t="shared" si="88"/>
        <v>20412</v>
      </c>
      <c r="F205" s="85">
        <f t="shared" si="88"/>
        <v>17897.664601056105</v>
      </c>
      <c r="G205" s="85">
        <f t="shared" ca="1" si="88"/>
        <v>12796.542342751492</v>
      </c>
      <c r="H205" s="85">
        <f t="shared" ca="1" si="88"/>
        <v>9867.082529645857</v>
      </c>
      <c r="I205" s="85">
        <f t="shared" ca="1" si="88"/>
        <v>6771.1223212627119</v>
      </c>
      <c r="J205" s="85">
        <f t="shared" ca="1" si="88"/>
        <v>3367.8783019107132</v>
      </c>
      <c r="K205" s="85">
        <f t="shared" ca="1" si="88"/>
        <v>-397.13128948995342</v>
      </c>
      <c r="L205" s="85">
        <f t="shared" ca="1" si="88"/>
        <v>-564.00611477431551</v>
      </c>
      <c r="M205" s="85">
        <f t="shared" ca="1" si="88"/>
        <v>0</v>
      </c>
      <c r="N205" s="85">
        <f t="shared" ca="1" si="88"/>
        <v>0</v>
      </c>
      <c r="O205" s="85">
        <f t="shared" ca="1" si="88"/>
        <v>0</v>
      </c>
      <c r="P205" s="85">
        <f t="shared" ca="1" si="88"/>
        <v>0</v>
      </c>
      <c r="Q205" s="85">
        <f t="shared" ca="1" si="88"/>
        <v>0</v>
      </c>
      <c r="R205" s="85">
        <f t="shared" ca="1" si="88"/>
        <v>0</v>
      </c>
      <c r="S205" s="85">
        <f t="shared" ca="1" si="88"/>
        <v>0</v>
      </c>
      <c r="T205" s="85">
        <f t="shared" ca="1" si="88"/>
        <v>0</v>
      </c>
      <c r="U205" s="85">
        <f t="shared" ca="1" si="88"/>
        <v>0</v>
      </c>
      <c r="V205" s="85">
        <f t="shared" ca="1" si="88"/>
        <v>0</v>
      </c>
      <c r="AA205" s="22"/>
      <c r="AB205"/>
      <c r="AC205"/>
      <c r="AD205"/>
      <c r="AE205"/>
    </row>
    <row r="206" spans="1:31">
      <c r="A206" s="89" t="s">
        <v>373</v>
      </c>
      <c r="B206" s="727">
        <f>B190+B195</f>
        <v>0</v>
      </c>
      <c r="C206" s="727">
        <f t="shared" ref="C206:V206" si="89">C190+C195+B200</f>
        <v>0</v>
      </c>
      <c r="D206" s="727">
        <f t="shared" si="89"/>
        <v>0</v>
      </c>
      <c r="E206" s="727">
        <f t="shared" si="89"/>
        <v>0</v>
      </c>
      <c r="F206" s="727">
        <f t="shared" si="89"/>
        <v>62082.35552947894</v>
      </c>
      <c r="G206" s="727">
        <f t="shared" ca="1" si="89"/>
        <v>26025.558844167201</v>
      </c>
      <c r="H206" s="727">
        <f t="shared" ca="1" si="89"/>
        <v>30568.336315366352</v>
      </c>
      <c r="I206" s="727">
        <f t="shared" ca="1" si="89"/>
        <v>32492.995551933258</v>
      </c>
      <c r="J206" s="727">
        <f t="shared" ca="1" si="89"/>
        <v>36272.70005353952</v>
      </c>
      <c r="K206" s="727">
        <f t="shared" ca="1" si="89"/>
        <v>39965.649840524471</v>
      </c>
      <c r="L206" s="727">
        <f t="shared" ca="1" si="89"/>
        <v>-17407.596135009735</v>
      </c>
      <c r="M206" s="727">
        <f t="shared" si="89"/>
        <v>0</v>
      </c>
      <c r="N206" s="727">
        <f t="shared" si="89"/>
        <v>0</v>
      </c>
      <c r="O206" s="727">
        <f t="shared" si="89"/>
        <v>0</v>
      </c>
      <c r="P206" s="727">
        <f t="shared" si="89"/>
        <v>0</v>
      </c>
      <c r="Q206" s="727">
        <f t="shared" si="89"/>
        <v>0</v>
      </c>
      <c r="R206" s="727">
        <f t="shared" si="89"/>
        <v>0</v>
      </c>
      <c r="S206" s="727">
        <f t="shared" si="89"/>
        <v>0</v>
      </c>
      <c r="T206" s="727">
        <f t="shared" si="89"/>
        <v>0</v>
      </c>
      <c r="U206" s="727">
        <f t="shared" si="89"/>
        <v>0</v>
      </c>
      <c r="V206" s="727">
        <f t="shared" si="89"/>
        <v>0</v>
      </c>
      <c r="AA206" s="22"/>
      <c r="AB206"/>
      <c r="AC206"/>
      <c r="AD206"/>
      <c r="AE206"/>
    </row>
    <row r="207" spans="1:31">
      <c r="A207" s="21" t="s">
        <v>371</v>
      </c>
      <c r="B207" s="727">
        <f>B200</f>
        <v>0</v>
      </c>
      <c r="C207" s="727">
        <f t="shared" ref="C207:V207" si="90">C200</f>
        <v>0</v>
      </c>
      <c r="D207" s="727">
        <f t="shared" si="90"/>
        <v>0</v>
      </c>
      <c r="E207" s="727">
        <f t="shared" si="90"/>
        <v>0</v>
      </c>
      <c r="F207" s="727">
        <f t="shared" si="90"/>
        <v>0</v>
      </c>
      <c r="G207" s="727">
        <f t="shared" si="90"/>
        <v>0</v>
      </c>
      <c r="H207" s="727">
        <f t="shared" si="90"/>
        <v>0</v>
      </c>
      <c r="I207" s="727">
        <f t="shared" si="90"/>
        <v>0</v>
      </c>
      <c r="J207" s="727">
        <f t="shared" si="90"/>
        <v>0</v>
      </c>
      <c r="K207" s="727">
        <f t="shared" si="90"/>
        <v>0</v>
      </c>
      <c r="L207" s="727">
        <f t="shared" si="90"/>
        <v>0</v>
      </c>
      <c r="M207" s="727">
        <f t="shared" si="90"/>
        <v>0</v>
      </c>
      <c r="N207" s="727">
        <f t="shared" si="90"/>
        <v>0</v>
      </c>
      <c r="O207" s="727">
        <f t="shared" si="90"/>
        <v>0</v>
      </c>
      <c r="P207" s="727">
        <f t="shared" si="90"/>
        <v>0</v>
      </c>
      <c r="Q207" s="727">
        <f t="shared" si="90"/>
        <v>0</v>
      </c>
      <c r="R207" s="727">
        <f t="shared" si="90"/>
        <v>0</v>
      </c>
      <c r="S207" s="727">
        <f t="shared" si="90"/>
        <v>0</v>
      </c>
      <c r="T207" s="727">
        <f t="shared" si="90"/>
        <v>0</v>
      </c>
      <c r="U207" s="727">
        <f t="shared" si="90"/>
        <v>0</v>
      </c>
      <c r="V207" s="727">
        <f t="shared" si="90"/>
        <v>0</v>
      </c>
      <c r="AA207" s="22"/>
      <c r="AB207"/>
      <c r="AC207"/>
      <c r="AD207"/>
      <c r="AE207"/>
    </row>
    <row r="208" spans="1:31">
      <c r="B208" s="312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309"/>
      <c r="AB208"/>
      <c r="AC208"/>
      <c r="AD208"/>
      <c r="AE208"/>
    </row>
    <row r="209" spans="1:31">
      <c r="B209" s="727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309"/>
      <c r="AB209"/>
      <c r="AC209"/>
      <c r="AD209"/>
      <c r="AE209"/>
    </row>
    <row r="210" spans="1:31">
      <c r="A210" s="82" t="str">
        <f>A74</f>
        <v>Tranche 3 @ 10.435%</v>
      </c>
      <c r="B210" s="23"/>
      <c r="C210" s="83"/>
      <c r="AA210" s="22"/>
      <c r="AB210"/>
      <c r="AC210"/>
      <c r="AD210"/>
      <c r="AE210"/>
    </row>
    <row r="211" spans="1:31">
      <c r="A211" s="84" t="s">
        <v>375</v>
      </c>
      <c r="B211" s="727"/>
      <c r="AA211" s="22"/>
      <c r="AB211"/>
      <c r="AC211"/>
      <c r="AD211"/>
      <c r="AE211"/>
    </row>
    <row r="212" spans="1:31">
      <c r="A212" s="85" t="s">
        <v>233</v>
      </c>
      <c r="B212" s="728">
        <f>E160</f>
        <v>425000</v>
      </c>
      <c r="C212" s="85">
        <f t="shared" ref="C212:V212" si="91">B225</f>
        <v>425000</v>
      </c>
      <c r="D212" s="85">
        <f t="shared" si="91"/>
        <v>425000</v>
      </c>
      <c r="E212" s="85">
        <f t="shared" si="91"/>
        <v>425000</v>
      </c>
      <c r="F212" s="85">
        <f t="shared" si="91"/>
        <v>425000</v>
      </c>
      <c r="G212" s="85">
        <f t="shared" si="91"/>
        <v>425000</v>
      </c>
      <c r="H212" s="85">
        <f t="shared" si="91"/>
        <v>425000</v>
      </c>
      <c r="I212" s="85">
        <f t="shared" si="91"/>
        <v>425000</v>
      </c>
      <c r="J212" s="85">
        <f t="shared" si="91"/>
        <v>425000</v>
      </c>
      <c r="K212" s="85">
        <f t="shared" si="91"/>
        <v>425000</v>
      </c>
      <c r="L212" s="85">
        <f t="shared" si="91"/>
        <v>425000</v>
      </c>
      <c r="M212" s="85">
        <f t="shared" si="91"/>
        <v>425000</v>
      </c>
      <c r="N212" s="85">
        <f t="shared" ca="1" si="91"/>
        <v>393595.58308980998</v>
      </c>
      <c r="O212" s="85">
        <f t="shared" ca="1" si="91"/>
        <v>358523.81429554301</v>
      </c>
      <c r="P212" s="85">
        <f t="shared" ca="1" si="91"/>
        <v>319808.54194142064</v>
      </c>
      <c r="Q212" s="85">
        <f t="shared" ca="1" si="91"/>
        <v>278471.54296467686</v>
      </c>
      <c r="R212" s="85">
        <f t="shared" ca="1" si="91"/>
        <v>234238.10107521201</v>
      </c>
      <c r="S212" s="85">
        <f t="shared" ca="1" si="91"/>
        <v>185943.85511462751</v>
      </c>
      <c r="T212" s="85">
        <f t="shared" ca="1" si="91"/>
        <v>136684.41255889571</v>
      </c>
      <c r="U212" s="85">
        <f t="shared" ca="1" si="91"/>
        <v>88588.68885989004</v>
      </c>
      <c r="V212" s="85">
        <f t="shared" ca="1" si="91"/>
        <v>46308.675504154846</v>
      </c>
      <c r="W212" s="85"/>
      <c r="X212" s="85"/>
      <c r="Y212" s="85"/>
      <c r="Z212" s="85"/>
      <c r="AA212" s="309"/>
      <c r="AB212"/>
      <c r="AC212"/>
      <c r="AD212"/>
      <c r="AE212"/>
    </row>
    <row r="213" spans="1:31">
      <c r="A213" s="85" t="s">
        <v>234</v>
      </c>
      <c r="B213" s="309">
        <v>0</v>
      </c>
      <c r="C213" s="720">
        <v>0</v>
      </c>
      <c r="D213" s="720">
        <v>0</v>
      </c>
      <c r="E213" s="720">
        <v>0</v>
      </c>
      <c r="F213" s="720">
        <v>0</v>
      </c>
      <c r="G213" s="720">
        <v>0</v>
      </c>
      <c r="H213" s="720">
        <v>0</v>
      </c>
      <c r="I213" s="720">
        <v>0</v>
      </c>
      <c r="J213" s="720">
        <v>0</v>
      </c>
      <c r="K213" s="720">
        <v>0</v>
      </c>
      <c r="L213" s="720">
        <v>0</v>
      </c>
      <c r="M213" s="878">
        <f t="shared" ref="M213:V213" ca="1" si="92">6/12*(M158-M214-L224-M219)</f>
        <v>15702.208455095013</v>
      </c>
      <c r="N213" s="878">
        <f t="shared" ca="1" si="92"/>
        <v>17535.884397133508</v>
      </c>
      <c r="O213" s="878">
        <f t="shared" ca="1" si="92"/>
        <v>19357.636177061184</v>
      </c>
      <c r="P213" s="878">
        <f t="shared" ca="1" si="92"/>
        <v>20668.499488371872</v>
      </c>
      <c r="Q213" s="878">
        <f t="shared" ca="1" si="92"/>
        <v>22116.720944732428</v>
      </c>
      <c r="R213" s="878">
        <f t="shared" ca="1" si="92"/>
        <v>24147.12298029225</v>
      </c>
      <c r="S213" s="878">
        <f t="shared" ca="1" si="92"/>
        <v>24629.721277865909</v>
      </c>
      <c r="T213" s="878">
        <f t="shared" ca="1" si="92"/>
        <v>24047.861849502842</v>
      </c>
      <c r="U213" s="878">
        <f t="shared" ca="1" si="92"/>
        <v>21140.006677867597</v>
      </c>
      <c r="V213" s="878">
        <f t="shared" ca="1" si="92"/>
        <v>18057.922523418405</v>
      </c>
      <c r="W213" s="720"/>
      <c r="X213" s="720"/>
      <c r="Y213" s="720"/>
      <c r="Z213" s="720"/>
      <c r="AA213" s="309"/>
      <c r="AB213"/>
      <c r="AC213"/>
      <c r="AD213"/>
      <c r="AE213"/>
    </row>
    <row r="214" spans="1:31">
      <c r="A214" s="85" t="s">
        <v>235</v>
      </c>
      <c r="B214" s="727">
        <v>0</v>
      </c>
      <c r="C214" s="85">
        <f t="shared" ref="C214:V214" si="93">C212*$R$7*1/12</f>
        <v>3695.7291666666665</v>
      </c>
      <c r="D214" s="85">
        <f t="shared" si="93"/>
        <v>3695.7291666666665</v>
      </c>
      <c r="E214" s="85">
        <f t="shared" si="93"/>
        <v>3695.7291666666665</v>
      </c>
      <c r="F214" s="85">
        <f t="shared" si="93"/>
        <v>3695.7291666666665</v>
      </c>
      <c r="G214" s="85">
        <f t="shared" si="93"/>
        <v>3695.7291666666665</v>
      </c>
      <c r="H214" s="85">
        <f t="shared" si="93"/>
        <v>3695.7291666666665</v>
      </c>
      <c r="I214" s="85">
        <f t="shared" si="93"/>
        <v>3695.7291666666665</v>
      </c>
      <c r="J214" s="85">
        <f t="shared" si="93"/>
        <v>3695.7291666666665</v>
      </c>
      <c r="K214" s="85">
        <f t="shared" si="93"/>
        <v>3695.7291666666665</v>
      </c>
      <c r="L214" s="85">
        <f t="shared" si="93"/>
        <v>3695.7291666666665</v>
      </c>
      <c r="M214" s="720">
        <f t="shared" si="93"/>
        <v>3695.7291666666665</v>
      </c>
      <c r="N214" s="720">
        <f t="shared" ca="1" si="93"/>
        <v>3422.6415912851394</v>
      </c>
      <c r="O214" s="720">
        <f t="shared" ca="1" si="93"/>
        <v>3117.6633351449927</v>
      </c>
      <c r="P214" s="720">
        <f t="shared" ca="1" si="93"/>
        <v>2781.001779298937</v>
      </c>
      <c r="Q214" s="720">
        <f t="shared" ca="1" si="93"/>
        <v>2421.5421256970026</v>
      </c>
      <c r="R214" s="720">
        <f t="shared" ca="1" si="93"/>
        <v>2036.8954872665311</v>
      </c>
      <c r="S214" s="720">
        <f t="shared" ca="1" si="93"/>
        <v>1616.9367734342816</v>
      </c>
      <c r="T214" s="881">
        <f t="shared" ca="1" si="93"/>
        <v>1188.5848708767305</v>
      </c>
      <c r="U214" s="720">
        <f t="shared" ca="1" si="93"/>
        <v>770.35247354412706</v>
      </c>
      <c r="V214" s="720">
        <f t="shared" ca="1" si="93"/>
        <v>402.69252407154653</v>
      </c>
      <c r="W214" s="720"/>
      <c r="X214" s="720"/>
      <c r="Y214" s="720"/>
      <c r="Z214" s="720"/>
      <c r="AA214" s="309"/>
      <c r="AB214"/>
      <c r="AC214"/>
      <c r="AD214"/>
      <c r="AE214"/>
    </row>
    <row r="215" spans="1:31">
      <c r="A215" s="85" t="s">
        <v>236</v>
      </c>
      <c r="B215" s="727">
        <f>B212-B213</f>
        <v>425000</v>
      </c>
      <c r="C215" s="85">
        <f t="shared" ref="C215:R215" si="94">C212-C213</f>
        <v>425000</v>
      </c>
      <c r="D215" s="85">
        <f t="shared" si="94"/>
        <v>425000</v>
      </c>
      <c r="E215" s="85">
        <f t="shared" si="94"/>
        <v>425000</v>
      </c>
      <c r="F215" s="85">
        <f t="shared" si="94"/>
        <v>425000</v>
      </c>
      <c r="G215" s="85">
        <f t="shared" si="94"/>
        <v>425000</v>
      </c>
      <c r="H215" s="85">
        <f t="shared" si="94"/>
        <v>425000</v>
      </c>
      <c r="I215" s="85">
        <f t="shared" si="94"/>
        <v>425000</v>
      </c>
      <c r="J215" s="85">
        <f t="shared" si="94"/>
        <v>425000</v>
      </c>
      <c r="K215" s="85">
        <f t="shared" si="94"/>
        <v>425000</v>
      </c>
      <c r="L215" s="85">
        <f t="shared" si="94"/>
        <v>425000</v>
      </c>
      <c r="M215" s="720">
        <f t="shared" ca="1" si="94"/>
        <v>409297.79154490499</v>
      </c>
      <c r="N215" s="720">
        <f t="shared" ca="1" si="94"/>
        <v>376059.69869267649</v>
      </c>
      <c r="O215" s="720">
        <f t="shared" ca="1" si="94"/>
        <v>339166.17811848182</v>
      </c>
      <c r="P215" s="720">
        <f t="shared" ca="1" si="94"/>
        <v>299140.04245304875</v>
      </c>
      <c r="Q215" s="720">
        <f t="shared" ca="1" si="94"/>
        <v>256354.82201994443</v>
      </c>
      <c r="R215" s="720">
        <f t="shared" ca="1" si="94"/>
        <v>210090.97809491976</v>
      </c>
      <c r="S215" s="720">
        <f ca="1">S212-S213</f>
        <v>161314.13383676161</v>
      </c>
      <c r="T215" s="720">
        <f ca="1">T212-T213</f>
        <v>112636.55070939288</v>
      </c>
      <c r="U215" s="720">
        <f ca="1">U212-U213</f>
        <v>67448.682182022443</v>
      </c>
      <c r="V215" s="720">
        <f ca="1">V212-V213</f>
        <v>28250.752980736441</v>
      </c>
      <c r="W215" s="720"/>
      <c r="X215" s="720"/>
      <c r="Y215" s="720"/>
      <c r="Z215" s="720"/>
      <c r="AA215" s="309"/>
      <c r="AB215"/>
      <c r="AC215"/>
      <c r="AD215"/>
      <c r="AE215"/>
    </row>
    <row r="216" spans="1:31">
      <c r="A216" s="84" t="s">
        <v>376</v>
      </c>
      <c r="B216" s="727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720"/>
      <c r="N216" s="720"/>
      <c r="O216" s="720"/>
      <c r="P216" s="720"/>
      <c r="Q216" s="720"/>
      <c r="R216" s="720"/>
      <c r="S216" s="720"/>
      <c r="T216" s="720"/>
      <c r="U216" s="720"/>
      <c r="V216" s="720"/>
      <c r="W216" s="720"/>
      <c r="X216" s="720"/>
      <c r="Y216" s="720"/>
      <c r="Z216" s="720"/>
      <c r="AA216" s="309"/>
      <c r="AB216"/>
      <c r="AC216"/>
      <c r="AD216"/>
      <c r="AE216"/>
    </row>
    <row r="217" spans="1:31">
      <c r="A217" s="85" t="s">
        <v>233</v>
      </c>
      <c r="B217" s="727">
        <f>B215</f>
        <v>425000</v>
      </c>
      <c r="C217" s="85">
        <f t="shared" ref="C217:V217" si="95">C215</f>
        <v>425000</v>
      </c>
      <c r="D217" s="85">
        <f t="shared" si="95"/>
        <v>425000</v>
      </c>
      <c r="E217" s="85">
        <f t="shared" si="95"/>
        <v>425000</v>
      </c>
      <c r="F217" s="85">
        <f t="shared" si="95"/>
        <v>425000</v>
      </c>
      <c r="G217" s="85">
        <f t="shared" si="95"/>
        <v>425000</v>
      </c>
      <c r="H217" s="85">
        <f t="shared" si="95"/>
        <v>425000</v>
      </c>
      <c r="I217" s="85">
        <f t="shared" si="95"/>
        <v>425000</v>
      </c>
      <c r="J217" s="85">
        <f t="shared" si="95"/>
        <v>425000</v>
      </c>
      <c r="K217" s="85">
        <f t="shared" si="95"/>
        <v>425000</v>
      </c>
      <c r="L217" s="85">
        <f t="shared" si="95"/>
        <v>425000</v>
      </c>
      <c r="M217" s="720">
        <f t="shared" ca="1" si="95"/>
        <v>409297.79154490499</v>
      </c>
      <c r="N217" s="720">
        <f t="shared" ca="1" si="95"/>
        <v>376059.69869267649</v>
      </c>
      <c r="O217" s="720">
        <f t="shared" ca="1" si="95"/>
        <v>339166.17811848182</v>
      </c>
      <c r="P217" s="720">
        <f t="shared" ca="1" si="95"/>
        <v>299140.04245304875</v>
      </c>
      <c r="Q217" s="720">
        <f t="shared" ca="1" si="95"/>
        <v>256354.82201994443</v>
      </c>
      <c r="R217" s="720">
        <f t="shared" ca="1" si="95"/>
        <v>210090.97809491976</v>
      </c>
      <c r="S217" s="720">
        <f t="shared" ca="1" si="95"/>
        <v>161314.13383676161</v>
      </c>
      <c r="T217" s="720">
        <f t="shared" ca="1" si="95"/>
        <v>112636.55070939288</v>
      </c>
      <c r="U217" s="720">
        <f t="shared" ca="1" si="95"/>
        <v>67448.682182022443</v>
      </c>
      <c r="V217" s="720">
        <f t="shared" ca="1" si="95"/>
        <v>28250.752980736441</v>
      </c>
      <c r="W217" s="720"/>
      <c r="X217" s="720"/>
      <c r="Y217" s="720"/>
      <c r="Z217" s="720"/>
      <c r="AA217" s="309"/>
      <c r="AB217"/>
      <c r="AC217"/>
      <c r="AD217"/>
      <c r="AE217"/>
    </row>
    <row r="218" spans="1:31">
      <c r="A218" s="85" t="s">
        <v>234</v>
      </c>
      <c r="B218" s="309">
        <v>0</v>
      </c>
      <c r="C218" s="720">
        <v>0</v>
      </c>
      <c r="D218" s="720">
        <v>0</v>
      </c>
      <c r="E218" s="720">
        <v>0</v>
      </c>
      <c r="F218" s="720">
        <v>0</v>
      </c>
      <c r="G218" s="720">
        <v>0</v>
      </c>
      <c r="H218" s="720">
        <v>0</v>
      </c>
      <c r="I218" s="720">
        <v>0</v>
      </c>
      <c r="J218" s="720">
        <v>0</v>
      </c>
      <c r="K218" s="720">
        <v>0</v>
      </c>
      <c r="L218" s="878">
        <v>0</v>
      </c>
      <c r="M218" s="875">
        <f ca="1">M158-M214-M219-L224-M213</f>
        <v>15702.208455095013</v>
      </c>
      <c r="N218" s="875">
        <f t="shared" ref="N218:V218" ca="1" si="96">N158-N214-N219-M224-N213</f>
        <v>17535.884397133508</v>
      </c>
      <c r="O218" s="875">
        <f t="shared" ca="1" si="96"/>
        <v>19357.636177061191</v>
      </c>
      <c r="P218" s="875">
        <f t="shared" ca="1" si="96"/>
        <v>20668.499488371872</v>
      </c>
      <c r="Q218" s="875">
        <f t="shared" ca="1" si="96"/>
        <v>22116.72094473242</v>
      </c>
      <c r="R218" s="875">
        <f t="shared" ca="1" si="96"/>
        <v>24147.12298029225</v>
      </c>
      <c r="S218" s="875">
        <f t="shared" ca="1" si="96"/>
        <v>24629.721277865909</v>
      </c>
      <c r="T218" s="875">
        <f t="shared" ca="1" si="96"/>
        <v>24047.861849502842</v>
      </c>
      <c r="U218" s="875">
        <f t="shared" ca="1" si="96"/>
        <v>21140.006677867597</v>
      </c>
      <c r="V218" s="875">
        <f t="shared" ca="1" si="96"/>
        <v>18057.922523418405</v>
      </c>
      <c r="W218" s="720"/>
      <c r="X218" s="720"/>
      <c r="Y218" s="720"/>
      <c r="Z218" s="720"/>
      <c r="AA218" s="309"/>
      <c r="AB218"/>
      <c r="AC218"/>
      <c r="AD218"/>
      <c r="AE218"/>
    </row>
    <row r="219" spans="1:31">
      <c r="A219" s="85" t="s">
        <v>235</v>
      </c>
      <c r="B219" s="727">
        <v>0</v>
      </c>
      <c r="C219" s="85">
        <f t="shared" ref="C219:V219" si="97">C217*$R$7*0.5</f>
        <v>22174.375</v>
      </c>
      <c r="D219" s="85">
        <f t="shared" si="97"/>
        <v>22174.375</v>
      </c>
      <c r="E219" s="85">
        <f t="shared" si="97"/>
        <v>22174.375</v>
      </c>
      <c r="F219" s="85">
        <f t="shared" si="97"/>
        <v>22174.375</v>
      </c>
      <c r="G219" s="85">
        <f t="shared" si="97"/>
        <v>22174.375</v>
      </c>
      <c r="H219" s="85">
        <f t="shared" si="97"/>
        <v>22174.375</v>
      </c>
      <c r="I219" s="85">
        <f t="shared" si="97"/>
        <v>22174.375</v>
      </c>
      <c r="J219" s="85">
        <f t="shared" si="97"/>
        <v>22174.375</v>
      </c>
      <c r="K219" s="85">
        <f t="shared" si="97"/>
        <v>22174.375</v>
      </c>
      <c r="L219" s="85">
        <f>L217*$R$7*5/12</f>
        <v>18478.645833333332</v>
      </c>
      <c r="M219" s="85">
        <f t="shared" ca="1" si="97"/>
        <v>21355.112273855419</v>
      </c>
      <c r="N219" s="85">
        <f t="shared" ca="1" si="97"/>
        <v>19620.914779290397</v>
      </c>
      <c r="O219" s="85">
        <f t="shared" ca="1" si="97"/>
        <v>17695.99534333179</v>
      </c>
      <c r="P219" s="85">
        <f t="shared" ca="1" si="97"/>
        <v>15607.631714987818</v>
      </c>
      <c r="Q219" s="85">
        <f t="shared" ca="1" si="97"/>
        <v>13375.312838890601</v>
      </c>
      <c r="R219" s="85">
        <f t="shared" ca="1" si="97"/>
        <v>10961.496782102438</v>
      </c>
      <c r="S219" s="85">
        <f t="shared" ca="1" si="97"/>
        <v>8416.5649329330372</v>
      </c>
      <c r="T219" s="85">
        <f t="shared" ca="1" si="97"/>
        <v>5876.8120332625731</v>
      </c>
      <c r="U219" s="85">
        <f t="shared" ca="1" si="97"/>
        <v>3519.1349928470208</v>
      </c>
      <c r="V219" s="85">
        <f t="shared" ca="1" si="97"/>
        <v>1473.9830367699237</v>
      </c>
      <c r="W219" s="85"/>
      <c r="X219" s="85"/>
      <c r="Y219" s="85"/>
      <c r="Z219" s="85"/>
      <c r="AA219" s="309"/>
      <c r="AB219"/>
      <c r="AC219"/>
      <c r="AD219"/>
      <c r="AE219"/>
    </row>
    <row r="220" spans="1:31">
      <c r="A220" s="85" t="s">
        <v>236</v>
      </c>
      <c r="B220" s="727">
        <f>B217-B218</f>
        <v>425000</v>
      </c>
      <c r="C220" s="85">
        <f t="shared" ref="C220:R220" si="98">C217-C218</f>
        <v>425000</v>
      </c>
      <c r="D220" s="85">
        <f t="shared" si="98"/>
        <v>425000</v>
      </c>
      <c r="E220" s="85">
        <f t="shared" si="98"/>
        <v>425000</v>
      </c>
      <c r="F220" s="85">
        <f t="shared" si="98"/>
        <v>425000</v>
      </c>
      <c r="G220" s="85">
        <f t="shared" si="98"/>
        <v>425000</v>
      </c>
      <c r="H220" s="85">
        <f t="shared" si="98"/>
        <v>425000</v>
      </c>
      <c r="I220" s="85">
        <f t="shared" si="98"/>
        <v>425000</v>
      </c>
      <c r="J220" s="85">
        <f t="shared" si="98"/>
        <v>425000</v>
      </c>
      <c r="K220" s="85">
        <f t="shared" si="98"/>
        <v>425000</v>
      </c>
      <c r="L220" s="85">
        <f t="shared" si="98"/>
        <v>425000</v>
      </c>
      <c r="M220" s="85">
        <f t="shared" ca="1" si="98"/>
        <v>393595.58308980998</v>
      </c>
      <c r="N220" s="85">
        <f t="shared" ca="1" si="98"/>
        <v>358523.81429554301</v>
      </c>
      <c r="O220" s="85">
        <f t="shared" ca="1" si="98"/>
        <v>319808.54194142064</v>
      </c>
      <c r="P220" s="85">
        <f t="shared" ca="1" si="98"/>
        <v>278471.54296467686</v>
      </c>
      <c r="Q220" s="85">
        <f t="shared" ca="1" si="98"/>
        <v>234238.10107521201</v>
      </c>
      <c r="R220" s="85">
        <f t="shared" ca="1" si="98"/>
        <v>185943.85511462751</v>
      </c>
      <c r="S220" s="85">
        <f ca="1">S217-S218</f>
        <v>136684.41255889571</v>
      </c>
      <c r="T220" s="85">
        <f ca="1">T217-T218</f>
        <v>88588.68885989004</v>
      </c>
      <c r="U220" s="85">
        <f ca="1">U217-U218</f>
        <v>46308.675504154846</v>
      </c>
      <c r="V220" s="876">
        <f ca="1">V217-V218</f>
        <v>10192.830457318036</v>
      </c>
      <c r="W220" s="85"/>
      <c r="X220" s="85"/>
      <c r="Y220" s="85"/>
      <c r="Z220" s="85"/>
      <c r="AA220" s="309"/>
      <c r="AB220"/>
      <c r="AC220"/>
      <c r="AD220"/>
      <c r="AE220"/>
    </row>
    <row r="221" spans="1:31">
      <c r="A221" s="87" t="s">
        <v>377</v>
      </c>
      <c r="B221" s="727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309"/>
      <c r="AB221"/>
      <c r="AC221"/>
      <c r="AD221"/>
      <c r="AE221"/>
    </row>
    <row r="222" spans="1:31">
      <c r="A222" s="85" t="s">
        <v>233</v>
      </c>
      <c r="B222" s="727">
        <f>B220</f>
        <v>425000</v>
      </c>
      <c r="C222" s="85">
        <f t="shared" ref="C222:V222" si="99">C220</f>
        <v>425000</v>
      </c>
      <c r="D222" s="85">
        <f t="shared" si="99"/>
        <v>425000</v>
      </c>
      <c r="E222" s="85">
        <f t="shared" si="99"/>
        <v>425000</v>
      </c>
      <c r="F222" s="85">
        <f t="shared" si="99"/>
        <v>425000</v>
      </c>
      <c r="G222" s="85">
        <f t="shared" si="99"/>
        <v>425000</v>
      </c>
      <c r="H222" s="85">
        <f t="shared" si="99"/>
        <v>425000</v>
      </c>
      <c r="I222" s="85">
        <f t="shared" si="99"/>
        <v>425000</v>
      </c>
      <c r="J222" s="85">
        <f t="shared" si="99"/>
        <v>425000</v>
      </c>
      <c r="K222" s="85">
        <f t="shared" si="99"/>
        <v>425000</v>
      </c>
      <c r="L222" s="85">
        <f t="shared" si="99"/>
        <v>425000</v>
      </c>
      <c r="M222" s="85">
        <f t="shared" ca="1" si="99"/>
        <v>393595.58308980998</v>
      </c>
      <c r="N222" s="85">
        <f t="shared" ca="1" si="99"/>
        <v>358523.81429554301</v>
      </c>
      <c r="O222" s="85">
        <f t="shared" ca="1" si="99"/>
        <v>319808.54194142064</v>
      </c>
      <c r="P222" s="85">
        <f t="shared" ca="1" si="99"/>
        <v>278471.54296467686</v>
      </c>
      <c r="Q222" s="85">
        <f t="shared" ca="1" si="99"/>
        <v>234238.10107521201</v>
      </c>
      <c r="R222" s="85">
        <f t="shared" ca="1" si="99"/>
        <v>185943.85511462751</v>
      </c>
      <c r="S222" s="85">
        <f t="shared" ca="1" si="99"/>
        <v>136684.41255889571</v>
      </c>
      <c r="T222" s="85">
        <f t="shared" ca="1" si="99"/>
        <v>88588.68885989004</v>
      </c>
      <c r="U222" s="85">
        <f t="shared" ca="1" si="99"/>
        <v>46308.675504154846</v>
      </c>
      <c r="V222" s="85">
        <f t="shared" ca="1" si="99"/>
        <v>10192.830457318036</v>
      </c>
      <c r="W222" s="85"/>
      <c r="X222" s="85"/>
      <c r="Y222" s="85"/>
      <c r="Z222" s="85"/>
      <c r="AA222" s="309"/>
      <c r="AB222"/>
      <c r="AC222"/>
      <c r="AD222"/>
      <c r="AE222"/>
    </row>
    <row r="223" spans="1:31">
      <c r="A223" s="85" t="s">
        <v>370</v>
      </c>
      <c r="B223" s="727">
        <f>B212*5/12*C158</f>
        <v>0</v>
      </c>
      <c r="C223" s="85">
        <v>0</v>
      </c>
      <c r="D223" s="85">
        <v>0</v>
      </c>
      <c r="E223" s="85">
        <v>0</v>
      </c>
      <c r="F223" s="85">
        <v>0</v>
      </c>
      <c r="G223" s="85">
        <v>0</v>
      </c>
      <c r="H223" s="85">
        <v>0</v>
      </c>
      <c r="I223" s="85">
        <v>0</v>
      </c>
      <c r="J223" s="85">
        <v>0</v>
      </c>
      <c r="K223" s="85">
        <v>0</v>
      </c>
      <c r="L223" s="85">
        <v>0</v>
      </c>
      <c r="M223" s="85">
        <v>0</v>
      </c>
      <c r="N223" s="85">
        <v>0</v>
      </c>
      <c r="O223" s="85">
        <v>0</v>
      </c>
      <c r="P223" s="85">
        <v>0</v>
      </c>
      <c r="Q223" s="85">
        <v>0</v>
      </c>
      <c r="R223" s="85">
        <v>0</v>
      </c>
      <c r="S223" s="85">
        <v>0</v>
      </c>
      <c r="T223" s="85">
        <v>0</v>
      </c>
      <c r="U223" s="85">
        <v>0</v>
      </c>
      <c r="V223" s="85">
        <v>0</v>
      </c>
      <c r="W223" s="85"/>
      <c r="X223" s="85"/>
      <c r="Y223" s="85"/>
      <c r="Z223" s="85"/>
      <c r="AA223" s="309"/>
      <c r="AB223"/>
      <c r="AC223"/>
      <c r="AD223"/>
      <c r="AE223"/>
    </row>
    <row r="224" spans="1:31">
      <c r="A224" s="85" t="s">
        <v>369</v>
      </c>
      <c r="B224" s="727">
        <f>B222*$R$7*3/12</f>
        <v>11087.1875</v>
      </c>
      <c r="C224" s="85">
        <f t="shared" ref="C224:V224" si="100">C222*$R$7*5/12</f>
        <v>18478.645833333332</v>
      </c>
      <c r="D224" s="85">
        <f t="shared" si="100"/>
        <v>18478.645833333332</v>
      </c>
      <c r="E224" s="85">
        <f t="shared" si="100"/>
        <v>18478.645833333332</v>
      </c>
      <c r="F224" s="85">
        <f t="shared" si="100"/>
        <v>18478.645833333332</v>
      </c>
      <c r="G224" s="85">
        <f t="shared" si="100"/>
        <v>18478.645833333332</v>
      </c>
      <c r="H224" s="85">
        <f t="shared" si="100"/>
        <v>18478.645833333332</v>
      </c>
      <c r="I224" s="85">
        <f t="shared" si="100"/>
        <v>18478.645833333332</v>
      </c>
      <c r="J224" s="85">
        <f t="shared" si="100"/>
        <v>18478.645833333332</v>
      </c>
      <c r="K224" s="85">
        <f t="shared" si="100"/>
        <v>18478.645833333332</v>
      </c>
      <c r="L224" s="85">
        <f>L222*$R$7*6/12</f>
        <v>22174.375</v>
      </c>
      <c r="M224" s="85">
        <f t="shared" ca="1" si="100"/>
        <v>17113.207956425696</v>
      </c>
      <c r="N224" s="85">
        <f t="shared" ca="1" si="100"/>
        <v>15588.316675724964</v>
      </c>
      <c r="O224" s="85">
        <f t="shared" ca="1" si="100"/>
        <v>13905.008896494686</v>
      </c>
      <c r="P224" s="85">
        <f t="shared" ca="1" si="100"/>
        <v>12107.710628485011</v>
      </c>
      <c r="Q224" s="85">
        <f t="shared" ca="1" si="100"/>
        <v>10184.477436332656</v>
      </c>
      <c r="R224" s="85">
        <f t="shared" ca="1" si="100"/>
        <v>8084.6838671714077</v>
      </c>
      <c r="S224" s="85">
        <f t="shared" ca="1" si="100"/>
        <v>5942.9243543836528</v>
      </c>
      <c r="T224" s="720">
        <f t="shared" ca="1" si="100"/>
        <v>3851.7623677206357</v>
      </c>
      <c r="U224" s="85">
        <f t="shared" ca="1" si="100"/>
        <v>2013.4626203577325</v>
      </c>
      <c r="V224" s="85">
        <f t="shared" ca="1" si="100"/>
        <v>443.17577425880705</v>
      </c>
      <c r="W224" s="85"/>
      <c r="X224" s="85"/>
      <c r="Y224" s="85"/>
      <c r="Z224" s="85"/>
      <c r="AA224" s="309"/>
      <c r="AB224"/>
      <c r="AC224"/>
      <c r="AD224"/>
      <c r="AE224"/>
    </row>
    <row r="225" spans="1:31">
      <c r="A225" s="85" t="s">
        <v>236</v>
      </c>
      <c r="B225" s="85">
        <f>B222-B223</f>
        <v>425000</v>
      </c>
      <c r="C225" s="85">
        <f t="shared" ref="C225:R225" si="101">C222-C223</f>
        <v>425000</v>
      </c>
      <c r="D225" s="85">
        <f t="shared" si="101"/>
        <v>425000</v>
      </c>
      <c r="E225" s="85">
        <f t="shared" si="101"/>
        <v>425000</v>
      </c>
      <c r="F225" s="85">
        <f t="shared" si="101"/>
        <v>425000</v>
      </c>
      <c r="G225" s="85">
        <f t="shared" si="101"/>
        <v>425000</v>
      </c>
      <c r="H225" s="85">
        <f t="shared" si="101"/>
        <v>425000</v>
      </c>
      <c r="I225" s="85">
        <f t="shared" si="101"/>
        <v>425000</v>
      </c>
      <c r="J225" s="85">
        <f t="shared" si="101"/>
        <v>425000</v>
      </c>
      <c r="K225" s="85">
        <f t="shared" si="101"/>
        <v>425000</v>
      </c>
      <c r="L225" s="85">
        <f t="shared" si="101"/>
        <v>425000</v>
      </c>
      <c r="M225" s="85">
        <f t="shared" ca="1" si="101"/>
        <v>393595.58308980998</v>
      </c>
      <c r="N225" s="85">
        <f t="shared" ca="1" si="101"/>
        <v>358523.81429554301</v>
      </c>
      <c r="O225" s="85">
        <f t="shared" ca="1" si="101"/>
        <v>319808.54194142064</v>
      </c>
      <c r="P225" s="85">
        <f t="shared" ca="1" si="101"/>
        <v>278471.54296467686</v>
      </c>
      <c r="Q225" s="85">
        <f t="shared" ca="1" si="101"/>
        <v>234238.10107521201</v>
      </c>
      <c r="R225" s="85">
        <f t="shared" ca="1" si="101"/>
        <v>185943.85511462751</v>
      </c>
      <c r="S225" s="85">
        <f ca="1">S222-S223</f>
        <v>136684.41255889571</v>
      </c>
      <c r="T225" s="85">
        <f ca="1">T222-T223</f>
        <v>88588.68885989004</v>
      </c>
      <c r="U225" s="85">
        <f ca="1">U222-U223</f>
        <v>46308.675504154846</v>
      </c>
      <c r="V225" s="85">
        <f ca="1">V222-V223</f>
        <v>10192.830457318036</v>
      </c>
      <c r="W225" s="85"/>
      <c r="X225" s="85"/>
      <c r="Y225" s="85"/>
      <c r="Z225" s="85"/>
      <c r="AA225" s="309"/>
      <c r="AB225"/>
      <c r="AC225"/>
      <c r="AD225"/>
      <c r="AE225"/>
    </row>
    <row r="226" spans="1:31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309"/>
      <c r="AB226"/>
      <c r="AC226"/>
      <c r="AD226"/>
      <c r="AE226"/>
    </row>
    <row r="227" spans="1:31">
      <c r="A227" s="89" t="s">
        <v>355</v>
      </c>
      <c r="B227" s="85">
        <v>0</v>
      </c>
      <c r="C227" s="85">
        <f t="shared" ref="C227:V227" si="102">C214+C219+B224</f>
        <v>36957.291666666672</v>
      </c>
      <c r="D227" s="85">
        <f t="shared" si="102"/>
        <v>44348.75</v>
      </c>
      <c r="E227" s="85">
        <f t="shared" si="102"/>
        <v>44348.75</v>
      </c>
      <c r="F227" s="85">
        <f t="shared" si="102"/>
        <v>44348.75</v>
      </c>
      <c r="G227" s="85">
        <f t="shared" si="102"/>
        <v>44348.75</v>
      </c>
      <c r="H227" s="85">
        <f t="shared" si="102"/>
        <v>44348.75</v>
      </c>
      <c r="I227" s="85">
        <f t="shared" si="102"/>
        <v>44348.75</v>
      </c>
      <c r="J227" s="85">
        <f t="shared" si="102"/>
        <v>44348.75</v>
      </c>
      <c r="K227" s="85">
        <f t="shared" si="102"/>
        <v>44348.75</v>
      </c>
      <c r="L227" s="85">
        <f t="shared" si="102"/>
        <v>40653.020833333328</v>
      </c>
      <c r="M227" s="85">
        <f t="shared" ca="1" si="102"/>
        <v>47225.216440522083</v>
      </c>
      <c r="N227" s="85">
        <f t="shared" ca="1" si="102"/>
        <v>40156.764327001234</v>
      </c>
      <c r="O227" s="85">
        <f t="shared" ca="1" si="102"/>
        <v>36401.975354201742</v>
      </c>
      <c r="P227" s="85">
        <f t="shared" ca="1" si="102"/>
        <v>32293.642390781439</v>
      </c>
      <c r="Q227" s="85">
        <f t="shared" ca="1" si="102"/>
        <v>27904.565593072613</v>
      </c>
      <c r="R227" s="85">
        <f t="shared" ca="1" si="102"/>
        <v>23182.869705701625</v>
      </c>
      <c r="S227" s="85">
        <f t="shared" ca="1" si="102"/>
        <v>18118.185573538725</v>
      </c>
      <c r="T227" s="85">
        <f t="shared" ca="1" si="102"/>
        <v>13008.321258522956</v>
      </c>
      <c r="U227" s="85">
        <f t="shared" ca="1" si="102"/>
        <v>8141.2498341117835</v>
      </c>
      <c r="V227" s="85">
        <f t="shared" ca="1" si="102"/>
        <v>3890.1381811992028</v>
      </c>
      <c r="W227" s="85"/>
      <c r="X227" s="85"/>
      <c r="Y227" s="85"/>
      <c r="Z227" s="85"/>
      <c r="AA227" s="309"/>
      <c r="AB227"/>
      <c r="AC227"/>
      <c r="AD227"/>
      <c r="AE227"/>
    </row>
    <row r="228" spans="1:31">
      <c r="A228" s="21" t="s">
        <v>356</v>
      </c>
      <c r="B228" s="85">
        <f>B214+B219+B224</f>
        <v>11087.1875</v>
      </c>
      <c r="C228" s="85">
        <f>C214+C219+C224</f>
        <v>44348.75</v>
      </c>
      <c r="D228" s="85">
        <f t="shared" ref="D228:V228" si="103">D214+D219+D224</f>
        <v>44348.75</v>
      </c>
      <c r="E228" s="85">
        <f t="shared" si="103"/>
        <v>44348.75</v>
      </c>
      <c r="F228" s="85">
        <f t="shared" si="103"/>
        <v>44348.75</v>
      </c>
      <c r="G228" s="85">
        <f t="shared" si="103"/>
        <v>44348.75</v>
      </c>
      <c r="H228" s="85">
        <f t="shared" si="103"/>
        <v>44348.75</v>
      </c>
      <c r="I228" s="85">
        <f t="shared" si="103"/>
        <v>44348.75</v>
      </c>
      <c r="J228" s="85">
        <f t="shared" si="103"/>
        <v>44348.75</v>
      </c>
      <c r="K228" s="85">
        <f t="shared" si="103"/>
        <v>44348.75</v>
      </c>
      <c r="L228" s="85">
        <f t="shared" si="103"/>
        <v>44348.75</v>
      </c>
      <c r="M228" s="85">
        <f t="shared" ca="1" si="103"/>
        <v>42164.049396947783</v>
      </c>
      <c r="N228" s="85">
        <f t="shared" ca="1" si="103"/>
        <v>38631.873046300505</v>
      </c>
      <c r="O228" s="85">
        <f t="shared" ca="1" si="103"/>
        <v>34718.66757497147</v>
      </c>
      <c r="P228" s="85">
        <f t="shared" ca="1" si="103"/>
        <v>30496.344122771763</v>
      </c>
      <c r="Q228" s="85">
        <f t="shared" ca="1" si="103"/>
        <v>25981.332400920259</v>
      </c>
      <c r="R228" s="85">
        <f t="shared" ca="1" si="103"/>
        <v>21083.076136540378</v>
      </c>
      <c r="S228" s="85">
        <f t="shared" ca="1" si="103"/>
        <v>15976.426060750971</v>
      </c>
      <c r="T228" s="85">
        <f t="shared" ca="1" si="103"/>
        <v>10917.159271859939</v>
      </c>
      <c r="U228" s="85">
        <f t="shared" ca="1" si="103"/>
        <v>6302.9500867488805</v>
      </c>
      <c r="V228" s="85">
        <f t="shared" ca="1" si="103"/>
        <v>2319.8513351002775</v>
      </c>
      <c r="AA228" s="22"/>
      <c r="AB228"/>
      <c r="AC228"/>
      <c r="AD228"/>
      <c r="AE228"/>
    </row>
    <row r="229" spans="1:31">
      <c r="A229" s="89" t="s">
        <v>373</v>
      </c>
      <c r="B229" s="727">
        <f>B213+B218</f>
        <v>0</v>
      </c>
      <c r="C229" s="727">
        <f t="shared" ref="C229:V229" si="104">C213+C218+B223</f>
        <v>0</v>
      </c>
      <c r="D229" s="727">
        <f t="shared" si="104"/>
        <v>0</v>
      </c>
      <c r="E229" s="727">
        <f t="shared" si="104"/>
        <v>0</v>
      </c>
      <c r="F229" s="727">
        <f t="shared" si="104"/>
        <v>0</v>
      </c>
      <c r="G229" s="727">
        <f t="shared" si="104"/>
        <v>0</v>
      </c>
      <c r="H229" s="727">
        <f t="shared" si="104"/>
        <v>0</v>
      </c>
      <c r="I229" s="727">
        <f t="shared" si="104"/>
        <v>0</v>
      </c>
      <c r="J229" s="727">
        <f t="shared" si="104"/>
        <v>0</v>
      </c>
      <c r="K229" s="727">
        <f t="shared" si="104"/>
        <v>0</v>
      </c>
      <c r="L229" s="727">
        <f t="shared" si="104"/>
        <v>0</v>
      </c>
      <c r="M229" s="727">
        <f t="shared" ca="1" si="104"/>
        <v>31404.416910190026</v>
      </c>
      <c r="N229" s="727">
        <f t="shared" ca="1" si="104"/>
        <v>35071.768794267016</v>
      </c>
      <c r="O229" s="727">
        <f t="shared" ca="1" si="104"/>
        <v>38715.272354122375</v>
      </c>
      <c r="P229" s="727">
        <f t="shared" ca="1" si="104"/>
        <v>41336.998976743744</v>
      </c>
      <c r="Q229" s="727">
        <f t="shared" ca="1" si="104"/>
        <v>44233.441889464848</v>
      </c>
      <c r="R229" s="727">
        <f t="shared" ca="1" si="104"/>
        <v>48294.2459605845</v>
      </c>
      <c r="S229" s="727">
        <f t="shared" ca="1" si="104"/>
        <v>49259.442555731817</v>
      </c>
      <c r="T229" s="727">
        <f t="shared" ca="1" si="104"/>
        <v>48095.723699005684</v>
      </c>
      <c r="U229" s="727">
        <f t="shared" ca="1" si="104"/>
        <v>42280.013355735195</v>
      </c>
      <c r="V229" s="727">
        <f t="shared" ca="1" si="104"/>
        <v>36115.84504683681</v>
      </c>
      <c r="AA229" s="22"/>
      <c r="AB229"/>
      <c r="AC229"/>
      <c r="AD229"/>
      <c r="AE229"/>
    </row>
    <row r="230" spans="1:31">
      <c r="A230" s="21" t="s">
        <v>371</v>
      </c>
      <c r="B230" s="85">
        <f>B223</f>
        <v>0</v>
      </c>
      <c r="C230" s="85">
        <f t="shared" ref="C230:V230" si="105">C223</f>
        <v>0</v>
      </c>
      <c r="D230" s="85">
        <f t="shared" si="105"/>
        <v>0</v>
      </c>
      <c r="E230" s="85">
        <f t="shared" si="105"/>
        <v>0</v>
      </c>
      <c r="F230" s="85">
        <f t="shared" si="105"/>
        <v>0</v>
      </c>
      <c r="G230" s="85">
        <f t="shared" si="105"/>
        <v>0</v>
      </c>
      <c r="H230" s="85">
        <f t="shared" si="105"/>
        <v>0</v>
      </c>
      <c r="I230" s="85">
        <f t="shared" si="105"/>
        <v>0</v>
      </c>
      <c r="J230" s="85">
        <f t="shared" si="105"/>
        <v>0</v>
      </c>
      <c r="K230" s="85">
        <f t="shared" si="105"/>
        <v>0</v>
      </c>
      <c r="L230" s="85">
        <f t="shared" si="105"/>
        <v>0</v>
      </c>
      <c r="M230" s="85">
        <f t="shared" si="105"/>
        <v>0</v>
      </c>
      <c r="N230" s="85">
        <f t="shared" si="105"/>
        <v>0</v>
      </c>
      <c r="O230" s="85">
        <f t="shared" si="105"/>
        <v>0</v>
      </c>
      <c r="P230" s="85">
        <f t="shared" si="105"/>
        <v>0</v>
      </c>
      <c r="Q230" s="85">
        <f t="shared" si="105"/>
        <v>0</v>
      </c>
      <c r="R230" s="85">
        <f t="shared" si="105"/>
        <v>0</v>
      </c>
      <c r="S230" s="85">
        <f t="shared" si="105"/>
        <v>0</v>
      </c>
      <c r="T230" s="85">
        <f t="shared" si="105"/>
        <v>0</v>
      </c>
      <c r="U230" s="85">
        <f t="shared" si="105"/>
        <v>0</v>
      </c>
      <c r="V230" s="85">
        <f t="shared" si="105"/>
        <v>0</v>
      </c>
      <c r="AA230" s="22"/>
      <c r="AB230"/>
      <c r="AC230"/>
      <c r="AD230"/>
      <c r="AE230"/>
    </row>
    <row r="231" spans="1:3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</row>
    <row r="232" spans="1:3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</row>
    <row r="233" spans="1:31">
      <c r="A233" s="103" t="s">
        <v>184</v>
      </c>
      <c r="B233" s="104">
        <v>0</v>
      </c>
      <c r="C233" s="104">
        <f ca="1">C140+C154</f>
        <v>89715.843466455946</v>
      </c>
      <c r="D233" s="104">
        <f t="shared" ref="D233:V233" si="106">D140+D154</f>
        <v>122372.11600515959</v>
      </c>
      <c r="E233" s="104">
        <f t="shared" si="106"/>
        <v>121860.67263279502</v>
      </c>
      <c r="F233" s="104">
        <f t="shared" si="106"/>
        <v>187651.64014913287</v>
      </c>
      <c r="G233" s="104">
        <f t="shared" si="106"/>
        <v>190109.1021750106</v>
      </c>
      <c r="H233" s="104">
        <f t="shared" si="106"/>
        <v>193591.99296303227</v>
      </c>
      <c r="I233" s="104">
        <f t="shared" si="106"/>
        <v>194788.0627973846</v>
      </c>
      <c r="J233" s="104">
        <f t="shared" si="106"/>
        <v>199203.15022055939</v>
      </c>
      <c r="K233" s="104">
        <f t="shared" si="106"/>
        <v>201177.53260156928</v>
      </c>
      <c r="L233" s="104">
        <f t="shared" si="106"/>
        <v>205855.99542930117</v>
      </c>
      <c r="M233" s="104">
        <f t="shared" si="106"/>
        <v>206645.9062382972</v>
      </c>
      <c r="N233" s="104">
        <f t="shared" si="106"/>
        <v>211414.53803110844</v>
      </c>
      <c r="O233" s="104">
        <f t="shared" si="106"/>
        <v>213506.78665274102</v>
      </c>
      <c r="P233" s="104">
        <f t="shared" si="106"/>
        <v>214835.54761544304</v>
      </c>
      <c r="Q233" s="104">
        <f t="shared" si="106"/>
        <v>216468.3634660345</v>
      </c>
      <c r="R233" s="104">
        <f t="shared" si="106"/>
        <v>218387.20496215031</v>
      </c>
      <c r="S233" s="104">
        <f t="shared" si="106"/>
        <v>220305.41028444408</v>
      </c>
      <c r="T233" s="104">
        <f t="shared" si="106"/>
        <v>222191.20898447486</v>
      </c>
      <c r="U233" s="104">
        <f t="shared" si="106"/>
        <v>223808.30937061677</v>
      </c>
      <c r="V233" s="104">
        <f t="shared" si="106"/>
        <v>223087.61019639071</v>
      </c>
      <c r="W233"/>
      <c r="X233"/>
      <c r="Y233"/>
      <c r="Z233"/>
      <c r="AA233"/>
      <c r="AB233"/>
      <c r="AC233"/>
      <c r="AD233"/>
      <c r="AE233"/>
    </row>
    <row r="234" spans="1:31">
      <c r="A234" s="79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/>
      <c r="X234"/>
      <c r="Y234"/>
      <c r="Z234"/>
      <c r="AA234"/>
      <c r="AB234"/>
      <c r="AC234"/>
      <c r="AD234"/>
      <c r="AE234"/>
    </row>
    <row r="235" spans="1:31">
      <c r="A235" s="88" t="s">
        <v>366</v>
      </c>
      <c r="B235" s="88">
        <f>B181+B167+B172</f>
        <v>0</v>
      </c>
      <c r="C235" s="88">
        <f ca="1">C181+C183</f>
        <v>-4325.9351575408655</v>
      </c>
      <c r="D235" s="88">
        <f t="shared" ref="D235:V235" ca="1" si="107">D181+D183</f>
        <v>30224.05518056744</v>
      </c>
      <c r="E235" s="88">
        <f t="shared" ca="1" si="107"/>
        <v>29735.760191453519</v>
      </c>
      <c r="F235" s="88">
        <f t="shared" ca="1" si="107"/>
        <v>-42629.527200573328</v>
      </c>
      <c r="G235" s="88">
        <f t="shared" ca="1" si="107"/>
        <v>9021.6476939040294</v>
      </c>
      <c r="H235" s="88">
        <f t="shared" ca="1" si="107"/>
        <v>9021.6476939040294</v>
      </c>
      <c r="I235" s="88">
        <f t="shared" ca="1" si="107"/>
        <v>9021.6476939040294</v>
      </c>
      <c r="J235" s="88">
        <f t="shared" ca="1" si="107"/>
        <v>9021.6476939040294</v>
      </c>
      <c r="K235" s="88">
        <f t="shared" ca="1" si="107"/>
        <v>9021.6476939040294</v>
      </c>
      <c r="L235" s="88">
        <f t="shared" ca="1" si="107"/>
        <v>9021.6476939040294</v>
      </c>
      <c r="M235" s="88">
        <f t="shared" ca="1" si="107"/>
        <v>9021.6476939040294</v>
      </c>
      <c r="N235" s="88">
        <f t="shared" ca="1" si="107"/>
        <v>9021.6476939040294</v>
      </c>
      <c r="O235" s="88">
        <f t="shared" ca="1" si="107"/>
        <v>9021.6476939040294</v>
      </c>
      <c r="P235" s="88">
        <f t="shared" ca="1" si="107"/>
        <v>9021.6476939040294</v>
      </c>
      <c r="Q235" s="88">
        <f t="shared" ca="1" si="107"/>
        <v>9021.6476939040294</v>
      </c>
      <c r="R235" s="88">
        <f t="shared" ca="1" si="107"/>
        <v>9021.6476939040294</v>
      </c>
      <c r="S235" s="88">
        <f t="shared" ca="1" si="107"/>
        <v>9021.6476939040294</v>
      </c>
      <c r="T235" s="88">
        <f t="shared" ca="1" si="107"/>
        <v>9021.6476939040294</v>
      </c>
      <c r="U235" s="88">
        <f t="shared" ca="1" si="107"/>
        <v>9021.6476939040294</v>
      </c>
      <c r="V235" s="88">
        <f t="shared" ca="1" si="107"/>
        <v>9021.6476939040294</v>
      </c>
      <c r="W235"/>
      <c r="X235"/>
      <c r="Y235"/>
      <c r="Z235"/>
      <c r="AA235"/>
      <c r="AB235"/>
      <c r="AC235"/>
      <c r="AD235"/>
      <c r="AE235"/>
    </row>
    <row r="236" spans="1:31">
      <c r="A236" s="88" t="s">
        <v>367</v>
      </c>
      <c r="B236" s="88">
        <f>B204+B190+B195</f>
        <v>0</v>
      </c>
      <c r="C236" s="88">
        <f>C204+C206</f>
        <v>17010</v>
      </c>
      <c r="D236" s="88">
        <f t="shared" ref="D236:V236" si="108">D204+D206</f>
        <v>20412</v>
      </c>
      <c r="E236" s="88">
        <f t="shared" si="108"/>
        <v>20412</v>
      </c>
      <c r="F236" s="88">
        <f t="shared" si="108"/>
        <v>82494.35552947894</v>
      </c>
      <c r="G236" s="88">
        <f t="shared" ca="1" si="108"/>
        <v>39876.136320107464</v>
      </c>
      <c r="H236" s="88">
        <f t="shared" ca="1" si="108"/>
        <v>41673.436465784544</v>
      </c>
      <c r="I236" s="88">
        <f t="shared" ca="1" si="108"/>
        <v>40580.084193049268</v>
      </c>
      <c r="J236" s="88">
        <f t="shared" ca="1" si="108"/>
        <v>41109.622707618582</v>
      </c>
      <c r="K236" s="88">
        <f t="shared" ca="1" si="108"/>
        <v>41187.127369575755</v>
      </c>
      <c r="L236" s="88">
        <f t="shared" ca="1" si="108"/>
        <v>-18676.609893251945</v>
      </c>
      <c r="M236" s="88">
        <f t="shared" ca="1" si="108"/>
        <v>0</v>
      </c>
      <c r="N236" s="88">
        <f t="shared" ca="1" si="108"/>
        <v>0</v>
      </c>
      <c r="O236" s="88">
        <f t="shared" ca="1" si="108"/>
        <v>0</v>
      </c>
      <c r="P236" s="88">
        <f t="shared" ca="1" si="108"/>
        <v>0</v>
      </c>
      <c r="Q236" s="88">
        <f t="shared" ca="1" si="108"/>
        <v>0</v>
      </c>
      <c r="R236" s="88">
        <f t="shared" ca="1" si="108"/>
        <v>0</v>
      </c>
      <c r="S236" s="88">
        <f t="shared" ca="1" si="108"/>
        <v>0</v>
      </c>
      <c r="T236" s="88">
        <f t="shared" ca="1" si="108"/>
        <v>0</v>
      </c>
      <c r="U236" s="88">
        <f t="shared" ca="1" si="108"/>
        <v>0</v>
      </c>
      <c r="V236" s="88">
        <f t="shared" ca="1" si="108"/>
        <v>0</v>
      </c>
      <c r="W236"/>
      <c r="X236"/>
      <c r="Y236"/>
      <c r="Z236"/>
      <c r="AA236"/>
      <c r="AB236"/>
      <c r="AC236"/>
      <c r="AD236"/>
      <c r="AE236"/>
    </row>
    <row r="237" spans="1:31">
      <c r="A237" s="88" t="s">
        <v>368</v>
      </c>
      <c r="B237" s="88">
        <f>B227+B213+B218</f>
        <v>0</v>
      </c>
      <c r="C237" s="88">
        <f>C227+C229</f>
        <v>36957.291666666672</v>
      </c>
      <c r="D237" s="88">
        <f t="shared" ref="D237:V237" si="109">D227+D229</f>
        <v>44348.75</v>
      </c>
      <c r="E237" s="88">
        <f t="shared" si="109"/>
        <v>44348.75</v>
      </c>
      <c r="F237" s="88">
        <f t="shared" si="109"/>
        <v>44348.75</v>
      </c>
      <c r="G237" s="88">
        <f t="shared" si="109"/>
        <v>44348.75</v>
      </c>
      <c r="H237" s="88">
        <f t="shared" si="109"/>
        <v>44348.75</v>
      </c>
      <c r="I237" s="88">
        <f t="shared" si="109"/>
        <v>44348.75</v>
      </c>
      <c r="J237" s="88">
        <f t="shared" si="109"/>
        <v>44348.75</v>
      </c>
      <c r="K237" s="88">
        <f t="shared" si="109"/>
        <v>44348.75</v>
      </c>
      <c r="L237" s="88">
        <f t="shared" si="109"/>
        <v>40653.020833333328</v>
      </c>
      <c r="M237" s="88">
        <f t="shared" ca="1" si="109"/>
        <v>78629.633350712102</v>
      </c>
      <c r="N237" s="88">
        <f t="shared" ca="1" si="109"/>
        <v>75228.53312126825</v>
      </c>
      <c r="O237" s="88">
        <f t="shared" ca="1" si="109"/>
        <v>75117.24770832411</v>
      </c>
      <c r="P237" s="88">
        <f t="shared" ca="1" si="109"/>
        <v>73630.641367525182</v>
      </c>
      <c r="Q237" s="88">
        <f t="shared" ca="1" si="109"/>
        <v>72138.007482537461</v>
      </c>
      <c r="R237" s="88">
        <f t="shared" ca="1" si="109"/>
        <v>71477.115666286118</v>
      </c>
      <c r="S237" s="88">
        <f t="shared" ca="1" si="109"/>
        <v>67377.628129270539</v>
      </c>
      <c r="T237" s="88">
        <f t="shared" ca="1" si="109"/>
        <v>61104.04495752864</v>
      </c>
      <c r="U237" s="88">
        <f t="shared" ca="1" si="109"/>
        <v>50421.263189846977</v>
      </c>
      <c r="V237" s="88">
        <f t="shared" ca="1" si="109"/>
        <v>40005.983228036013</v>
      </c>
      <c r="W237"/>
      <c r="X237"/>
      <c r="Y237"/>
      <c r="Z237"/>
      <c r="AA237"/>
      <c r="AB237"/>
      <c r="AC237"/>
      <c r="AD237"/>
      <c r="AE237"/>
    </row>
    <row r="238" spans="1:31">
      <c r="A238" s="79" t="s">
        <v>506</v>
      </c>
      <c r="B238" s="88">
        <v>0</v>
      </c>
      <c r="C238" s="731">
        <f>C102</f>
        <v>0</v>
      </c>
      <c r="D238" s="88">
        <v>0</v>
      </c>
      <c r="E238" s="88">
        <v>0</v>
      </c>
      <c r="F238" s="88">
        <v>0</v>
      </c>
      <c r="G238" s="88">
        <v>0</v>
      </c>
      <c r="H238" s="88">
        <v>0</v>
      </c>
      <c r="I238" s="88">
        <v>0</v>
      </c>
      <c r="J238" s="88">
        <v>0</v>
      </c>
      <c r="K238" s="88">
        <v>0</v>
      </c>
      <c r="L238" s="88">
        <v>0</v>
      </c>
      <c r="M238" s="88">
        <v>0</v>
      </c>
      <c r="N238" s="88">
        <v>0</v>
      </c>
      <c r="O238" s="88">
        <v>0</v>
      </c>
      <c r="P238" s="88">
        <v>0</v>
      </c>
      <c r="Q238" s="88">
        <v>0</v>
      </c>
      <c r="R238" s="88">
        <v>0</v>
      </c>
      <c r="S238" s="88">
        <v>0</v>
      </c>
      <c r="T238" s="88">
        <v>0</v>
      </c>
      <c r="U238" s="88">
        <v>0</v>
      </c>
      <c r="V238" s="88">
        <v>0</v>
      </c>
      <c r="W238"/>
      <c r="X238"/>
      <c r="Y238"/>
      <c r="Z238"/>
      <c r="AA238"/>
      <c r="AB238"/>
      <c r="AC238"/>
      <c r="AD238"/>
      <c r="AE238"/>
    </row>
    <row r="239" spans="1:31">
      <c r="A239" s="79" t="s">
        <v>507</v>
      </c>
      <c r="B239" s="88"/>
      <c r="C239" s="731">
        <f ca="1">C103</f>
        <v>1147.6255684761672</v>
      </c>
      <c r="D239" s="731">
        <f>-[1]CF!G145</f>
        <v>0</v>
      </c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/>
      <c r="X239"/>
      <c r="Y239"/>
      <c r="Z239"/>
      <c r="AA239"/>
      <c r="AB239"/>
      <c r="AC239"/>
      <c r="AD239"/>
      <c r="AE239"/>
    </row>
    <row r="240" spans="1:31">
      <c r="A240" s="79" t="s">
        <v>508</v>
      </c>
      <c r="B240" s="882">
        <v>0</v>
      </c>
      <c r="C240" s="731">
        <f>C104</f>
        <v>-18014.594701375368</v>
      </c>
      <c r="D240" s="882">
        <v>0</v>
      </c>
      <c r="E240" s="882">
        <v>0</v>
      </c>
      <c r="F240" s="882">
        <v>0</v>
      </c>
      <c r="G240" s="882">
        <v>0</v>
      </c>
      <c r="H240" s="882">
        <v>0</v>
      </c>
      <c r="I240" s="882">
        <v>0</v>
      </c>
      <c r="J240" s="882">
        <v>0</v>
      </c>
      <c r="K240" s="882">
        <v>0</v>
      </c>
      <c r="L240" s="882">
        <v>0</v>
      </c>
      <c r="M240" s="882">
        <v>0</v>
      </c>
      <c r="N240" s="882">
        <v>0</v>
      </c>
      <c r="O240" s="882">
        <v>0</v>
      </c>
      <c r="P240" s="882">
        <v>0</v>
      </c>
      <c r="Q240" s="882">
        <v>0</v>
      </c>
      <c r="R240" s="882">
        <v>0</v>
      </c>
      <c r="S240" s="882">
        <v>0</v>
      </c>
      <c r="T240" s="882">
        <v>0</v>
      </c>
      <c r="U240" s="882">
        <v>0</v>
      </c>
      <c r="V240" s="882">
        <v>0</v>
      </c>
      <c r="W240"/>
      <c r="X240"/>
      <c r="Y240"/>
      <c r="Z240"/>
      <c r="AA240"/>
      <c r="AB240"/>
      <c r="AC240"/>
      <c r="AD240"/>
      <c r="AE240"/>
    </row>
    <row r="241" spans="1:31">
      <c r="A241" s="88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/>
      <c r="X241"/>
      <c r="Y241"/>
      <c r="Z241"/>
      <c r="AA241"/>
      <c r="AB241"/>
      <c r="AC241"/>
      <c r="AD241"/>
      <c r="AE241"/>
    </row>
    <row r="242" spans="1:31">
      <c r="A242" s="89" t="s">
        <v>237</v>
      </c>
      <c r="B242" s="89">
        <v>0</v>
      </c>
      <c r="C242" s="89">
        <f t="shared" ref="C242:V242" ca="1" si="110">SUM(C235:C240)</f>
        <v>32774.387376226608</v>
      </c>
      <c r="D242" s="89">
        <f t="shared" ca="1" si="110"/>
        <v>94984.805180567433</v>
      </c>
      <c r="E242" s="89">
        <f t="shared" ca="1" si="110"/>
        <v>94496.510191453519</v>
      </c>
      <c r="F242" s="89">
        <f t="shared" ca="1" si="110"/>
        <v>84213.578328905613</v>
      </c>
      <c r="G242" s="89">
        <f t="shared" ca="1" si="110"/>
        <v>93246.5340140115</v>
      </c>
      <c r="H242" s="89">
        <f t="shared" ca="1" si="110"/>
        <v>95043.834159688573</v>
      </c>
      <c r="I242" s="89">
        <f t="shared" ca="1" si="110"/>
        <v>93950.48188695329</v>
      </c>
      <c r="J242" s="89">
        <f t="shared" ca="1" si="110"/>
        <v>94480.020401522605</v>
      </c>
      <c r="K242" s="89">
        <f t="shared" ca="1" si="110"/>
        <v>94557.525063479785</v>
      </c>
      <c r="L242" s="89">
        <f t="shared" ca="1" si="110"/>
        <v>30998.058633985413</v>
      </c>
      <c r="M242" s="89">
        <f t="shared" ca="1" si="110"/>
        <v>87651.281044616131</v>
      </c>
      <c r="N242" s="89">
        <f t="shared" ca="1" si="110"/>
        <v>84250.18081517228</v>
      </c>
      <c r="O242" s="89">
        <f t="shared" ca="1" si="110"/>
        <v>84138.89540222814</v>
      </c>
      <c r="P242" s="89">
        <f t="shared" ca="1" si="110"/>
        <v>82652.289061429212</v>
      </c>
      <c r="Q242" s="89">
        <f t="shared" ca="1" si="110"/>
        <v>81159.655176441491</v>
      </c>
      <c r="R242" s="89">
        <f t="shared" ca="1" si="110"/>
        <v>80498.763360190147</v>
      </c>
      <c r="S242" s="89">
        <f t="shared" ca="1" si="110"/>
        <v>76399.275823174568</v>
      </c>
      <c r="T242" s="89">
        <f t="shared" ca="1" si="110"/>
        <v>70125.692651432677</v>
      </c>
      <c r="U242" s="89">
        <f t="shared" ca="1" si="110"/>
        <v>59442.910883751007</v>
      </c>
      <c r="V242" s="89">
        <f t="shared" ca="1" si="110"/>
        <v>49027.630921940043</v>
      </c>
      <c r="W242"/>
      <c r="X242"/>
      <c r="Y242"/>
      <c r="Z242"/>
      <c r="AA242"/>
      <c r="AB242"/>
      <c r="AC242"/>
      <c r="AD242"/>
      <c r="AE242"/>
    </row>
    <row r="243" spans="1:31">
      <c r="A243" s="89"/>
      <c r="B243" s="89"/>
      <c r="C243" s="884">
        <f ca="1">C242-C106</f>
        <v>264.25347995913762</v>
      </c>
      <c r="D243" s="884">
        <f t="shared" ref="D243:V243" ca="1" si="111">D242-D106</f>
        <v>660.10767431743443</v>
      </c>
      <c r="E243" s="884">
        <f t="shared" ca="1" si="111"/>
        <v>731.73986645351397</v>
      </c>
      <c r="F243" s="884">
        <f t="shared" ca="1" si="111"/>
        <v>856.27727890560345</v>
      </c>
      <c r="G243" s="884">
        <f t="shared" ca="1" si="111"/>
        <v>8848.0117640114913</v>
      </c>
      <c r="H243" s="884">
        <f t="shared" ca="1" si="111"/>
        <v>9144.377559688568</v>
      </c>
      <c r="I243" s="884">
        <f t="shared" ca="1" si="111"/>
        <v>7492.6932869532902</v>
      </c>
      <c r="J243" s="884">
        <f t="shared" ca="1" si="111"/>
        <v>6062.0364015226078</v>
      </c>
      <c r="K243" s="884">
        <f t="shared" ca="1" si="111"/>
        <v>5029.3372634797852</v>
      </c>
      <c r="L243" s="884">
        <f t="shared" ca="1" si="111"/>
        <v>-60337.685299347933</v>
      </c>
      <c r="M243" s="884">
        <f t="shared" ca="1" si="111"/>
        <v>8022.5854155993729</v>
      </c>
      <c r="N243" s="884">
        <f t="shared" ca="1" si="111"/>
        <v>8175.2913262640795</v>
      </c>
      <c r="O243" s="884">
        <f t="shared" ca="1" si="111"/>
        <v>8257.3313734560943</v>
      </c>
      <c r="P243" s="884">
        <f t="shared" ca="1" si="111"/>
        <v>8346.9234186821704</v>
      </c>
      <c r="Q243" s="884">
        <f t="shared" ca="1" si="111"/>
        <v>8442.4703947891248</v>
      </c>
      <c r="R243" s="884">
        <f t="shared" ca="1" si="111"/>
        <v>8545.0622457023419</v>
      </c>
      <c r="S243" s="884">
        <f t="shared" ca="1" si="111"/>
        <v>8654.8494912736205</v>
      </c>
      <c r="T243" s="884">
        <f t="shared" ca="1" si="111"/>
        <v>8765.4198815210257</v>
      </c>
      <c r="U243" s="884">
        <f t="shared" ca="1" si="111"/>
        <v>8870.5121549536489</v>
      </c>
      <c r="V243" s="884">
        <f t="shared" ca="1" si="111"/>
        <v>8962.3816714901404</v>
      </c>
      <c r="W243"/>
      <c r="X243"/>
      <c r="Y243"/>
      <c r="Z243"/>
      <c r="AA243"/>
      <c r="AB243"/>
      <c r="AC243"/>
      <c r="AD243"/>
      <c r="AE243"/>
    </row>
    <row r="244" spans="1:31">
      <c r="A244" s="89" t="s">
        <v>364</v>
      </c>
      <c r="B244" s="89">
        <f t="shared" ref="B244:V245" si="112">B181+B204+B227</f>
        <v>0</v>
      </c>
      <c r="C244" s="89">
        <f t="shared" ca="1" si="112"/>
        <v>60488.056028777486</v>
      </c>
      <c r="D244" s="89">
        <f t="shared" ca="1" si="112"/>
        <v>73017.291926267833</v>
      </c>
      <c r="E244" s="89">
        <f t="shared" ca="1" si="112"/>
        <v>71152.486469423777</v>
      </c>
      <c r="F244" s="89">
        <f t="shared" ca="1" si="112"/>
        <v>71750.488753101061</v>
      </c>
      <c r="G244" s="89">
        <f t="shared" ca="1" si="112"/>
        <v>67220.975169844285</v>
      </c>
      <c r="H244" s="89">
        <f t="shared" ca="1" si="112"/>
        <v>64475.497844322221</v>
      </c>
      <c r="I244" s="89">
        <f t="shared" ca="1" si="112"/>
        <v>61457.486335020039</v>
      </c>
      <c r="J244" s="89">
        <f t="shared" ca="1" si="112"/>
        <v>58207.320347983092</v>
      </c>
      <c r="K244" s="89">
        <f t="shared" ca="1" si="112"/>
        <v>54591.875222955321</v>
      </c>
      <c r="L244" s="89">
        <f t="shared" ca="1" si="112"/>
        <v>48405.654768995148</v>
      </c>
      <c r="M244" s="89">
        <f t="shared" ca="1" si="112"/>
        <v>56246.864134426112</v>
      </c>
      <c r="N244" s="89">
        <f t="shared" ca="1" si="112"/>
        <v>49178.412020905263</v>
      </c>
      <c r="O244" s="89">
        <f t="shared" ca="1" si="112"/>
        <v>45423.623048105772</v>
      </c>
      <c r="P244" s="89">
        <f t="shared" ca="1" si="112"/>
        <v>41315.290084685468</v>
      </c>
      <c r="Q244" s="89">
        <f t="shared" ca="1" si="112"/>
        <v>36926.213286976643</v>
      </c>
      <c r="R244" s="89">
        <f t="shared" ca="1" si="112"/>
        <v>32204.517399605655</v>
      </c>
      <c r="S244" s="89">
        <f t="shared" ca="1" si="112"/>
        <v>27139.833267442755</v>
      </c>
      <c r="T244" s="89">
        <f t="shared" ca="1" si="112"/>
        <v>22029.968952426985</v>
      </c>
      <c r="U244" s="89">
        <f t="shared" ca="1" si="112"/>
        <v>17162.897528015812</v>
      </c>
      <c r="V244" s="89">
        <f t="shared" ca="1" si="112"/>
        <v>12911.785875103233</v>
      </c>
      <c r="W244"/>
      <c r="X244"/>
      <c r="Y244"/>
      <c r="Z244"/>
      <c r="AA244"/>
      <c r="AB244"/>
      <c r="AC244"/>
      <c r="AD244"/>
      <c r="AE244"/>
    </row>
    <row r="245" spans="1:31">
      <c r="A245" s="89" t="s">
        <v>365</v>
      </c>
      <c r="B245" s="89">
        <f t="shared" si="112"/>
        <v>18135.3125</v>
      </c>
      <c r="C245" s="89">
        <f t="shared" ca="1" si="112"/>
        <v>72948.407983218931</v>
      </c>
      <c r="D245" s="89">
        <f t="shared" ca="1" si="112"/>
        <v>72267.650536464862</v>
      </c>
      <c r="E245" s="89">
        <f t="shared" ca="1" si="112"/>
        <v>70355.871659909506</v>
      </c>
      <c r="F245" s="89">
        <f t="shared" ca="1" si="112"/>
        <v>70929.410804826301</v>
      </c>
      <c r="G245" s="89">
        <f t="shared" ca="1" si="112"/>
        <v>66166.94003665552</v>
      </c>
      <c r="H245" s="89">
        <f t="shared" ca="1" si="112"/>
        <v>63237.480223549886</v>
      </c>
      <c r="I245" s="89">
        <f t="shared" ca="1" si="112"/>
        <v>60141.520015166738</v>
      </c>
      <c r="J245" s="89">
        <f t="shared" ca="1" si="112"/>
        <v>56738.275995814744</v>
      </c>
      <c r="K245" s="89">
        <f t="shared" ca="1" si="112"/>
        <v>52973.266404414077</v>
      </c>
      <c r="L245" s="89">
        <f t="shared" ca="1" si="112"/>
        <v>52806.391579129711</v>
      </c>
      <c r="M245" s="89">
        <f t="shared" ca="1" si="112"/>
        <v>51185.697090851812</v>
      </c>
      <c r="N245" s="89">
        <f t="shared" ca="1" si="112"/>
        <v>47653.520740204534</v>
      </c>
      <c r="O245" s="89">
        <f t="shared" ca="1" si="112"/>
        <v>43740.3152688755</v>
      </c>
      <c r="P245" s="89">
        <f t="shared" ca="1" si="112"/>
        <v>39517.991816675793</v>
      </c>
      <c r="Q245" s="89">
        <f t="shared" ca="1" si="112"/>
        <v>35002.980094824292</v>
      </c>
      <c r="R245" s="89">
        <f t="shared" ca="1" si="112"/>
        <v>30104.723830444407</v>
      </c>
      <c r="S245" s="89">
        <f t="shared" ca="1" si="112"/>
        <v>24998.073754655001</v>
      </c>
      <c r="T245" s="89">
        <f t="shared" ca="1" si="112"/>
        <v>19938.806965763968</v>
      </c>
      <c r="U245" s="89">
        <f t="shared" ca="1" si="112"/>
        <v>15324.59778065291</v>
      </c>
      <c r="V245" s="89">
        <f t="shared" ca="1" si="112"/>
        <v>11341.499029004306</v>
      </c>
      <c r="W245"/>
      <c r="X245"/>
      <c r="Y245"/>
      <c r="Z245"/>
      <c r="AA245"/>
      <c r="AB245"/>
      <c r="AC245"/>
      <c r="AD245"/>
      <c r="AE245"/>
    </row>
    <row r="246" spans="1:31">
      <c r="A246" s="89" t="s">
        <v>373</v>
      </c>
      <c r="B246" s="89">
        <f>B229+B206+B183</f>
        <v>0</v>
      </c>
      <c r="C246" s="89">
        <f t="shared" ref="C246:V246" ca="1" si="113">C229+C206+C183</f>
        <v>-10846.699519651676</v>
      </c>
      <c r="D246" s="89">
        <f t="shared" ca="1" si="113"/>
        <v>21967.513254299603</v>
      </c>
      <c r="E246" s="89">
        <f t="shared" ca="1" si="113"/>
        <v>23344.023722029746</v>
      </c>
      <c r="F246" s="89">
        <f t="shared" ca="1" si="113"/>
        <v>12463.089575804552</v>
      </c>
      <c r="G246" s="89">
        <f t="shared" ca="1" si="113"/>
        <v>26025.558844167201</v>
      </c>
      <c r="H246" s="89">
        <f t="shared" ca="1" si="113"/>
        <v>30568.336315366352</v>
      </c>
      <c r="I246" s="89">
        <f t="shared" ca="1" si="113"/>
        <v>32492.995551933258</v>
      </c>
      <c r="J246" s="89">
        <f t="shared" ca="1" si="113"/>
        <v>36272.70005353952</v>
      </c>
      <c r="K246" s="89">
        <f t="shared" ca="1" si="113"/>
        <v>39965.649840524471</v>
      </c>
      <c r="L246" s="89">
        <f t="shared" ca="1" si="113"/>
        <v>-17407.596135009735</v>
      </c>
      <c r="M246" s="89">
        <f t="shared" ca="1" si="113"/>
        <v>31404.416910190026</v>
      </c>
      <c r="N246" s="89">
        <f t="shared" ca="1" si="113"/>
        <v>35071.768794267016</v>
      </c>
      <c r="O246" s="89">
        <f t="shared" ca="1" si="113"/>
        <v>38715.272354122375</v>
      </c>
      <c r="P246" s="89">
        <f t="shared" ca="1" si="113"/>
        <v>41336.998976743744</v>
      </c>
      <c r="Q246" s="89">
        <f t="shared" ca="1" si="113"/>
        <v>44233.441889464848</v>
      </c>
      <c r="R246" s="89">
        <f t="shared" ca="1" si="113"/>
        <v>48294.2459605845</v>
      </c>
      <c r="S246" s="89">
        <f t="shared" ca="1" si="113"/>
        <v>49259.442555731817</v>
      </c>
      <c r="T246" s="89">
        <f t="shared" ca="1" si="113"/>
        <v>48095.723699005684</v>
      </c>
      <c r="U246" s="89">
        <f t="shared" ca="1" si="113"/>
        <v>42280.013355735195</v>
      </c>
      <c r="V246" s="89">
        <f t="shared" ca="1" si="113"/>
        <v>36115.84504683681</v>
      </c>
      <c r="W246"/>
      <c r="X246"/>
      <c r="Y246"/>
      <c r="Z246"/>
      <c r="AA246"/>
      <c r="AB246"/>
      <c r="AC246"/>
      <c r="AD246"/>
      <c r="AE246"/>
    </row>
    <row r="247" spans="1:31">
      <c r="A247" s="21" t="s">
        <v>372</v>
      </c>
      <c r="B247" s="89">
        <f>B184+B207+B230</f>
        <v>0</v>
      </c>
      <c r="C247" s="89">
        <f t="shared" ref="C247:V247" si="114">C184+C207+C230</f>
        <v>0</v>
      </c>
      <c r="D247" s="89">
        <f t="shared" si="114"/>
        <v>0</v>
      </c>
      <c r="E247" s="89">
        <f t="shared" si="114"/>
        <v>0</v>
      </c>
      <c r="F247" s="89">
        <f t="shared" si="114"/>
        <v>0</v>
      </c>
      <c r="G247" s="89">
        <f t="shared" si="114"/>
        <v>0</v>
      </c>
      <c r="H247" s="89">
        <f t="shared" si="114"/>
        <v>0</v>
      </c>
      <c r="I247" s="89">
        <f t="shared" si="114"/>
        <v>0</v>
      </c>
      <c r="J247" s="89">
        <f t="shared" si="114"/>
        <v>0</v>
      </c>
      <c r="K247" s="89">
        <f t="shared" si="114"/>
        <v>0</v>
      </c>
      <c r="L247" s="89">
        <f t="shared" si="114"/>
        <v>0</v>
      </c>
      <c r="M247" s="89">
        <f t="shared" si="114"/>
        <v>0</v>
      </c>
      <c r="N247" s="89">
        <f t="shared" si="114"/>
        <v>0</v>
      </c>
      <c r="O247" s="89">
        <f t="shared" si="114"/>
        <v>0</v>
      </c>
      <c r="P247" s="89">
        <f t="shared" si="114"/>
        <v>0</v>
      </c>
      <c r="Q247" s="89">
        <f t="shared" si="114"/>
        <v>0</v>
      </c>
      <c r="R247" s="89">
        <f t="shared" si="114"/>
        <v>0</v>
      </c>
      <c r="S247" s="89">
        <f t="shared" si="114"/>
        <v>0</v>
      </c>
      <c r="T247" s="89">
        <f t="shared" si="114"/>
        <v>0</v>
      </c>
      <c r="U247" s="89">
        <f t="shared" si="114"/>
        <v>0</v>
      </c>
      <c r="V247" s="89">
        <f t="shared" si="114"/>
        <v>0</v>
      </c>
      <c r="W247"/>
      <c r="X247"/>
      <c r="Y247"/>
      <c r="Z247"/>
      <c r="AA247"/>
      <c r="AB247"/>
      <c r="AC247"/>
      <c r="AD247"/>
      <c r="AE247"/>
    </row>
    <row r="248" spans="1:31">
      <c r="A248" s="21" t="s">
        <v>374</v>
      </c>
      <c r="B248" s="89">
        <f ca="1">MAX(B242:V242)*[1]Assumptions!$B$32*5/12</f>
        <v>792.03195133073814</v>
      </c>
      <c r="C248" s="89">
        <v>0</v>
      </c>
      <c r="D248" s="89">
        <v>0</v>
      </c>
      <c r="E248" s="89">
        <v>0</v>
      </c>
      <c r="F248" s="89">
        <v>0</v>
      </c>
      <c r="G248" s="89">
        <v>0</v>
      </c>
      <c r="H248" s="89">
        <v>0</v>
      </c>
      <c r="I248" s="89">
        <v>0</v>
      </c>
      <c r="J248" s="89">
        <v>0</v>
      </c>
      <c r="K248" s="89">
        <v>0</v>
      </c>
      <c r="L248" s="89">
        <v>0</v>
      </c>
      <c r="M248" s="89">
        <v>0</v>
      </c>
      <c r="N248" s="89">
        <v>0</v>
      </c>
      <c r="O248" s="89">
        <v>0</v>
      </c>
      <c r="P248" s="89">
        <v>0</v>
      </c>
      <c r="Q248" s="89">
        <v>0</v>
      </c>
      <c r="R248" s="89">
        <v>0</v>
      </c>
      <c r="S248" s="89">
        <v>0</v>
      </c>
      <c r="T248" s="89">
        <v>0</v>
      </c>
      <c r="U248" s="89">
        <v>0</v>
      </c>
      <c r="V248" s="89">
        <v>0</v>
      </c>
      <c r="W248"/>
      <c r="X248"/>
      <c r="Y248"/>
      <c r="Z248"/>
      <c r="AA248"/>
      <c r="AB248"/>
      <c r="AC248"/>
      <c r="AD248"/>
    </row>
    <row r="249" spans="1:31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/>
      <c r="X249"/>
      <c r="Y249"/>
      <c r="Z249"/>
      <c r="AA249"/>
      <c r="AB249"/>
      <c r="AC249"/>
      <c r="AD249"/>
    </row>
    <row r="250" spans="1:31">
      <c r="A250" s="94" t="s">
        <v>238</v>
      </c>
      <c r="B250" s="721" t="str">
        <f>IF(AND(B237&lt;0.001,B236&lt;0.0001),"NA",B233/(B242))</f>
        <v>NA</v>
      </c>
      <c r="C250" s="721">
        <f ca="1">7/12*C233/C242</f>
        <v>1.5968030590881688</v>
      </c>
      <c r="D250" s="721">
        <f ca="1">D233/D242</f>
        <v>1.2883336000166394</v>
      </c>
      <c r="E250" s="721">
        <f ca="1">E233/E242</f>
        <v>1.2895785504237212</v>
      </c>
      <c r="F250" s="721">
        <f ca="1">(SUM(IS!H8:H10)-5/12*IS!H35+5/12*IS!H18)/SUM(F167,F168,E177,E178,F190,F191,E200,E201,F213,F214,E223,E224)</f>
        <v>1.0038833602074051</v>
      </c>
      <c r="G250" s="721" t="s">
        <v>239</v>
      </c>
      <c r="H250" s="721" t="s">
        <v>239</v>
      </c>
      <c r="I250" s="721" t="s">
        <v>239</v>
      </c>
      <c r="J250" s="721" t="s">
        <v>239</v>
      </c>
      <c r="K250" s="721" t="s">
        <v>239</v>
      </c>
      <c r="L250" s="721" t="s">
        <v>239</v>
      </c>
      <c r="M250" s="721" t="s">
        <v>239</v>
      </c>
      <c r="N250" s="721" t="s">
        <v>239</v>
      </c>
      <c r="O250" s="721" t="s">
        <v>239</v>
      </c>
      <c r="P250" s="721" t="s">
        <v>239</v>
      </c>
      <c r="Q250" s="721" t="s">
        <v>239</v>
      </c>
      <c r="R250" s="721" t="s">
        <v>239</v>
      </c>
      <c r="S250" s="721" t="s">
        <v>239</v>
      </c>
      <c r="T250" s="721" t="s">
        <v>239</v>
      </c>
      <c r="U250" s="721" t="s">
        <v>239</v>
      </c>
      <c r="V250" s="722" t="s">
        <v>239</v>
      </c>
      <c r="W250"/>
      <c r="X250"/>
      <c r="Y250"/>
      <c r="Z250"/>
      <c r="AA250"/>
      <c r="AB250"/>
      <c r="AC250"/>
      <c r="AD250"/>
    </row>
    <row r="251" spans="1:31">
      <c r="A251" s="100" t="s">
        <v>240</v>
      </c>
      <c r="B251" s="577" t="s">
        <v>239</v>
      </c>
      <c r="C251" s="577" t="s">
        <v>239</v>
      </c>
      <c r="D251" s="577" t="s">
        <v>239</v>
      </c>
      <c r="E251" s="577" t="s">
        <v>239</v>
      </c>
      <c r="F251" s="577">
        <f ca="1">(IS!H13+IS!H14+IS!H15+7/12*IS!H18-7/12*IS!H35)/SUM(F172,F173,F195,F196,F218,F219)</f>
        <v>2.0456872118610945</v>
      </c>
      <c r="G251" s="577">
        <f ca="1">G233/G242</f>
        <v>2.0387792874579578</v>
      </c>
      <c r="H251" s="577">
        <f t="shared" ref="H251:V251" ca="1" si="115">H233/H242</f>
        <v>2.0368706152759715</v>
      </c>
      <c r="I251" s="577">
        <f t="shared" ca="1" si="115"/>
        <v>2.0733056274449448</v>
      </c>
      <c r="J251" s="577">
        <f t="shared" ca="1" si="115"/>
        <v>2.1084156139465557</v>
      </c>
      <c r="K251" s="577">
        <f t="shared" ca="1" si="115"/>
        <v>2.1275676628223059</v>
      </c>
      <c r="L251" s="577">
        <f t="shared" ca="1" si="115"/>
        <v>6.6409318680237082</v>
      </c>
      <c r="M251" s="577">
        <f t="shared" ca="1" si="115"/>
        <v>2.3575913982718699</v>
      </c>
      <c r="N251" s="889">
        <f t="shared" ca="1" si="115"/>
        <v>2.5093659857527051</v>
      </c>
      <c r="O251" s="577">
        <f t="shared" ca="1" si="115"/>
        <v>2.5375515762604959</v>
      </c>
      <c r="P251" s="577">
        <f t="shared" ca="1" si="115"/>
        <v>2.5992691800195877</v>
      </c>
      <c r="Q251" s="577">
        <f t="shared" ca="1" si="115"/>
        <v>2.6671917591989667</v>
      </c>
      <c r="R251" s="577">
        <f t="shared" ca="1" si="115"/>
        <v>2.7129262096236313</v>
      </c>
      <c r="S251" s="577">
        <f t="shared" ca="1" si="115"/>
        <v>2.8836060016372271</v>
      </c>
      <c r="T251" s="577">
        <f t="shared" ca="1" si="115"/>
        <v>3.1684707927078914</v>
      </c>
      <c r="U251" s="577">
        <f t="shared" ca="1" si="115"/>
        <v>3.7650967296723654</v>
      </c>
      <c r="V251" s="730">
        <f t="shared" ca="1" si="115"/>
        <v>4.5502425061407195</v>
      </c>
      <c r="W251"/>
      <c r="X251"/>
      <c r="Y251"/>
      <c r="Z251"/>
      <c r="AA251"/>
      <c r="AB251"/>
      <c r="AC251"/>
      <c r="AD251"/>
    </row>
    <row r="252" spans="1:31" ht="13.5">
      <c r="A252" s="92"/>
      <c r="B252" s="93"/>
      <c r="C252" s="93"/>
      <c r="D252" s="93"/>
      <c r="E252" s="93"/>
      <c r="F252" s="291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/>
      <c r="X252"/>
      <c r="Y252"/>
      <c r="Z252"/>
      <c r="AA252"/>
      <c r="AB252"/>
      <c r="AC252"/>
      <c r="AD252"/>
    </row>
    <row r="253" spans="1:31" ht="13.5">
      <c r="A253" s="92"/>
      <c r="B253" s="93"/>
      <c r="C253" s="93"/>
      <c r="D253" s="93"/>
      <c r="E253" s="93"/>
      <c r="F253" s="291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/>
      <c r="X253"/>
      <c r="Y253"/>
      <c r="Z253"/>
      <c r="AA253"/>
      <c r="AB253"/>
      <c r="AC253"/>
      <c r="AD253"/>
    </row>
    <row r="254" spans="1:31">
      <c r="A254" s="90"/>
      <c r="B254" s="94" t="s">
        <v>509</v>
      </c>
      <c r="C254" s="233"/>
      <c r="D254" s="233"/>
      <c r="E254" s="95">
        <f ca="1">AVERAGE(C250:E250)</f>
        <v>1.3915717365095099</v>
      </c>
      <c r="F254" s="90"/>
      <c r="G254" s="94" t="s">
        <v>510</v>
      </c>
      <c r="H254" s="233"/>
      <c r="I254" s="233"/>
      <c r="J254" s="95">
        <f ca="1">AVERAGE(F251:V251)</f>
        <v>2.8719335309481173</v>
      </c>
      <c r="K254" s="90"/>
      <c r="L254" s="90"/>
      <c r="M254" s="96"/>
      <c r="N254" s="90"/>
      <c r="O254" s="90"/>
      <c r="P254" s="97"/>
      <c r="Q254" s="97"/>
      <c r="R254" s="97"/>
      <c r="S254" s="90"/>
      <c r="T254" s="90"/>
      <c r="U254" s="90"/>
      <c r="V254" s="90"/>
      <c r="W254"/>
      <c r="X254"/>
      <c r="Y254"/>
      <c r="Z254"/>
      <c r="AA254"/>
      <c r="AB254"/>
      <c r="AC254"/>
      <c r="AD254"/>
    </row>
    <row r="255" spans="1:31">
      <c r="A255" s="90"/>
      <c r="B255" s="100" t="s">
        <v>511</v>
      </c>
      <c r="C255" s="91"/>
      <c r="D255" s="91"/>
      <c r="E255" s="121">
        <f ca="1">MIN(C250:E250)</f>
        <v>1.2883336000166394</v>
      </c>
      <c r="F255" s="92"/>
      <c r="G255" s="100" t="s">
        <v>512</v>
      </c>
      <c r="H255" s="91"/>
      <c r="I255" s="91"/>
      <c r="J255" s="121">
        <f ca="1">MIN(F251:V251)</f>
        <v>2.0368706152759715</v>
      </c>
      <c r="K255" s="92"/>
      <c r="L255" s="92"/>
      <c r="M255" s="92"/>
      <c r="N255" s="92"/>
      <c r="O255" s="92"/>
      <c r="P255" s="97"/>
      <c r="Q255" s="97"/>
      <c r="R255" s="97"/>
      <c r="S255" s="90"/>
      <c r="T255" s="90"/>
      <c r="U255" s="90"/>
      <c r="V255" s="90"/>
      <c r="W255"/>
      <c r="X255"/>
      <c r="Y255"/>
      <c r="Z255"/>
      <c r="AA255"/>
      <c r="AB255"/>
      <c r="AC255"/>
      <c r="AD255"/>
    </row>
    <row r="256" spans="1:3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>
      <c r="A258"/>
      <c r="B258"/>
      <c r="C258" s="883">
        <f ca="1">C250-C155</f>
        <v>0</v>
      </c>
      <c r="D258" s="883">
        <f t="shared" ref="D258:S259" ca="1" si="116">D250-D155</f>
        <v>0</v>
      </c>
      <c r="E258" s="883">
        <f t="shared" ca="1" si="116"/>
        <v>0</v>
      </c>
      <c r="F258" s="883">
        <f t="shared" ca="1" si="116"/>
        <v>-3.3306690738754696E-15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>
      <c r="A259"/>
      <c r="B259"/>
      <c r="C259"/>
      <c r="D259"/>
      <c r="E259"/>
      <c r="F259" s="883">
        <f t="shared" ca="1" si="116"/>
        <v>-9.7686511992029601E-2</v>
      </c>
      <c r="G259" s="883">
        <f t="shared" ca="1" si="116"/>
        <v>-0.21838139842859361</v>
      </c>
      <c r="H259" s="883">
        <f t="shared" ca="1" si="116"/>
        <v>-0.21361848430107511</v>
      </c>
      <c r="I259" s="883">
        <f t="shared" ca="1" si="116"/>
        <v>-0.22023889895956827</v>
      </c>
      <c r="J259" s="883">
        <f t="shared" ca="1" si="116"/>
        <v>-0.22258068178328916</v>
      </c>
      <c r="K259" s="883">
        <f t="shared" ca="1" si="116"/>
        <v>-0.22439900646594424</v>
      </c>
      <c r="L259" s="883">
        <f t="shared" ca="1" si="116"/>
        <v>4.2022406985330321</v>
      </c>
      <c r="M259" s="883">
        <f t="shared" ca="1" si="116"/>
        <v>-0.27050054915707866</v>
      </c>
      <c r="N259" s="883">
        <f t="shared" ca="1" si="116"/>
        <v>-0.30093124136866667</v>
      </c>
      <c r="O259" s="883">
        <f t="shared" ca="1" si="116"/>
        <v>-0.3047621821159483</v>
      </c>
      <c r="P259" s="883">
        <f t="shared" ca="1" si="116"/>
        <v>-0.31847733998011885</v>
      </c>
      <c r="Q259" s="883">
        <f t="shared" ca="1" si="116"/>
        <v>-0.33356153327913862</v>
      </c>
      <c r="R259" s="883">
        <f t="shared" ca="1" si="116"/>
        <v>-0.34241818873963092</v>
      </c>
      <c r="S259" s="883">
        <f t="shared" ca="1" si="116"/>
        <v>-0.38610556882302571</v>
      </c>
      <c r="T259" s="883">
        <f ca="1">T251-T156</f>
        <v>-0.46780580958435447</v>
      </c>
      <c r="U259" s="883">
        <f ca="1">U251-U156</f>
        <v>-0.67367166309736737</v>
      </c>
      <c r="V259" s="883">
        <f ca="1">V251-V156</f>
        <v>-1.0261136335092091</v>
      </c>
      <c r="W259"/>
      <c r="X259"/>
      <c r="Y259"/>
      <c r="Z259"/>
      <c r="AA259"/>
      <c r="AB259"/>
      <c r="AC259"/>
      <c r="AD259"/>
    </row>
    <row r="260" spans="1:30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</sheetData>
  <pageMargins left="0.18" right="0.17" top="0.37" bottom="0.4" header="0.17" footer="0.21"/>
  <pageSetup scale="39" fitToWidth="2" orientation="landscape" r:id="rId1"/>
  <headerFooter alignWithMargins="0">
    <oddHeader>&amp;LEnron Generation Company</oddHeader>
    <oddFooter>&amp;L&amp;T, &amp;D&amp;C&amp;F&amp;RPage &amp;P</oddFooter>
  </headerFooter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81"/>
  <sheetViews>
    <sheetView topLeftCell="N1" zoomScale="75" workbookViewId="0">
      <selection activeCell="I21" sqref="I21"/>
    </sheetView>
  </sheetViews>
  <sheetFormatPr defaultRowHeight="12.75"/>
  <cols>
    <col min="1" max="1" width="60.42578125" style="22" customWidth="1"/>
    <col min="2" max="2" width="9.7109375" style="22" customWidth="1"/>
    <col min="3" max="6" width="9" style="41" customWidth="1"/>
    <col min="7" max="7" width="14.85546875" style="22" customWidth="1"/>
    <col min="8" max="8" width="14.140625" style="22" customWidth="1"/>
    <col min="9" max="9" width="11.140625" style="22" customWidth="1"/>
    <col min="10" max="12" width="11.5703125" style="22" customWidth="1"/>
    <col min="13" max="13" width="11.28515625" style="22" customWidth="1"/>
    <col min="14" max="14" width="11.5703125" style="22" customWidth="1"/>
    <col min="15" max="15" width="11.28515625" style="22" customWidth="1"/>
    <col min="16" max="17" width="11.5703125" style="22" customWidth="1"/>
    <col min="18" max="18" width="11.140625" style="22" customWidth="1"/>
    <col min="19" max="19" width="10.5703125" style="22" customWidth="1"/>
    <col min="20" max="22" width="11.140625" style="22" customWidth="1"/>
    <col min="23" max="23" width="10.85546875" style="22" customWidth="1"/>
    <col min="24" max="24" width="11.140625" style="22" customWidth="1"/>
    <col min="25" max="25" width="10.85546875" style="22" customWidth="1"/>
    <col min="26" max="27" width="11.140625" style="22" customWidth="1"/>
    <col min="28" max="28" width="11.5703125" style="22" customWidth="1"/>
    <col min="29" max="29" width="11.140625" style="22" customWidth="1"/>
    <col min="30" max="31" width="9.140625" style="8"/>
    <col min="32" max="32" width="12.140625" style="22" hidden="1" customWidth="1"/>
    <col min="33" max="33" width="11.7109375" style="22" hidden="1" customWidth="1"/>
    <col min="34" max="16384" width="9.140625" style="22"/>
  </cols>
  <sheetData>
    <row r="2" spans="1:33" ht="18.75">
      <c r="A2" s="126" t="s">
        <v>241</v>
      </c>
    </row>
    <row r="3" spans="1:33">
      <c r="G3" s="775">
        <v>0</v>
      </c>
      <c r="H3" s="775">
        <v>1</v>
      </c>
      <c r="I3" s="775">
        <v>2</v>
      </c>
      <c r="J3" s="775">
        <v>3</v>
      </c>
      <c r="K3" s="775">
        <v>4</v>
      </c>
      <c r="L3" s="775">
        <v>5</v>
      </c>
      <c r="M3" s="775">
        <v>6</v>
      </c>
      <c r="N3" s="775">
        <v>7</v>
      </c>
      <c r="O3" s="775">
        <v>8</v>
      </c>
      <c r="P3" s="775">
        <v>9</v>
      </c>
      <c r="Q3" s="775">
        <v>10</v>
      </c>
      <c r="R3" s="775">
        <v>11</v>
      </c>
      <c r="S3" s="775">
        <v>12</v>
      </c>
      <c r="T3" s="775">
        <v>13</v>
      </c>
      <c r="U3" s="775">
        <v>14</v>
      </c>
      <c r="V3" s="775">
        <v>15</v>
      </c>
      <c r="W3" s="775">
        <v>16</v>
      </c>
      <c r="X3" s="775">
        <v>0</v>
      </c>
      <c r="Y3" s="775">
        <v>0</v>
      </c>
      <c r="Z3" s="775">
        <v>0</v>
      </c>
      <c r="AA3" s="775">
        <v>0</v>
      </c>
      <c r="AB3" s="775">
        <v>0</v>
      </c>
      <c r="AC3" s="775">
        <v>0</v>
      </c>
      <c r="AD3" s="775">
        <v>0</v>
      </c>
      <c r="AE3" s="775">
        <v>0</v>
      </c>
    </row>
    <row r="4" spans="1:33" s="42" customFormat="1" ht="13.5" thickBot="1">
      <c r="A4" s="422" t="s">
        <v>164</v>
      </c>
      <c r="B4" s="557"/>
      <c r="C4" s="557"/>
      <c r="D4" s="557"/>
      <c r="E4" s="557"/>
      <c r="F4" s="557"/>
      <c r="G4" s="9">
        <v>1999</v>
      </c>
      <c r="H4" s="9">
        <v>2000</v>
      </c>
      <c r="I4" s="9">
        <v>2001</v>
      </c>
      <c r="J4" s="9">
        <v>2002</v>
      </c>
      <c r="K4" s="9">
        <v>2003</v>
      </c>
      <c r="L4" s="9">
        <v>2004</v>
      </c>
      <c r="M4" s="9">
        <v>2005</v>
      </c>
      <c r="N4" s="9">
        <v>2006</v>
      </c>
      <c r="O4" s="9">
        <v>2007</v>
      </c>
      <c r="P4" s="9">
        <v>2008</v>
      </c>
      <c r="Q4" s="9">
        <v>2009</v>
      </c>
      <c r="R4" s="9">
        <v>2010</v>
      </c>
      <c r="S4" s="9">
        <v>2011</v>
      </c>
      <c r="T4" s="9">
        <v>2012</v>
      </c>
      <c r="U4" s="9">
        <v>2013</v>
      </c>
      <c r="V4" s="9">
        <v>2014</v>
      </c>
      <c r="W4" s="9">
        <v>2015</v>
      </c>
      <c r="X4" s="9">
        <v>2016</v>
      </c>
      <c r="Y4" s="9">
        <v>2017</v>
      </c>
      <c r="Z4" s="9">
        <v>2018</v>
      </c>
      <c r="AA4" s="9">
        <v>2019</v>
      </c>
      <c r="AB4" s="9">
        <v>2020</v>
      </c>
      <c r="AC4" s="9">
        <v>2021</v>
      </c>
      <c r="AD4" s="9">
        <v>2022</v>
      </c>
      <c r="AE4" s="9">
        <v>2023</v>
      </c>
    </row>
    <row r="5" spans="1:33" s="42" customFormat="1">
      <c r="A5" s="43" t="s">
        <v>242</v>
      </c>
      <c r="B5" s="43"/>
      <c r="C5" s="41"/>
      <c r="D5" s="41"/>
      <c r="E5" s="41"/>
      <c r="F5" s="41"/>
      <c r="G5" s="23">
        <f>Assumptions!L53</f>
        <v>0</v>
      </c>
      <c r="H5" s="23">
        <v>12</v>
      </c>
      <c r="I5" s="23">
        <v>12</v>
      </c>
      <c r="J5" s="23">
        <v>12</v>
      </c>
      <c r="K5" s="23">
        <v>5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5"/>
      <c r="AC5" s="45"/>
      <c r="AD5" s="314"/>
      <c r="AE5" s="314"/>
    </row>
    <row r="6" spans="1:33" s="42" customFormat="1">
      <c r="A6" s="43" t="s">
        <v>243</v>
      </c>
      <c r="B6" s="43"/>
      <c r="C6" s="41"/>
      <c r="D6" s="41"/>
      <c r="E6" s="41"/>
      <c r="F6" s="41"/>
      <c r="G6" s="23"/>
      <c r="H6" s="23"/>
      <c r="I6" s="23"/>
      <c r="J6" s="23"/>
      <c r="K6" s="23">
        <v>7</v>
      </c>
      <c r="L6" s="23">
        <v>12</v>
      </c>
      <c r="M6" s="23">
        <v>12</v>
      </c>
      <c r="N6" s="23">
        <v>12</v>
      </c>
      <c r="O6" s="23">
        <v>12</v>
      </c>
      <c r="P6" s="23">
        <v>12</v>
      </c>
      <c r="Q6" s="23">
        <v>12</v>
      </c>
      <c r="R6" s="23">
        <v>12</v>
      </c>
      <c r="S6" s="23">
        <v>12</v>
      </c>
      <c r="T6" s="23">
        <v>12</v>
      </c>
      <c r="U6" s="23">
        <v>12</v>
      </c>
      <c r="V6" s="23">
        <v>12</v>
      </c>
      <c r="W6" s="23">
        <v>12</v>
      </c>
      <c r="X6" s="23">
        <v>12</v>
      </c>
      <c r="Y6" s="23">
        <v>12</v>
      </c>
      <c r="Z6" s="23">
        <v>12</v>
      </c>
      <c r="AA6" s="23">
        <v>12</v>
      </c>
      <c r="AB6" s="46">
        <v>12</v>
      </c>
      <c r="AC6" s="46">
        <v>12</v>
      </c>
      <c r="AD6" s="314"/>
      <c r="AE6" s="314"/>
    </row>
    <row r="7" spans="1:33" s="42" customFormat="1">
      <c r="A7" s="43" t="s">
        <v>244</v>
      </c>
      <c r="B7" s="43"/>
      <c r="C7" s="41"/>
      <c r="D7" s="41"/>
      <c r="E7" s="41"/>
      <c r="F7" s="41"/>
      <c r="G7" s="23">
        <v>0</v>
      </c>
      <c r="H7" s="23">
        <f>Assumptions!Q53</f>
        <v>6</v>
      </c>
      <c r="I7" s="23">
        <v>12</v>
      </c>
      <c r="J7" s="23">
        <v>12</v>
      </c>
      <c r="K7" s="23">
        <v>5</v>
      </c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5"/>
      <c r="AC7" s="45"/>
      <c r="AD7" s="314"/>
      <c r="AE7" s="314"/>
    </row>
    <row r="8" spans="1:33" s="42" customFormat="1">
      <c r="A8" s="43" t="s">
        <v>245</v>
      </c>
      <c r="B8" s="43"/>
      <c r="C8" s="41"/>
      <c r="D8" s="41"/>
      <c r="E8" s="41"/>
      <c r="F8" s="41"/>
      <c r="G8" s="44"/>
      <c r="H8" s="44"/>
      <c r="I8" s="44"/>
      <c r="J8" s="44"/>
      <c r="K8" s="23">
        <v>7</v>
      </c>
      <c r="L8" s="23">
        <v>12</v>
      </c>
      <c r="M8" s="23">
        <v>12</v>
      </c>
      <c r="N8" s="23">
        <v>12</v>
      </c>
      <c r="O8" s="23">
        <v>12</v>
      </c>
      <c r="P8" s="23">
        <v>12</v>
      </c>
      <c r="Q8" s="23">
        <v>12</v>
      </c>
      <c r="R8" s="23">
        <v>12</v>
      </c>
      <c r="S8" s="23">
        <v>12</v>
      </c>
      <c r="T8" s="23">
        <v>12</v>
      </c>
      <c r="U8" s="23">
        <v>12</v>
      </c>
      <c r="V8" s="23">
        <v>12</v>
      </c>
      <c r="W8" s="23">
        <v>12</v>
      </c>
      <c r="X8" s="23">
        <v>12</v>
      </c>
      <c r="Y8" s="23">
        <v>12</v>
      </c>
      <c r="Z8" s="23">
        <v>12</v>
      </c>
      <c r="AA8" s="23">
        <v>12</v>
      </c>
      <c r="AB8" s="46">
        <v>12</v>
      </c>
      <c r="AC8" s="46">
        <v>12</v>
      </c>
      <c r="AD8" s="314"/>
      <c r="AE8" s="314"/>
    </row>
    <row r="11" spans="1:33" ht="15.75">
      <c r="A11" s="47" t="s">
        <v>40</v>
      </c>
      <c r="AF11" s="810" t="s">
        <v>246</v>
      </c>
      <c r="AG11" s="423"/>
    </row>
    <row r="12" spans="1:33" ht="15.75">
      <c r="A12" s="47"/>
      <c r="AF12" s="811" t="s">
        <v>247</v>
      </c>
      <c r="AG12" s="424"/>
    </row>
    <row r="13" spans="1:33" s="20" customFormat="1">
      <c r="A13" s="48" t="s">
        <v>248</v>
      </c>
      <c r="B13" s="22"/>
      <c r="C13" s="49"/>
      <c r="D13" s="49"/>
      <c r="E13" s="49"/>
      <c r="F13" s="49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67"/>
      <c r="AE13" s="267"/>
      <c r="AF13" s="811" t="s">
        <v>99</v>
      </c>
      <c r="AG13" s="569" t="s">
        <v>249</v>
      </c>
    </row>
    <row r="14" spans="1:33" s="20" customFormat="1">
      <c r="A14" s="22"/>
      <c r="B14" s="50" t="s">
        <v>250</v>
      </c>
      <c r="C14" s="41"/>
      <c r="D14" s="41"/>
      <c r="E14" s="41"/>
      <c r="F14" s="41"/>
      <c r="G14" s="55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22"/>
      <c r="W14" s="22"/>
      <c r="X14" s="22"/>
      <c r="Y14" s="22"/>
      <c r="Z14" s="22"/>
      <c r="AA14" s="22"/>
      <c r="AB14" s="22"/>
      <c r="AC14" s="22"/>
      <c r="AD14" s="267"/>
      <c r="AE14" s="267"/>
      <c r="AF14" s="811">
        <v>0</v>
      </c>
      <c r="AG14" s="812">
        <v>0</v>
      </c>
    </row>
    <row r="15" spans="1:33" s="20" customFormat="1">
      <c r="A15" s="36" t="s">
        <v>251</v>
      </c>
      <c r="B15" s="53">
        <f>Assumptions!$D$41</f>
        <v>15</v>
      </c>
      <c r="C15" s="54"/>
      <c r="D15" s="54"/>
      <c r="E15" s="54"/>
      <c r="F15" s="54"/>
      <c r="G15" s="55">
        <f>VLOOKUP(G3+IF($G$5&gt;0,1,0),$AF$14:$AG$30,2)</f>
        <v>0</v>
      </c>
      <c r="H15" s="55">
        <f>VLOOKUP(H3+IF($G$5&gt;0,1,0),$AF$14:$AG$30,2)</f>
        <v>0.05</v>
      </c>
      <c r="I15" s="55">
        <f t="shared" ref="I15:W15" si="0">VLOOKUP(I3+IF($G$5&gt;0,1,0),$AF$14:$AG$30,2)</f>
        <v>9.5000000000000001E-2</v>
      </c>
      <c r="J15" s="55">
        <f t="shared" si="0"/>
        <v>8.5500000000000007E-2</v>
      </c>
      <c r="K15" s="55">
        <f t="shared" si="0"/>
        <v>7.6999999999999999E-2</v>
      </c>
      <c r="L15" s="55">
        <f t="shared" si="0"/>
        <v>6.93E-2</v>
      </c>
      <c r="M15" s="55">
        <f t="shared" si="0"/>
        <v>6.2300000000000001E-2</v>
      </c>
      <c r="N15" s="55">
        <f t="shared" si="0"/>
        <v>5.8999999999999997E-2</v>
      </c>
      <c r="O15" s="55">
        <f t="shared" si="0"/>
        <v>5.91E-2</v>
      </c>
      <c r="P15" s="55">
        <f t="shared" si="0"/>
        <v>5.8999999999999997E-2</v>
      </c>
      <c r="Q15" s="55">
        <f t="shared" si="0"/>
        <v>5.91E-2</v>
      </c>
      <c r="R15" s="55">
        <f t="shared" si="0"/>
        <v>5.8999999999999997E-2</v>
      </c>
      <c r="S15" s="55">
        <f t="shared" si="0"/>
        <v>5.91E-2</v>
      </c>
      <c r="T15" s="55">
        <f t="shared" si="0"/>
        <v>5.8999999999999997E-2</v>
      </c>
      <c r="U15" s="55">
        <f t="shared" si="0"/>
        <v>5.91E-2</v>
      </c>
      <c r="V15" s="55">
        <f t="shared" si="0"/>
        <v>5.8999999999999997E-2</v>
      </c>
      <c r="W15" s="55">
        <f t="shared" si="0"/>
        <v>2.9499999999999998E-2</v>
      </c>
      <c r="X15" s="55">
        <v>0</v>
      </c>
      <c r="Y15" s="55">
        <v>0</v>
      </c>
      <c r="Z15" s="55">
        <v>0</v>
      </c>
      <c r="AA15" s="55">
        <v>0</v>
      </c>
      <c r="AB15" s="55">
        <v>0</v>
      </c>
      <c r="AC15" s="55">
        <v>0</v>
      </c>
      <c r="AD15" s="267"/>
      <c r="AE15" s="267"/>
      <c r="AF15" s="811">
        <v>1</v>
      </c>
      <c r="AG15" s="812">
        <v>0.05</v>
      </c>
    </row>
    <row r="16" spans="1:33" s="242" customFormat="1">
      <c r="A16" s="37" t="s">
        <v>252</v>
      </c>
      <c r="B16" s="239">
        <f>Assumptions!$D$42</f>
        <v>20</v>
      </c>
      <c r="C16" s="240"/>
      <c r="D16" s="240"/>
      <c r="E16" s="240"/>
      <c r="F16" s="240"/>
      <c r="G16" s="241">
        <f>1/20*G5/12*0</f>
        <v>0</v>
      </c>
      <c r="H16" s="241">
        <f t="shared" ref="H16:AA16" si="1">1/20</f>
        <v>0.05</v>
      </c>
      <c r="I16" s="241">
        <f t="shared" si="1"/>
        <v>0.05</v>
      </c>
      <c r="J16" s="241">
        <f t="shared" si="1"/>
        <v>0.05</v>
      </c>
      <c r="K16" s="241">
        <f t="shared" si="1"/>
        <v>0.05</v>
      </c>
      <c r="L16" s="241">
        <f t="shared" si="1"/>
        <v>0.05</v>
      </c>
      <c r="M16" s="241">
        <f t="shared" si="1"/>
        <v>0.05</v>
      </c>
      <c r="N16" s="241">
        <f t="shared" si="1"/>
        <v>0.05</v>
      </c>
      <c r="O16" s="241">
        <f t="shared" si="1"/>
        <v>0.05</v>
      </c>
      <c r="P16" s="241">
        <f t="shared" si="1"/>
        <v>0.05</v>
      </c>
      <c r="Q16" s="241">
        <f t="shared" si="1"/>
        <v>0.05</v>
      </c>
      <c r="R16" s="241">
        <f t="shared" si="1"/>
        <v>0.05</v>
      </c>
      <c r="S16" s="241">
        <f t="shared" si="1"/>
        <v>0.05</v>
      </c>
      <c r="T16" s="241">
        <f t="shared" si="1"/>
        <v>0.05</v>
      </c>
      <c r="U16" s="241">
        <f t="shared" si="1"/>
        <v>0.05</v>
      </c>
      <c r="V16" s="241">
        <f t="shared" si="1"/>
        <v>0.05</v>
      </c>
      <c r="W16" s="241">
        <f t="shared" si="1"/>
        <v>0.05</v>
      </c>
      <c r="X16" s="241">
        <f t="shared" si="1"/>
        <v>0.05</v>
      </c>
      <c r="Y16" s="241">
        <f t="shared" si="1"/>
        <v>0.05</v>
      </c>
      <c r="Z16" s="241">
        <f t="shared" si="1"/>
        <v>0.05</v>
      </c>
      <c r="AA16" s="241">
        <f t="shared" si="1"/>
        <v>0.05</v>
      </c>
      <c r="AB16" s="241">
        <v>0</v>
      </c>
      <c r="AC16" s="241"/>
      <c r="AD16" s="267"/>
      <c r="AE16" s="267"/>
      <c r="AF16" s="811">
        <v>2</v>
      </c>
      <c r="AG16" s="812">
        <v>9.5000000000000001E-2</v>
      </c>
    </row>
    <row r="17" spans="1:33" s="20" customFormat="1">
      <c r="A17" s="22"/>
      <c r="B17" s="56"/>
      <c r="C17" s="41"/>
      <c r="D17" s="41"/>
      <c r="E17" s="41"/>
      <c r="F17" s="41"/>
      <c r="G17" s="5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67"/>
      <c r="AE17" s="267"/>
      <c r="AF17" s="811">
        <v>3</v>
      </c>
      <c r="AG17" s="812">
        <v>8.5500000000000007E-2</v>
      </c>
    </row>
    <row r="18" spans="1:33" s="20" customFormat="1">
      <c r="A18" s="36" t="s">
        <v>253</v>
      </c>
      <c r="B18" s="248">
        <f>Assumptions!G8*(1-Allocation!C22)</f>
        <v>484512.886</v>
      </c>
      <c r="C18" s="249"/>
      <c r="D18" s="249"/>
      <c r="E18" s="603"/>
      <c r="F18" s="249"/>
      <c r="G18" s="250">
        <f>$B$18*G15</f>
        <v>0</v>
      </c>
      <c r="H18" s="250">
        <f t="shared" ref="H18:AB18" si="2">$B$18*H15</f>
        <v>24225.6443</v>
      </c>
      <c r="I18" s="250">
        <f t="shared" si="2"/>
        <v>46028.724170000001</v>
      </c>
      <c r="J18" s="250">
        <f t="shared" si="2"/>
        <v>41425.851753000003</v>
      </c>
      <c r="K18" s="250">
        <f t="shared" si="2"/>
        <v>37307.492222000001</v>
      </c>
      <c r="L18" s="250">
        <f t="shared" si="2"/>
        <v>33576.742999800001</v>
      </c>
      <c r="M18" s="250">
        <f t="shared" si="2"/>
        <v>30185.152797800001</v>
      </c>
      <c r="N18" s="250">
        <f t="shared" si="2"/>
        <v>28586.260274</v>
      </c>
      <c r="O18" s="250">
        <f t="shared" si="2"/>
        <v>28634.711562600001</v>
      </c>
      <c r="P18" s="250">
        <f t="shared" si="2"/>
        <v>28586.260274</v>
      </c>
      <c r="Q18" s="250">
        <f t="shared" si="2"/>
        <v>28634.711562600001</v>
      </c>
      <c r="R18" s="250">
        <f t="shared" si="2"/>
        <v>28586.260274</v>
      </c>
      <c r="S18" s="250">
        <f t="shared" si="2"/>
        <v>28634.711562600001</v>
      </c>
      <c r="T18" s="250">
        <f t="shared" si="2"/>
        <v>28586.260274</v>
      </c>
      <c r="U18" s="250">
        <f t="shared" si="2"/>
        <v>28634.711562600001</v>
      </c>
      <c r="V18" s="250">
        <f t="shared" si="2"/>
        <v>28586.260274</v>
      </c>
      <c r="W18" s="250">
        <f t="shared" si="2"/>
        <v>14293.130137</v>
      </c>
      <c r="X18" s="250">
        <f t="shared" si="2"/>
        <v>0</v>
      </c>
      <c r="Y18" s="250">
        <f t="shared" si="2"/>
        <v>0</v>
      </c>
      <c r="Z18" s="250">
        <f t="shared" si="2"/>
        <v>0</v>
      </c>
      <c r="AA18" s="250">
        <f t="shared" si="2"/>
        <v>0</v>
      </c>
      <c r="AB18" s="250">
        <f t="shared" si="2"/>
        <v>0</v>
      </c>
      <c r="AC18" s="250">
        <f>$B$18*AC15</f>
        <v>0</v>
      </c>
      <c r="AD18" s="267"/>
      <c r="AE18" s="267"/>
      <c r="AF18" s="811">
        <v>4</v>
      </c>
      <c r="AG18" s="812">
        <v>7.6999999999999999E-2</v>
      </c>
    </row>
    <row r="19" spans="1:33" s="20" customFormat="1" ht="15">
      <c r="A19" s="37" t="s">
        <v>252</v>
      </c>
      <c r="B19" s="251">
        <f>Assumptions!G11*Allocation!G10</f>
        <v>7800</v>
      </c>
      <c r="C19" s="249"/>
      <c r="D19" s="249"/>
      <c r="E19" s="249"/>
      <c r="F19" s="249"/>
      <c r="G19" s="252">
        <f>$B$19*G16</f>
        <v>0</v>
      </c>
      <c r="H19" s="252">
        <f t="shared" ref="H19:AB19" si="3">$B$19*H16</f>
        <v>390</v>
      </c>
      <c r="I19" s="252">
        <f t="shared" si="3"/>
        <v>390</v>
      </c>
      <c r="J19" s="252">
        <f t="shared" si="3"/>
        <v>390</v>
      </c>
      <c r="K19" s="252">
        <f t="shared" si="3"/>
        <v>390</v>
      </c>
      <c r="L19" s="252">
        <f t="shared" si="3"/>
        <v>390</v>
      </c>
      <c r="M19" s="252">
        <f t="shared" si="3"/>
        <v>390</v>
      </c>
      <c r="N19" s="252">
        <f t="shared" si="3"/>
        <v>390</v>
      </c>
      <c r="O19" s="252">
        <f t="shared" si="3"/>
        <v>390</v>
      </c>
      <c r="P19" s="252">
        <f t="shared" si="3"/>
        <v>390</v>
      </c>
      <c r="Q19" s="252">
        <f t="shared" si="3"/>
        <v>390</v>
      </c>
      <c r="R19" s="252">
        <f t="shared" si="3"/>
        <v>390</v>
      </c>
      <c r="S19" s="252">
        <f t="shared" si="3"/>
        <v>390</v>
      </c>
      <c r="T19" s="252">
        <f t="shared" si="3"/>
        <v>390</v>
      </c>
      <c r="U19" s="252">
        <f t="shared" si="3"/>
        <v>390</v>
      </c>
      <c r="V19" s="252">
        <f t="shared" si="3"/>
        <v>390</v>
      </c>
      <c r="W19" s="252">
        <f t="shared" si="3"/>
        <v>390</v>
      </c>
      <c r="X19" s="252">
        <f t="shared" si="3"/>
        <v>390</v>
      </c>
      <c r="Y19" s="252">
        <f t="shared" si="3"/>
        <v>390</v>
      </c>
      <c r="Z19" s="252">
        <f t="shared" si="3"/>
        <v>390</v>
      </c>
      <c r="AA19" s="252">
        <f t="shared" si="3"/>
        <v>390</v>
      </c>
      <c r="AB19" s="252">
        <f t="shared" si="3"/>
        <v>0</v>
      </c>
      <c r="AC19" s="252">
        <f>$B$19*AC16</f>
        <v>0</v>
      </c>
      <c r="AD19" s="267"/>
      <c r="AE19" s="267"/>
      <c r="AF19" s="811">
        <v>5</v>
      </c>
      <c r="AG19" s="812">
        <v>6.93E-2</v>
      </c>
    </row>
    <row r="20" spans="1:33" s="20" customFormat="1">
      <c r="A20" s="37" t="s">
        <v>254</v>
      </c>
      <c r="B20" s="250">
        <f>SUM(B18:B19)</f>
        <v>492312.886</v>
      </c>
      <c r="C20" s="605"/>
      <c r="D20" s="249"/>
      <c r="E20" s="249"/>
      <c r="F20" s="249"/>
      <c r="G20" s="250">
        <f t="shared" ref="G20:AC20" si="4">SUM(G18:G19)</f>
        <v>0</v>
      </c>
      <c r="H20" s="250">
        <f t="shared" si="4"/>
        <v>24615.6443</v>
      </c>
      <c r="I20" s="250">
        <f t="shared" si="4"/>
        <v>46418.724170000001</v>
      </c>
      <c r="J20" s="250">
        <f t="shared" si="4"/>
        <v>41815.851753000003</v>
      </c>
      <c r="K20" s="250">
        <f t="shared" si="4"/>
        <v>37697.492222000001</v>
      </c>
      <c r="L20" s="250">
        <f t="shared" si="4"/>
        <v>33966.742999800001</v>
      </c>
      <c r="M20" s="250">
        <f t="shared" si="4"/>
        <v>30575.152797800001</v>
      </c>
      <c r="N20" s="250">
        <f t="shared" si="4"/>
        <v>28976.260274</v>
      </c>
      <c r="O20" s="250">
        <f t="shared" si="4"/>
        <v>29024.711562600001</v>
      </c>
      <c r="P20" s="250">
        <f t="shared" si="4"/>
        <v>28976.260274</v>
      </c>
      <c r="Q20" s="250">
        <f t="shared" si="4"/>
        <v>29024.711562600001</v>
      </c>
      <c r="R20" s="250">
        <f t="shared" si="4"/>
        <v>28976.260274</v>
      </c>
      <c r="S20" s="250">
        <f t="shared" si="4"/>
        <v>29024.711562600001</v>
      </c>
      <c r="T20" s="250">
        <f t="shared" si="4"/>
        <v>28976.260274</v>
      </c>
      <c r="U20" s="250">
        <f t="shared" si="4"/>
        <v>29024.711562600001</v>
      </c>
      <c r="V20" s="250">
        <f t="shared" si="4"/>
        <v>28976.260274</v>
      </c>
      <c r="W20" s="250">
        <f t="shared" si="4"/>
        <v>14683.130137</v>
      </c>
      <c r="X20" s="250">
        <f t="shared" si="4"/>
        <v>390</v>
      </c>
      <c r="Y20" s="250">
        <f t="shared" si="4"/>
        <v>390</v>
      </c>
      <c r="Z20" s="250">
        <f t="shared" si="4"/>
        <v>390</v>
      </c>
      <c r="AA20" s="250">
        <f t="shared" si="4"/>
        <v>390</v>
      </c>
      <c r="AB20" s="250">
        <f t="shared" si="4"/>
        <v>0</v>
      </c>
      <c r="AC20" s="250">
        <f t="shared" si="4"/>
        <v>0</v>
      </c>
      <c r="AD20" s="267"/>
      <c r="AE20" s="267"/>
      <c r="AF20" s="811">
        <v>6</v>
      </c>
      <c r="AG20" s="812">
        <v>6.2300000000000001E-2</v>
      </c>
    </row>
    <row r="21" spans="1:33" s="20" customFormat="1">
      <c r="B21" s="250"/>
      <c r="C21" s="249"/>
      <c r="D21" s="249"/>
      <c r="E21" s="249"/>
      <c r="F21" s="249"/>
      <c r="G21" s="250"/>
      <c r="H21" s="250"/>
      <c r="I21" s="250"/>
      <c r="J21" s="250"/>
      <c r="K21" s="250"/>
      <c r="L21" s="250"/>
      <c r="M21" s="250"/>
      <c r="N21" s="250"/>
      <c r="O21" s="250"/>
      <c r="P21" s="250"/>
      <c r="Q21" s="250"/>
      <c r="R21" s="250"/>
      <c r="S21" s="250"/>
      <c r="T21" s="250"/>
      <c r="U21" s="250"/>
      <c r="V21" s="250"/>
      <c r="W21" s="250"/>
      <c r="X21" s="250"/>
      <c r="Y21" s="250"/>
      <c r="Z21" s="250"/>
      <c r="AA21" s="250"/>
      <c r="AB21" s="250"/>
      <c r="AC21" s="250"/>
      <c r="AD21" s="267"/>
      <c r="AE21" s="267"/>
      <c r="AF21" s="811">
        <v>7</v>
      </c>
      <c r="AG21" s="812">
        <v>5.8999999999999997E-2</v>
      </c>
    </row>
    <row r="22" spans="1:33" s="20" customFormat="1">
      <c r="A22" s="22" t="s">
        <v>255</v>
      </c>
      <c r="B22" s="250"/>
      <c r="C22" s="249"/>
      <c r="D22" s="249"/>
      <c r="E22" s="249"/>
      <c r="F22" s="249"/>
      <c r="G22" s="250">
        <f>B20-G20</f>
        <v>492312.886</v>
      </c>
      <c r="H22" s="250">
        <f>G22-H20</f>
        <v>467697.24170000001</v>
      </c>
      <c r="I22" s="250">
        <f t="shared" ref="I22:AA22" si="5">H22-I20</f>
        <v>421278.51753000001</v>
      </c>
      <c r="J22" s="250">
        <f t="shared" si="5"/>
        <v>379462.66577700002</v>
      </c>
      <c r="K22" s="250">
        <f t="shared" si="5"/>
        <v>341765.17355499999</v>
      </c>
      <c r="L22" s="250">
        <f t="shared" si="5"/>
        <v>307798.43055519997</v>
      </c>
      <c r="M22" s="250">
        <f t="shared" si="5"/>
        <v>277223.27775739995</v>
      </c>
      <c r="N22" s="250">
        <f t="shared" si="5"/>
        <v>248247.01748339995</v>
      </c>
      <c r="O22" s="250">
        <f t="shared" si="5"/>
        <v>219222.30592079996</v>
      </c>
      <c r="P22" s="250">
        <f t="shared" si="5"/>
        <v>190246.04564679996</v>
      </c>
      <c r="Q22" s="250">
        <f t="shared" si="5"/>
        <v>161221.33408419997</v>
      </c>
      <c r="R22" s="250">
        <f t="shared" si="5"/>
        <v>132245.07381019997</v>
      </c>
      <c r="S22" s="250">
        <f t="shared" si="5"/>
        <v>103220.36224759997</v>
      </c>
      <c r="T22" s="250">
        <f t="shared" si="5"/>
        <v>74244.101973599973</v>
      </c>
      <c r="U22" s="250">
        <f t="shared" si="5"/>
        <v>45219.390410999971</v>
      </c>
      <c r="V22" s="250">
        <f t="shared" si="5"/>
        <v>16243.130136999971</v>
      </c>
      <c r="W22" s="250">
        <f t="shared" si="5"/>
        <v>1559.9999999999709</v>
      </c>
      <c r="X22" s="250">
        <f t="shared" si="5"/>
        <v>1169.9999999999709</v>
      </c>
      <c r="Y22" s="250">
        <f t="shared" si="5"/>
        <v>779.9999999999709</v>
      </c>
      <c r="Z22" s="250">
        <f t="shared" si="5"/>
        <v>389.9999999999709</v>
      </c>
      <c r="AA22" s="250">
        <f t="shared" si="5"/>
        <v>-2.9103830456733704E-11</v>
      </c>
      <c r="AB22" s="250">
        <f>AA22-AB20</f>
        <v>-2.9103830456733704E-11</v>
      </c>
      <c r="AC22" s="250">
        <f>AB22-AC20</f>
        <v>-2.9103830456733704E-11</v>
      </c>
      <c r="AD22" s="267"/>
      <c r="AE22" s="267"/>
      <c r="AF22" s="811">
        <v>8</v>
      </c>
      <c r="AG22" s="812">
        <v>5.91E-2</v>
      </c>
    </row>
    <row r="23" spans="1:33" s="20" customFormat="1">
      <c r="A23" s="26"/>
      <c r="B23" s="29"/>
      <c r="C23" s="57"/>
      <c r="D23" s="57"/>
      <c r="E23" s="57"/>
      <c r="F23" s="57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67"/>
      <c r="AE23" s="267"/>
      <c r="AF23" s="811">
        <v>9</v>
      </c>
      <c r="AG23" s="812">
        <v>5.8999999999999997E-2</v>
      </c>
    </row>
    <row r="24" spans="1:33" s="20" customFormat="1">
      <c r="A24" s="48" t="s">
        <v>256</v>
      </c>
      <c r="B24" s="58"/>
      <c r="C24" s="41"/>
      <c r="D24" s="41"/>
      <c r="E24" s="41"/>
      <c r="F24" s="4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267"/>
      <c r="AE24" s="267"/>
      <c r="AF24" s="811">
        <v>10</v>
      </c>
      <c r="AG24" s="812">
        <v>5.91E-2</v>
      </c>
    </row>
    <row r="25" spans="1:33" s="20" customFormat="1">
      <c r="A25" s="48"/>
      <c r="B25" s="50" t="s">
        <v>250</v>
      </c>
      <c r="C25" s="41"/>
      <c r="D25" s="41"/>
      <c r="E25" s="41"/>
      <c r="F25" s="4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267"/>
      <c r="AE25" s="267"/>
      <c r="AF25" s="811">
        <v>11</v>
      </c>
      <c r="AG25" s="812">
        <v>5.8999999999999997E-2</v>
      </c>
    </row>
    <row r="26" spans="1:33" s="20" customFormat="1">
      <c r="A26" s="36" t="s">
        <v>251</v>
      </c>
      <c r="B26" s="53">
        <f>Assumptions!$D$41</f>
        <v>15</v>
      </c>
      <c r="C26" s="54"/>
      <c r="D26" s="54"/>
      <c r="E26" s="54"/>
      <c r="F26" s="54"/>
      <c r="G26" s="55">
        <f>G15</f>
        <v>0</v>
      </c>
      <c r="H26" s="55">
        <f t="shared" ref="H26:AB26" si="6">H15</f>
        <v>0.05</v>
      </c>
      <c r="I26" s="55">
        <f t="shared" si="6"/>
        <v>9.5000000000000001E-2</v>
      </c>
      <c r="J26" s="55">
        <f t="shared" si="6"/>
        <v>8.5500000000000007E-2</v>
      </c>
      <c r="K26" s="55">
        <f t="shared" si="6"/>
        <v>7.6999999999999999E-2</v>
      </c>
      <c r="L26" s="55">
        <f t="shared" si="6"/>
        <v>6.93E-2</v>
      </c>
      <c r="M26" s="55">
        <f t="shared" si="6"/>
        <v>6.2300000000000001E-2</v>
      </c>
      <c r="N26" s="55">
        <f t="shared" si="6"/>
        <v>5.8999999999999997E-2</v>
      </c>
      <c r="O26" s="55">
        <f t="shared" si="6"/>
        <v>5.91E-2</v>
      </c>
      <c r="P26" s="55">
        <f t="shared" si="6"/>
        <v>5.8999999999999997E-2</v>
      </c>
      <c r="Q26" s="55">
        <f t="shared" si="6"/>
        <v>5.91E-2</v>
      </c>
      <c r="R26" s="55">
        <f t="shared" si="6"/>
        <v>5.8999999999999997E-2</v>
      </c>
      <c r="S26" s="55">
        <f t="shared" si="6"/>
        <v>5.91E-2</v>
      </c>
      <c r="T26" s="55">
        <f t="shared" si="6"/>
        <v>5.8999999999999997E-2</v>
      </c>
      <c r="U26" s="55">
        <f t="shared" si="6"/>
        <v>5.91E-2</v>
      </c>
      <c r="V26" s="55">
        <f t="shared" si="6"/>
        <v>5.8999999999999997E-2</v>
      </c>
      <c r="W26" s="55">
        <f t="shared" si="6"/>
        <v>2.9499999999999998E-2</v>
      </c>
      <c r="X26" s="55">
        <f t="shared" si="6"/>
        <v>0</v>
      </c>
      <c r="Y26" s="55">
        <f t="shared" si="6"/>
        <v>0</v>
      </c>
      <c r="Z26" s="55">
        <f t="shared" si="6"/>
        <v>0</v>
      </c>
      <c r="AA26" s="55">
        <f t="shared" si="6"/>
        <v>0</v>
      </c>
      <c r="AB26" s="55">
        <f t="shared" si="6"/>
        <v>0</v>
      </c>
      <c r="AC26" s="55">
        <f>AC15</f>
        <v>0</v>
      </c>
      <c r="AD26" s="267"/>
      <c r="AE26" s="267"/>
      <c r="AF26" s="811">
        <v>12</v>
      </c>
      <c r="AG26" s="812">
        <v>5.91E-2</v>
      </c>
    </row>
    <row r="27" spans="1:33" s="20" customFormat="1">
      <c r="A27" s="37" t="s">
        <v>252</v>
      </c>
      <c r="B27" s="239">
        <f>Assumptions!$D$42</f>
        <v>20</v>
      </c>
      <c r="C27" s="54"/>
      <c r="D27" s="54"/>
      <c r="E27" s="54"/>
      <c r="F27" s="54"/>
      <c r="G27" s="55">
        <f>G16</f>
        <v>0</v>
      </c>
      <c r="H27" s="55">
        <f t="shared" ref="H27:AB27" si="7">H16</f>
        <v>0.05</v>
      </c>
      <c r="I27" s="55">
        <f t="shared" si="7"/>
        <v>0.05</v>
      </c>
      <c r="J27" s="55">
        <f t="shared" si="7"/>
        <v>0.05</v>
      </c>
      <c r="K27" s="55">
        <f t="shared" si="7"/>
        <v>0.05</v>
      </c>
      <c r="L27" s="55">
        <f t="shared" si="7"/>
        <v>0.05</v>
      </c>
      <c r="M27" s="55">
        <f t="shared" si="7"/>
        <v>0.05</v>
      </c>
      <c r="N27" s="55">
        <f t="shared" si="7"/>
        <v>0.05</v>
      </c>
      <c r="O27" s="55">
        <f t="shared" si="7"/>
        <v>0.05</v>
      </c>
      <c r="P27" s="55">
        <f t="shared" si="7"/>
        <v>0.05</v>
      </c>
      <c r="Q27" s="55">
        <f t="shared" si="7"/>
        <v>0.05</v>
      </c>
      <c r="R27" s="55">
        <f t="shared" si="7"/>
        <v>0.05</v>
      </c>
      <c r="S27" s="55">
        <f t="shared" si="7"/>
        <v>0.05</v>
      </c>
      <c r="T27" s="55">
        <f t="shared" si="7"/>
        <v>0.05</v>
      </c>
      <c r="U27" s="55">
        <f t="shared" si="7"/>
        <v>0.05</v>
      </c>
      <c r="V27" s="55">
        <f t="shared" si="7"/>
        <v>0.05</v>
      </c>
      <c r="W27" s="55">
        <f t="shared" si="7"/>
        <v>0.05</v>
      </c>
      <c r="X27" s="55">
        <f t="shared" si="7"/>
        <v>0.05</v>
      </c>
      <c r="Y27" s="55">
        <f t="shared" si="7"/>
        <v>0.05</v>
      </c>
      <c r="Z27" s="55">
        <f t="shared" si="7"/>
        <v>0.05</v>
      </c>
      <c r="AA27" s="55">
        <f t="shared" si="7"/>
        <v>0.05</v>
      </c>
      <c r="AB27" s="55">
        <f t="shared" si="7"/>
        <v>0</v>
      </c>
      <c r="AC27" s="55">
        <f>AC16</f>
        <v>0</v>
      </c>
      <c r="AD27" s="267"/>
      <c r="AE27" s="267"/>
      <c r="AF27" s="811">
        <v>13</v>
      </c>
      <c r="AG27" s="812">
        <v>5.8999999999999997E-2</v>
      </c>
    </row>
    <row r="28" spans="1:33" s="20" customFormat="1">
      <c r="A28" s="26"/>
      <c r="B28" s="53"/>
      <c r="C28" s="41"/>
      <c r="D28" s="41"/>
      <c r="E28" s="41"/>
      <c r="F28" s="41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267"/>
      <c r="AE28" s="267"/>
      <c r="AF28" s="811">
        <v>14</v>
      </c>
      <c r="AG28" s="812">
        <v>5.91E-2</v>
      </c>
    </row>
    <row r="29" spans="1:33" s="20" customFormat="1">
      <c r="A29" s="22"/>
      <c r="B29" s="50"/>
      <c r="C29" s="41"/>
      <c r="D29" s="41"/>
      <c r="E29" s="41"/>
      <c r="F29" s="41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67"/>
      <c r="AE29" s="267"/>
      <c r="AF29" s="811">
        <v>15</v>
      </c>
      <c r="AG29" s="812">
        <v>5.8999999999999997E-2</v>
      </c>
    </row>
    <row r="30" spans="1:33" s="33" customFormat="1">
      <c r="A30" s="36" t="s">
        <v>253</v>
      </c>
      <c r="B30" s="248">
        <f>B18</f>
        <v>484512.886</v>
      </c>
      <c r="C30" s="249"/>
      <c r="D30" s="249"/>
      <c r="E30" s="249"/>
      <c r="F30" s="249"/>
      <c r="G30" s="250">
        <f>$B$30*G26</f>
        <v>0</v>
      </c>
      <c r="H30" s="250">
        <f t="shared" ref="H30:AB30" si="8">$B$30*H26</f>
        <v>24225.6443</v>
      </c>
      <c r="I30" s="250">
        <f t="shared" si="8"/>
        <v>46028.724170000001</v>
      </c>
      <c r="J30" s="250">
        <f t="shared" si="8"/>
        <v>41425.851753000003</v>
      </c>
      <c r="K30" s="250">
        <f t="shared" si="8"/>
        <v>37307.492222000001</v>
      </c>
      <c r="L30" s="250">
        <f t="shared" si="8"/>
        <v>33576.742999800001</v>
      </c>
      <c r="M30" s="250">
        <f t="shared" si="8"/>
        <v>30185.152797800001</v>
      </c>
      <c r="N30" s="250">
        <f t="shared" si="8"/>
        <v>28586.260274</v>
      </c>
      <c r="O30" s="250">
        <f t="shared" si="8"/>
        <v>28634.711562600001</v>
      </c>
      <c r="P30" s="250">
        <f t="shared" si="8"/>
        <v>28586.260274</v>
      </c>
      <c r="Q30" s="250">
        <f t="shared" si="8"/>
        <v>28634.711562600001</v>
      </c>
      <c r="R30" s="250">
        <f t="shared" si="8"/>
        <v>28586.260274</v>
      </c>
      <c r="S30" s="250">
        <f t="shared" si="8"/>
        <v>28634.711562600001</v>
      </c>
      <c r="T30" s="250">
        <f t="shared" si="8"/>
        <v>28586.260274</v>
      </c>
      <c r="U30" s="250">
        <f t="shared" si="8"/>
        <v>28634.711562600001</v>
      </c>
      <c r="V30" s="250">
        <f t="shared" si="8"/>
        <v>28586.260274</v>
      </c>
      <c r="W30" s="250">
        <f t="shared" si="8"/>
        <v>14293.130137</v>
      </c>
      <c r="X30" s="250">
        <f t="shared" si="8"/>
        <v>0</v>
      </c>
      <c r="Y30" s="250">
        <f t="shared" si="8"/>
        <v>0</v>
      </c>
      <c r="Z30" s="250">
        <f t="shared" si="8"/>
        <v>0</v>
      </c>
      <c r="AA30" s="250">
        <f t="shared" si="8"/>
        <v>0</v>
      </c>
      <c r="AB30" s="250">
        <f t="shared" si="8"/>
        <v>0</v>
      </c>
      <c r="AC30" s="250">
        <f>$B$30*AC26</f>
        <v>0</v>
      </c>
      <c r="AD30" s="315"/>
      <c r="AE30" s="315"/>
      <c r="AF30" s="811">
        <v>16</v>
      </c>
      <c r="AG30" s="813">
        <v>2.9499999999999998E-2</v>
      </c>
    </row>
    <row r="31" spans="1:33" s="20" customFormat="1" ht="15">
      <c r="A31" s="37" t="s">
        <v>252</v>
      </c>
      <c r="B31" s="251">
        <f>B19</f>
        <v>7800</v>
      </c>
      <c r="C31" s="249"/>
      <c r="D31" s="249"/>
      <c r="E31" s="249"/>
      <c r="F31" s="249"/>
      <c r="G31" s="252">
        <f t="shared" ref="G31:AC31" si="9">$B31*G27</f>
        <v>0</v>
      </c>
      <c r="H31" s="252">
        <f t="shared" si="9"/>
        <v>390</v>
      </c>
      <c r="I31" s="252">
        <f t="shared" si="9"/>
        <v>390</v>
      </c>
      <c r="J31" s="252">
        <f t="shared" si="9"/>
        <v>390</v>
      </c>
      <c r="K31" s="252">
        <f t="shared" si="9"/>
        <v>390</v>
      </c>
      <c r="L31" s="252">
        <f t="shared" si="9"/>
        <v>390</v>
      </c>
      <c r="M31" s="252">
        <f t="shared" si="9"/>
        <v>390</v>
      </c>
      <c r="N31" s="252">
        <f t="shared" si="9"/>
        <v>390</v>
      </c>
      <c r="O31" s="252">
        <f t="shared" si="9"/>
        <v>390</v>
      </c>
      <c r="P31" s="252">
        <f t="shared" si="9"/>
        <v>390</v>
      </c>
      <c r="Q31" s="252">
        <f t="shared" si="9"/>
        <v>390</v>
      </c>
      <c r="R31" s="252">
        <f t="shared" si="9"/>
        <v>390</v>
      </c>
      <c r="S31" s="252">
        <f t="shared" si="9"/>
        <v>390</v>
      </c>
      <c r="T31" s="252">
        <f t="shared" si="9"/>
        <v>390</v>
      </c>
      <c r="U31" s="252">
        <f t="shared" si="9"/>
        <v>390</v>
      </c>
      <c r="V31" s="252">
        <f t="shared" si="9"/>
        <v>390</v>
      </c>
      <c r="W31" s="252">
        <f t="shared" si="9"/>
        <v>390</v>
      </c>
      <c r="X31" s="252">
        <f t="shared" si="9"/>
        <v>390</v>
      </c>
      <c r="Y31" s="252">
        <f t="shared" si="9"/>
        <v>390</v>
      </c>
      <c r="Z31" s="252">
        <f t="shared" si="9"/>
        <v>390</v>
      </c>
      <c r="AA31" s="252">
        <f t="shared" si="9"/>
        <v>390</v>
      </c>
      <c r="AB31" s="252">
        <f t="shared" si="9"/>
        <v>0</v>
      </c>
      <c r="AC31" s="252">
        <f t="shared" si="9"/>
        <v>0</v>
      </c>
      <c r="AD31" s="267"/>
      <c r="AE31" s="267"/>
      <c r="AF31" s="814"/>
      <c r="AG31" s="815">
        <f>SUM(AG15:AG30)</f>
        <v>1.0000000000000004</v>
      </c>
    </row>
    <row r="32" spans="1:33" s="20" customFormat="1">
      <c r="A32" s="26" t="s">
        <v>254</v>
      </c>
      <c r="B32" s="250">
        <f>SUM(B30:B31)</f>
        <v>492312.886</v>
      </c>
      <c r="C32" s="249"/>
      <c r="D32" s="249"/>
      <c r="E32" s="249"/>
      <c r="F32" s="249"/>
      <c r="G32" s="250">
        <f t="shared" ref="G32:AC32" si="10">SUM(G30:G31)</f>
        <v>0</v>
      </c>
      <c r="H32" s="250">
        <f t="shared" si="10"/>
        <v>24615.6443</v>
      </c>
      <c r="I32" s="250">
        <f t="shared" si="10"/>
        <v>46418.724170000001</v>
      </c>
      <c r="J32" s="250">
        <f t="shared" si="10"/>
        <v>41815.851753000003</v>
      </c>
      <c r="K32" s="250">
        <f t="shared" si="10"/>
        <v>37697.492222000001</v>
      </c>
      <c r="L32" s="250">
        <f t="shared" si="10"/>
        <v>33966.742999800001</v>
      </c>
      <c r="M32" s="250">
        <f t="shared" si="10"/>
        <v>30575.152797800001</v>
      </c>
      <c r="N32" s="250">
        <f t="shared" si="10"/>
        <v>28976.260274</v>
      </c>
      <c r="O32" s="250">
        <f t="shared" si="10"/>
        <v>29024.711562600001</v>
      </c>
      <c r="P32" s="250">
        <f t="shared" si="10"/>
        <v>28976.260274</v>
      </c>
      <c r="Q32" s="250">
        <f t="shared" si="10"/>
        <v>29024.711562600001</v>
      </c>
      <c r="R32" s="250">
        <f t="shared" si="10"/>
        <v>28976.260274</v>
      </c>
      <c r="S32" s="250">
        <f t="shared" si="10"/>
        <v>29024.711562600001</v>
      </c>
      <c r="T32" s="250">
        <f t="shared" si="10"/>
        <v>28976.260274</v>
      </c>
      <c r="U32" s="250">
        <f t="shared" si="10"/>
        <v>29024.711562600001</v>
      </c>
      <c r="V32" s="250">
        <f t="shared" si="10"/>
        <v>28976.260274</v>
      </c>
      <c r="W32" s="250">
        <f t="shared" si="10"/>
        <v>14683.130137</v>
      </c>
      <c r="X32" s="250">
        <f t="shared" si="10"/>
        <v>390</v>
      </c>
      <c r="Y32" s="250">
        <f t="shared" si="10"/>
        <v>390</v>
      </c>
      <c r="Z32" s="250">
        <f t="shared" si="10"/>
        <v>390</v>
      </c>
      <c r="AA32" s="250">
        <f t="shared" si="10"/>
        <v>390</v>
      </c>
      <c r="AB32" s="250">
        <f t="shared" si="10"/>
        <v>0</v>
      </c>
      <c r="AC32" s="250">
        <f t="shared" si="10"/>
        <v>0</v>
      </c>
      <c r="AD32" s="267"/>
      <c r="AE32" s="267"/>
    </row>
    <row r="33" spans="1:33" s="20" customFormat="1">
      <c r="A33" s="26"/>
      <c r="B33" s="22"/>
      <c r="C33" s="41"/>
      <c r="D33" s="41"/>
      <c r="E33" s="41"/>
      <c r="F33" s="41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67"/>
      <c r="AE33" s="267"/>
    </row>
    <row r="34" spans="1:33" s="20" customFormat="1">
      <c r="A34" s="22" t="s">
        <v>255</v>
      </c>
      <c r="B34" s="22"/>
      <c r="C34" s="41"/>
      <c r="D34" s="570"/>
      <c r="E34" s="41"/>
      <c r="F34" s="41"/>
      <c r="G34" s="31">
        <f>B32-G32</f>
        <v>492312.886</v>
      </c>
      <c r="H34" s="31">
        <f>G34-H32</f>
        <v>467697.24170000001</v>
      </c>
      <c r="I34" s="31">
        <f t="shared" ref="I34:AC34" si="11">H34-I32</f>
        <v>421278.51753000001</v>
      </c>
      <c r="J34" s="31">
        <f t="shared" si="11"/>
        <v>379462.66577700002</v>
      </c>
      <c r="K34" s="31">
        <f t="shared" si="11"/>
        <v>341765.17355499999</v>
      </c>
      <c r="L34" s="31">
        <f t="shared" si="11"/>
        <v>307798.43055519997</v>
      </c>
      <c r="M34" s="31">
        <f t="shared" si="11"/>
        <v>277223.27775739995</v>
      </c>
      <c r="N34" s="31">
        <f t="shared" si="11"/>
        <v>248247.01748339995</v>
      </c>
      <c r="O34" s="31">
        <f t="shared" si="11"/>
        <v>219222.30592079996</v>
      </c>
      <c r="P34" s="31">
        <f t="shared" si="11"/>
        <v>190246.04564679996</v>
      </c>
      <c r="Q34" s="31">
        <f t="shared" si="11"/>
        <v>161221.33408419997</v>
      </c>
      <c r="R34" s="31">
        <f t="shared" si="11"/>
        <v>132245.07381019997</v>
      </c>
      <c r="S34" s="31">
        <f t="shared" si="11"/>
        <v>103220.36224759997</v>
      </c>
      <c r="T34" s="31">
        <f t="shared" si="11"/>
        <v>74244.101973599973</v>
      </c>
      <c r="U34" s="31">
        <f t="shared" si="11"/>
        <v>45219.390410999971</v>
      </c>
      <c r="V34" s="31">
        <f t="shared" si="11"/>
        <v>16243.130136999971</v>
      </c>
      <c r="W34" s="31">
        <f t="shared" si="11"/>
        <v>1559.9999999999709</v>
      </c>
      <c r="X34" s="31">
        <f t="shared" si="11"/>
        <v>1169.9999999999709</v>
      </c>
      <c r="Y34" s="31">
        <f t="shared" si="11"/>
        <v>779.9999999999709</v>
      </c>
      <c r="Z34" s="31">
        <f t="shared" si="11"/>
        <v>389.9999999999709</v>
      </c>
      <c r="AA34" s="31">
        <f>Z34-AA32</f>
        <v>-2.9103830456733704E-11</v>
      </c>
      <c r="AB34" s="31">
        <f>AA34-AB32</f>
        <v>-2.9103830456733704E-11</v>
      </c>
      <c r="AC34" s="31">
        <f t="shared" si="11"/>
        <v>-2.9103830456733704E-11</v>
      </c>
      <c r="AD34" s="267"/>
      <c r="AE34" s="267"/>
    </row>
    <row r="35" spans="1:33" s="20" customFormat="1">
      <c r="A35" s="22"/>
      <c r="B35" s="22"/>
      <c r="C35" s="41"/>
      <c r="D35" s="41"/>
      <c r="E35" s="41"/>
      <c r="F35" s="41"/>
      <c r="G35" s="60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67"/>
      <c r="AE35" s="267"/>
    </row>
    <row r="36" spans="1:33" s="20" customFormat="1">
      <c r="A36" s="22"/>
      <c r="D36" s="61"/>
      <c r="E36" s="61"/>
      <c r="F36" s="61"/>
      <c r="G36" s="24">
        <v>0</v>
      </c>
      <c r="H36" s="24">
        <v>1</v>
      </c>
      <c r="I36" s="24">
        <v>2</v>
      </c>
      <c r="J36" s="24">
        <v>3</v>
      </c>
      <c r="K36" s="24">
        <v>4</v>
      </c>
      <c r="L36" s="24">
        <v>5</v>
      </c>
      <c r="M36" s="24">
        <v>6</v>
      </c>
      <c r="N36" s="24">
        <v>7</v>
      </c>
      <c r="O36" s="24">
        <v>8</v>
      </c>
      <c r="P36" s="24">
        <v>9</v>
      </c>
      <c r="Q36" s="24">
        <v>10</v>
      </c>
      <c r="R36" s="24">
        <v>11</v>
      </c>
      <c r="S36" s="24">
        <v>12</v>
      </c>
      <c r="T36" s="24">
        <v>13</v>
      </c>
      <c r="U36" s="24">
        <v>14</v>
      </c>
      <c r="V36" s="24">
        <v>15</v>
      </c>
      <c r="W36" s="24">
        <v>16</v>
      </c>
      <c r="X36" s="24">
        <v>17</v>
      </c>
      <c r="Y36" s="24">
        <v>18</v>
      </c>
      <c r="Z36" s="24">
        <v>19</v>
      </c>
      <c r="AA36" s="24">
        <v>20</v>
      </c>
      <c r="AB36" s="24">
        <v>21</v>
      </c>
      <c r="AC36" s="24">
        <v>22</v>
      </c>
      <c r="AD36" s="267"/>
      <c r="AE36" s="267"/>
    </row>
    <row r="37" spans="1:33" s="20" customFormat="1">
      <c r="A37" s="48" t="s">
        <v>257</v>
      </c>
      <c r="D37" s="478"/>
      <c r="E37" s="478"/>
      <c r="F37" s="478"/>
      <c r="G37" s="55">
        <f>IF(G36&lt;=$B$39,(1-$C$39)/$B$39,IF(G36=$B$39+1,(1/$B39)*(1-$C$39)-$G$37,0))*Assumptions!$L$53/12</f>
        <v>0</v>
      </c>
      <c r="H37" s="55">
        <f t="shared" ref="H37:AC37" si="12">IF(H36&lt;=$B$39,(1-$C$39)/$B$39,IF(H36=$B$39+1,(1/$B39)*(1-$C$39)-$G$37,0))</f>
        <v>3.0000000000000002E-2</v>
      </c>
      <c r="I37" s="55">
        <f t="shared" si="12"/>
        <v>3.0000000000000002E-2</v>
      </c>
      <c r="J37" s="55">
        <f t="shared" si="12"/>
        <v>3.0000000000000002E-2</v>
      </c>
      <c r="K37" s="55">
        <f t="shared" si="12"/>
        <v>3.0000000000000002E-2</v>
      </c>
      <c r="L37" s="55">
        <f t="shared" si="12"/>
        <v>3.0000000000000002E-2</v>
      </c>
      <c r="M37" s="55">
        <f t="shared" si="12"/>
        <v>3.0000000000000002E-2</v>
      </c>
      <c r="N37" s="55">
        <f t="shared" si="12"/>
        <v>3.0000000000000002E-2</v>
      </c>
      <c r="O37" s="55">
        <f t="shared" si="12"/>
        <v>3.0000000000000002E-2</v>
      </c>
      <c r="P37" s="55">
        <f t="shared" si="12"/>
        <v>3.0000000000000002E-2</v>
      </c>
      <c r="Q37" s="55">
        <f t="shared" si="12"/>
        <v>3.0000000000000002E-2</v>
      </c>
      <c r="R37" s="55">
        <f t="shared" si="12"/>
        <v>3.0000000000000002E-2</v>
      </c>
      <c r="S37" s="55">
        <f t="shared" si="12"/>
        <v>3.0000000000000002E-2</v>
      </c>
      <c r="T37" s="55">
        <f t="shared" si="12"/>
        <v>3.0000000000000002E-2</v>
      </c>
      <c r="U37" s="55">
        <f t="shared" si="12"/>
        <v>3.0000000000000002E-2</v>
      </c>
      <c r="V37" s="55">
        <f t="shared" si="12"/>
        <v>3.0000000000000002E-2</v>
      </c>
      <c r="W37" s="55">
        <f t="shared" si="12"/>
        <v>3.0000000000000002E-2</v>
      </c>
      <c r="X37" s="55">
        <f t="shared" si="12"/>
        <v>3.0000000000000002E-2</v>
      </c>
      <c r="Y37" s="55">
        <f t="shared" si="12"/>
        <v>3.0000000000000002E-2</v>
      </c>
      <c r="Z37" s="55">
        <f t="shared" si="12"/>
        <v>3.0000000000000002E-2</v>
      </c>
      <c r="AA37" s="55">
        <f t="shared" si="12"/>
        <v>3.0000000000000002E-2</v>
      </c>
      <c r="AB37" s="55">
        <f t="shared" si="12"/>
        <v>3.0000000000000002E-2</v>
      </c>
      <c r="AC37" s="55">
        <f t="shared" si="12"/>
        <v>3.0000000000000002E-2</v>
      </c>
      <c r="AD37" s="267"/>
      <c r="AE37" s="267"/>
    </row>
    <row r="38" spans="1:33" s="20" customFormat="1">
      <c r="A38" s="48"/>
      <c r="B38" s="50" t="s">
        <v>250</v>
      </c>
      <c r="C38" s="61" t="s">
        <v>258</v>
      </c>
      <c r="D38" s="41"/>
      <c r="E38" s="41"/>
      <c r="F38" s="41"/>
      <c r="G38" s="55">
        <f>G16</f>
        <v>0</v>
      </c>
      <c r="H38" s="55">
        <f t="shared" ref="H38:AB38" si="13">H16</f>
        <v>0.05</v>
      </c>
      <c r="I38" s="55">
        <f t="shared" si="13"/>
        <v>0.05</v>
      </c>
      <c r="J38" s="55">
        <f t="shared" si="13"/>
        <v>0.05</v>
      </c>
      <c r="K38" s="55">
        <f t="shared" si="13"/>
        <v>0.05</v>
      </c>
      <c r="L38" s="55">
        <f t="shared" si="13"/>
        <v>0.05</v>
      </c>
      <c r="M38" s="55">
        <f t="shared" si="13"/>
        <v>0.05</v>
      </c>
      <c r="N38" s="55">
        <f t="shared" si="13"/>
        <v>0.05</v>
      </c>
      <c r="O38" s="55">
        <f t="shared" si="13"/>
        <v>0.05</v>
      </c>
      <c r="P38" s="55">
        <f t="shared" si="13"/>
        <v>0.05</v>
      </c>
      <c r="Q38" s="55">
        <f t="shared" si="13"/>
        <v>0.05</v>
      </c>
      <c r="R38" s="55">
        <f t="shared" si="13"/>
        <v>0.05</v>
      </c>
      <c r="S38" s="55">
        <f t="shared" si="13"/>
        <v>0.05</v>
      </c>
      <c r="T38" s="55">
        <f t="shared" si="13"/>
        <v>0.05</v>
      </c>
      <c r="U38" s="55">
        <f t="shared" si="13"/>
        <v>0.05</v>
      </c>
      <c r="V38" s="55">
        <f t="shared" si="13"/>
        <v>0.05</v>
      </c>
      <c r="W38" s="55">
        <f t="shared" si="13"/>
        <v>0.05</v>
      </c>
      <c r="X38" s="55">
        <f t="shared" si="13"/>
        <v>0.05</v>
      </c>
      <c r="Y38" s="55">
        <f t="shared" si="13"/>
        <v>0.05</v>
      </c>
      <c r="Z38" s="55">
        <f t="shared" si="13"/>
        <v>0.05</v>
      </c>
      <c r="AA38" s="55">
        <f t="shared" si="13"/>
        <v>0.05</v>
      </c>
      <c r="AB38" s="55">
        <f t="shared" si="13"/>
        <v>0</v>
      </c>
      <c r="AC38" s="55">
        <f>AC16</f>
        <v>0</v>
      </c>
      <c r="AD38" s="267"/>
      <c r="AE38" s="267"/>
    </row>
    <row r="39" spans="1:33" s="20" customFormat="1">
      <c r="A39" s="36" t="s">
        <v>259</v>
      </c>
      <c r="B39" s="53">
        <f>Assumptions!$D$45</f>
        <v>30</v>
      </c>
      <c r="C39" s="62">
        <f>Assumptions!F45</f>
        <v>0.1</v>
      </c>
      <c r="D39" s="41"/>
      <c r="E39" s="41"/>
      <c r="F39" s="41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67"/>
      <c r="AE39" s="267"/>
    </row>
    <row r="40" spans="1:33" s="20" customFormat="1">
      <c r="A40" s="37" t="s">
        <v>252</v>
      </c>
      <c r="B40" s="56">
        <f>Assumptions!$D$46</f>
        <v>20</v>
      </c>
      <c r="C40" s="41"/>
      <c r="D40" s="249"/>
      <c r="E40" s="249"/>
      <c r="F40" s="249"/>
      <c r="G40" s="250">
        <f t="shared" ref="G40:AC40" si="14">G37*$B$42</f>
        <v>0</v>
      </c>
      <c r="H40" s="250">
        <f t="shared" si="14"/>
        <v>14535.38658</v>
      </c>
      <c r="I40" s="250">
        <f t="shared" si="14"/>
        <v>14535.38658</v>
      </c>
      <c r="J40" s="250">
        <f t="shared" si="14"/>
        <v>14535.38658</v>
      </c>
      <c r="K40" s="250">
        <f t="shared" si="14"/>
        <v>14535.38658</v>
      </c>
      <c r="L40" s="250">
        <f t="shared" si="14"/>
        <v>14535.38658</v>
      </c>
      <c r="M40" s="250">
        <f t="shared" si="14"/>
        <v>14535.38658</v>
      </c>
      <c r="N40" s="250">
        <f t="shared" si="14"/>
        <v>14535.38658</v>
      </c>
      <c r="O40" s="250">
        <f t="shared" si="14"/>
        <v>14535.38658</v>
      </c>
      <c r="P40" s="250">
        <f t="shared" si="14"/>
        <v>14535.38658</v>
      </c>
      <c r="Q40" s="250">
        <f t="shared" si="14"/>
        <v>14535.38658</v>
      </c>
      <c r="R40" s="250">
        <f t="shared" si="14"/>
        <v>14535.38658</v>
      </c>
      <c r="S40" s="250">
        <f t="shared" si="14"/>
        <v>14535.38658</v>
      </c>
      <c r="T40" s="250">
        <f t="shared" si="14"/>
        <v>14535.38658</v>
      </c>
      <c r="U40" s="250">
        <f t="shared" si="14"/>
        <v>14535.38658</v>
      </c>
      <c r="V40" s="250">
        <f t="shared" si="14"/>
        <v>14535.38658</v>
      </c>
      <c r="W40" s="250">
        <f t="shared" si="14"/>
        <v>14535.38658</v>
      </c>
      <c r="X40" s="250">
        <f t="shared" si="14"/>
        <v>14535.38658</v>
      </c>
      <c r="Y40" s="250">
        <f t="shared" si="14"/>
        <v>14535.38658</v>
      </c>
      <c r="Z40" s="250">
        <f t="shared" si="14"/>
        <v>14535.38658</v>
      </c>
      <c r="AA40" s="250">
        <f t="shared" si="14"/>
        <v>14535.38658</v>
      </c>
      <c r="AB40" s="250">
        <f t="shared" si="14"/>
        <v>14535.38658</v>
      </c>
      <c r="AC40" s="250">
        <f t="shared" si="14"/>
        <v>14535.38658</v>
      </c>
      <c r="AD40" s="267"/>
      <c r="AE40" s="267"/>
    </row>
    <row r="41" spans="1:33" s="20" customFormat="1" ht="15">
      <c r="A41" s="22"/>
      <c r="B41" s="50"/>
      <c r="C41" s="41"/>
      <c r="D41" s="249"/>
      <c r="E41" s="249"/>
      <c r="F41" s="249"/>
      <c r="G41" s="252">
        <f t="shared" ref="G41:AC41" si="15">G38*$B$43</f>
        <v>0</v>
      </c>
      <c r="H41" s="252">
        <f t="shared" si="15"/>
        <v>390</v>
      </c>
      <c r="I41" s="252">
        <f t="shared" si="15"/>
        <v>390</v>
      </c>
      <c r="J41" s="252">
        <f t="shared" si="15"/>
        <v>390</v>
      </c>
      <c r="K41" s="252">
        <f t="shared" si="15"/>
        <v>390</v>
      </c>
      <c r="L41" s="252">
        <f t="shared" si="15"/>
        <v>390</v>
      </c>
      <c r="M41" s="252">
        <f t="shared" si="15"/>
        <v>390</v>
      </c>
      <c r="N41" s="252">
        <f t="shared" si="15"/>
        <v>390</v>
      </c>
      <c r="O41" s="252">
        <f t="shared" si="15"/>
        <v>390</v>
      </c>
      <c r="P41" s="252">
        <f t="shared" si="15"/>
        <v>390</v>
      </c>
      <c r="Q41" s="252">
        <f t="shared" si="15"/>
        <v>390</v>
      </c>
      <c r="R41" s="252">
        <f t="shared" si="15"/>
        <v>390</v>
      </c>
      <c r="S41" s="252">
        <f t="shared" si="15"/>
        <v>390</v>
      </c>
      <c r="T41" s="252">
        <f t="shared" si="15"/>
        <v>390</v>
      </c>
      <c r="U41" s="252">
        <f t="shared" si="15"/>
        <v>390</v>
      </c>
      <c r="V41" s="252">
        <f t="shared" si="15"/>
        <v>390</v>
      </c>
      <c r="W41" s="252">
        <f t="shared" si="15"/>
        <v>390</v>
      </c>
      <c r="X41" s="252">
        <f t="shared" si="15"/>
        <v>390</v>
      </c>
      <c r="Y41" s="252">
        <f t="shared" si="15"/>
        <v>390</v>
      </c>
      <c r="Z41" s="252">
        <f t="shared" si="15"/>
        <v>390</v>
      </c>
      <c r="AA41" s="252">
        <f t="shared" si="15"/>
        <v>390</v>
      </c>
      <c r="AB41" s="252">
        <f t="shared" si="15"/>
        <v>0</v>
      </c>
      <c r="AC41" s="252">
        <f t="shared" si="15"/>
        <v>0</v>
      </c>
      <c r="AD41" s="267"/>
      <c r="AE41" s="267"/>
    </row>
    <row r="42" spans="1:33" s="20" customFormat="1">
      <c r="A42" s="26" t="s">
        <v>254</v>
      </c>
      <c r="B42" s="248">
        <f>B18</f>
        <v>484512.886</v>
      </c>
      <c r="C42" s="249"/>
      <c r="D42" s="249"/>
      <c r="E42" s="249"/>
      <c r="F42" s="249"/>
      <c r="G42" s="250">
        <f t="shared" ref="G42:AC42" si="16">SUM(G40:G41)</f>
        <v>0</v>
      </c>
      <c r="H42" s="250">
        <f t="shared" si="16"/>
        <v>14925.38658</v>
      </c>
      <c r="I42" s="250">
        <f t="shared" si="16"/>
        <v>14925.38658</v>
      </c>
      <c r="J42" s="250">
        <f t="shared" si="16"/>
        <v>14925.38658</v>
      </c>
      <c r="K42" s="250">
        <f t="shared" si="16"/>
        <v>14925.38658</v>
      </c>
      <c r="L42" s="250">
        <f t="shared" si="16"/>
        <v>14925.38658</v>
      </c>
      <c r="M42" s="250">
        <f t="shared" si="16"/>
        <v>14925.38658</v>
      </c>
      <c r="N42" s="250">
        <f t="shared" si="16"/>
        <v>14925.38658</v>
      </c>
      <c r="O42" s="250">
        <f t="shared" si="16"/>
        <v>14925.38658</v>
      </c>
      <c r="P42" s="250">
        <f t="shared" si="16"/>
        <v>14925.38658</v>
      </c>
      <c r="Q42" s="250">
        <f t="shared" si="16"/>
        <v>14925.38658</v>
      </c>
      <c r="R42" s="250">
        <f t="shared" si="16"/>
        <v>14925.38658</v>
      </c>
      <c r="S42" s="250">
        <f t="shared" si="16"/>
        <v>14925.38658</v>
      </c>
      <c r="T42" s="250">
        <f t="shared" si="16"/>
        <v>14925.38658</v>
      </c>
      <c r="U42" s="250">
        <f t="shared" si="16"/>
        <v>14925.38658</v>
      </c>
      <c r="V42" s="250">
        <f t="shared" si="16"/>
        <v>14925.38658</v>
      </c>
      <c r="W42" s="250">
        <f t="shared" si="16"/>
        <v>14925.38658</v>
      </c>
      <c r="X42" s="250">
        <f t="shared" si="16"/>
        <v>14925.38658</v>
      </c>
      <c r="Y42" s="250">
        <f t="shared" si="16"/>
        <v>14925.38658</v>
      </c>
      <c r="Z42" s="250">
        <f t="shared" si="16"/>
        <v>14925.38658</v>
      </c>
      <c r="AA42" s="250">
        <f t="shared" si="16"/>
        <v>14925.38658</v>
      </c>
      <c r="AB42" s="250">
        <f t="shared" si="16"/>
        <v>14535.38658</v>
      </c>
      <c r="AC42" s="250">
        <f t="shared" si="16"/>
        <v>14535.38658</v>
      </c>
      <c r="AD42" s="267"/>
      <c r="AE42" s="267"/>
    </row>
    <row r="43" spans="1:33" s="20" customFormat="1" ht="15">
      <c r="A43" s="37"/>
      <c r="B43" s="251">
        <f>B19</f>
        <v>7800</v>
      </c>
      <c r="C43" s="249"/>
      <c r="D43" s="59"/>
      <c r="E43" s="59"/>
      <c r="F43" s="59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67"/>
      <c r="AE43" s="267"/>
    </row>
    <row r="44" spans="1:33" s="20" customFormat="1">
      <c r="A44" s="26" t="s">
        <v>260</v>
      </c>
      <c r="B44" s="250">
        <f>SUM(B42:B43)</f>
        <v>492312.886</v>
      </c>
      <c r="C44" s="249"/>
      <c r="D44" s="59"/>
      <c r="E44" s="59"/>
      <c r="F44" s="59"/>
      <c r="G44" s="250">
        <f>B44-G42</f>
        <v>492312.886</v>
      </c>
      <c r="H44" s="250">
        <f>G44-H42</f>
        <v>477387.49942000001</v>
      </c>
      <c r="I44" s="250">
        <f t="shared" ref="I44:AB44" si="17">H44-I42</f>
        <v>462462.11284000002</v>
      </c>
      <c r="J44" s="250">
        <f t="shared" si="17"/>
        <v>447536.72626000002</v>
      </c>
      <c r="K44" s="250">
        <f t="shared" si="17"/>
        <v>432611.33968000003</v>
      </c>
      <c r="L44" s="250">
        <f t="shared" si="17"/>
        <v>417685.95310000004</v>
      </c>
      <c r="M44" s="250">
        <f t="shared" si="17"/>
        <v>402760.56652000005</v>
      </c>
      <c r="N44" s="250">
        <f t="shared" si="17"/>
        <v>387835.17994000006</v>
      </c>
      <c r="O44" s="250">
        <f t="shared" si="17"/>
        <v>372909.79336000007</v>
      </c>
      <c r="P44" s="250">
        <f t="shared" si="17"/>
        <v>357984.40678000008</v>
      </c>
      <c r="Q44" s="250">
        <f t="shared" si="17"/>
        <v>343059.02020000009</v>
      </c>
      <c r="R44" s="250">
        <f t="shared" si="17"/>
        <v>328133.6336200001</v>
      </c>
      <c r="S44" s="250">
        <f t="shared" si="17"/>
        <v>313208.2470400001</v>
      </c>
      <c r="T44" s="250">
        <f t="shared" si="17"/>
        <v>298282.86046000011</v>
      </c>
      <c r="U44" s="250">
        <f t="shared" si="17"/>
        <v>283357.47388000012</v>
      </c>
      <c r="V44" s="250">
        <f t="shared" si="17"/>
        <v>268432.08730000013</v>
      </c>
      <c r="W44" s="250">
        <f t="shared" si="17"/>
        <v>253506.70072000014</v>
      </c>
      <c r="X44" s="250">
        <f t="shared" si="17"/>
        <v>238581.31414000015</v>
      </c>
      <c r="Y44" s="250">
        <f t="shared" si="17"/>
        <v>223655.92756000016</v>
      </c>
      <c r="Z44" s="250">
        <f t="shared" si="17"/>
        <v>208730.54098000017</v>
      </c>
      <c r="AA44" s="250">
        <f t="shared" si="17"/>
        <v>193805.15440000017</v>
      </c>
      <c r="AB44" s="250">
        <f t="shared" si="17"/>
        <v>179269.76782000018</v>
      </c>
      <c r="AC44" s="250">
        <f>AB44-AC42</f>
        <v>164734.38124000019</v>
      </c>
      <c r="AD44" s="267"/>
      <c r="AE44" s="267"/>
    </row>
    <row r="45" spans="1:33">
      <c r="A45" s="26"/>
      <c r="AC45" s="23"/>
      <c r="AF45" s="20"/>
      <c r="AG45" s="20"/>
    </row>
    <row r="46" spans="1:33" s="42" customFormat="1">
      <c r="B46" s="43"/>
      <c r="C46" s="41"/>
      <c r="D46" s="41"/>
      <c r="E46" s="41"/>
      <c r="F46" s="41"/>
      <c r="G46" s="44"/>
      <c r="H46" s="44"/>
      <c r="I46" s="44"/>
      <c r="J46" s="44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46"/>
      <c r="AC46" s="46"/>
      <c r="AD46" s="314"/>
      <c r="AE46" s="314"/>
      <c r="AF46" s="22"/>
      <c r="AG46" s="22"/>
    </row>
    <row r="47" spans="1:33">
      <c r="AC47" s="23"/>
      <c r="AF47" s="42"/>
      <c r="AG47" s="42"/>
    </row>
    <row r="48" spans="1:33">
      <c r="A48" s="43"/>
      <c r="B48" s="328"/>
      <c r="G48" s="44"/>
      <c r="H48" s="44"/>
      <c r="I48" s="44"/>
      <c r="J48" s="44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46"/>
      <c r="AC48" s="46"/>
    </row>
    <row r="49" spans="1:33" s="20" customFormat="1" ht="15.75">
      <c r="A49" s="47" t="s">
        <v>41</v>
      </c>
      <c r="B49" s="22"/>
      <c r="C49" s="49"/>
      <c r="D49" s="49"/>
      <c r="E49" s="49"/>
      <c r="F49" s="49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67"/>
      <c r="AE49" s="267"/>
      <c r="AF49" s="22"/>
      <c r="AG49" s="22"/>
    </row>
    <row r="50" spans="1:33" s="20" customFormat="1">
      <c r="A50" s="43"/>
      <c r="B50" s="50" t="s">
        <v>250</v>
      </c>
      <c r="C50" s="41"/>
      <c r="D50" s="41"/>
      <c r="E50" s="41"/>
      <c r="F50" s="41"/>
      <c r="G50" s="51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22"/>
      <c r="W50" s="22"/>
      <c r="X50" s="22"/>
      <c r="Y50" s="22"/>
      <c r="Z50" s="22"/>
      <c r="AA50" s="22"/>
      <c r="AB50" s="22"/>
      <c r="AC50" s="23"/>
      <c r="AD50" s="267"/>
      <c r="AE50" s="267"/>
    </row>
    <row r="51" spans="1:33" s="20" customFormat="1">
      <c r="A51" s="48" t="s">
        <v>248</v>
      </c>
      <c r="B51" s="53">
        <f>Assumptions!$D$41</f>
        <v>15</v>
      </c>
      <c r="C51" s="63"/>
      <c r="D51" s="63"/>
      <c r="E51" s="63"/>
      <c r="F51" s="63"/>
      <c r="G51" s="55">
        <v>0</v>
      </c>
      <c r="H51" s="55">
        <f>VLOOKUP(G3+IF($H$7&gt;0,1,0),$AF$14:$AG$30,2)</f>
        <v>0.05</v>
      </c>
      <c r="I51" s="55">
        <f t="shared" ref="I51:W51" si="18">VLOOKUP(H3+IF($H$7&gt;0,1,0),$AF$14:$AG$30,2)</f>
        <v>9.5000000000000001E-2</v>
      </c>
      <c r="J51" s="55">
        <f t="shared" si="18"/>
        <v>8.5500000000000007E-2</v>
      </c>
      <c r="K51" s="55">
        <f t="shared" si="18"/>
        <v>7.6999999999999999E-2</v>
      </c>
      <c r="L51" s="55">
        <f t="shared" si="18"/>
        <v>6.93E-2</v>
      </c>
      <c r="M51" s="55">
        <f t="shared" si="18"/>
        <v>6.2300000000000001E-2</v>
      </c>
      <c r="N51" s="55">
        <f t="shared" si="18"/>
        <v>5.8999999999999997E-2</v>
      </c>
      <c r="O51" s="55">
        <f t="shared" si="18"/>
        <v>5.91E-2</v>
      </c>
      <c r="P51" s="55">
        <f t="shared" si="18"/>
        <v>5.8999999999999997E-2</v>
      </c>
      <c r="Q51" s="55">
        <f t="shared" si="18"/>
        <v>5.91E-2</v>
      </c>
      <c r="R51" s="55">
        <f t="shared" si="18"/>
        <v>5.8999999999999997E-2</v>
      </c>
      <c r="S51" s="55">
        <f t="shared" si="18"/>
        <v>5.91E-2</v>
      </c>
      <c r="T51" s="55">
        <f t="shared" si="18"/>
        <v>5.8999999999999997E-2</v>
      </c>
      <c r="U51" s="55">
        <f t="shared" si="18"/>
        <v>5.91E-2</v>
      </c>
      <c r="V51" s="55">
        <f t="shared" si="18"/>
        <v>5.8999999999999997E-2</v>
      </c>
      <c r="W51" s="55">
        <f t="shared" si="18"/>
        <v>2.9499999999999998E-2</v>
      </c>
      <c r="X51" s="55">
        <v>0</v>
      </c>
      <c r="Y51" s="55">
        <v>0</v>
      </c>
      <c r="Z51" s="55">
        <v>0</v>
      </c>
      <c r="AA51" s="55">
        <v>0</v>
      </c>
      <c r="AB51" s="55">
        <v>0</v>
      </c>
      <c r="AC51" s="55">
        <v>0</v>
      </c>
      <c r="AD51" s="267"/>
      <c r="AE51" s="267"/>
    </row>
    <row r="52" spans="1:33" s="20" customFormat="1">
      <c r="A52" s="22"/>
      <c r="B52" s="239">
        <f>Assumptions!$D$42</f>
        <v>20</v>
      </c>
      <c r="C52" s="240"/>
      <c r="D52" s="240"/>
      <c r="E52" s="240"/>
      <c r="F52" s="240"/>
      <c r="G52" s="241">
        <v>0</v>
      </c>
      <c r="H52" s="241">
        <f t="shared" ref="H52:AA52" si="19">1/20</f>
        <v>0.05</v>
      </c>
      <c r="I52" s="241">
        <f t="shared" si="19"/>
        <v>0.05</v>
      </c>
      <c r="J52" s="241">
        <f t="shared" si="19"/>
        <v>0.05</v>
      </c>
      <c r="K52" s="241">
        <f t="shared" si="19"/>
        <v>0.05</v>
      </c>
      <c r="L52" s="241">
        <f t="shared" si="19"/>
        <v>0.05</v>
      </c>
      <c r="M52" s="241">
        <f t="shared" si="19"/>
        <v>0.05</v>
      </c>
      <c r="N52" s="241">
        <f t="shared" si="19"/>
        <v>0.05</v>
      </c>
      <c r="O52" s="241">
        <f t="shared" si="19"/>
        <v>0.05</v>
      </c>
      <c r="P52" s="241">
        <f t="shared" si="19"/>
        <v>0.05</v>
      </c>
      <c r="Q52" s="241">
        <f t="shared" si="19"/>
        <v>0.05</v>
      </c>
      <c r="R52" s="241">
        <f t="shared" si="19"/>
        <v>0.05</v>
      </c>
      <c r="S52" s="241">
        <f t="shared" si="19"/>
        <v>0.05</v>
      </c>
      <c r="T52" s="241">
        <f t="shared" si="19"/>
        <v>0.05</v>
      </c>
      <c r="U52" s="241">
        <f t="shared" si="19"/>
        <v>0.05</v>
      </c>
      <c r="V52" s="241">
        <f t="shared" si="19"/>
        <v>0.05</v>
      </c>
      <c r="W52" s="241">
        <f t="shared" si="19"/>
        <v>0.05</v>
      </c>
      <c r="X52" s="241">
        <f t="shared" si="19"/>
        <v>0.05</v>
      </c>
      <c r="Y52" s="241">
        <f t="shared" si="19"/>
        <v>0.05</v>
      </c>
      <c r="Z52" s="241">
        <f t="shared" si="19"/>
        <v>0.05</v>
      </c>
      <c r="AA52" s="241">
        <f t="shared" si="19"/>
        <v>0.05</v>
      </c>
      <c r="AB52" s="241">
        <v>0</v>
      </c>
      <c r="AC52" s="241">
        <v>0</v>
      </c>
      <c r="AD52" s="267"/>
      <c r="AE52" s="267"/>
    </row>
    <row r="53" spans="1:33" s="20" customFormat="1">
      <c r="B53" s="56"/>
      <c r="C53" s="41"/>
      <c r="D53" s="41"/>
      <c r="E53" s="41"/>
      <c r="F53" s="41"/>
      <c r="G53" s="5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67"/>
      <c r="AE53" s="267"/>
    </row>
    <row r="54" spans="1:33" s="20" customFormat="1">
      <c r="A54" s="36" t="s">
        <v>251</v>
      </c>
      <c r="B54" s="248">
        <f>Assumptions!G9*(1-Allocation!C24)+Assumptions!G12</f>
        <v>724911.36904930742</v>
      </c>
      <c r="C54" s="249"/>
      <c r="D54" s="249"/>
      <c r="E54" s="604"/>
      <c r="F54" s="249"/>
      <c r="G54" s="250">
        <f t="shared" ref="G54:AC54" si="20">$B$54*G51</f>
        <v>0</v>
      </c>
      <c r="H54" s="250">
        <f t="shared" si="20"/>
        <v>36245.56845246537</v>
      </c>
      <c r="I54" s="250">
        <f t="shared" si="20"/>
        <v>68866.580059684202</v>
      </c>
      <c r="J54" s="250">
        <f t="shared" si="20"/>
        <v>61979.922053715789</v>
      </c>
      <c r="K54" s="250">
        <f t="shared" si="20"/>
        <v>55818.175416796672</v>
      </c>
      <c r="L54" s="250">
        <f t="shared" si="20"/>
        <v>50236.357875117006</v>
      </c>
      <c r="M54" s="250">
        <f t="shared" si="20"/>
        <v>45161.978291771855</v>
      </c>
      <c r="N54" s="250">
        <f t="shared" si="20"/>
        <v>42769.770773909135</v>
      </c>
      <c r="O54" s="250">
        <f t="shared" si="20"/>
        <v>42842.261910814072</v>
      </c>
      <c r="P54" s="250">
        <f t="shared" si="20"/>
        <v>42769.770773909135</v>
      </c>
      <c r="Q54" s="250">
        <f t="shared" si="20"/>
        <v>42842.261910814072</v>
      </c>
      <c r="R54" s="250">
        <f t="shared" si="20"/>
        <v>42769.770773909135</v>
      </c>
      <c r="S54" s="250">
        <f t="shared" si="20"/>
        <v>42842.261910814072</v>
      </c>
      <c r="T54" s="250">
        <f t="shared" si="20"/>
        <v>42769.770773909135</v>
      </c>
      <c r="U54" s="250">
        <f t="shared" si="20"/>
        <v>42842.261910814072</v>
      </c>
      <c r="V54" s="250">
        <f t="shared" si="20"/>
        <v>42769.770773909135</v>
      </c>
      <c r="W54" s="250">
        <f t="shared" si="20"/>
        <v>21384.885386954567</v>
      </c>
      <c r="X54" s="250">
        <f t="shared" si="20"/>
        <v>0</v>
      </c>
      <c r="Y54" s="250">
        <f t="shared" si="20"/>
        <v>0</v>
      </c>
      <c r="Z54" s="250">
        <f t="shared" si="20"/>
        <v>0</v>
      </c>
      <c r="AA54" s="250">
        <f t="shared" si="20"/>
        <v>0</v>
      </c>
      <c r="AB54" s="250">
        <f t="shared" si="20"/>
        <v>0</v>
      </c>
      <c r="AC54" s="250">
        <f t="shared" si="20"/>
        <v>0</v>
      </c>
      <c r="AD54" s="267"/>
      <c r="AE54" s="267"/>
    </row>
    <row r="55" spans="1:33" s="20" customFormat="1" ht="15">
      <c r="A55" s="37" t="s">
        <v>252</v>
      </c>
      <c r="B55" s="251">
        <f>Assumptions!G11*Allocation!G15</f>
        <v>11700</v>
      </c>
      <c r="C55" s="249"/>
      <c r="D55" s="605"/>
      <c r="E55" s="249"/>
      <c r="F55" s="249"/>
      <c r="G55" s="252">
        <f t="shared" ref="G55:AC55" si="21">$B$55*G52</f>
        <v>0</v>
      </c>
      <c r="H55" s="252">
        <f t="shared" si="21"/>
        <v>585</v>
      </c>
      <c r="I55" s="252">
        <f t="shared" si="21"/>
        <v>585</v>
      </c>
      <c r="J55" s="252">
        <f t="shared" si="21"/>
        <v>585</v>
      </c>
      <c r="K55" s="252">
        <f t="shared" si="21"/>
        <v>585</v>
      </c>
      <c r="L55" s="252">
        <f t="shared" si="21"/>
        <v>585</v>
      </c>
      <c r="M55" s="252">
        <f t="shared" si="21"/>
        <v>585</v>
      </c>
      <c r="N55" s="252">
        <f t="shared" si="21"/>
        <v>585</v>
      </c>
      <c r="O55" s="252">
        <f t="shared" si="21"/>
        <v>585</v>
      </c>
      <c r="P55" s="252">
        <f t="shared" si="21"/>
        <v>585</v>
      </c>
      <c r="Q55" s="252">
        <f t="shared" si="21"/>
        <v>585</v>
      </c>
      <c r="R55" s="252">
        <f t="shared" si="21"/>
        <v>585</v>
      </c>
      <c r="S55" s="252">
        <f t="shared" si="21"/>
        <v>585</v>
      </c>
      <c r="T55" s="252">
        <f t="shared" si="21"/>
        <v>585</v>
      </c>
      <c r="U55" s="252">
        <f t="shared" si="21"/>
        <v>585</v>
      </c>
      <c r="V55" s="252">
        <f t="shared" si="21"/>
        <v>585</v>
      </c>
      <c r="W55" s="252">
        <f t="shared" si="21"/>
        <v>585</v>
      </c>
      <c r="X55" s="252">
        <f t="shared" si="21"/>
        <v>585</v>
      </c>
      <c r="Y55" s="252">
        <f t="shared" si="21"/>
        <v>585</v>
      </c>
      <c r="Z55" s="252">
        <f t="shared" si="21"/>
        <v>585</v>
      </c>
      <c r="AA55" s="252">
        <f t="shared" si="21"/>
        <v>585</v>
      </c>
      <c r="AB55" s="252">
        <f t="shared" si="21"/>
        <v>0</v>
      </c>
      <c r="AC55" s="252">
        <f t="shared" si="21"/>
        <v>0</v>
      </c>
      <c r="AD55" s="267"/>
      <c r="AE55" s="267"/>
    </row>
    <row r="56" spans="1:33" s="20" customFormat="1">
      <c r="A56" s="26" t="s">
        <v>254</v>
      </c>
      <c r="B56" s="250">
        <f>SUM(B54:B55)</f>
        <v>736611.36904930742</v>
      </c>
      <c r="C56" s="249"/>
      <c r="D56" s="249"/>
      <c r="E56" s="249"/>
      <c r="F56" s="249"/>
      <c r="G56" s="250">
        <f t="shared" ref="G56:AC56" si="22">SUM(G54:G55)</f>
        <v>0</v>
      </c>
      <c r="H56" s="250">
        <f t="shared" si="22"/>
        <v>36830.56845246537</v>
      </c>
      <c r="I56" s="250">
        <f t="shared" si="22"/>
        <v>69451.580059684202</v>
      </c>
      <c r="J56" s="250">
        <f t="shared" si="22"/>
        <v>62564.922053715789</v>
      </c>
      <c r="K56" s="250">
        <f t="shared" si="22"/>
        <v>56403.175416796672</v>
      </c>
      <c r="L56" s="250">
        <f t="shared" si="22"/>
        <v>50821.357875117006</v>
      </c>
      <c r="M56" s="250">
        <f t="shared" si="22"/>
        <v>45746.978291771855</v>
      </c>
      <c r="N56" s="250">
        <f t="shared" si="22"/>
        <v>43354.770773909135</v>
      </c>
      <c r="O56" s="250">
        <f t="shared" si="22"/>
        <v>43427.261910814072</v>
      </c>
      <c r="P56" s="250">
        <f t="shared" si="22"/>
        <v>43354.770773909135</v>
      </c>
      <c r="Q56" s="250">
        <f t="shared" si="22"/>
        <v>43427.261910814072</v>
      </c>
      <c r="R56" s="250">
        <f t="shared" si="22"/>
        <v>43354.770773909135</v>
      </c>
      <c r="S56" s="250">
        <f t="shared" si="22"/>
        <v>43427.261910814072</v>
      </c>
      <c r="T56" s="250">
        <f t="shared" si="22"/>
        <v>43354.770773909135</v>
      </c>
      <c r="U56" s="250">
        <f t="shared" si="22"/>
        <v>43427.261910814072</v>
      </c>
      <c r="V56" s="250">
        <f t="shared" si="22"/>
        <v>43354.770773909135</v>
      </c>
      <c r="W56" s="250">
        <f t="shared" si="22"/>
        <v>21969.885386954567</v>
      </c>
      <c r="X56" s="250">
        <f t="shared" si="22"/>
        <v>585</v>
      </c>
      <c r="Y56" s="250">
        <f t="shared" si="22"/>
        <v>585</v>
      </c>
      <c r="Z56" s="250">
        <f t="shared" si="22"/>
        <v>585</v>
      </c>
      <c r="AA56" s="250">
        <f t="shared" si="22"/>
        <v>585</v>
      </c>
      <c r="AB56" s="250">
        <f t="shared" si="22"/>
        <v>0</v>
      </c>
      <c r="AC56" s="250">
        <f t="shared" si="22"/>
        <v>0</v>
      </c>
      <c r="AD56" s="267"/>
      <c r="AE56" s="267"/>
    </row>
    <row r="57" spans="1:33" s="20" customFormat="1">
      <c r="A57" s="37"/>
      <c r="B57" s="29"/>
      <c r="C57" s="57"/>
      <c r="D57" s="57"/>
      <c r="E57" s="57"/>
      <c r="F57" s="57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67"/>
      <c r="AE57" s="267"/>
    </row>
    <row r="58" spans="1:33" s="20" customFormat="1">
      <c r="A58" s="26" t="s">
        <v>261</v>
      </c>
      <c r="B58" s="58"/>
      <c r="C58" s="41"/>
      <c r="D58" s="41"/>
      <c r="E58" s="41"/>
      <c r="F58" s="41"/>
      <c r="G58" s="31">
        <f>B56-G56</f>
        <v>736611.36904930742</v>
      </c>
      <c r="H58" s="31">
        <f>G58-H56</f>
        <v>699780.80059684208</v>
      </c>
      <c r="I58" s="31">
        <f t="shared" ref="I58:AC58" si="23">H58-I56</f>
        <v>630329.22053715785</v>
      </c>
      <c r="J58" s="31">
        <f t="shared" si="23"/>
        <v>567764.29848344205</v>
      </c>
      <c r="K58" s="31">
        <f t="shared" si="23"/>
        <v>511361.12306664535</v>
      </c>
      <c r="L58" s="31">
        <f t="shared" si="23"/>
        <v>460539.76519152836</v>
      </c>
      <c r="M58" s="31">
        <f t="shared" si="23"/>
        <v>414792.78689975652</v>
      </c>
      <c r="N58" s="31">
        <f t="shared" si="23"/>
        <v>371438.01612584741</v>
      </c>
      <c r="O58" s="31">
        <f t="shared" si="23"/>
        <v>328010.75421503332</v>
      </c>
      <c r="P58" s="31">
        <f t="shared" si="23"/>
        <v>284655.9834411242</v>
      </c>
      <c r="Q58" s="31">
        <f t="shared" si="23"/>
        <v>241228.72153031014</v>
      </c>
      <c r="R58" s="31">
        <f t="shared" si="23"/>
        <v>197873.950756401</v>
      </c>
      <c r="S58" s="31">
        <f t="shared" si="23"/>
        <v>154446.68884558693</v>
      </c>
      <c r="T58" s="31">
        <f t="shared" si="23"/>
        <v>111091.91807167779</v>
      </c>
      <c r="U58" s="31">
        <f t="shared" si="23"/>
        <v>67664.656160863728</v>
      </c>
      <c r="V58" s="31">
        <f t="shared" si="23"/>
        <v>24309.885386954593</v>
      </c>
      <c r="W58" s="31">
        <f t="shared" si="23"/>
        <v>2340.0000000000255</v>
      </c>
      <c r="X58" s="31">
        <f t="shared" si="23"/>
        <v>1755.0000000000255</v>
      </c>
      <c r="Y58" s="31">
        <f t="shared" si="23"/>
        <v>1170.0000000000255</v>
      </c>
      <c r="Z58" s="31">
        <f t="shared" si="23"/>
        <v>585.00000000002547</v>
      </c>
      <c r="AA58" s="31">
        <f t="shared" si="23"/>
        <v>2.5465851649641991E-11</v>
      </c>
      <c r="AB58" s="31">
        <f t="shared" si="23"/>
        <v>2.5465851649641991E-11</v>
      </c>
      <c r="AC58" s="31">
        <f t="shared" si="23"/>
        <v>2.5465851649641991E-11</v>
      </c>
      <c r="AD58" s="267"/>
      <c r="AE58" s="267"/>
    </row>
    <row r="59" spans="1:33" s="20" customFormat="1">
      <c r="A59" s="26"/>
      <c r="B59" s="58"/>
      <c r="C59" s="41"/>
      <c r="D59" s="41"/>
      <c r="E59" s="41"/>
      <c r="F59" s="4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267"/>
      <c r="AE59" s="267"/>
    </row>
    <row r="60" spans="1:33" s="20" customFormat="1">
      <c r="A60" s="26"/>
      <c r="B60" s="50" t="s">
        <v>250</v>
      </c>
      <c r="C60" s="41"/>
      <c r="D60" s="41"/>
      <c r="E60" s="41"/>
      <c r="F60" s="4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267"/>
      <c r="AE60" s="267"/>
    </row>
    <row r="61" spans="1:33" s="20" customFormat="1">
      <c r="A61" s="48" t="s">
        <v>256</v>
      </c>
      <c r="B61" s="53">
        <f>Assumptions!$D$41</f>
        <v>15</v>
      </c>
      <c r="C61" s="64"/>
      <c r="D61" s="64"/>
      <c r="E61" s="64"/>
      <c r="F61" s="64"/>
      <c r="G61" s="55">
        <f>G51</f>
        <v>0</v>
      </c>
      <c r="H61" s="55">
        <f t="shared" ref="H61:AB61" si="24">H51</f>
        <v>0.05</v>
      </c>
      <c r="I61" s="55">
        <f t="shared" si="24"/>
        <v>9.5000000000000001E-2</v>
      </c>
      <c r="J61" s="55">
        <f t="shared" si="24"/>
        <v>8.5500000000000007E-2</v>
      </c>
      <c r="K61" s="55">
        <f t="shared" si="24"/>
        <v>7.6999999999999999E-2</v>
      </c>
      <c r="L61" s="55">
        <f t="shared" si="24"/>
        <v>6.93E-2</v>
      </c>
      <c r="M61" s="55">
        <f t="shared" si="24"/>
        <v>6.2300000000000001E-2</v>
      </c>
      <c r="N61" s="55">
        <f t="shared" si="24"/>
        <v>5.8999999999999997E-2</v>
      </c>
      <c r="O61" s="55">
        <f t="shared" si="24"/>
        <v>5.91E-2</v>
      </c>
      <c r="P61" s="55">
        <f t="shared" si="24"/>
        <v>5.8999999999999997E-2</v>
      </c>
      <c r="Q61" s="55">
        <f t="shared" si="24"/>
        <v>5.91E-2</v>
      </c>
      <c r="R61" s="55">
        <f t="shared" si="24"/>
        <v>5.8999999999999997E-2</v>
      </c>
      <c r="S61" s="55">
        <f t="shared" si="24"/>
        <v>5.91E-2</v>
      </c>
      <c r="T61" s="55">
        <f t="shared" si="24"/>
        <v>5.8999999999999997E-2</v>
      </c>
      <c r="U61" s="55">
        <f t="shared" si="24"/>
        <v>5.91E-2</v>
      </c>
      <c r="V61" s="55">
        <f t="shared" si="24"/>
        <v>5.8999999999999997E-2</v>
      </c>
      <c r="W61" s="55">
        <f t="shared" si="24"/>
        <v>2.9499999999999998E-2</v>
      </c>
      <c r="X61" s="55">
        <f t="shared" si="24"/>
        <v>0</v>
      </c>
      <c r="Y61" s="55">
        <f t="shared" si="24"/>
        <v>0</v>
      </c>
      <c r="Z61" s="55">
        <f t="shared" si="24"/>
        <v>0</v>
      </c>
      <c r="AA61" s="55">
        <f t="shared" si="24"/>
        <v>0</v>
      </c>
      <c r="AB61" s="55">
        <f t="shared" si="24"/>
        <v>0</v>
      </c>
      <c r="AC61" s="55">
        <f>AC51</f>
        <v>0</v>
      </c>
      <c r="AD61" s="267"/>
      <c r="AE61" s="267"/>
    </row>
    <row r="62" spans="1:33" s="20" customFormat="1">
      <c r="A62" s="48"/>
      <c r="B62" s="239">
        <f>Assumptions!$D$42</f>
        <v>20</v>
      </c>
      <c r="C62" s="41"/>
      <c r="D62" s="41"/>
      <c r="E62" s="41"/>
      <c r="F62" s="41"/>
      <c r="G62" s="55">
        <f>G52</f>
        <v>0</v>
      </c>
      <c r="H62" s="55">
        <f t="shared" ref="H62:AB62" si="25">H52</f>
        <v>0.05</v>
      </c>
      <c r="I62" s="55">
        <f t="shared" si="25"/>
        <v>0.05</v>
      </c>
      <c r="J62" s="55">
        <f t="shared" si="25"/>
        <v>0.05</v>
      </c>
      <c r="K62" s="55">
        <f t="shared" si="25"/>
        <v>0.05</v>
      </c>
      <c r="L62" s="55">
        <f t="shared" si="25"/>
        <v>0.05</v>
      </c>
      <c r="M62" s="55">
        <f t="shared" si="25"/>
        <v>0.05</v>
      </c>
      <c r="N62" s="55">
        <f t="shared" si="25"/>
        <v>0.05</v>
      </c>
      <c r="O62" s="55">
        <f t="shared" si="25"/>
        <v>0.05</v>
      </c>
      <c r="P62" s="55">
        <f t="shared" si="25"/>
        <v>0.05</v>
      </c>
      <c r="Q62" s="55">
        <f t="shared" si="25"/>
        <v>0.05</v>
      </c>
      <c r="R62" s="55">
        <f t="shared" si="25"/>
        <v>0.05</v>
      </c>
      <c r="S62" s="55">
        <f t="shared" si="25"/>
        <v>0.05</v>
      </c>
      <c r="T62" s="55">
        <f t="shared" si="25"/>
        <v>0.05</v>
      </c>
      <c r="U62" s="55">
        <f t="shared" si="25"/>
        <v>0.05</v>
      </c>
      <c r="V62" s="55">
        <f t="shared" si="25"/>
        <v>0.05</v>
      </c>
      <c r="W62" s="55">
        <f t="shared" si="25"/>
        <v>0.05</v>
      </c>
      <c r="X62" s="55">
        <f t="shared" si="25"/>
        <v>0.05</v>
      </c>
      <c r="Y62" s="55">
        <f t="shared" si="25"/>
        <v>0.05</v>
      </c>
      <c r="Z62" s="55">
        <f t="shared" si="25"/>
        <v>0.05</v>
      </c>
      <c r="AA62" s="55">
        <f t="shared" si="25"/>
        <v>0.05</v>
      </c>
      <c r="AB62" s="55">
        <f t="shared" si="25"/>
        <v>0</v>
      </c>
      <c r="AC62" s="55">
        <f>AC52</f>
        <v>0</v>
      </c>
      <c r="AD62" s="267"/>
      <c r="AE62" s="267"/>
    </row>
    <row r="63" spans="1:33" s="20" customFormat="1">
      <c r="B63" s="53"/>
      <c r="C63" s="41"/>
      <c r="D63" s="41"/>
      <c r="E63" s="41"/>
      <c r="F63" s="41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267"/>
      <c r="AE63" s="267"/>
    </row>
    <row r="64" spans="1:33" s="20" customFormat="1">
      <c r="B64" s="50"/>
      <c r="C64" s="41"/>
      <c r="D64" s="41"/>
      <c r="E64" s="41"/>
      <c r="F64" s="41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67"/>
      <c r="AE64" s="267"/>
    </row>
    <row r="65" spans="1:33" s="33" customFormat="1">
      <c r="A65" s="36" t="s">
        <v>251</v>
      </c>
      <c r="B65" s="248">
        <f>B54</f>
        <v>724911.36904930742</v>
      </c>
      <c r="C65" s="249"/>
      <c r="D65" s="249"/>
      <c r="E65" s="249"/>
      <c r="F65" s="249"/>
      <c r="G65" s="250">
        <f t="shared" ref="G65:AC65" si="26">$B$65*G61</f>
        <v>0</v>
      </c>
      <c r="H65" s="250">
        <f t="shared" si="26"/>
        <v>36245.56845246537</v>
      </c>
      <c r="I65" s="250">
        <f t="shared" si="26"/>
        <v>68866.580059684202</v>
      </c>
      <c r="J65" s="250">
        <f t="shared" si="26"/>
        <v>61979.922053715789</v>
      </c>
      <c r="K65" s="250">
        <f t="shared" si="26"/>
        <v>55818.175416796672</v>
      </c>
      <c r="L65" s="250">
        <f t="shared" si="26"/>
        <v>50236.357875117006</v>
      </c>
      <c r="M65" s="250">
        <f t="shared" si="26"/>
        <v>45161.978291771855</v>
      </c>
      <c r="N65" s="250">
        <f t="shared" si="26"/>
        <v>42769.770773909135</v>
      </c>
      <c r="O65" s="250">
        <f t="shared" si="26"/>
        <v>42842.261910814072</v>
      </c>
      <c r="P65" s="250">
        <f t="shared" si="26"/>
        <v>42769.770773909135</v>
      </c>
      <c r="Q65" s="250">
        <f t="shared" si="26"/>
        <v>42842.261910814072</v>
      </c>
      <c r="R65" s="250">
        <f t="shared" si="26"/>
        <v>42769.770773909135</v>
      </c>
      <c r="S65" s="250">
        <f t="shared" si="26"/>
        <v>42842.261910814072</v>
      </c>
      <c r="T65" s="250">
        <f t="shared" si="26"/>
        <v>42769.770773909135</v>
      </c>
      <c r="U65" s="250">
        <f t="shared" si="26"/>
        <v>42842.261910814072</v>
      </c>
      <c r="V65" s="250">
        <f t="shared" si="26"/>
        <v>42769.770773909135</v>
      </c>
      <c r="W65" s="250">
        <f t="shared" si="26"/>
        <v>21384.885386954567</v>
      </c>
      <c r="X65" s="250">
        <f t="shared" si="26"/>
        <v>0</v>
      </c>
      <c r="Y65" s="250">
        <f t="shared" si="26"/>
        <v>0</v>
      </c>
      <c r="Z65" s="250">
        <f t="shared" si="26"/>
        <v>0</v>
      </c>
      <c r="AA65" s="250">
        <f t="shared" si="26"/>
        <v>0</v>
      </c>
      <c r="AB65" s="250">
        <f t="shared" si="26"/>
        <v>0</v>
      </c>
      <c r="AC65" s="250">
        <f t="shared" si="26"/>
        <v>0</v>
      </c>
      <c r="AD65" s="315"/>
      <c r="AE65" s="315"/>
      <c r="AF65" s="20"/>
      <c r="AG65" s="20"/>
    </row>
    <row r="66" spans="1:33" s="20" customFormat="1" ht="15">
      <c r="A66" s="37" t="s">
        <v>252</v>
      </c>
      <c r="B66" s="251">
        <f>B55</f>
        <v>11700</v>
      </c>
      <c r="C66" s="249"/>
      <c r="D66" s="249"/>
      <c r="E66" s="249"/>
      <c r="F66" s="249"/>
      <c r="G66" s="252">
        <f t="shared" ref="G66:AC66" si="27">$B66*G62</f>
        <v>0</v>
      </c>
      <c r="H66" s="252">
        <f t="shared" si="27"/>
        <v>585</v>
      </c>
      <c r="I66" s="252">
        <f t="shared" si="27"/>
        <v>585</v>
      </c>
      <c r="J66" s="252">
        <f t="shared" si="27"/>
        <v>585</v>
      </c>
      <c r="K66" s="252">
        <f t="shared" si="27"/>
        <v>585</v>
      </c>
      <c r="L66" s="252">
        <f t="shared" si="27"/>
        <v>585</v>
      </c>
      <c r="M66" s="252">
        <f t="shared" si="27"/>
        <v>585</v>
      </c>
      <c r="N66" s="252">
        <f t="shared" si="27"/>
        <v>585</v>
      </c>
      <c r="O66" s="252">
        <f t="shared" si="27"/>
        <v>585</v>
      </c>
      <c r="P66" s="252">
        <f t="shared" si="27"/>
        <v>585</v>
      </c>
      <c r="Q66" s="252">
        <f t="shared" si="27"/>
        <v>585</v>
      </c>
      <c r="R66" s="252">
        <f t="shared" si="27"/>
        <v>585</v>
      </c>
      <c r="S66" s="252">
        <f t="shared" si="27"/>
        <v>585</v>
      </c>
      <c r="T66" s="252">
        <f t="shared" si="27"/>
        <v>585</v>
      </c>
      <c r="U66" s="252">
        <f t="shared" si="27"/>
        <v>585</v>
      </c>
      <c r="V66" s="252">
        <f t="shared" si="27"/>
        <v>585</v>
      </c>
      <c r="W66" s="252">
        <f t="shared" si="27"/>
        <v>585</v>
      </c>
      <c r="X66" s="252">
        <f t="shared" si="27"/>
        <v>585</v>
      </c>
      <c r="Y66" s="252">
        <f t="shared" si="27"/>
        <v>585</v>
      </c>
      <c r="Z66" s="252">
        <f t="shared" si="27"/>
        <v>585</v>
      </c>
      <c r="AA66" s="252">
        <f t="shared" si="27"/>
        <v>585</v>
      </c>
      <c r="AB66" s="252">
        <f t="shared" si="27"/>
        <v>0</v>
      </c>
      <c r="AC66" s="252">
        <f t="shared" si="27"/>
        <v>0</v>
      </c>
      <c r="AD66" s="267"/>
      <c r="AE66" s="267"/>
      <c r="AF66" s="33"/>
      <c r="AG66" s="33"/>
    </row>
    <row r="67" spans="1:33" s="20" customFormat="1">
      <c r="A67" s="26" t="s">
        <v>254</v>
      </c>
      <c r="B67" s="250">
        <f>SUM(B65:B66)</f>
        <v>736611.36904930742</v>
      </c>
      <c r="C67" s="249"/>
      <c r="D67" s="249"/>
      <c r="E67" s="249"/>
      <c r="F67" s="249"/>
      <c r="G67" s="250">
        <f t="shared" ref="G67:AC67" si="28">SUM(G65:G66)</f>
        <v>0</v>
      </c>
      <c r="H67" s="250">
        <f t="shared" si="28"/>
        <v>36830.56845246537</v>
      </c>
      <c r="I67" s="250">
        <f t="shared" si="28"/>
        <v>69451.580059684202</v>
      </c>
      <c r="J67" s="250">
        <f t="shared" si="28"/>
        <v>62564.922053715789</v>
      </c>
      <c r="K67" s="250">
        <f t="shared" si="28"/>
        <v>56403.175416796672</v>
      </c>
      <c r="L67" s="250">
        <f t="shared" si="28"/>
        <v>50821.357875117006</v>
      </c>
      <c r="M67" s="250">
        <f t="shared" si="28"/>
        <v>45746.978291771855</v>
      </c>
      <c r="N67" s="250">
        <f t="shared" si="28"/>
        <v>43354.770773909135</v>
      </c>
      <c r="O67" s="250">
        <f t="shared" si="28"/>
        <v>43427.261910814072</v>
      </c>
      <c r="P67" s="250">
        <f t="shared" si="28"/>
        <v>43354.770773909135</v>
      </c>
      <c r="Q67" s="250">
        <f t="shared" si="28"/>
        <v>43427.261910814072</v>
      </c>
      <c r="R67" s="250">
        <f t="shared" si="28"/>
        <v>43354.770773909135</v>
      </c>
      <c r="S67" s="250">
        <f t="shared" si="28"/>
        <v>43427.261910814072</v>
      </c>
      <c r="T67" s="250">
        <f t="shared" si="28"/>
        <v>43354.770773909135</v>
      </c>
      <c r="U67" s="250">
        <f t="shared" si="28"/>
        <v>43427.261910814072</v>
      </c>
      <c r="V67" s="250">
        <f t="shared" si="28"/>
        <v>43354.770773909135</v>
      </c>
      <c r="W67" s="250">
        <f t="shared" si="28"/>
        <v>21969.885386954567</v>
      </c>
      <c r="X67" s="250">
        <f t="shared" si="28"/>
        <v>585</v>
      </c>
      <c r="Y67" s="250">
        <f t="shared" si="28"/>
        <v>585</v>
      </c>
      <c r="Z67" s="250">
        <f t="shared" si="28"/>
        <v>585</v>
      </c>
      <c r="AA67" s="250">
        <f t="shared" si="28"/>
        <v>585</v>
      </c>
      <c r="AB67" s="250">
        <f t="shared" si="28"/>
        <v>0</v>
      </c>
      <c r="AC67" s="250">
        <f t="shared" si="28"/>
        <v>0</v>
      </c>
      <c r="AD67" s="267"/>
      <c r="AE67" s="267"/>
    </row>
    <row r="68" spans="1:33" s="20" customFormat="1">
      <c r="A68" s="37"/>
      <c r="B68" s="22"/>
      <c r="C68" s="41"/>
      <c r="D68" s="41"/>
      <c r="E68" s="41"/>
      <c r="F68" s="41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67"/>
      <c r="AE68" s="267"/>
    </row>
    <row r="69" spans="1:33" s="20" customFormat="1">
      <c r="A69" s="26" t="s">
        <v>261</v>
      </c>
      <c r="B69" s="22"/>
      <c r="C69" s="41"/>
      <c r="D69" s="41"/>
      <c r="E69" s="41"/>
      <c r="F69" s="41"/>
      <c r="G69" s="31">
        <f>B67-G67</f>
        <v>736611.36904930742</v>
      </c>
      <c r="H69" s="31">
        <f>G69-H67</f>
        <v>699780.80059684208</v>
      </c>
      <c r="I69" s="31">
        <f t="shared" ref="I69:AC69" si="29">H69-I67</f>
        <v>630329.22053715785</v>
      </c>
      <c r="J69" s="31">
        <f t="shared" si="29"/>
        <v>567764.29848344205</v>
      </c>
      <c r="K69" s="31">
        <f t="shared" si="29"/>
        <v>511361.12306664535</v>
      </c>
      <c r="L69" s="31">
        <f t="shared" si="29"/>
        <v>460539.76519152836</v>
      </c>
      <c r="M69" s="31">
        <f t="shared" si="29"/>
        <v>414792.78689975652</v>
      </c>
      <c r="N69" s="31">
        <f t="shared" si="29"/>
        <v>371438.01612584741</v>
      </c>
      <c r="O69" s="31">
        <f t="shared" si="29"/>
        <v>328010.75421503332</v>
      </c>
      <c r="P69" s="31">
        <f t="shared" si="29"/>
        <v>284655.9834411242</v>
      </c>
      <c r="Q69" s="31">
        <f t="shared" si="29"/>
        <v>241228.72153031014</v>
      </c>
      <c r="R69" s="31">
        <f t="shared" si="29"/>
        <v>197873.950756401</v>
      </c>
      <c r="S69" s="31">
        <f t="shared" si="29"/>
        <v>154446.68884558693</v>
      </c>
      <c r="T69" s="31">
        <f t="shared" si="29"/>
        <v>111091.91807167779</v>
      </c>
      <c r="U69" s="31">
        <f t="shared" si="29"/>
        <v>67664.656160863728</v>
      </c>
      <c r="V69" s="31">
        <f t="shared" si="29"/>
        <v>24309.885386954593</v>
      </c>
      <c r="W69" s="31">
        <f t="shared" si="29"/>
        <v>2340.0000000000255</v>
      </c>
      <c r="X69" s="31">
        <f t="shared" si="29"/>
        <v>1755.0000000000255</v>
      </c>
      <c r="Y69" s="31">
        <f t="shared" si="29"/>
        <v>1170.0000000000255</v>
      </c>
      <c r="Z69" s="31">
        <f t="shared" si="29"/>
        <v>585.00000000002547</v>
      </c>
      <c r="AA69" s="31">
        <f t="shared" si="29"/>
        <v>2.5465851649641991E-11</v>
      </c>
      <c r="AB69" s="31">
        <f t="shared" si="29"/>
        <v>2.5465851649641991E-11</v>
      </c>
      <c r="AC69" s="31">
        <f t="shared" si="29"/>
        <v>2.5465851649641991E-11</v>
      </c>
      <c r="AD69" s="267"/>
      <c r="AE69" s="267"/>
    </row>
    <row r="70" spans="1:33" s="20" customFormat="1">
      <c r="A70" s="26"/>
      <c r="B70" s="22"/>
      <c r="C70" s="41"/>
      <c r="D70" s="41"/>
      <c r="E70" s="41"/>
      <c r="F70" s="41"/>
      <c r="G70" s="60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67"/>
      <c r="AE70" s="267"/>
    </row>
    <row r="71" spans="1:33" s="20" customFormat="1">
      <c r="A71" s="22"/>
      <c r="B71" s="50" t="s">
        <v>250</v>
      </c>
      <c r="C71" s="61" t="s">
        <v>258</v>
      </c>
      <c r="D71" s="61"/>
      <c r="E71" s="61"/>
      <c r="F71" s="61"/>
      <c r="G71" s="595">
        <v>0</v>
      </c>
      <c r="H71" s="595">
        <v>1</v>
      </c>
      <c r="I71" s="595">
        <v>2</v>
      </c>
      <c r="J71" s="595">
        <v>3</v>
      </c>
      <c r="K71" s="595">
        <v>4</v>
      </c>
      <c r="L71" s="595">
        <v>5</v>
      </c>
      <c r="M71" s="595">
        <v>6</v>
      </c>
      <c r="N71" s="595">
        <v>7</v>
      </c>
      <c r="O71" s="595">
        <v>8</v>
      </c>
      <c r="P71" s="595">
        <v>9</v>
      </c>
      <c r="Q71" s="595">
        <v>10</v>
      </c>
      <c r="R71" s="595">
        <v>11</v>
      </c>
      <c r="S71" s="595">
        <v>12</v>
      </c>
      <c r="T71" s="595">
        <v>13</v>
      </c>
      <c r="U71" s="595">
        <v>14</v>
      </c>
      <c r="V71" s="595">
        <v>15</v>
      </c>
      <c r="W71" s="595">
        <v>16</v>
      </c>
      <c r="X71" s="595">
        <v>17</v>
      </c>
      <c r="Y71" s="595">
        <v>18</v>
      </c>
      <c r="Z71" s="595">
        <v>19</v>
      </c>
      <c r="AA71" s="595">
        <v>20</v>
      </c>
      <c r="AB71" s="595">
        <v>21</v>
      </c>
      <c r="AC71" s="595">
        <v>22</v>
      </c>
      <c r="AD71" s="267"/>
      <c r="AE71" s="267"/>
    </row>
    <row r="72" spans="1:33" s="20" customFormat="1">
      <c r="A72" s="48" t="s">
        <v>257</v>
      </c>
      <c r="B72" s="53">
        <f>Assumptions!$D$45</f>
        <v>30</v>
      </c>
      <c r="C72" s="62">
        <f>Assumptions!$F$45</f>
        <v>0.1</v>
      </c>
      <c r="D72" s="478"/>
      <c r="E72" s="478"/>
      <c r="F72" s="478"/>
      <c r="G72" s="55">
        <v>0</v>
      </c>
      <c r="H72" s="55">
        <f>((1-$C$72)/$B$72)*Assumptions!Q53/12*(Allocation!K12+Allocation!K14)+((1-$C$72)/$B$72)*Assumptions!R53/12*(Allocation!K13)</f>
        <v>1.5996868553651997E-2</v>
      </c>
      <c r="I72" s="55">
        <f t="shared" ref="I72:AC72" si="30">IF(I71&lt;=$B$72,(1-$C$72)/$B$72,IF(I71=$B$72+1,(1/$B72)*(1-$C$72)-$G$72,0))</f>
        <v>3.0000000000000002E-2</v>
      </c>
      <c r="J72" s="55">
        <f t="shared" si="30"/>
        <v>3.0000000000000002E-2</v>
      </c>
      <c r="K72" s="55">
        <f t="shared" si="30"/>
        <v>3.0000000000000002E-2</v>
      </c>
      <c r="L72" s="55">
        <f t="shared" si="30"/>
        <v>3.0000000000000002E-2</v>
      </c>
      <c r="M72" s="55">
        <f t="shared" si="30"/>
        <v>3.0000000000000002E-2</v>
      </c>
      <c r="N72" s="55">
        <f t="shared" si="30"/>
        <v>3.0000000000000002E-2</v>
      </c>
      <c r="O72" s="55">
        <f t="shared" si="30"/>
        <v>3.0000000000000002E-2</v>
      </c>
      <c r="P72" s="55">
        <f t="shared" si="30"/>
        <v>3.0000000000000002E-2</v>
      </c>
      <c r="Q72" s="55">
        <f t="shared" si="30"/>
        <v>3.0000000000000002E-2</v>
      </c>
      <c r="R72" s="55">
        <f t="shared" si="30"/>
        <v>3.0000000000000002E-2</v>
      </c>
      <c r="S72" s="55">
        <f t="shared" si="30"/>
        <v>3.0000000000000002E-2</v>
      </c>
      <c r="T72" s="55">
        <f t="shared" si="30"/>
        <v>3.0000000000000002E-2</v>
      </c>
      <c r="U72" s="55">
        <f t="shared" si="30"/>
        <v>3.0000000000000002E-2</v>
      </c>
      <c r="V72" s="55">
        <f t="shared" si="30"/>
        <v>3.0000000000000002E-2</v>
      </c>
      <c r="W72" s="55">
        <f t="shared" si="30"/>
        <v>3.0000000000000002E-2</v>
      </c>
      <c r="X72" s="55">
        <f t="shared" si="30"/>
        <v>3.0000000000000002E-2</v>
      </c>
      <c r="Y72" s="55">
        <f t="shared" si="30"/>
        <v>3.0000000000000002E-2</v>
      </c>
      <c r="Z72" s="55">
        <f t="shared" si="30"/>
        <v>3.0000000000000002E-2</v>
      </c>
      <c r="AA72" s="55">
        <f t="shared" si="30"/>
        <v>3.0000000000000002E-2</v>
      </c>
      <c r="AB72" s="55">
        <f t="shared" si="30"/>
        <v>3.0000000000000002E-2</v>
      </c>
      <c r="AC72" s="55">
        <f t="shared" si="30"/>
        <v>3.0000000000000002E-2</v>
      </c>
      <c r="AD72" s="267"/>
      <c r="AE72" s="267"/>
    </row>
    <row r="73" spans="1:33" s="20" customFormat="1">
      <c r="A73" s="48"/>
      <c r="B73" s="56">
        <f>Assumptions!$D$46</f>
        <v>20</v>
      </c>
      <c r="C73" s="41"/>
      <c r="D73" s="41"/>
      <c r="E73" s="41"/>
      <c r="F73" s="41"/>
      <c r="G73" s="55">
        <v>0</v>
      </c>
      <c r="H73" s="55">
        <f t="shared" ref="H73:AB73" si="31">H52</f>
        <v>0.05</v>
      </c>
      <c r="I73" s="55">
        <f t="shared" si="31"/>
        <v>0.05</v>
      </c>
      <c r="J73" s="55">
        <f t="shared" si="31"/>
        <v>0.05</v>
      </c>
      <c r="K73" s="55">
        <f t="shared" si="31"/>
        <v>0.05</v>
      </c>
      <c r="L73" s="55">
        <f t="shared" si="31"/>
        <v>0.05</v>
      </c>
      <c r="M73" s="55">
        <f t="shared" si="31"/>
        <v>0.05</v>
      </c>
      <c r="N73" s="55">
        <f t="shared" si="31"/>
        <v>0.05</v>
      </c>
      <c r="O73" s="55">
        <f t="shared" si="31"/>
        <v>0.05</v>
      </c>
      <c r="P73" s="55">
        <f t="shared" si="31"/>
        <v>0.05</v>
      </c>
      <c r="Q73" s="55">
        <f t="shared" si="31"/>
        <v>0.05</v>
      </c>
      <c r="R73" s="55">
        <f t="shared" si="31"/>
        <v>0.05</v>
      </c>
      <c r="S73" s="55">
        <f t="shared" si="31"/>
        <v>0.05</v>
      </c>
      <c r="T73" s="55">
        <f t="shared" si="31"/>
        <v>0.05</v>
      </c>
      <c r="U73" s="55">
        <f t="shared" si="31"/>
        <v>0.05</v>
      </c>
      <c r="V73" s="55">
        <f t="shared" si="31"/>
        <v>0.05</v>
      </c>
      <c r="W73" s="55">
        <f t="shared" si="31"/>
        <v>0.05</v>
      </c>
      <c r="X73" s="55">
        <f t="shared" si="31"/>
        <v>0.05</v>
      </c>
      <c r="Y73" s="55">
        <f t="shared" si="31"/>
        <v>0.05</v>
      </c>
      <c r="Z73" s="55">
        <f t="shared" si="31"/>
        <v>0.05</v>
      </c>
      <c r="AA73" s="55">
        <f t="shared" si="31"/>
        <v>0.05</v>
      </c>
      <c r="AB73" s="55">
        <f t="shared" si="31"/>
        <v>0</v>
      </c>
      <c r="AC73" s="55">
        <f>AC52</f>
        <v>0</v>
      </c>
      <c r="AD73" s="267"/>
      <c r="AE73" s="267"/>
    </row>
    <row r="74" spans="1:33" s="20" customFormat="1">
      <c r="B74" s="50"/>
      <c r="C74" s="41"/>
      <c r="D74" s="41"/>
      <c r="E74" s="41"/>
      <c r="F74" s="41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67"/>
      <c r="AE74" s="267"/>
    </row>
    <row r="75" spans="1:33" s="20" customFormat="1">
      <c r="A75" s="36" t="s">
        <v>259</v>
      </c>
      <c r="B75" s="248">
        <f>B54</f>
        <v>724911.36904930742</v>
      </c>
      <c r="C75" s="249"/>
      <c r="D75" s="249"/>
      <c r="E75" s="249"/>
      <c r="F75" s="249"/>
      <c r="G75" s="250">
        <f t="shared" ref="G75:AC75" si="32">G72*$B$75</f>
        <v>0</v>
      </c>
      <c r="H75" s="250">
        <f t="shared" si="32"/>
        <v>11596.311883729682</v>
      </c>
      <c r="I75" s="250">
        <f t="shared" si="32"/>
        <v>21747.341071479226</v>
      </c>
      <c r="J75" s="250">
        <f t="shared" si="32"/>
        <v>21747.341071479226</v>
      </c>
      <c r="K75" s="250">
        <f t="shared" si="32"/>
        <v>21747.341071479226</v>
      </c>
      <c r="L75" s="250">
        <f t="shared" si="32"/>
        <v>21747.341071479226</v>
      </c>
      <c r="M75" s="250">
        <f t="shared" si="32"/>
        <v>21747.341071479226</v>
      </c>
      <c r="N75" s="250">
        <f t="shared" si="32"/>
        <v>21747.341071479226</v>
      </c>
      <c r="O75" s="250">
        <f t="shared" si="32"/>
        <v>21747.341071479226</v>
      </c>
      <c r="P75" s="250">
        <f t="shared" si="32"/>
        <v>21747.341071479226</v>
      </c>
      <c r="Q75" s="250">
        <f t="shared" si="32"/>
        <v>21747.341071479226</v>
      </c>
      <c r="R75" s="250">
        <f t="shared" si="32"/>
        <v>21747.341071479226</v>
      </c>
      <c r="S75" s="250">
        <f t="shared" si="32"/>
        <v>21747.341071479226</v>
      </c>
      <c r="T75" s="250">
        <f t="shared" si="32"/>
        <v>21747.341071479226</v>
      </c>
      <c r="U75" s="250">
        <f t="shared" si="32"/>
        <v>21747.341071479226</v>
      </c>
      <c r="V75" s="250">
        <f t="shared" si="32"/>
        <v>21747.341071479226</v>
      </c>
      <c r="W75" s="250">
        <f t="shared" si="32"/>
        <v>21747.341071479226</v>
      </c>
      <c r="X75" s="250">
        <f t="shared" si="32"/>
        <v>21747.341071479226</v>
      </c>
      <c r="Y75" s="250">
        <f t="shared" si="32"/>
        <v>21747.341071479226</v>
      </c>
      <c r="Z75" s="250">
        <f t="shared" si="32"/>
        <v>21747.341071479226</v>
      </c>
      <c r="AA75" s="250">
        <f t="shared" si="32"/>
        <v>21747.341071479226</v>
      </c>
      <c r="AB75" s="250">
        <f t="shared" si="32"/>
        <v>21747.341071479226</v>
      </c>
      <c r="AC75" s="250">
        <f t="shared" si="32"/>
        <v>21747.341071479226</v>
      </c>
      <c r="AD75" s="267"/>
      <c r="AE75" s="267"/>
    </row>
    <row r="76" spans="1:33" s="20" customFormat="1" ht="15">
      <c r="A76" s="37" t="s">
        <v>252</v>
      </c>
      <c r="B76" s="251">
        <f>B55</f>
        <v>11700</v>
      </c>
      <c r="C76" s="249"/>
      <c r="D76" s="249"/>
      <c r="E76" s="249"/>
      <c r="F76" s="249"/>
      <c r="G76" s="252">
        <f t="shared" ref="G76:AC76" si="33">G73*$B$76</f>
        <v>0</v>
      </c>
      <c r="H76" s="252">
        <f t="shared" si="33"/>
        <v>585</v>
      </c>
      <c r="I76" s="252">
        <f t="shared" si="33"/>
        <v>585</v>
      </c>
      <c r="J76" s="252">
        <f t="shared" si="33"/>
        <v>585</v>
      </c>
      <c r="K76" s="252">
        <f t="shared" si="33"/>
        <v>585</v>
      </c>
      <c r="L76" s="252">
        <f t="shared" si="33"/>
        <v>585</v>
      </c>
      <c r="M76" s="252">
        <f t="shared" si="33"/>
        <v>585</v>
      </c>
      <c r="N76" s="252">
        <f t="shared" si="33"/>
        <v>585</v>
      </c>
      <c r="O76" s="252">
        <f t="shared" si="33"/>
        <v>585</v>
      </c>
      <c r="P76" s="252">
        <f t="shared" si="33"/>
        <v>585</v>
      </c>
      <c r="Q76" s="252">
        <f t="shared" si="33"/>
        <v>585</v>
      </c>
      <c r="R76" s="252">
        <f t="shared" si="33"/>
        <v>585</v>
      </c>
      <c r="S76" s="252">
        <f t="shared" si="33"/>
        <v>585</v>
      </c>
      <c r="T76" s="252">
        <f t="shared" si="33"/>
        <v>585</v>
      </c>
      <c r="U76" s="252">
        <f t="shared" si="33"/>
        <v>585</v>
      </c>
      <c r="V76" s="252">
        <f t="shared" si="33"/>
        <v>585</v>
      </c>
      <c r="W76" s="252">
        <f t="shared" si="33"/>
        <v>585</v>
      </c>
      <c r="X76" s="252">
        <f t="shared" si="33"/>
        <v>585</v>
      </c>
      <c r="Y76" s="252">
        <f t="shared" si="33"/>
        <v>585</v>
      </c>
      <c r="Z76" s="252">
        <f t="shared" si="33"/>
        <v>585</v>
      </c>
      <c r="AA76" s="252">
        <f t="shared" si="33"/>
        <v>585</v>
      </c>
      <c r="AB76" s="252">
        <f t="shared" si="33"/>
        <v>0</v>
      </c>
      <c r="AC76" s="252">
        <f t="shared" si="33"/>
        <v>0</v>
      </c>
      <c r="AD76" s="267"/>
      <c r="AE76" s="267"/>
    </row>
    <row r="77" spans="1:33" s="20" customFormat="1">
      <c r="A77" s="26" t="s">
        <v>254</v>
      </c>
      <c r="B77" s="250">
        <f>SUM(B75:B76)</f>
        <v>736611.36904930742</v>
      </c>
      <c r="C77" s="249"/>
      <c r="D77" s="249"/>
      <c r="E77" s="249"/>
      <c r="F77" s="249"/>
      <c r="G77" s="250">
        <f t="shared" ref="G77:AC77" si="34">SUM(G75:G76)</f>
        <v>0</v>
      </c>
      <c r="H77" s="250">
        <f t="shared" si="34"/>
        <v>12181.311883729682</v>
      </c>
      <c r="I77" s="250">
        <f t="shared" si="34"/>
        <v>22332.341071479226</v>
      </c>
      <c r="J77" s="250">
        <f t="shared" si="34"/>
        <v>22332.341071479226</v>
      </c>
      <c r="K77" s="250">
        <f t="shared" si="34"/>
        <v>22332.341071479226</v>
      </c>
      <c r="L77" s="250">
        <f t="shared" si="34"/>
        <v>22332.341071479226</v>
      </c>
      <c r="M77" s="250">
        <f t="shared" si="34"/>
        <v>22332.341071479226</v>
      </c>
      <c r="N77" s="250">
        <f t="shared" si="34"/>
        <v>22332.341071479226</v>
      </c>
      <c r="O77" s="250">
        <f t="shared" si="34"/>
        <v>22332.341071479226</v>
      </c>
      <c r="P77" s="250">
        <f t="shared" si="34"/>
        <v>22332.341071479226</v>
      </c>
      <c r="Q77" s="250">
        <f t="shared" si="34"/>
        <v>22332.341071479226</v>
      </c>
      <c r="R77" s="250">
        <f t="shared" si="34"/>
        <v>22332.341071479226</v>
      </c>
      <c r="S77" s="250">
        <f t="shared" si="34"/>
        <v>22332.341071479226</v>
      </c>
      <c r="T77" s="250">
        <f t="shared" si="34"/>
        <v>22332.341071479226</v>
      </c>
      <c r="U77" s="250">
        <f t="shared" si="34"/>
        <v>22332.341071479226</v>
      </c>
      <c r="V77" s="250">
        <f t="shared" si="34"/>
        <v>22332.341071479226</v>
      </c>
      <c r="W77" s="250">
        <f t="shared" si="34"/>
        <v>22332.341071479226</v>
      </c>
      <c r="X77" s="250">
        <f t="shared" si="34"/>
        <v>22332.341071479226</v>
      </c>
      <c r="Y77" s="250">
        <f t="shared" si="34"/>
        <v>22332.341071479226</v>
      </c>
      <c r="Z77" s="250">
        <f t="shared" si="34"/>
        <v>22332.341071479226</v>
      </c>
      <c r="AA77" s="250">
        <f t="shared" si="34"/>
        <v>22332.341071479226</v>
      </c>
      <c r="AB77" s="250">
        <f t="shared" si="34"/>
        <v>21747.341071479226</v>
      </c>
      <c r="AC77" s="250">
        <f t="shared" si="34"/>
        <v>21747.341071479226</v>
      </c>
      <c r="AD77" s="267"/>
      <c r="AE77" s="267"/>
    </row>
    <row r="78" spans="1:33" s="20" customFormat="1">
      <c r="A78" s="37"/>
      <c r="B78" s="250"/>
      <c r="C78" s="59"/>
      <c r="D78" s="59"/>
      <c r="E78" s="59"/>
      <c r="F78" s="59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67"/>
      <c r="AE78" s="267"/>
    </row>
    <row r="79" spans="1:33" s="20" customFormat="1">
      <c r="A79" s="26" t="s">
        <v>261</v>
      </c>
      <c r="B79" s="27"/>
      <c r="C79" s="59"/>
      <c r="D79" s="59"/>
      <c r="E79" s="59"/>
      <c r="F79" s="59"/>
      <c r="G79" s="250">
        <f>B77-G77</f>
        <v>736611.36904930742</v>
      </c>
      <c r="H79" s="250">
        <f>G79-H77</f>
        <v>724430.05716557777</v>
      </c>
      <c r="I79" s="250">
        <f t="shared" ref="I79:AB79" si="35">H79-I77</f>
        <v>702097.71609409852</v>
      </c>
      <c r="J79" s="250">
        <f t="shared" si="35"/>
        <v>679765.37502261926</v>
      </c>
      <c r="K79" s="250">
        <f t="shared" si="35"/>
        <v>657433.03395114001</v>
      </c>
      <c r="L79" s="250">
        <f t="shared" si="35"/>
        <v>635100.69287966075</v>
      </c>
      <c r="M79" s="250">
        <f t="shared" si="35"/>
        <v>612768.3518081815</v>
      </c>
      <c r="N79" s="250">
        <f t="shared" si="35"/>
        <v>590436.01073670224</v>
      </c>
      <c r="O79" s="250">
        <f t="shared" si="35"/>
        <v>568103.66966522299</v>
      </c>
      <c r="P79" s="250">
        <f t="shared" si="35"/>
        <v>545771.32859374373</v>
      </c>
      <c r="Q79" s="250">
        <f t="shared" si="35"/>
        <v>523438.98752226448</v>
      </c>
      <c r="R79" s="250">
        <f t="shared" si="35"/>
        <v>501106.64645078522</v>
      </c>
      <c r="S79" s="250">
        <f t="shared" si="35"/>
        <v>478774.30537930597</v>
      </c>
      <c r="T79" s="250">
        <f t="shared" si="35"/>
        <v>456441.96430782671</v>
      </c>
      <c r="U79" s="250">
        <f t="shared" si="35"/>
        <v>434109.62323634746</v>
      </c>
      <c r="V79" s="250">
        <f t="shared" si="35"/>
        <v>411777.2821648682</v>
      </c>
      <c r="W79" s="250">
        <f t="shared" si="35"/>
        <v>389444.94109338894</v>
      </c>
      <c r="X79" s="250">
        <f t="shared" si="35"/>
        <v>367112.60002190969</v>
      </c>
      <c r="Y79" s="250">
        <f t="shared" si="35"/>
        <v>344780.25895043043</v>
      </c>
      <c r="Z79" s="250">
        <f t="shared" si="35"/>
        <v>322447.91787895118</v>
      </c>
      <c r="AA79" s="250">
        <f t="shared" si="35"/>
        <v>300115.57680747192</v>
      </c>
      <c r="AB79" s="250">
        <f t="shared" si="35"/>
        <v>278368.23573599267</v>
      </c>
      <c r="AC79" s="250">
        <f>AB79-AC77</f>
        <v>256620.89466451344</v>
      </c>
      <c r="AD79" s="267"/>
      <c r="AE79" s="267"/>
    </row>
    <row r="80" spans="1:33">
      <c r="A80" s="26"/>
      <c r="AF80" s="20"/>
      <c r="AG80" s="20"/>
    </row>
    <row r="81" spans="1:1">
      <c r="A81" s="26"/>
    </row>
  </sheetData>
  <pageMargins left="0.2" right="0.2" top="0.37" bottom="0.4" header="0.17" footer="0.21"/>
  <pageSetup scale="46" fitToWidth="2" pageOrder="overThenDown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6"/>
  <sheetViews>
    <sheetView zoomScale="75" workbookViewId="0">
      <selection activeCell="I21" sqref="I21"/>
    </sheetView>
  </sheetViews>
  <sheetFormatPr defaultRowHeight="12.75"/>
  <cols>
    <col min="1" max="1" width="38.28515625" style="22" customWidth="1"/>
    <col min="2" max="2" width="9.140625" style="22"/>
    <col min="3" max="3" width="16.85546875" style="22" customWidth="1"/>
    <col min="4" max="4" width="17.5703125" style="22" customWidth="1"/>
    <col min="5" max="5" width="10.140625" style="22" customWidth="1"/>
    <col min="6" max="7" width="10.42578125" style="22" customWidth="1"/>
    <col min="8" max="11" width="10.140625" style="22" customWidth="1"/>
    <col min="12" max="25" width="10" style="22" customWidth="1"/>
    <col min="26" max="27" width="10" style="7" customWidth="1"/>
    <col min="28" max="16384" width="9.140625" style="7"/>
  </cols>
  <sheetData>
    <row r="2" spans="1:28" ht="18.75">
      <c r="A2" s="127" t="s">
        <v>262</v>
      </c>
      <c r="B2" s="686"/>
      <c r="C2" s="267"/>
      <c r="D2" s="267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42"/>
      <c r="AA2" s="242"/>
    </row>
    <row r="3" spans="1:28">
      <c r="A3" s="138"/>
      <c r="B3" s="267"/>
      <c r="C3" s="267"/>
      <c r="D3" s="268"/>
      <c r="E3" s="24"/>
      <c r="F3" s="24"/>
      <c r="G3" s="24"/>
      <c r="H3" s="24"/>
      <c r="I3" s="24"/>
      <c r="J3" s="24"/>
      <c r="K3" s="265"/>
      <c r="L3" s="24"/>
      <c r="M3" s="24"/>
      <c r="N3" s="24"/>
      <c r="O3" s="24"/>
      <c r="P3" s="24"/>
      <c r="Q3" s="265"/>
      <c r="R3" s="24"/>
      <c r="S3" s="24"/>
      <c r="T3" s="24"/>
      <c r="U3" s="24"/>
      <c r="V3" s="24"/>
      <c r="W3" s="265"/>
      <c r="X3" s="24"/>
      <c r="Y3" s="24"/>
      <c r="Z3" s="316"/>
      <c r="AA3" s="316"/>
    </row>
    <row r="4" spans="1:28">
      <c r="A4" s="492"/>
      <c r="B4" s="23"/>
      <c r="C4" s="494"/>
      <c r="D4" s="541">
        <v>1</v>
      </c>
      <c r="E4" s="541">
        <v>2</v>
      </c>
      <c r="F4" s="541">
        <v>3</v>
      </c>
      <c r="G4" s="541">
        <v>4</v>
      </c>
      <c r="H4" s="541">
        <v>5</v>
      </c>
      <c r="I4" s="542">
        <v>6</v>
      </c>
      <c r="J4" s="541">
        <v>7</v>
      </c>
      <c r="K4" s="541">
        <v>8</v>
      </c>
      <c r="L4" s="541">
        <v>9</v>
      </c>
      <c r="M4" s="541">
        <v>10</v>
      </c>
      <c r="N4" s="541">
        <v>11</v>
      </c>
      <c r="O4" s="542">
        <v>12</v>
      </c>
      <c r="P4" s="541">
        <v>13</v>
      </c>
      <c r="Q4" s="541">
        <v>14</v>
      </c>
      <c r="R4" s="541">
        <v>15</v>
      </c>
      <c r="S4" s="541">
        <v>16</v>
      </c>
      <c r="T4" s="541">
        <v>17</v>
      </c>
      <c r="U4" s="542">
        <v>18</v>
      </c>
      <c r="V4" s="541">
        <v>19</v>
      </c>
      <c r="W4" s="541">
        <v>20</v>
      </c>
      <c r="X4" s="541">
        <v>21</v>
      </c>
      <c r="Y4" s="541">
        <v>22</v>
      </c>
      <c r="Z4" s="317"/>
      <c r="AA4" s="316"/>
    </row>
    <row r="5" spans="1:28" ht="13.5" thickBot="1">
      <c r="A5" s="422" t="s">
        <v>164</v>
      </c>
      <c r="B5" s="557"/>
      <c r="C5" s="557"/>
      <c r="D5" s="9">
        <v>1999</v>
      </c>
      <c r="E5" s="9">
        <v>2000</v>
      </c>
      <c r="F5" s="9">
        <v>2001</v>
      </c>
      <c r="G5" s="9">
        <v>2002</v>
      </c>
      <c r="H5" s="9">
        <v>2003</v>
      </c>
      <c r="I5" s="9">
        <v>2004</v>
      </c>
      <c r="J5" s="9">
        <v>2005</v>
      </c>
      <c r="K5" s="9">
        <v>2006</v>
      </c>
      <c r="L5" s="9">
        <v>2007</v>
      </c>
      <c r="M5" s="9">
        <v>2008</v>
      </c>
      <c r="N5" s="9">
        <v>2009</v>
      </c>
      <c r="O5" s="9">
        <v>2010</v>
      </c>
      <c r="P5" s="9">
        <v>2011</v>
      </c>
      <c r="Q5" s="9">
        <v>2012</v>
      </c>
      <c r="R5" s="9">
        <v>2013</v>
      </c>
      <c r="S5" s="9">
        <v>2014</v>
      </c>
      <c r="T5" s="9">
        <v>2015</v>
      </c>
      <c r="U5" s="9">
        <v>2016</v>
      </c>
      <c r="V5" s="9">
        <v>2017</v>
      </c>
      <c r="W5" s="9">
        <v>2018</v>
      </c>
      <c r="X5" s="9">
        <v>2019</v>
      </c>
      <c r="Y5" s="9">
        <v>2020</v>
      </c>
    </row>
    <row r="6" spans="1:28">
      <c r="A6" s="492"/>
      <c r="B6" s="558"/>
      <c r="C6" s="558"/>
      <c r="D6" s="558"/>
      <c r="E6" s="558"/>
      <c r="F6" s="558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>
      <c r="A7" s="496" t="s">
        <v>263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67"/>
      <c r="AA7" s="267"/>
    </row>
    <row r="8" spans="1:28">
      <c r="A8" s="496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67"/>
      <c r="AA8" s="267"/>
    </row>
    <row r="9" spans="1:28">
      <c r="A9" s="496"/>
      <c r="B9" s="23"/>
      <c r="C9" s="23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15"/>
      <c r="AA9" s="315"/>
    </row>
    <row r="10" spans="1:28" ht="13.5">
      <c r="A10" s="38" t="s">
        <v>264</v>
      </c>
      <c r="B10" s="23"/>
      <c r="C10" s="23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15"/>
      <c r="AA10" s="315"/>
    </row>
    <row r="11" spans="1:28">
      <c r="A11" s="36" t="s">
        <v>265</v>
      </c>
      <c r="B11" s="500"/>
      <c r="C11" s="28"/>
      <c r="D11" s="32">
        <f>IS!D48</f>
        <v>0</v>
      </c>
      <c r="E11" s="32">
        <f ca="1">IS!E48</f>
        <v>11109.627216601621</v>
      </c>
      <c r="F11" s="32">
        <f>IS!F48</f>
        <v>17342.918472430378</v>
      </c>
      <c r="G11" s="32">
        <f>IS!G48</f>
        <v>19066.68478131578</v>
      </c>
      <c r="H11" s="32">
        <f>IS!H48</f>
        <v>87056.237322653644</v>
      </c>
      <c r="I11" s="32">
        <f>IS!I48</f>
        <v>90959.907773531377</v>
      </c>
      <c r="J11" s="32">
        <f>IS!J48</f>
        <v>96878.075711553058</v>
      </c>
      <c r="K11" s="32">
        <f>IS!K48</f>
        <v>100745.52554590537</v>
      </c>
      <c r="L11" s="32">
        <f>IS!L48</f>
        <v>108246.84256908017</v>
      </c>
      <c r="M11" s="32">
        <f>IS!M48</f>
        <v>113753.73215009007</v>
      </c>
      <c r="N11" s="32">
        <f>IS!N48</f>
        <v>122718.97417782195</v>
      </c>
      <c r="O11" s="32">
        <f>IS!O48</f>
        <v>127295.49230770067</v>
      </c>
      <c r="P11" s="32">
        <f>IS!P48</f>
        <v>135700.08354142803</v>
      </c>
      <c r="Q11" s="32">
        <f>IS!Q48</f>
        <v>141809.12655142488</v>
      </c>
      <c r="R11" s="32">
        <f>IS!R48</f>
        <v>147465.56930026348</v>
      </c>
      <c r="S11" s="32">
        <f>IS!S48</f>
        <v>153720.01912669299</v>
      </c>
      <c r="T11" s="32">
        <f>IS!T48</f>
        <v>160644.42258736712</v>
      </c>
      <c r="U11" s="32">
        <f>IS!U48</f>
        <v>167776.57478395547</v>
      </c>
      <c r="V11" s="32">
        <f>IS!V48</f>
        <v>174828.61429195822</v>
      </c>
      <c r="W11" s="32">
        <f>IS!W48</f>
        <v>181166.90385099588</v>
      </c>
      <c r="X11" s="32">
        <f>IS!X48</f>
        <v>184537.43017847801</v>
      </c>
      <c r="Y11" s="32">
        <f>IS!Y48</f>
        <v>189744.99933308075</v>
      </c>
      <c r="Z11" s="318"/>
      <c r="AA11" s="318"/>
    </row>
    <row r="12" spans="1:28">
      <c r="A12" s="36" t="s">
        <v>266</v>
      </c>
      <c r="B12" s="23"/>
      <c r="C12" s="30"/>
      <c r="D12" s="32">
        <f>IS!D40</f>
        <v>0</v>
      </c>
      <c r="E12" s="32">
        <f>IS!E40</f>
        <v>27106.698463729685</v>
      </c>
      <c r="F12" s="32">
        <f>IS!F40</f>
        <v>37257.727651479225</v>
      </c>
      <c r="G12" s="32">
        <f>IS!G40</f>
        <v>37257.727651479225</v>
      </c>
      <c r="H12" s="32">
        <f>IS!H40</f>
        <v>37257.727651479225</v>
      </c>
      <c r="I12" s="32">
        <f>IS!I40</f>
        <v>37257.727651479225</v>
      </c>
      <c r="J12" s="32">
        <f>IS!J40</f>
        <v>37257.727651479225</v>
      </c>
      <c r="K12" s="32">
        <f>IS!K40</f>
        <v>37257.727651479225</v>
      </c>
      <c r="L12" s="32">
        <f>IS!L40</f>
        <v>37257.727651479225</v>
      </c>
      <c r="M12" s="32">
        <f>IS!M40</f>
        <v>37257.727651479225</v>
      </c>
      <c r="N12" s="32">
        <f>IS!N40</f>
        <v>37257.727651479225</v>
      </c>
      <c r="O12" s="32">
        <f>IS!O40</f>
        <v>37257.727651479225</v>
      </c>
      <c r="P12" s="32">
        <f>IS!P40</f>
        <v>37257.727651479225</v>
      </c>
      <c r="Q12" s="32">
        <f>IS!Q40</f>
        <v>37257.727651479225</v>
      </c>
      <c r="R12" s="32">
        <f>IS!R40</f>
        <v>37257.727651479225</v>
      </c>
      <c r="S12" s="32">
        <f>IS!S40</f>
        <v>37257.727651479225</v>
      </c>
      <c r="T12" s="32">
        <f>IS!T40</f>
        <v>37257.727651479225</v>
      </c>
      <c r="U12" s="32">
        <f>IS!U40</f>
        <v>37257.727651479225</v>
      </c>
      <c r="V12" s="32">
        <f>IS!V40</f>
        <v>37257.727651479225</v>
      </c>
      <c r="W12" s="32">
        <f>IS!W40</f>
        <v>37257.727651479225</v>
      </c>
      <c r="X12" s="32">
        <f>IS!X40</f>
        <v>37257.727651479225</v>
      </c>
      <c r="Y12" s="32">
        <f>IS!Y40</f>
        <v>36282.727651479225</v>
      </c>
      <c r="Z12" s="318"/>
      <c r="AA12" s="318"/>
    </row>
    <row r="13" spans="1:28" ht="15">
      <c r="A13" s="36" t="s">
        <v>267</v>
      </c>
      <c r="B13" s="23"/>
      <c r="C13" s="23"/>
      <c r="D13" s="501">
        <f>-Depreciation!G32-Depreciation!G67</f>
        <v>0</v>
      </c>
      <c r="E13" s="501">
        <f>-Depreciation!H32-Depreciation!H67</f>
        <v>-61446.21275246537</v>
      </c>
      <c r="F13" s="501">
        <f>-Depreciation!I32-Depreciation!I67</f>
        <v>-115870.3042296842</v>
      </c>
      <c r="G13" s="501">
        <f>-Depreciation!J32-Depreciation!J67</f>
        <v>-104380.77380671579</v>
      </c>
      <c r="H13" s="501">
        <f>-Depreciation!K32-Depreciation!K67</f>
        <v>-94100.667638796673</v>
      </c>
      <c r="I13" s="501">
        <f>-Depreciation!L32-Depreciation!L67</f>
        <v>-84788.100874917</v>
      </c>
      <c r="J13" s="501">
        <f>-Depreciation!M32-Depreciation!M67</f>
        <v>-76322.131089571863</v>
      </c>
      <c r="K13" s="501">
        <f>-Depreciation!N32-Depreciation!N67</f>
        <v>-72331.031047909142</v>
      </c>
      <c r="L13" s="501">
        <f>-Depreciation!O32-Depreciation!O67</f>
        <v>-72451.97347341408</v>
      </c>
      <c r="M13" s="501">
        <f>-Depreciation!P32-Depreciation!P67</f>
        <v>-72331.031047909142</v>
      </c>
      <c r="N13" s="501">
        <f>-Depreciation!Q32-Depreciation!Q67</f>
        <v>-72451.97347341408</v>
      </c>
      <c r="O13" s="501">
        <f>-Depreciation!R32-Depreciation!R67</f>
        <v>-72331.031047909142</v>
      </c>
      <c r="P13" s="501">
        <f>-Depreciation!S32-Depreciation!S67</f>
        <v>-72451.97347341408</v>
      </c>
      <c r="Q13" s="501">
        <f>-Depreciation!T32-Depreciation!T67</f>
        <v>-72331.031047909142</v>
      </c>
      <c r="R13" s="501">
        <f>-Depreciation!U32-Depreciation!U67</f>
        <v>-72451.97347341408</v>
      </c>
      <c r="S13" s="501">
        <f>-Depreciation!V32-Depreciation!V67</f>
        <v>-72331.031047909142</v>
      </c>
      <c r="T13" s="501">
        <f>-Depreciation!W32-Depreciation!W67</f>
        <v>-36653.015523954571</v>
      </c>
      <c r="U13" s="501">
        <f>-Depreciation!X32-Depreciation!X67</f>
        <v>-975</v>
      </c>
      <c r="V13" s="501">
        <f>-Depreciation!Y32-Depreciation!Y67</f>
        <v>-975</v>
      </c>
      <c r="W13" s="501">
        <f>-Depreciation!Z32-Depreciation!Z67</f>
        <v>-975</v>
      </c>
      <c r="X13" s="501">
        <f>-Depreciation!AA32-Depreciation!AA67</f>
        <v>-975</v>
      </c>
      <c r="Y13" s="501">
        <f>-Depreciation!AB32-Depreciation!AB67</f>
        <v>0</v>
      </c>
      <c r="Z13" s="321"/>
      <c r="AA13" s="321"/>
    </row>
    <row r="14" spans="1:28">
      <c r="A14" s="499" t="s">
        <v>268</v>
      </c>
      <c r="B14" s="23"/>
      <c r="C14" s="23"/>
      <c r="D14" s="39">
        <f>SUM(D11:D13)</f>
        <v>0</v>
      </c>
      <c r="E14" s="39">
        <f t="shared" ref="E14:Y14" ca="1" si="0">SUM(E11:E13)</f>
        <v>-23229.887072134065</v>
      </c>
      <c r="F14" s="39">
        <f t="shared" si="0"/>
        <v>-61269.658105774601</v>
      </c>
      <c r="G14" s="39">
        <f t="shared" si="0"/>
        <v>-48056.361373920787</v>
      </c>
      <c r="H14" s="39">
        <f t="shared" si="0"/>
        <v>30213.297335336189</v>
      </c>
      <c r="I14" s="39">
        <f t="shared" si="0"/>
        <v>43429.534550093609</v>
      </c>
      <c r="J14" s="39">
        <f t="shared" si="0"/>
        <v>57813.672273460426</v>
      </c>
      <c r="K14" s="39">
        <f t="shared" si="0"/>
        <v>65672.222149475449</v>
      </c>
      <c r="L14" s="39">
        <f t="shared" si="0"/>
        <v>73052.596747145319</v>
      </c>
      <c r="M14" s="39">
        <f t="shared" si="0"/>
        <v>78680.428753660148</v>
      </c>
      <c r="N14" s="39">
        <f t="shared" si="0"/>
        <v>87524.728355887084</v>
      </c>
      <c r="O14" s="39">
        <f t="shared" si="0"/>
        <v>92222.188911270758</v>
      </c>
      <c r="P14" s="39">
        <f t="shared" si="0"/>
        <v>100505.83771949317</v>
      </c>
      <c r="Q14" s="39">
        <f t="shared" si="0"/>
        <v>106735.82315499496</v>
      </c>
      <c r="R14" s="39">
        <f t="shared" si="0"/>
        <v>112271.32347832862</v>
      </c>
      <c r="S14" s="39">
        <f t="shared" si="0"/>
        <v>118646.71573026307</v>
      </c>
      <c r="T14" s="39">
        <f t="shared" si="0"/>
        <v>161249.13471489178</v>
      </c>
      <c r="U14" s="39">
        <f t="shared" si="0"/>
        <v>204059.30243543469</v>
      </c>
      <c r="V14" s="39">
        <f t="shared" si="0"/>
        <v>211111.34194343744</v>
      </c>
      <c r="W14" s="39">
        <f t="shared" si="0"/>
        <v>217449.63150247509</v>
      </c>
      <c r="X14" s="39">
        <f t="shared" si="0"/>
        <v>220820.15782995723</v>
      </c>
      <c r="Y14" s="39">
        <f t="shared" si="0"/>
        <v>226027.72698455997</v>
      </c>
      <c r="Z14" s="315"/>
      <c r="AA14" s="315"/>
    </row>
    <row r="15" spans="1:28">
      <c r="A15" s="36"/>
      <c r="B15" s="23"/>
      <c r="C15" s="23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15"/>
      <c r="AA15" s="315"/>
    </row>
    <row r="16" spans="1:28">
      <c r="A16" s="36" t="s">
        <v>268</v>
      </c>
      <c r="B16" s="23"/>
      <c r="C16" s="34"/>
      <c r="D16" s="32">
        <f>D14</f>
        <v>0</v>
      </c>
      <c r="E16" s="32">
        <f t="shared" ref="E16:X16" ca="1" si="1">E14</f>
        <v>-23229.887072134065</v>
      </c>
      <c r="F16" s="32">
        <f t="shared" si="1"/>
        <v>-61269.658105774601</v>
      </c>
      <c r="G16" s="32">
        <f t="shared" si="1"/>
        <v>-48056.361373920787</v>
      </c>
      <c r="H16" s="32">
        <f t="shared" si="1"/>
        <v>30213.297335336189</v>
      </c>
      <c r="I16" s="32">
        <f t="shared" si="1"/>
        <v>43429.534550093609</v>
      </c>
      <c r="J16" s="32">
        <f t="shared" si="1"/>
        <v>57813.672273460426</v>
      </c>
      <c r="K16" s="32">
        <f t="shared" si="1"/>
        <v>65672.222149475449</v>
      </c>
      <c r="L16" s="32">
        <f t="shared" si="1"/>
        <v>73052.596747145319</v>
      </c>
      <c r="M16" s="32">
        <f t="shared" si="1"/>
        <v>78680.428753660148</v>
      </c>
      <c r="N16" s="32">
        <f t="shared" si="1"/>
        <v>87524.728355887084</v>
      </c>
      <c r="O16" s="32">
        <f t="shared" si="1"/>
        <v>92222.188911270758</v>
      </c>
      <c r="P16" s="32">
        <f t="shared" si="1"/>
        <v>100505.83771949317</v>
      </c>
      <c r="Q16" s="32">
        <f t="shared" si="1"/>
        <v>106735.82315499496</v>
      </c>
      <c r="R16" s="32">
        <f t="shared" si="1"/>
        <v>112271.32347832862</v>
      </c>
      <c r="S16" s="32">
        <f t="shared" si="1"/>
        <v>118646.71573026307</v>
      </c>
      <c r="T16" s="32">
        <f t="shared" si="1"/>
        <v>161249.13471489178</v>
      </c>
      <c r="U16" s="32">
        <f t="shared" si="1"/>
        <v>204059.30243543469</v>
      </c>
      <c r="V16" s="32">
        <f t="shared" si="1"/>
        <v>211111.34194343744</v>
      </c>
      <c r="W16" s="32">
        <f t="shared" si="1"/>
        <v>217449.63150247509</v>
      </c>
      <c r="X16" s="32">
        <f t="shared" si="1"/>
        <v>220820.15782995723</v>
      </c>
      <c r="Y16" s="32">
        <f>Y14</f>
        <v>226027.72698455997</v>
      </c>
      <c r="Z16" s="318"/>
      <c r="AA16" s="318"/>
    </row>
    <row r="17" spans="1:27">
      <c r="A17" s="36" t="s">
        <v>269</v>
      </c>
      <c r="B17" s="23"/>
      <c r="C17" s="23"/>
      <c r="D17" s="502">
        <f>Allocation!$C$17</f>
        <v>6.0994561526546531E-2</v>
      </c>
      <c r="E17" s="502">
        <f>Allocation!$C$17</f>
        <v>6.0994561526546531E-2</v>
      </c>
      <c r="F17" s="502">
        <f>Allocation!$C$17</f>
        <v>6.0994561526546531E-2</v>
      </c>
      <c r="G17" s="502">
        <f>Allocation!$C$17</f>
        <v>6.0994561526546531E-2</v>
      </c>
      <c r="H17" s="502">
        <f>Allocation!$C$17</f>
        <v>6.0994561526546531E-2</v>
      </c>
      <c r="I17" s="502">
        <f>Allocation!$C$17</f>
        <v>6.0994561526546531E-2</v>
      </c>
      <c r="J17" s="502">
        <f>Allocation!$C$17</f>
        <v>6.0994561526546531E-2</v>
      </c>
      <c r="K17" s="502">
        <f>Allocation!$C$17</f>
        <v>6.0994561526546531E-2</v>
      </c>
      <c r="L17" s="502">
        <f>Allocation!$C$17</f>
        <v>6.0994561526546531E-2</v>
      </c>
      <c r="M17" s="502">
        <f>Allocation!$C$17</f>
        <v>6.0994561526546531E-2</v>
      </c>
      <c r="N17" s="502">
        <f>Allocation!$C$17</f>
        <v>6.0994561526546531E-2</v>
      </c>
      <c r="O17" s="502">
        <f>Allocation!$C$17</f>
        <v>6.0994561526546531E-2</v>
      </c>
      <c r="P17" s="502">
        <f>Allocation!$C$17</f>
        <v>6.0994561526546531E-2</v>
      </c>
      <c r="Q17" s="502">
        <f>Allocation!$C$17</f>
        <v>6.0994561526546531E-2</v>
      </c>
      <c r="R17" s="502">
        <f>Allocation!$C$17</f>
        <v>6.0994561526546531E-2</v>
      </c>
      <c r="S17" s="502">
        <f>Allocation!$C$17</f>
        <v>6.0994561526546531E-2</v>
      </c>
      <c r="T17" s="502">
        <f>Allocation!$C$17</f>
        <v>6.0994561526546531E-2</v>
      </c>
      <c r="U17" s="502">
        <f>Allocation!$C$17</f>
        <v>6.0994561526546531E-2</v>
      </c>
      <c r="V17" s="502">
        <f>Allocation!$C$17</f>
        <v>6.0994561526546531E-2</v>
      </c>
      <c r="W17" s="502">
        <f>Allocation!$C$17</f>
        <v>6.0994561526546531E-2</v>
      </c>
      <c r="X17" s="502">
        <f>Allocation!$C$17</f>
        <v>6.0994561526546531E-2</v>
      </c>
      <c r="Y17" s="502">
        <f>Allocation!$C$17</f>
        <v>6.0994561526546531E-2</v>
      </c>
      <c r="Z17" s="322"/>
      <c r="AA17" s="322"/>
    </row>
    <row r="18" spans="1:27">
      <c r="A18" s="36" t="s">
        <v>270</v>
      </c>
      <c r="B18" s="500"/>
      <c r="C18" s="28"/>
      <c r="D18" s="32">
        <f>D16*D17</f>
        <v>0</v>
      </c>
      <c r="E18" s="32">
        <f t="shared" ref="E18:Y18" ca="1" si="2">E16*E17</f>
        <v>-1416.8967762760089</v>
      </c>
      <c r="F18" s="32">
        <f t="shared" si="2"/>
        <v>-3737.1159310431394</v>
      </c>
      <c r="G18" s="32">
        <f t="shared" si="2"/>
        <v>-2931.1766905635654</v>
      </c>
      <c r="H18" s="32">
        <f t="shared" si="2"/>
        <v>1842.8468232400076</v>
      </c>
      <c r="I18" s="32">
        <f t="shared" si="2"/>
        <v>2648.9654171849629</v>
      </c>
      <c r="J18" s="32">
        <f t="shared" si="2"/>
        <v>3526.3195905591792</v>
      </c>
      <c r="K18" s="32">
        <f t="shared" si="2"/>
        <v>4005.6483944812121</v>
      </c>
      <c r="L18" s="32">
        <f t="shared" si="2"/>
        <v>4455.8111069677479</v>
      </c>
      <c r="M18" s="32">
        <f t="shared" si="2"/>
        <v>4799.0782525501845</v>
      </c>
      <c r="N18" s="32">
        <f t="shared" si="2"/>
        <v>5338.5324287974263</v>
      </c>
      <c r="O18" s="32">
        <f t="shared" si="2"/>
        <v>5625.0519756613012</v>
      </c>
      <c r="P18" s="32">
        <f t="shared" si="2"/>
        <v>6130.3095025587272</v>
      </c>
      <c r="Q18" s="32">
        <f t="shared" si="2"/>
        <v>6510.3047325139296</v>
      </c>
      <c r="R18" s="32">
        <f t="shared" si="2"/>
        <v>6847.9401475657232</v>
      </c>
      <c r="S18" s="32">
        <f t="shared" si="2"/>
        <v>7236.804402532207</v>
      </c>
      <c r="T18" s="32">
        <f t="shared" si="2"/>
        <v>9835.3202684698572</v>
      </c>
      <c r="U18" s="32">
        <f t="shared" si="2"/>
        <v>12446.507677462287</v>
      </c>
      <c r="V18" s="32">
        <f t="shared" si="2"/>
        <v>12876.643735120799</v>
      </c>
      <c r="W18" s="32">
        <f t="shared" si="2"/>
        <v>13263.244927602587</v>
      </c>
      <c r="X18" s="32">
        <f t="shared" si="2"/>
        <v>13468.828703061043</v>
      </c>
      <c r="Y18" s="32">
        <f t="shared" si="2"/>
        <v>13786.462100265204</v>
      </c>
      <c r="Z18" s="318"/>
      <c r="AA18" s="318"/>
    </row>
    <row r="19" spans="1:27">
      <c r="A19" s="36"/>
      <c r="B19" s="23"/>
      <c r="C19" s="23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15"/>
      <c r="AA19" s="315"/>
    </row>
    <row r="20" spans="1:27">
      <c r="A20" s="36" t="s">
        <v>271</v>
      </c>
      <c r="B20" s="500"/>
      <c r="C20" s="28"/>
      <c r="D20" s="32">
        <f>C24</f>
        <v>0</v>
      </c>
      <c r="E20" s="32">
        <f>D24</f>
        <v>0</v>
      </c>
      <c r="F20" s="32">
        <f t="shared" ref="F20:Y20" ca="1" si="3">E24</f>
        <v>1416.8967762760089</v>
      </c>
      <c r="G20" s="32">
        <f t="shared" ca="1" si="3"/>
        <v>5154.0127073191488</v>
      </c>
      <c r="H20" s="32">
        <f t="shared" ca="1" si="3"/>
        <v>8085.1893978827138</v>
      </c>
      <c r="I20" s="32">
        <f t="shared" ca="1" si="3"/>
        <v>6242.3425746427065</v>
      </c>
      <c r="J20" s="32">
        <f t="shared" ca="1" si="3"/>
        <v>3593.3771574577436</v>
      </c>
      <c r="K20" s="32">
        <f t="shared" ca="1" si="3"/>
        <v>67.057566898564346</v>
      </c>
      <c r="L20" s="32">
        <f t="shared" ca="1" si="3"/>
        <v>0</v>
      </c>
      <c r="M20" s="32">
        <f t="shared" ca="1" si="3"/>
        <v>0</v>
      </c>
      <c r="N20" s="32">
        <f t="shared" ca="1" si="3"/>
        <v>0</v>
      </c>
      <c r="O20" s="32">
        <f t="shared" ca="1" si="3"/>
        <v>0</v>
      </c>
      <c r="P20" s="32">
        <f t="shared" ca="1" si="3"/>
        <v>0</v>
      </c>
      <c r="Q20" s="32">
        <f t="shared" ca="1" si="3"/>
        <v>0</v>
      </c>
      <c r="R20" s="32">
        <f ca="1">Q24</f>
        <v>0</v>
      </c>
      <c r="S20" s="32">
        <f t="shared" ca="1" si="3"/>
        <v>0</v>
      </c>
      <c r="T20" s="32">
        <f t="shared" ca="1" si="3"/>
        <v>0</v>
      </c>
      <c r="U20" s="32">
        <f t="shared" ca="1" si="3"/>
        <v>0</v>
      </c>
      <c r="V20" s="32">
        <v>0</v>
      </c>
      <c r="W20" s="32">
        <f t="shared" si="3"/>
        <v>0</v>
      </c>
      <c r="X20" s="32">
        <f t="shared" si="3"/>
        <v>0</v>
      </c>
      <c r="Y20" s="32">
        <f t="shared" ca="1" si="3"/>
        <v>0</v>
      </c>
      <c r="Z20" s="318"/>
      <c r="AA20" s="318"/>
    </row>
    <row r="21" spans="1:27">
      <c r="A21" s="36" t="s">
        <v>272</v>
      </c>
      <c r="B21" s="500"/>
      <c r="C21" s="28"/>
      <c r="D21" s="531">
        <f t="shared" ref="D21:X21" si="4">IF(D2&gt;2020,0,IF(D18&lt;0,-D18,0))</f>
        <v>0</v>
      </c>
      <c r="E21" s="531">
        <f t="shared" ca="1" si="4"/>
        <v>1416.8967762760089</v>
      </c>
      <c r="F21" s="531">
        <f t="shared" si="4"/>
        <v>3737.1159310431394</v>
      </c>
      <c r="G21" s="531">
        <f t="shared" si="4"/>
        <v>2931.1766905635654</v>
      </c>
      <c r="H21" s="531">
        <f t="shared" si="4"/>
        <v>0</v>
      </c>
      <c r="I21" s="531">
        <f t="shared" si="4"/>
        <v>0</v>
      </c>
      <c r="J21" s="531">
        <f t="shared" si="4"/>
        <v>0</v>
      </c>
      <c r="K21" s="531">
        <f t="shared" si="4"/>
        <v>0</v>
      </c>
      <c r="L21" s="531">
        <f t="shared" si="4"/>
        <v>0</v>
      </c>
      <c r="M21" s="531">
        <f t="shared" si="4"/>
        <v>0</v>
      </c>
      <c r="N21" s="531">
        <f t="shared" si="4"/>
        <v>0</v>
      </c>
      <c r="O21" s="531">
        <f t="shared" si="4"/>
        <v>0</v>
      </c>
      <c r="P21" s="531">
        <f t="shared" si="4"/>
        <v>0</v>
      </c>
      <c r="Q21" s="531">
        <f t="shared" si="4"/>
        <v>0</v>
      </c>
      <c r="R21" s="531">
        <f t="shared" si="4"/>
        <v>0</v>
      </c>
      <c r="S21" s="531">
        <f t="shared" si="4"/>
        <v>0</v>
      </c>
      <c r="T21" s="531">
        <f t="shared" si="4"/>
        <v>0</v>
      </c>
      <c r="U21" s="531">
        <f t="shared" si="4"/>
        <v>0</v>
      </c>
      <c r="V21" s="531">
        <f t="shared" si="4"/>
        <v>0</v>
      </c>
      <c r="W21" s="531">
        <f t="shared" si="4"/>
        <v>0</v>
      </c>
      <c r="X21" s="531">
        <f t="shared" si="4"/>
        <v>0</v>
      </c>
      <c r="Y21" s="531">
        <f>IF(Y2&gt;2020,0,IF(Y18&lt;0,-Y18,0))</f>
        <v>0</v>
      </c>
      <c r="Z21" s="318"/>
      <c r="AA21" s="318"/>
    </row>
    <row r="22" spans="1:27">
      <c r="A22" s="36" t="s">
        <v>273</v>
      </c>
      <c r="B22" s="500"/>
      <c r="C22" s="503"/>
      <c r="D22" s="504">
        <v>0</v>
      </c>
      <c r="E22" s="504">
        <v>0</v>
      </c>
      <c r="F22" s="504">
        <v>0</v>
      </c>
      <c r="G22" s="504">
        <v>0</v>
      </c>
      <c r="H22" s="504">
        <v>0</v>
      </c>
      <c r="I22" s="504">
        <v>0</v>
      </c>
      <c r="J22" s="504">
        <v>0</v>
      </c>
      <c r="K22" s="504">
        <v>0</v>
      </c>
      <c r="L22" s="504">
        <v>0</v>
      </c>
      <c r="M22" s="504">
        <v>0</v>
      </c>
      <c r="N22" s="504">
        <v>0</v>
      </c>
      <c r="O22" s="504">
        <v>0</v>
      </c>
      <c r="P22" s="504">
        <v>0</v>
      </c>
      <c r="Q22" s="504">
        <v>0</v>
      </c>
      <c r="R22" s="504">
        <v>0</v>
      </c>
      <c r="S22" s="504">
        <v>0</v>
      </c>
      <c r="T22" s="504">
        <v>0</v>
      </c>
      <c r="U22" s="504">
        <v>0</v>
      </c>
      <c r="V22" s="504">
        <v>0</v>
      </c>
      <c r="W22" s="504">
        <v>0</v>
      </c>
      <c r="X22" s="32">
        <f ca="1">IF(P21&gt;(SUM(Q23:W23)+SUM(P22:W22))*-1,P21-(SUM(P23:W23)+SUM(P22:W22))*-1,0)</f>
        <v>0</v>
      </c>
      <c r="Y22" s="32">
        <f ca="1">IF(Q21&gt;(SUM(R23:X23)+SUM(Q22:X22))*-1,Q21-(SUM(Q23:X23)+SUM(Q22:X22))*-1,0)</f>
        <v>0</v>
      </c>
      <c r="Z22" s="318"/>
      <c r="AA22" s="318"/>
    </row>
    <row r="23" spans="1:27">
      <c r="A23" s="23" t="s">
        <v>274</v>
      </c>
      <c r="B23" s="495"/>
      <c r="C23" s="23"/>
      <c r="D23" s="505">
        <f>IF(D18&lt;0,0,IF(D20&gt;D18,-D18,-D20))</f>
        <v>0</v>
      </c>
      <c r="E23" s="505">
        <f t="shared" ref="E23:X23" ca="1" si="5">IF(E18&lt;0,0,IF(E20&gt;E18,-E18,-E20))</f>
        <v>0</v>
      </c>
      <c r="F23" s="505">
        <f t="shared" si="5"/>
        <v>0</v>
      </c>
      <c r="G23" s="505">
        <f t="shared" si="5"/>
        <v>0</v>
      </c>
      <c r="H23" s="505">
        <f t="shared" ca="1" si="5"/>
        <v>-1842.8468232400076</v>
      </c>
      <c r="I23" s="505">
        <f t="shared" ca="1" si="5"/>
        <v>-2648.9654171849629</v>
      </c>
      <c r="J23" s="505">
        <f t="shared" ca="1" si="5"/>
        <v>-3526.3195905591792</v>
      </c>
      <c r="K23" s="505">
        <f t="shared" ca="1" si="5"/>
        <v>-67.057566898564346</v>
      </c>
      <c r="L23" s="505">
        <f t="shared" ca="1" si="5"/>
        <v>0</v>
      </c>
      <c r="M23" s="505">
        <f t="shared" ca="1" si="5"/>
        <v>0</v>
      </c>
      <c r="N23" s="505">
        <f t="shared" ca="1" si="5"/>
        <v>0</v>
      </c>
      <c r="O23" s="505">
        <f t="shared" ca="1" si="5"/>
        <v>0</v>
      </c>
      <c r="P23" s="505">
        <f t="shared" ca="1" si="5"/>
        <v>0</v>
      </c>
      <c r="Q23" s="505">
        <f t="shared" ca="1" si="5"/>
        <v>0</v>
      </c>
      <c r="R23" s="505">
        <f t="shared" ca="1" si="5"/>
        <v>0</v>
      </c>
      <c r="S23" s="505">
        <f t="shared" ca="1" si="5"/>
        <v>0</v>
      </c>
      <c r="T23" s="505">
        <f t="shared" ca="1" si="5"/>
        <v>0</v>
      </c>
      <c r="U23" s="505">
        <f t="shared" ca="1" si="5"/>
        <v>0</v>
      </c>
      <c r="V23" s="505">
        <f t="shared" si="5"/>
        <v>0</v>
      </c>
      <c r="W23" s="505">
        <f t="shared" si="5"/>
        <v>0</v>
      </c>
      <c r="X23" s="505">
        <f t="shared" si="5"/>
        <v>0</v>
      </c>
      <c r="Y23" s="505">
        <f ca="1">IF(Y18&lt;0,0,IF(Y20&gt;Y18,-Y18,-Y20))</f>
        <v>0</v>
      </c>
      <c r="Z23" s="323"/>
      <c r="AA23" s="323"/>
    </row>
    <row r="24" spans="1:27">
      <c r="A24" s="23" t="s">
        <v>275</v>
      </c>
      <c r="B24" s="495"/>
      <c r="C24" s="23"/>
      <c r="D24" s="505">
        <f t="shared" ref="D24:Y24" si="6">SUM(D20:D23)</f>
        <v>0</v>
      </c>
      <c r="E24" s="505">
        <f t="shared" ca="1" si="6"/>
        <v>1416.8967762760089</v>
      </c>
      <c r="F24" s="505">
        <f t="shared" ca="1" si="6"/>
        <v>5154.0127073191488</v>
      </c>
      <c r="G24" s="505">
        <f t="shared" ca="1" si="6"/>
        <v>8085.1893978827138</v>
      </c>
      <c r="H24" s="505">
        <f t="shared" ca="1" si="6"/>
        <v>6242.3425746427065</v>
      </c>
      <c r="I24" s="505">
        <f t="shared" ca="1" si="6"/>
        <v>3593.3771574577436</v>
      </c>
      <c r="J24" s="505">
        <f t="shared" ca="1" si="6"/>
        <v>67.057566898564346</v>
      </c>
      <c r="K24" s="505">
        <f t="shared" ca="1" si="6"/>
        <v>0</v>
      </c>
      <c r="L24" s="505">
        <f t="shared" ca="1" si="6"/>
        <v>0</v>
      </c>
      <c r="M24" s="505">
        <f t="shared" ca="1" si="6"/>
        <v>0</v>
      </c>
      <c r="N24" s="505">
        <f t="shared" ca="1" si="6"/>
        <v>0</v>
      </c>
      <c r="O24" s="505">
        <f t="shared" ca="1" si="6"/>
        <v>0</v>
      </c>
      <c r="P24" s="505">
        <f t="shared" ca="1" si="6"/>
        <v>0</v>
      </c>
      <c r="Q24" s="505">
        <f t="shared" ca="1" si="6"/>
        <v>0</v>
      </c>
      <c r="R24" s="505">
        <f t="shared" ca="1" si="6"/>
        <v>0</v>
      </c>
      <c r="S24" s="505">
        <f t="shared" ca="1" si="6"/>
        <v>0</v>
      </c>
      <c r="T24" s="505">
        <f t="shared" ca="1" si="6"/>
        <v>0</v>
      </c>
      <c r="U24" s="505">
        <f t="shared" ca="1" si="6"/>
        <v>0</v>
      </c>
      <c r="V24" s="505">
        <f t="shared" si="6"/>
        <v>0</v>
      </c>
      <c r="W24" s="505">
        <f t="shared" si="6"/>
        <v>0</v>
      </c>
      <c r="X24" s="505">
        <f t="shared" ca="1" si="6"/>
        <v>0</v>
      </c>
      <c r="Y24" s="505">
        <f t="shared" ca="1" si="6"/>
        <v>0</v>
      </c>
      <c r="Z24" s="323"/>
      <c r="AA24" s="323"/>
    </row>
    <row r="25" spans="1:27">
      <c r="A25" s="23"/>
      <c r="B25" s="23"/>
      <c r="C25" s="23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15"/>
      <c r="AA25" s="315"/>
    </row>
    <row r="26" spans="1:27">
      <c r="A26" s="73" t="s">
        <v>276</v>
      </c>
      <c r="B26" s="23"/>
      <c r="C26" s="23"/>
      <c r="D26" s="39">
        <f>IF(D18&lt;0,0,D18+D23)</f>
        <v>0</v>
      </c>
      <c r="E26" s="39">
        <f t="shared" ref="E26:X26" ca="1" si="7">IF(E18&lt;0,0,E18+E23)</f>
        <v>0</v>
      </c>
      <c r="F26" s="39">
        <f t="shared" si="7"/>
        <v>0</v>
      </c>
      <c r="G26" s="39">
        <f t="shared" si="7"/>
        <v>0</v>
      </c>
      <c r="H26" s="39">
        <f t="shared" ca="1" si="7"/>
        <v>0</v>
      </c>
      <c r="I26" s="39">
        <f t="shared" ca="1" si="7"/>
        <v>0</v>
      </c>
      <c r="J26" s="39">
        <f t="shared" ca="1" si="7"/>
        <v>0</v>
      </c>
      <c r="K26" s="39">
        <f t="shared" ca="1" si="7"/>
        <v>3938.5908275826478</v>
      </c>
      <c r="L26" s="39">
        <f t="shared" ca="1" si="7"/>
        <v>4455.8111069677479</v>
      </c>
      <c r="M26" s="39">
        <f t="shared" ca="1" si="7"/>
        <v>4799.0782525501845</v>
      </c>
      <c r="N26" s="39">
        <f t="shared" ca="1" si="7"/>
        <v>5338.5324287974263</v>
      </c>
      <c r="O26" s="39">
        <f t="shared" ca="1" si="7"/>
        <v>5625.0519756613012</v>
      </c>
      <c r="P26" s="39">
        <f t="shared" ca="1" si="7"/>
        <v>6130.3095025587272</v>
      </c>
      <c r="Q26" s="39">
        <f t="shared" ca="1" si="7"/>
        <v>6510.3047325139296</v>
      </c>
      <c r="R26" s="39">
        <f t="shared" ca="1" si="7"/>
        <v>6847.9401475657232</v>
      </c>
      <c r="S26" s="39">
        <f t="shared" ca="1" si="7"/>
        <v>7236.804402532207</v>
      </c>
      <c r="T26" s="39">
        <f t="shared" ca="1" si="7"/>
        <v>9835.3202684698572</v>
      </c>
      <c r="U26" s="39">
        <f t="shared" ca="1" si="7"/>
        <v>12446.507677462287</v>
      </c>
      <c r="V26" s="39">
        <f t="shared" si="7"/>
        <v>12876.643735120799</v>
      </c>
      <c r="W26" s="39">
        <f t="shared" si="7"/>
        <v>13263.244927602587</v>
      </c>
      <c r="X26" s="39">
        <f t="shared" si="7"/>
        <v>13468.828703061043</v>
      </c>
      <c r="Y26" s="39">
        <f ca="1">IF(Y18&lt;0,0,Y18+Y23)</f>
        <v>13786.462100265204</v>
      </c>
      <c r="Z26" s="315"/>
      <c r="AA26" s="315"/>
    </row>
    <row r="27" spans="1:27" ht="15.75">
      <c r="A27" s="23" t="s">
        <v>277</v>
      </c>
      <c r="B27" s="23"/>
      <c r="C27" s="23"/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39">
        <v>0</v>
      </c>
      <c r="Y27" s="39">
        <v>0</v>
      </c>
      <c r="Z27" s="320"/>
      <c r="AA27" s="320"/>
    </row>
    <row r="28" spans="1:27">
      <c r="A28" s="73" t="s">
        <v>278</v>
      </c>
      <c r="B28" s="23"/>
      <c r="C28" s="23"/>
      <c r="D28" s="532">
        <f t="shared" ref="D28:Y28" si="8">SUM(D26:D27)</f>
        <v>0</v>
      </c>
      <c r="E28" s="533">
        <f t="shared" ca="1" si="8"/>
        <v>0</v>
      </c>
      <c r="F28" s="533">
        <f t="shared" si="8"/>
        <v>0</v>
      </c>
      <c r="G28" s="533">
        <f t="shared" si="8"/>
        <v>0</v>
      </c>
      <c r="H28" s="533">
        <f t="shared" ca="1" si="8"/>
        <v>0</v>
      </c>
      <c r="I28" s="533">
        <f t="shared" ca="1" si="8"/>
        <v>0</v>
      </c>
      <c r="J28" s="533">
        <f t="shared" ca="1" si="8"/>
        <v>0</v>
      </c>
      <c r="K28" s="533">
        <f t="shared" ca="1" si="8"/>
        <v>3938.5908275826478</v>
      </c>
      <c r="L28" s="533">
        <f t="shared" ca="1" si="8"/>
        <v>4455.8111069677479</v>
      </c>
      <c r="M28" s="533">
        <f t="shared" ca="1" si="8"/>
        <v>4799.0782525501845</v>
      </c>
      <c r="N28" s="534">
        <f t="shared" ca="1" si="8"/>
        <v>5338.5324287974263</v>
      </c>
      <c r="O28" s="532">
        <f t="shared" ca="1" si="8"/>
        <v>5625.0519756613012</v>
      </c>
      <c r="P28" s="533">
        <f t="shared" ca="1" si="8"/>
        <v>6130.3095025587272</v>
      </c>
      <c r="Q28" s="533">
        <f t="shared" ca="1" si="8"/>
        <v>6510.3047325139296</v>
      </c>
      <c r="R28" s="533">
        <f t="shared" ca="1" si="8"/>
        <v>6847.9401475657232</v>
      </c>
      <c r="S28" s="533">
        <f t="shared" ca="1" si="8"/>
        <v>7236.804402532207</v>
      </c>
      <c r="T28" s="533">
        <f t="shared" ca="1" si="8"/>
        <v>9835.3202684698572</v>
      </c>
      <c r="U28" s="533">
        <f t="shared" ca="1" si="8"/>
        <v>12446.507677462287</v>
      </c>
      <c r="V28" s="533">
        <f t="shared" si="8"/>
        <v>12876.643735120799</v>
      </c>
      <c r="W28" s="533">
        <f t="shared" si="8"/>
        <v>13263.244927602587</v>
      </c>
      <c r="X28" s="533">
        <f t="shared" si="8"/>
        <v>13468.828703061043</v>
      </c>
      <c r="Y28" s="533">
        <f t="shared" ca="1" si="8"/>
        <v>13786.462100265204</v>
      </c>
      <c r="Z28" s="476"/>
      <c r="AA28" s="476"/>
    </row>
    <row r="29" spans="1:27">
      <c r="A29" s="73"/>
      <c r="B29" s="23"/>
      <c r="C29" s="23"/>
      <c r="D29" s="506"/>
      <c r="E29" s="506"/>
      <c r="F29" s="506"/>
      <c r="G29" s="506"/>
      <c r="H29" s="506"/>
      <c r="I29" s="506"/>
      <c r="J29" s="506"/>
      <c r="K29" s="506"/>
      <c r="L29" s="506"/>
      <c r="M29" s="506"/>
      <c r="N29" s="506"/>
      <c r="O29" s="506"/>
      <c r="P29" s="506"/>
      <c r="Q29" s="506"/>
      <c r="R29" s="506"/>
      <c r="S29" s="506"/>
      <c r="T29" s="506"/>
      <c r="U29" s="506"/>
      <c r="V29" s="506"/>
      <c r="W29" s="506"/>
      <c r="X29" s="506"/>
      <c r="Y29" s="506"/>
      <c r="Z29" s="476"/>
      <c r="AA29" s="476"/>
    </row>
    <row r="30" spans="1:27">
      <c r="A30" s="36"/>
      <c r="B30" s="23"/>
      <c r="C30" s="23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18"/>
      <c r="AA30" s="318"/>
    </row>
    <row r="31" spans="1:27">
      <c r="A31" s="496" t="s">
        <v>279</v>
      </c>
      <c r="B31" s="23"/>
      <c r="C31" s="23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15"/>
      <c r="AA31" s="315"/>
    </row>
    <row r="32" spans="1:27">
      <c r="A32" s="36" t="s">
        <v>265</v>
      </c>
      <c r="B32" s="23"/>
      <c r="C32" s="30"/>
      <c r="D32" s="32">
        <f>D11</f>
        <v>0</v>
      </c>
      <c r="E32" s="32">
        <f t="shared" ref="E32:X32" ca="1" si="9">E11</f>
        <v>11109.627216601621</v>
      </c>
      <c r="F32" s="32">
        <f t="shared" si="9"/>
        <v>17342.918472430378</v>
      </c>
      <c r="G32" s="32">
        <f t="shared" si="9"/>
        <v>19066.68478131578</v>
      </c>
      <c r="H32" s="32">
        <f t="shared" si="9"/>
        <v>87056.237322653644</v>
      </c>
      <c r="I32" s="32">
        <f t="shared" si="9"/>
        <v>90959.907773531377</v>
      </c>
      <c r="J32" s="32">
        <f t="shared" si="9"/>
        <v>96878.075711553058</v>
      </c>
      <c r="K32" s="32">
        <f t="shared" si="9"/>
        <v>100745.52554590537</v>
      </c>
      <c r="L32" s="32">
        <f t="shared" si="9"/>
        <v>108246.84256908017</v>
      </c>
      <c r="M32" s="32">
        <f t="shared" si="9"/>
        <v>113753.73215009007</v>
      </c>
      <c r="N32" s="32">
        <f t="shared" si="9"/>
        <v>122718.97417782195</v>
      </c>
      <c r="O32" s="32">
        <f t="shared" si="9"/>
        <v>127295.49230770067</v>
      </c>
      <c r="P32" s="32">
        <f t="shared" si="9"/>
        <v>135700.08354142803</v>
      </c>
      <c r="Q32" s="32">
        <f t="shared" si="9"/>
        <v>141809.12655142488</v>
      </c>
      <c r="R32" s="32">
        <f t="shared" si="9"/>
        <v>147465.56930026348</v>
      </c>
      <c r="S32" s="32">
        <f t="shared" si="9"/>
        <v>153720.01912669299</v>
      </c>
      <c r="T32" s="32">
        <f t="shared" si="9"/>
        <v>160644.42258736712</v>
      </c>
      <c r="U32" s="32">
        <f t="shared" si="9"/>
        <v>167776.57478395547</v>
      </c>
      <c r="V32" s="32">
        <f t="shared" si="9"/>
        <v>174828.61429195822</v>
      </c>
      <c r="W32" s="32">
        <f t="shared" si="9"/>
        <v>181166.90385099588</v>
      </c>
      <c r="X32" s="32">
        <f t="shared" si="9"/>
        <v>184537.43017847801</v>
      </c>
      <c r="Y32" s="32">
        <f>Y11</f>
        <v>189744.99933308075</v>
      </c>
      <c r="Z32" s="318"/>
      <c r="AA32" s="318"/>
    </row>
    <row r="33" spans="1:27">
      <c r="A33" s="36" t="s">
        <v>266</v>
      </c>
      <c r="B33" s="23"/>
      <c r="C33" s="30"/>
      <c r="D33" s="32">
        <f>D12</f>
        <v>0</v>
      </c>
      <c r="E33" s="32">
        <f t="shared" ref="E33:X33" si="10">E12</f>
        <v>27106.698463729685</v>
      </c>
      <c r="F33" s="32">
        <f t="shared" si="10"/>
        <v>37257.727651479225</v>
      </c>
      <c r="G33" s="32">
        <f t="shared" si="10"/>
        <v>37257.727651479225</v>
      </c>
      <c r="H33" s="32">
        <f t="shared" si="10"/>
        <v>37257.727651479225</v>
      </c>
      <c r="I33" s="32">
        <f t="shared" si="10"/>
        <v>37257.727651479225</v>
      </c>
      <c r="J33" s="32">
        <f t="shared" si="10"/>
        <v>37257.727651479225</v>
      </c>
      <c r="K33" s="32">
        <f t="shared" si="10"/>
        <v>37257.727651479225</v>
      </c>
      <c r="L33" s="32">
        <f t="shared" si="10"/>
        <v>37257.727651479225</v>
      </c>
      <c r="M33" s="32">
        <f t="shared" si="10"/>
        <v>37257.727651479225</v>
      </c>
      <c r="N33" s="32">
        <f t="shared" si="10"/>
        <v>37257.727651479225</v>
      </c>
      <c r="O33" s="32">
        <f t="shared" si="10"/>
        <v>37257.727651479225</v>
      </c>
      <c r="P33" s="32">
        <f t="shared" si="10"/>
        <v>37257.727651479225</v>
      </c>
      <c r="Q33" s="32">
        <f t="shared" si="10"/>
        <v>37257.727651479225</v>
      </c>
      <c r="R33" s="32">
        <f t="shared" si="10"/>
        <v>37257.727651479225</v>
      </c>
      <c r="S33" s="32">
        <f t="shared" si="10"/>
        <v>37257.727651479225</v>
      </c>
      <c r="T33" s="32">
        <f t="shared" si="10"/>
        <v>37257.727651479225</v>
      </c>
      <c r="U33" s="32">
        <f t="shared" si="10"/>
        <v>37257.727651479225</v>
      </c>
      <c r="V33" s="32">
        <f t="shared" si="10"/>
        <v>37257.727651479225</v>
      </c>
      <c r="W33" s="32">
        <f t="shared" si="10"/>
        <v>37257.727651479225</v>
      </c>
      <c r="X33" s="32">
        <f t="shared" si="10"/>
        <v>37257.727651479225</v>
      </c>
      <c r="Y33" s="32">
        <f>Y12</f>
        <v>36282.727651479225</v>
      </c>
      <c r="Z33" s="318"/>
      <c r="AA33" s="318"/>
    </row>
    <row r="34" spans="1:27">
      <c r="A34" s="36" t="s">
        <v>280</v>
      </c>
      <c r="B34" s="39"/>
      <c r="C34" s="32"/>
      <c r="D34" s="32">
        <f>-Depreciation!G20-Depreciation!G56</f>
        <v>0</v>
      </c>
      <c r="E34" s="32">
        <f>-Depreciation!H20-Depreciation!H56</f>
        <v>-61446.21275246537</v>
      </c>
      <c r="F34" s="32">
        <f>-Depreciation!I20-Depreciation!I56</f>
        <v>-115870.3042296842</v>
      </c>
      <c r="G34" s="32">
        <f>-Depreciation!J20-Depreciation!J56</f>
        <v>-104380.77380671579</v>
      </c>
      <c r="H34" s="32">
        <f>-Depreciation!K20-Depreciation!K56</f>
        <v>-94100.667638796673</v>
      </c>
      <c r="I34" s="32">
        <f>-Depreciation!L20-Depreciation!L56</f>
        <v>-84788.100874917</v>
      </c>
      <c r="J34" s="32">
        <f>-Depreciation!M20-Depreciation!M56</f>
        <v>-76322.131089571863</v>
      </c>
      <c r="K34" s="32">
        <f>-Depreciation!N20-Depreciation!N56</f>
        <v>-72331.031047909142</v>
      </c>
      <c r="L34" s="32">
        <f>-Depreciation!O20-Depreciation!O56</f>
        <v>-72451.97347341408</v>
      </c>
      <c r="M34" s="32">
        <f>-Depreciation!P20-Depreciation!P56</f>
        <v>-72331.031047909142</v>
      </c>
      <c r="N34" s="32">
        <f>-Depreciation!Q20-Depreciation!Q56</f>
        <v>-72451.97347341408</v>
      </c>
      <c r="O34" s="32">
        <f>-Depreciation!R20-Depreciation!R56</f>
        <v>-72331.031047909142</v>
      </c>
      <c r="P34" s="32">
        <f>-Depreciation!S20-Depreciation!S56</f>
        <v>-72451.97347341408</v>
      </c>
      <c r="Q34" s="32">
        <f>-Depreciation!T20-Depreciation!T56</f>
        <v>-72331.031047909142</v>
      </c>
      <c r="R34" s="32">
        <f>-Depreciation!U20-Depreciation!U56</f>
        <v>-72451.97347341408</v>
      </c>
      <c r="S34" s="32">
        <f>-Depreciation!V20-Depreciation!V56</f>
        <v>-72331.031047909142</v>
      </c>
      <c r="T34" s="32">
        <f>-Depreciation!W20-Depreciation!W56</f>
        <v>-36653.015523954571</v>
      </c>
      <c r="U34" s="32">
        <f>-Depreciation!X20-Depreciation!X56</f>
        <v>-975</v>
      </c>
      <c r="V34" s="32">
        <f>-Depreciation!Y20-Depreciation!Y56</f>
        <v>-975</v>
      </c>
      <c r="W34" s="32">
        <f>-Depreciation!Z20-Depreciation!Z56</f>
        <v>-975</v>
      </c>
      <c r="X34" s="32">
        <f>-Depreciation!AA20-Depreciation!AA56</f>
        <v>-975</v>
      </c>
      <c r="Y34" s="32">
        <f>-Depreciation!AB20-Depreciation!AB56</f>
        <v>0</v>
      </c>
      <c r="Z34" s="318"/>
      <c r="AA34" s="318"/>
    </row>
    <row r="35" spans="1:27" ht="15">
      <c r="A35" s="36" t="s">
        <v>281</v>
      </c>
      <c r="B35" s="39"/>
      <c r="C35" s="39"/>
      <c r="D35" s="507">
        <f>-D28</f>
        <v>0</v>
      </c>
      <c r="E35" s="507">
        <f t="shared" ref="E35:X35" ca="1" si="11">-E28</f>
        <v>0</v>
      </c>
      <c r="F35" s="507">
        <f t="shared" si="11"/>
        <v>0</v>
      </c>
      <c r="G35" s="507">
        <f t="shared" si="11"/>
        <v>0</v>
      </c>
      <c r="H35" s="507">
        <f t="shared" ca="1" si="11"/>
        <v>0</v>
      </c>
      <c r="I35" s="507">
        <f t="shared" ca="1" si="11"/>
        <v>0</v>
      </c>
      <c r="J35" s="507">
        <f t="shared" ca="1" si="11"/>
        <v>0</v>
      </c>
      <c r="K35" s="507">
        <f t="shared" ca="1" si="11"/>
        <v>-3938.5908275826478</v>
      </c>
      <c r="L35" s="507">
        <f t="shared" ca="1" si="11"/>
        <v>-4455.8111069677479</v>
      </c>
      <c r="M35" s="507">
        <f t="shared" ca="1" si="11"/>
        <v>-4799.0782525501845</v>
      </c>
      <c r="N35" s="507">
        <f t="shared" ca="1" si="11"/>
        <v>-5338.5324287974263</v>
      </c>
      <c r="O35" s="507">
        <f t="shared" ca="1" si="11"/>
        <v>-5625.0519756613012</v>
      </c>
      <c r="P35" s="507">
        <f t="shared" ca="1" si="11"/>
        <v>-6130.3095025587272</v>
      </c>
      <c r="Q35" s="507">
        <f t="shared" ca="1" si="11"/>
        <v>-6510.3047325139296</v>
      </c>
      <c r="R35" s="507">
        <f t="shared" ca="1" si="11"/>
        <v>-6847.9401475657232</v>
      </c>
      <c r="S35" s="507">
        <f t="shared" ca="1" si="11"/>
        <v>-7236.804402532207</v>
      </c>
      <c r="T35" s="507">
        <f t="shared" ca="1" si="11"/>
        <v>-9835.3202684698572</v>
      </c>
      <c r="U35" s="507">
        <f t="shared" ca="1" si="11"/>
        <v>-12446.507677462287</v>
      </c>
      <c r="V35" s="507">
        <f t="shared" si="11"/>
        <v>-12876.643735120799</v>
      </c>
      <c r="W35" s="507">
        <f t="shared" si="11"/>
        <v>-13263.244927602587</v>
      </c>
      <c r="X35" s="507">
        <f t="shared" si="11"/>
        <v>-13468.828703061043</v>
      </c>
      <c r="Y35" s="507">
        <f ca="1">-Y28</f>
        <v>-13786.462100265204</v>
      </c>
      <c r="Z35" s="324"/>
      <c r="AA35" s="324"/>
    </row>
    <row r="36" spans="1:27">
      <c r="A36" s="499" t="s">
        <v>282</v>
      </c>
      <c r="B36" s="506"/>
      <c r="C36" s="75"/>
      <c r="D36" s="75">
        <f>SUM(D32:D35)</f>
        <v>0</v>
      </c>
      <c r="E36" s="75">
        <f t="shared" ref="E36:Y36" ca="1" si="12">SUM(E32:E35)</f>
        <v>-23229.887072134065</v>
      </c>
      <c r="F36" s="75">
        <f t="shared" si="12"/>
        <v>-61269.658105774601</v>
      </c>
      <c r="G36" s="75">
        <f t="shared" si="12"/>
        <v>-48056.361373920787</v>
      </c>
      <c r="H36" s="75">
        <f t="shared" ca="1" si="12"/>
        <v>30213.297335336189</v>
      </c>
      <c r="I36" s="75">
        <f t="shared" ca="1" si="12"/>
        <v>43429.534550093609</v>
      </c>
      <c r="J36" s="75">
        <f t="shared" ca="1" si="12"/>
        <v>57813.672273460426</v>
      </c>
      <c r="K36" s="75">
        <f t="shared" ca="1" si="12"/>
        <v>61733.631321892797</v>
      </c>
      <c r="L36" s="75">
        <f t="shared" ca="1" si="12"/>
        <v>68596.785640177564</v>
      </c>
      <c r="M36" s="75">
        <f t="shared" ca="1" si="12"/>
        <v>73881.350501109962</v>
      </c>
      <c r="N36" s="75">
        <f t="shared" ca="1" si="12"/>
        <v>82186.195927089662</v>
      </c>
      <c r="O36" s="75">
        <f t="shared" ca="1" si="12"/>
        <v>86597.136935609451</v>
      </c>
      <c r="P36" s="75">
        <f t="shared" ca="1" si="12"/>
        <v>94375.528216934443</v>
      </c>
      <c r="Q36" s="75">
        <f t="shared" ca="1" si="12"/>
        <v>100225.51842248102</v>
      </c>
      <c r="R36" s="75">
        <f t="shared" ca="1" si="12"/>
        <v>105423.3833307629</v>
      </c>
      <c r="S36" s="75">
        <f t="shared" ca="1" si="12"/>
        <v>111409.91132773086</v>
      </c>
      <c r="T36" s="75">
        <f t="shared" ca="1" si="12"/>
        <v>151413.81444642192</v>
      </c>
      <c r="U36" s="75">
        <f t="shared" ca="1" si="12"/>
        <v>191612.79475797241</v>
      </c>
      <c r="V36" s="75">
        <f t="shared" si="12"/>
        <v>198234.69820831664</v>
      </c>
      <c r="W36" s="75">
        <f t="shared" si="12"/>
        <v>204186.38657487251</v>
      </c>
      <c r="X36" s="75">
        <f t="shared" si="12"/>
        <v>207351.32912689619</v>
      </c>
      <c r="Y36" s="75">
        <f t="shared" ca="1" si="12"/>
        <v>212241.26488429477</v>
      </c>
      <c r="Z36" s="319"/>
      <c r="AA36" s="319"/>
    </row>
    <row r="37" spans="1:27">
      <c r="A37" s="499"/>
      <c r="B37" s="506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319"/>
      <c r="AA37" s="319"/>
    </row>
    <row r="38" spans="1:27">
      <c r="A38" s="36" t="s">
        <v>283</v>
      </c>
      <c r="B38" s="23"/>
      <c r="C38" s="40"/>
      <c r="D38" s="508">
        <f>IF(D4&gt;2020,0,Assumptions!$L$43)</f>
        <v>0.35</v>
      </c>
      <c r="E38" s="508">
        <f>IF(E4&gt;2020,0,Assumptions!$L$43)</f>
        <v>0.35</v>
      </c>
      <c r="F38" s="508">
        <f>IF(F4&gt;2020,0,Assumptions!$L$43)</f>
        <v>0.35</v>
      </c>
      <c r="G38" s="508">
        <f>IF(G4&gt;2020,0,Assumptions!$L$43)</f>
        <v>0.35</v>
      </c>
      <c r="H38" s="508">
        <f>IF(H4&gt;2020,0,Assumptions!$L$43)</f>
        <v>0.35</v>
      </c>
      <c r="I38" s="508">
        <f>IF(I4&gt;2020,0,Assumptions!$L$43)</f>
        <v>0.35</v>
      </c>
      <c r="J38" s="508">
        <f>IF(J4&gt;2020,0,Assumptions!$L$43)</f>
        <v>0.35</v>
      </c>
      <c r="K38" s="508">
        <f>IF(K4&gt;2020,0,Assumptions!$L$43)</f>
        <v>0.35</v>
      </c>
      <c r="L38" s="508">
        <f>IF(L4&gt;2020,0,Assumptions!$L$43)</f>
        <v>0.35</v>
      </c>
      <c r="M38" s="508">
        <f>IF(M4&gt;2020,0,Assumptions!$L$43)</f>
        <v>0.35</v>
      </c>
      <c r="N38" s="508">
        <f>IF(N4&gt;2020,0,Assumptions!$L$43)</f>
        <v>0.35</v>
      </c>
      <c r="O38" s="508">
        <f>IF(O4&gt;2020,0,Assumptions!$L$43)</f>
        <v>0.35</v>
      </c>
      <c r="P38" s="508">
        <f>IF(P4&gt;2020,0,Assumptions!$L$43)</f>
        <v>0.35</v>
      </c>
      <c r="Q38" s="508">
        <f>IF(Q4&gt;2020,0,Assumptions!$L$43)</f>
        <v>0.35</v>
      </c>
      <c r="R38" s="508">
        <f>IF(R4&gt;2020,0,Assumptions!$L$43)</f>
        <v>0.35</v>
      </c>
      <c r="S38" s="508">
        <f>IF(S4&gt;2020,0,Assumptions!$L$43)</f>
        <v>0.35</v>
      </c>
      <c r="T38" s="508">
        <f>IF(T4&gt;2020,0,Assumptions!$L$43)</f>
        <v>0.35</v>
      </c>
      <c r="U38" s="508">
        <f>IF(U4&gt;2020,0,Assumptions!$L$43)</f>
        <v>0.35</v>
      </c>
      <c r="V38" s="508">
        <f>IF(V4&gt;2020,0,Assumptions!$L$43)</f>
        <v>0.35</v>
      </c>
      <c r="W38" s="508">
        <f>IF(W4&gt;2020,0,Assumptions!$L$43)</f>
        <v>0.35</v>
      </c>
      <c r="X38" s="508">
        <f>IF(X4&gt;2020,0,Assumptions!$L$43)</f>
        <v>0.35</v>
      </c>
      <c r="Y38" s="508">
        <f>IF(Y4&gt;2020,0,Assumptions!$L$43)</f>
        <v>0.35</v>
      </c>
      <c r="Z38" s="325"/>
      <c r="AA38" s="325"/>
    </row>
    <row r="39" spans="1:27">
      <c r="A39" s="36" t="s">
        <v>284</v>
      </c>
      <c r="B39" s="39"/>
      <c r="C39" s="32"/>
      <c r="D39" s="539">
        <f>D36*D38</f>
        <v>0</v>
      </c>
      <c r="E39" s="536">
        <f t="shared" ref="E39:Y39" ca="1" si="13">E36*E38</f>
        <v>-8130.4604752469222</v>
      </c>
      <c r="F39" s="536">
        <f t="shared" si="13"/>
        <v>-21444.38033702111</v>
      </c>
      <c r="G39" s="536">
        <f t="shared" si="13"/>
        <v>-16819.726480872276</v>
      </c>
      <c r="H39" s="536">
        <f t="shared" ca="1" si="13"/>
        <v>10574.654067367665</v>
      </c>
      <c r="I39" s="536">
        <f t="shared" ca="1" si="13"/>
        <v>15200.337092532762</v>
      </c>
      <c r="J39" s="536">
        <f t="shared" ca="1" si="13"/>
        <v>20234.785295711146</v>
      </c>
      <c r="K39" s="536">
        <f t="shared" ca="1" si="13"/>
        <v>21606.770962662478</v>
      </c>
      <c r="L39" s="536">
        <f t="shared" ca="1" si="13"/>
        <v>24008.874974062146</v>
      </c>
      <c r="M39" s="536">
        <f t="shared" ca="1" si="13"/>
        <v>25858.472675388486</v>
      </c>
      <c r="N39" s="537">
        <f t="shared" ca="1" si="13"/>
        <v>28765.16857448138</v>
      </c>
      <c r="O39" s="539">
        <f t="shared" ca="1" si="13"/>
        <v>30308.997927463304</v>
      </c>
      <c r="P39" s="536">
        <f t="shared" ca="1" si="13"/>
        <v>33031.434875927051</v>
      </c>
      <c r="Q39" s="536">
        <f t="shared" ca="1" si="13"/>
        <v>35078.931447868352</v>
      </c>
      <c r="R39" s="536">
        <f t="shared" ca="1" si="13"/>
        <v>36898.184165767008</v>
      </c>
      <c r="S39" s="536">
        <f t="shared" ca="1" si="13"/>
        <v>38993.468964705797</v>
      </c>
      <c r="T39" s="536">
        <f t="shared" ca="1" si="13"/>
        <v>52994.83505624767</v>
      </c>
      <c r="U39" s="536">
        <f t="shared" ca="1" si="13"/>
        <v>67064.478165290348</v>
      </c>
      <c r="V39" s="536">
        <f t="shared" si="13"/>
        <v>69382.144372910814</v>
      </c>
      <c r="W39" s="536">
        <f t="shared" si="13"/>
        <v>71465.235301205379</v>
      </c>
      <c r="X39" s="536">
        <f t="shared" si="13"/>
        <v>72572.965194413657</v>
      </c>
      <c r="Y39" s="536">
        <f t="shared" ca="1" si="13"/>
        <v>74284.442709503157</v>
      </c>
      <c r="Z39" s="318"/>
      <c r="AA39" s="318"/>
    </row>
    <row r="40" spans="1:27">
      <c r="A40" s="23"/>
      <c r="B40" s="23"/>
      <c r="C40" s="23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15"/>
      <c r="AA40" s="315"/>
    </row>
    <row r="41" spans="1:27">
      <c r="A41" s="23" t="s">
        <v>285</v>
      </c>
      <c r="B41" s="495"/>
      <c r="C41" s="23"/>
      <c r="D41" s="531">
        <f>IF(D39&lt;0,-D39+C41-C42,C41-C42)</f>
        <v>0</v>
      </c>
      <c r="E41" s="531">
        <f ca="1">IF(E39&lt;0,-E39+D41-D42,D41-D42)</f>
        <v>8130.4604752469222</v>
      </c>
      <c r="F41" s="531">
        <f ca="1">IF(F39&lt;0,-F39+E41-E42,E41-E42)</f>
        <v>29574.840812268034</v>
      </c>
      <c r="G41" s="531">
        <f ca="1">IF(G39&lt;0,-G39+F41-F42,F41-F42)</f>
        <v>46394.56729314031</v>
      </c>
      <c r="H41" s="531">
        <f t="shared" ref="H41:Y41" ca="1" si="14">IF(H39&lt;0,-H39+G41-G42,G41-G42)</f>
        <v>46394.56729314031</v>
      </c>
      <c r="I41" s="531">
        <f t="shared" ca="1" si="14"/>
        <v>35819.913225772645</v>
      </c>
      <c r="J41" s="531">
        <f t="shared" ca="1" si="14"/>
        <v>20619.576133239883</v>
      </c>
      <c r="K41" s="531">
        <f t="shared" ca="1" si="14"/>
        <v>384.79083752873703</v>
      </c>
      <c r="L41" s="531">
        <f t="shared" ca="1" si="14"/>
        <v>0</v>
      </c>
      <c r="M41" s="531">
        <f t="shared" ca="1" si="14"/>
        <v>0</v>
      </c>
      <c r="N41" s="531">
        <f t="shared" ca="1" si="14"/>
        <v>0</v>
      </c>
      <c r="O41" s="531">
        <f t="shared" ca="1" si="14"/>
        <v>0</v>
      </c>
      <c r="P41" s="531">
        <f t="shared" ca="1" si="14"/>
        <v>0</v>
      </c>
      <c r="Q41" s="531">
        <f t="shared" ca="1" si="14"/>
        <v>0</v>
      </c>
      <c r="R41" s="531">
        <f t="shared" ca="1" si="14"/>
        <v>0</v>
      </c>
      <c r="S41" s="531">
        <f t="shared" ca="1" si="14"/>
        <v>0</v>
      </c>
      <c r="T41" s="531">
        <f t="shared" ca="1" si="14"/>
        <v>0</v>
      </c>
      <c r="U41" s="531">
        <f t="shared" ca="1" si="14"/>
        <v>0</v>
      </c>
      <c r="V41" s="531">
        <f t="shared" ca="1" si="14"/>
        <v>0</v>
      </c>
      <c r="W41" s="531">
        <f t="shared" ca="1" si="14"/>
        <v>0</v>
      </c>
      <c r="X41" s="531">
        <f t="shared" ca="1" si="14"/>
        <v>0</v>
      </c>
      <c r="Y41" s="531">
        <f t="shared" ca="1" si="14"/>
        <v>0</v>
      </c>
      <c r="Z41" s="318"/>
      <c r="AA41" s="318"/>
    </row>
    <row r="42" spans="1:27">
      <c r="A42" s="23" t="s">
        <v>274</v>
      </c>
      <c r="B42" s="495"/>
      <c r="C42" s="23"/>
      <c r="D42" s="32">
        <v>0</v>
      </c>
      <c r="E42" s="32">
        <f ca="1">IF(E39&lt;0,0,IF(E41&gt;E39,E39,E41))</f>
        <v>0</v>
      </c>
      <c r="F42" s="32">
        <f t="shared" ref="F42:Y42" si="15">IF(F39&lt;0,0,IF(F41&gt;F39,F39,F41))</f>
        <v>0</v>
      </c>
      <c r="G42" s="32">
        <f t="shared" si="15"/>
        <v>0</v>
      </c>
      <c r="H42" s="234">
        <f t="shared" ca="1" si="15"/>
        <v>10574.654067367665</v>
      </c>
      <c r="I42" s="234">
        <f t="shared" ca="1" si="15"/>
        <v>15200.337092532762</v>
      </c>
      <c r="J42" s="234">
        <f t="shared" ca="1" si="15"/>
        <v>20234.785295711146</v>
      </c>
      <c r="K42" s="234">
        <f t="shared" ca="1" si="15"/>
        <v>384.79083752873703</v>
      </c>
      <c r="L42" s="531">
        <f t="shared" ca="1" si="15"/>
        <v>0</v>
      </c>
      <c r="M42" s="531">
        <f t="shared" ca="1" si="15"/>
        <v>0</v>
      </c>
      <c r="N42" s="531">
        <f t="shared" ca="1" si="15"/>
        <v>0</v>
      </c>
      <c r="O42" s="531">
        <f t="shared" ca="1" si="15"/>
        <v>0</v>
      </c>
      <c r="P42" s="531">
        <f t="shared" ca="1" si="15"/>
        <v>0</v>
      </c>
      <c r="Q42" s="531">
        <f t="shared" ca="1" si="15"/>
        <v>0</v>
      </c>
      <c r="R42" s="531">
        <f t="shared" ca="1" si="15"/>
        <v>0</v>
      </c>
      <c r="S42" s="531">
        <f t="shared" ca="1" si="15"/>
        <v>0</v>
      </c>
      <c r="T42" s="531">
        <f t="shared" ca="1" si="15"/>
        <v>0</v>
      </c>
      <c r="U42" s="531">
        <f t="shared" ca="1" si="15"/>
        <v>0</v>
      </c>
      <c r="V42" s="531">
        <f t="shared" ca="1" si="15"/>
        <v>0</v>
      </c>
      <c r="W42" s="531">
        <f t="shared" ca="1" si="15"/>
        <v>0</v>
      </c>
      <c r="X42" s="531">
        <f t="shared" ca="1" si="15"/>
        <v>0</v>
      </c>
      <c r="Y42" s="531">
        <f t="shared" ca="1" si="15"/>
        <v>0</v>
      </c>
      <c r="Z42" s="477"/>
      <c r="AA42" s="477"/>
    </row>
    <row r="43" spans="1:27">
      <c r="A43" s="23"/>
      <c r="B43" s="495"/>
      <c r="C43" s="23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18"/>
      <c r="AA43" s="318"/>
    </row>
    <row r="44" spans="1:27">
      <c r="A44" s="73" t="s">
        <v>286</v>
      </c>
      <c r="B44" s="495"/>
      <c r="C44" s="73"/>
      <c r="D44" s="509">
        <f t="shared" ref="D44:X44" si="16">IF(D39&lt;0,0,(D39-D42))</f>
        <v>0</v>
      </c>
      <c r="E44" s="509">
        <f t="shared" ca="1" si="16"/>
        <v>0</v>
      </c>
      <c r="F44" s="509">
        <f t="shared" si="16"/>
        <v>0</v>
      </c>
      <c r="G44" s="509">
        <f t="shared" si="16"/>
        <v>0</v>
      </c>
      <c r="H44" s="509">
        <f t="shared" ca="1" si="16"/>
        <v>0</v>
      </c>
      <c r="I44" s="509">
        <f t="shared" ca="1" si="16"/>
        <v>0</v>
      </c>
      <c r="J44" s="509">
        <f t="shared" ca="1" si="16"/>
        <v>0</v>
      </c>
      <c r="K44" s="509">
        <f t="shared" ca="1" si="16"/>
        <v>21221.980125133741</v>
      </c>
      <c r="L44" s="509">
        <f t="shared" ca="1" si="16"/>
        <v>24008.874974062146</v>
      </c>
      <c r="M44" s="509">
        <f t="shared" ca="1" si="16"/>
        <v>25858.472675388486</v>
      </c>
      <c r="N44" s="509">
        <f t="shared" ca="1" si="16"/>
        <v>28765.16857448138</v>
      </c>
      <c r="O44" s="509">
        <f t="shared" ca="1" si="16"/>
        <v>30308.997927463304</v>
      </c>
      <c r="P44" s="509">
        <f t="shared" ca="1" si="16"/>
        <v>33031.434875927051</v>
      </c>
      <c r="Q44" s="509">
        <f t="shared" ca="1" si="16"/>
        <v>35078.931447868352</v>
      </c>
      <c r="R44" s="509">
        <f t="shared" ca="1" si="16"/>
        <v>36898.184165767008</v>
      </c>
      <c r="S44" s="509">
        <f t="shared" ca="1" si="16"/>
        <v>38993.468964705797</v>
      </c>
      <c r="T44" s="509">
        <f t="shared" ca="1" si="16"/>
        <v>52994.83505624767</v>
      </c>
      <c r="U44" s="509">
        <f t="shared" ca="1" si="16"/>
        <v>67064.478165290348</v>
      </c>
      <c r="V44" s="509">
        <f t="shared" ca="1" si="16"/>
        <v>69382.144372910814</v>
      </c>
      <c r="W44" s="509">
        <f t="shared" ca="1" si="16"/>
        <v>71465.235301205379</v>
      </c>
      <c r="X44" s="509">
        <f t="shared" ca="1" si="16"/>
        <v>72572.965194413657</v>
      </c>
      <c r="Y44" s="509">
        <f ca="1">IF(Y39&lt;0,0,(Y39-Y42))</f>
        <v>74284.442709503157</v>
      </c>
      <c r="Z44" s="326"/>
      <c r="AA44" s="326"/>
    </row>
    <row r="45" spans="1:27">
      <c r="A45" s="73"/>
      <c r="B45" s="495"/>
      <c r="C45" s="73"/>
      <c r="D45" s="509"/>
      <c r="E45" s="509"/>
      <c r="F45" s="509"/>
      <c r="G45" s="509"/>
      <c r="H45" s="509"/>
      <c r="I45" s="509"/>
      <c r="J45" s="509"/>
      <c r="K45" s="509"/>
      <c r="L45" s="509"/>
      <c r="M45" s="509"/>
      <c r="N45" s="509"/>
      <c r="O45" s="509"/>
      <c r="P45" s="509"/>
      <c r="Q45" s="509"/>
      <c r="R45" s="509"/>
      <c r="S45" s="509"/>
      <c r="T45" s="509"/>
      <c r="U45" s="509"/>
      <c r="V45" s="509"/>
      <c r="W45" s="509"/>
      <c r="X45" s="509"/>
      <c r="Y45" s="509"/>
      <c r="Z45" s="326"/>
      <c r="AA45" s="326"/>
    </row>
    <row r="46" spans="1:27">
      <c r="A46"/>
      <c r="B46"/>
      <c r="C46"/>
      <c r="D46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266"/>
      <c r="Z46" s="318"/>
      <c r="AA46" s="318"/>
    </row>
    <row r="47" spans="1:27">
      <c r="A47"/>
      <c r="B47"/>
      <c r="C47"/>
      <c r="D47"/>
      <c r="Z47" s="8"/>
      <c r="AA47" s="8"/>
    </row>
    <row r="48" spans="1:27">
      <c r="A48"/>
      <c r="B48"/>
      <c r="C48"/>
      <c r="D48"/>
      <c r="E48" s="21"/>
      <c r="Z48" s="8"/>
      <c r="AA48" s="8"/>
    </row>
    <row r="49" spans="1:27">
      <c r="A49"/>
      <c r="B49"/>
      <c r="C49"/>
      <c r="D49"/>
      <c r="Z49" s="8"/>
      <c r="AA49" s="8"/>
    </row>
    <row r="50" spans="1:27">
      <c r="Z50" s="8"/>
      <c r="AA50" s="8"/>
    </row>
    <row r="51" spans="1:27">
      <c r="Z51" s="8"/>
      <c r="AA51" s="8"/>
    </row>
    <row r="52" spans="1:27">
      <c r="Z52" s="8"/>
      <c r="AA52" s="8"/>
    </row>
    <row r="53" spans="1:27">
      <c r="Z53" s="8"/>
      <c r="AA53" s="8"/>
    </row>
    <row r="54" spans="1:27">
      <c r="Z54" s="8"/>
      <c r="AA54" s="8"/>
    </row>
    <row r="55" spans="1:27">
      <c r="Z55" s="8"/>
      <c r="AA55" s="8"/>
    </row>
    <row r="56" spans="1:27">
      <c r="Z56" s="8"/>
      <c r="AA56" s="8"/>
    </row>
  </sheetData>
  <pageMargins left="0.18" right="0.17" top="0.37" bottom="0.4" header="0.17" footer="0.21"/>
  <pageSetup scale="60" orientation="landscape" r:id="rId1"/>
  <headerFooter alignWithMargins="0">
    <oddHeader>&amp;LEnron Generation Company</oddHeader>
    <oddFooter>&amp;L&amp;T, &amp;D&amp;C&amp;F&amp;RPage &amp;P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120</vt:i4>
      </vt:variant>
    </vt:vector>
  </HeadingPairs>
  <TitlesOfParts>
    <vt:vector size="137" baseType="lpstr">
      <vt:lpstr>Preset Scenarios</vt:lpstr>
      <vt:lpstr>Assumptions</vt:lpstr>
      <vt:lpstr>Power Price Assumption</vt:lpstr>
      <vt:lpstr>IS</vt:lpstr>
      <vt:lpstr>CF</vt:lpstr>
      <vt:lpstr>IRR</vt:lpstr>
      <vt:lpstr>Debt</vt:lpstr>
      <vt:lpstr>Depreciation</vt:lpstr>
      <vt:lpstr>Tax</vt:lpstr>
      <vt:lpstr>Brownsville</vt:lpstr>
      <vt:lpstr>Caledonia</vt:lpstr>
      <vt:lpstr>New Albany</vt:lpstr>
      <vt:lpstr>Calvert</vt:lpstr>
      <vt:lpstr>Wheatland</vt:lpstr>
      <vt:lpstr>Wilton</vt:lpstr>
      <vt:lpstr>EGC Start Charge Matrix</vt:lpstr>
      <vt:lpstr>Allocation</vt:lpstr>
      <vt:lpstr>Calvert!Coso_Distributable_Cash</vt:lpstr>
      <vt:lpstr>'New Albany'!Coso_Distributable_Cash</vt:lpstr>
      <vt:lpstr>Wheatland!Coso_Distributable_Cash</vt:lpstr>
      <vt:lpstr>Calvert!Coso_Net_ATCash</vt:lpstr>
      <vt:lpstr>'New Albany'!Coso_Net_ATCash</vt:lpstr>
      <vt:lpstr>Wheatland!Coso_Net_ATCash</vt:lpstr>
      <vt:lpstr>Calvert!Coso_Net_Income</vt:lpstr>
      <vt:lpstr>'New Albany'!Coso_Net_Income</vt:lpstr>
      <vt:lpstr>Wheatland!Coso_Net_Income</vt:lpstr>
      <vt:lpstr>Calvert!Energy_Credit_Coso</vt:lpstr>
      <vt:lpstr>'New Albany'!Energy_Credit_Coso</vt:lpstr>
      <vt:lpstr>Wheatland!Energy_Credit_Coso</vt:lpstr>
      <vt:lpstr>Calvert!FPOC_Distributable_Cash</vt:lpstr>
      <vt:lpstr>'New Albany'!FPOC_Distributable_Cash</vt:lpstr>
      <vt:lpstr>Wheatland!FPOC_Distributable_Cash</vt:lpstr>
      <vt:lpstr>Calvert!FPOC_Net_ATCash</vt:lpstr>
      <vt:lpstr>'New Albany'!FPOC_Net_ATCash</vt:lpstr>
      <vt:lpstr>Wheatland!FPOC_Net_ATCash</vt:lpstr>
      <vt:lpstr>Calvert!FPOC_Net_Income</vt:lpstr>
      <vt:lpstr>'New Albany'!FPOC_Net_Income</vt:lpstr>
      <vt:lpstr>Wheatland!FPOC_Net_Income</vt:lpstr>
      <vt:lpstr>Calvert!FSGC_ATCash</vt:lpstr>
      <vt:lpstr>'New Albany'!FSGC_ATCash</vt:lpstr>
      <vt:lpstr>Wheatland!FSGC_ATCash</vt:lpstr>
      <vt:lpstr>Calvert!FSGC_Distributable_Cash</vt:lpstr>
      <vt:lpstr>'New Albany'!FSGC_Distributable_Cash</vt:lpstr>
      <vt:lpstr>Wheatland!FSGC_Distributable_Cash</vt:lpstr>
      <vt:lpstr>Calvert!FSGC_Net_Income</vt:lpstr>
      <vt:lpstr>'New Albany'!FSGC_Net_Income</vt:lpstr>
      <vt:lpstr>Wheatland!FSGC_Net_Income</vt:lpstr>
      <vt:lpstr>Calvert!Imperial_Distributable_Cash</vt:lpstr>
      <vt:lpstr>'New Albany'!Imperial_Distributable_Cash</vt:lpstr>
      <vt:lpstr>Wheatland!Imperial_Distributable_Cash</vt:lpstr>
      <vt:lpstr>Calvert!Imperial_Net_Income</vt:lpstr>
      <vt:lpstr>'New Albany'!Imperial_Net_Income</vt:lpstr>
      <vt:lpstr>Wheatland!Imperial_Net_Income</vt:lpstr>
      <vt:lpstr>Calvert!Minerals_Distributable_Cash</vt:lpstr>
      <vt:lpstr>'New Albany'!Minerals_Distributable_Cash</vt:lpstr>
      <vt:lpstr>Wheatland!Minerals_Distributable_Cash</vt:lpstr>
      <vt:lpstr>Calvert!Minerals_Net_ATCash</vt:lpstr>
      <vt:lpstr>'New Albany'!Minerals_Net_ATCash</vt:lpstr>
      <vt:lpstr>Wheatland!Minerals_Net_ATCash</vt:lpstr>
      <vt:lpstr>Calvert!Minerals_Net_Income</vt:lpstr>
      <vt:lpstr>'New Albany'!Minerals_Net_Income</vt:lpstr>
      <vt:lpstr>Wheatland!Minerals_Net_Income</vt:lpstr>
      <vt:lpstr>Calvert!Norcon_Distributable_Cash</vt:lpstr>
      <vt:lpstr>'New Albany'!Norcon_Distributable_Cash</vt:lpstr>
      <vt:lpstr>Wheatland!Norcon_Distributable_Cash</vt:lpstr>
      <vt:lpstr>Calvert!Norcon_Net_ATCash</vt:lpstr>
      <vt:lpstr>'New Albany'!Norcon_Net_ATCash</vt:lpstr>
      <vt:lpstr>Wheatland!Norcon_Net_ATCash</vt:lpstr>
      <vt:lpstr>Calvert!Norcon_Net_Income</vt:lpstr>
      <vt:lpstr>'New Albany'!Norcon_Net_Income</vt:lpstr>
      <vt:lpstr>Wheatland!Norcon_Net_Income</vt:lpstr>
      <vt:lpstr>Calvert!PRI_Cash_Taxes</vt:lpstr>
      <vt:lpstr>'New Albany'!PRI_Cash_Taxes</vt:lpstr>
      <vt:lpstr>Wheatland!PRI_Cash_Taxes</vt:lpstr>
      <vt:lpstr>Calvert!PRI_Net_ATCash</vt:lpstr>
      <vt:lpstr>'New Albany'!PRI_Net_ATCash</vt:lpstr>
      <vt:lpstr>Wheatland!PRI_Net_ATCash</vt:lpstr>
      <vt:lpstr>Calvert!PRI_Net_Income</vt:lpstr>
      <vt:lpstr>'New Albany'!PRI_Net_Income</vt:lpstr>
      <vt:lpstr>Wheatland!PRI_Net_Income</vt:lpstr>
      <vt:lpstr>Assumptions!Print_Area</vt:lpstr>
      <vt:lpstr>Brownsville!Print_Area</vt:lpstr>
      <vt:lpstr>Caledonia!Print_Area</vt:lpstr>
      <vt:lpstr>Calvert!Print_Area</vt:lpstr>
      <vt:lpstr>CF!Print_Area</vt:lpstr>
      <vt:lpstr>Debt!Print_Area</vt:lpstr>
      <vt:lpstr>Depreciation!Print_Area</vt:lpstr>
      <vt:lpstr>'EGC Start Charge Matrix'!Print_Area</vt:lpstr>
      <vt:lpstr>IRR!Print_Area</vt:lpstr>
      <vt:lpstr>IS!Print_Area</vt:lpstr>
      <vt:lpstr>'New Albany'!Print_Area</vt:lpstr>
      <vt:lpstr>'Preset Scenarios'!Print_Area</vt:lpstr>
      <vt:lpstr>Tax!Print_Area</vt:lpstr>
      <vt:lpstr>Wheatland!Print_Area</vt:lpstr>
      <vt:lpstr>Wilton!Print_Area</vt:lpstr>
      <vt:lpstr>Brownsville!Print_Titles</vt:lpstr>
      <vt:lpstr>Caledonia!Print_Titles</vt:lpstr>
      <vt:lpstr>Calvert!Print_Titles</vt:lpstr>
      <vt:lpstr>CF!Print_Titles</vt:lpstr>
      <vt:lpstr>Debt!Print_Titles</vt:lpstr>
      <vt:lpstr>Depreciation!Print_Titles</vt:lpstr>
      <vt:lpstr>IRR!Print_Titles</vt:lpstr>
      <vt:lpstr>IS!Print_Titles</vt:lpstr>
      <vt:lpstr>'New Albany'!Print_Titles</vt:lpstr>
      <vt:lpstr>Tax!Print_Titles</vt:lpstr>
      <vt:lpstr>Wheatland!Print_Titles</vt:lpstr>
      <vt:lpstr>Wilton!Print_Titles</vt:lpstr>
      <vt:lpstr>Calvert!Saranac_Distributable_Cash</vt:lpstr>
      <vt:lpstr>'New Albany'!Saranac_Distributable_Cash</vt:lpstr>
      <vt:lpstr>Wheatland!Saranac_Distributable_Cash</vt:lpstr>
      <vt:lpstr>Calvert!Saranac_Net_ATCash</vt:lpstr>
      <vt:lpstr>'New Albany'!Saranac_Net_ATCash</vt:lpstr>
      <vt:lpstr>Wheatland!Saranac_Net_ATCash</vt:lpstr>
      <vt:lpstr>Calvert!Saranac_Net_Income</vt:lpstr>
      <vt:lpstr>'New Albany'!Saranac_Net_Income</vt:lpstr>
      <vt:lpstr>Wheatland!Saranac_Net_Income</vt:lpstr>
      <vt:lpstr>Calvert!Yuma_Distributable_Cash</vt:lpstr>
      <vt:lpstr>'New Albany'!Yuma_Distributable_Cash</vt:lpstr>
      <vt:lpstr>Wheatland!Yuma_Distributable_Cash</vt:lpstr>
      <vt:lpstr>Calvert!Yuma_Net_ATCash</vt:lpstr>
      <vt:lpstr>'New Albany'!Yuma_Net_ATCash</vt:lpstr>
      <vt:lpstr>Wheatland!Yuma_Net_ATCash</vt:lpstr>
      <vt:lpstr>Calvert!Yuma_Net_Income</vt:lpstr>
      <vt:lpstr>'New Albany'!Yuma_Net_Income</vt:lpstr>
      <vt:lpstr>Wheatland!Yuma_Net_Income</vt:lpstr>
      <vt:lpstr>Calvert!zinc</vt:lpstr>
      <vt:lpstr>'New Albany'!zinc</vt:lpstr>
      <vt:lpstr>Wheatland!zinc</vt:lpstr>
      <vt:lpstr>Calvert!Zinc_Distributable_Cash</vt:lpstr>
      <vt:lpstr>'New Albany'!Zinc_Distributable_Cash</vt:lpstr>
      <vt:lpstr>Wheatland!Zinc_Distributable_Cash</vt:lpstr>
      <vt:lpstr>Calvert!Zinc_Net_ATCash</vt:lpstr>
      <vt:lpstr>'New Albany'!Zinc_Net_ATCash</vt:lpstr>
      <vt:lpstr>Wheatland!Zinc_Net_ATCash</vt:lpstr>
      <vt:lpstr>Calvert!Zinc_Net_Income</vt:lpstr>
      <vt:lpstr>'New Albany'!Zinc_Net_Income</vt:lpstr>
      <vt:lpstr>Wheatland!Zinc_Net_Income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1999-12-09T04:00:48Z</cp:lastPrinted>
  <dcterms:created xsi:type="dcterms:W3CDTF">1999-04-02T01:38:38Z</dcterms:created>
  <dcterms:modified xsi:type="dcterms:W3CDTF">2014-09-03T11:20:10Z</dcterms:modified>
</cp:coreProperties>
</file>