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 tabRatio="601" activeTab="1"/>
  </bookViews>
  <sheets>
    <sheet name="Construction Costs" sheetId="1" r:id="rId1"/>
    <sheet name="Cost Basis" sheetId="5" r:id="rId2"/>
    <sheet name="Fixed O&amp;M" sheetId="2" r:id="rId3"/>
    <sheet name="Performance" sheetId="3" r:id="rId4"/>
    <sheet name="Variable O&amp;M" sheetId="4" r:id="rId5"/>
  </sheets>
  <externalReferences>
    <externalReference r:id="rId6"/>
    <externalReference r:id="rId7"/>
  </externalReferences>
  <definedNames>
    <definedName name="_xlnm.Print_Area" localSheetId="0">'Construction Costs'!$A$1:$F$42</definedName>
    <definedName name="_xlnm.Print_Area" localSheetId="1">'Cost Basis'!$B$5:$J$62</definedName>
    <definedName name="_xlnm.Print_Area" localSheetId="4">'Variable O&amp;M'!$A$1:$M$33</definedName>
  </definedNames>
  <calcPr calcId="152511"/>
</workbook>
</file>

<file path=xl/calcChain.xml><?xml version="1.0" encoding="utf-8"?>
<calcChain xmlns="http://schemas.openxmlformats.org/spreadsheetml/2006/main">
  <c r="F7" i="1" l="1"/>
  <c r="C15" i="1"/>
  <c r="C18" i="1"/>
  <c r="C19" i="1"/>
  <c r="F28" i="1" s="1"/>
  <c r="F23" i="1"/>
  <c r="C32" i="1"/>
  <c r="F37" i="1"/>
  <c r="F9" i="1" s="1"/>
  <c r="D9" i="5"/>
  <c r="H9" i="5"/>
  <c r="H10" i="5"/>
  <c r="H11" i="5"/>
  <c r="I11" i="5" s="1"/>
  <c r="D14" i="5"/>
  <c r="D13" i="5" s="1"/>
  <c r="H14" i="5"/>
  <c r="I14" i="5"/>
  <c r="D15" i="5"/>
  <c r="H15" i="5" s="1"/>
  <c r="I15" i="5" s="1"/>
  <c r="H16" i="5"/>
  <c r="I16" i="5"/>
  <c r="H17" i="5"/>
  <c r="I17" i="5"/>
  <c r="H18" i="5"/>
  <c r="I18" i="5" s="1"/>
  <c r="H19" i="5"/>
  <c r="I19" i="5" s="1"/>
  <c r="H20" i="5"/>
  <c r="I20" i="5"/>
  <c r="H21" i="5"/>
  <c r="I21" i="5"/>
  <c r="H22" i="5"/>
  <c r="I22" i="5" s="1"/>
  <c r="H23" i="5"/>
  <c r="I23" i="5" s="1"/>
  <c r="H24" i="5"/>
  <c r="H25" i="5"/>
  <c r="F27" i="5"/>
  <c r="H27" i="5"/>
  <c r="D28" i="5"/>
  <c r="H28" i="5" s="1"/>
  <c r="F28" i="5"/>
  <c r="H29" i="5"/>
  <c r="H30" i="5"/>
  <c r="H31" i="5"/>
  <c r="H32" i="5"/>
  <c r="H33" i="5"/>
  <c r="F34" i="5"/>
  <c r="H34" i="5"/>
  <c r="D35" i="5"/>
  <c r="F35" i="5"/>
  <c r="H35" i="5"/>
  <c r="H36" i="5"/>
  <c r="F37" i="5"/>
  <c r="H37" i="5"/>
  <c r="F38" i="5"/>
  <c r="H38" i="5"/>
  <c r="F39" i="5"/>
  <c r="H39" i="5"/>
  <c r="D40" i="5"/>
  <c r="F40" i="5"/>
  <c r="H40" i="5"/>
  <c r="D41" i="5"/>
  <c r="H41" i="5" s="1"/>
  <c r="F41" i="5"/>
  <c r="D42" i="5"/>
  <c r="F42" i="5"/>
  <c r="H42" i="5"/>
  <c r="F46" i="5"/>
  <c r="F49" i="5" s="1"/>
  <c r="F51" i="5" s="1"/>
  <c r="H47" i="5"/>
  <c r="D54" i="5"/>
  <c r="F54" i="5"/>
  <c r="H54" i="5"/>
  <c r="H55" i="5"/>
  <c r="H57" i="5"/>
  <c r="D59" i="5"/>
  <c r="F59" i="5"/>
  <c r="F61" i="5" s="1"/>
  <c r="F9" i="2"/>
  <c r="F14" i="2" s="1"/>
  <c r="F15" i="2" s="1"/>
  <c r="F16" i="2" s="1"/>
  <c r="F10" i="2"/>
  <c r="F11" i="2"/>
  <c r="F12" i="2"/>
  <c r="F13" i="2"/>
  <c r="E14" i="2"/>
  <c r="F25" i="2"/>
  <c r="F32" i="2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7" i="3"/>
  <c r="F17" i="3"/>
  <c r="G17" i="3"/>
  <c r="H17" i="3"/>
  <c r="I17" i="3"/>
  <c r="J17" i="3"/>
  <c r="E18" i="3"/>
  <c r="F18" i="3"/>
  <c r="G18" i="3"/>
  <c r="I18" i="3" s="1"/>
  <c r="H18" i="3"/>
  <c r="J18" i="3" s="1"/>
  <c r="E19" i="3"/>
  <c r="F19" i="3"/>
  <c r="G19" i="3"/>
  <c r="H19" i="3"/>
  <c r="J19" i="3" s="1"/>
  <c r="I19" i="3"/>
  <c r="E20" i="3"/>
  <c r="F20" i="3"/>
  <c r="G20" i="3"/>
  <c r="H20" i="3"/>
  <c r="I20" i="3"/>
  <c r="J20" i="3"/>
  <c r="E21" i="3"/>
  <c r="F21" i="3"/>
  <c r="G21" i="3"/>
  <c r="H21" i="3"/>
  <c r="I21" i="3"/>
  <c r="J21" i="3"/>
  <c r="E23" i="3"/>
  <c r="F23" i="3"/>
  <c r="G23" i="3"/>
  <c r="I23" i="3" s="1"/>
  <c r="H23" i="3"/>
  <c r="J23" i="3" s="1"/>
  <c r="E24" i="3"/>
  <c r="F24" i="3"/>
  <c r="G24" i="3"/>
  <c r="H24" i="3"/>
  <c r="J24" i="3" s="1"/>
  <c r="I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I27" i="3" s="1"/>
  <c r="H27" i="3"/>
  <c r="J27" i="3" s="1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D7" i="4"/>
  <c r="D17" i="4" s="1"/>
  <c r="D20" i="4" s="1"/>
  <c r="E7" i="4"/>
  <c r="E23" i="4" s="1"/>
  <c r="F7" i="4"/>
  <c r="F11" i="4" s="1"/>
  <c r="F14" i="4" s="1"/>
  <c r="G7" i="4"/>
  <c r="H7" i="4"/>
  <c r="I7" i="4"/>
  <c r="J7" i="4"/>
  <c r="J11" i="4" s="1"/>
  <c r="K7" i="4"/>
  <c r="L7" i="4"/>
  <c r="L17" i="4" s="1"/>
  <c r="M7" i="4"/>
  <c r="M17" i="4" s="1"/>
  <c r="N7" i="4"/>
  <c r="N11" i="4" s="1"/>
  <c r="O7" i="4"/>
  <c r="P7" i="4"/>
  <c r="Q7" i="4"/>
  <c r="R7" i="4"/>
  <c r="R11" i="4" s="1"/>
  <c r="S7" i="4"/>
  <c r="T7" i="4"/>
  <c r="T17" i="4" s="1"/>
  <c r="U7" i="4"/>
  <c r="U17" i="4" s="1"/>
  <c r="V7" i="4"/>
  <c r="V11" i="4" s="1"/>
  <c r="W7" i="4"/>
  <c r="X7" i="4"/>
  <c r="Y7" i="4"/>
  <c r="Z7" i="4"/>
  <c r="Z11" i="4" s="1"/>
  <c r="AA7" i="4"/>
  <c r="AB7" i="4"/>
  <c r="AB17" i="4" s="1"/>
  <c r="D11" i="4"/>
  <c r="D14" i="4" s="1"/>
  <c r="E11" i="4"/>
  <c r="E14" i="4" s="1"/>
  <c r="G11" i="4"/>
  <c r="H11" i="4"/>
  <c r="I11" i="4"/>
  <c r="K11" i="4"/>
  <c r="L11" i="4"/>
  <c r="M11" i="4"/>
  <c r="O11" i="4"/>
  <c r="P11" i="4"/>
  <c r="Q11" i="4"/>
  <c r="S11" i="4"/>
  <c r="T11" i="4"/>
  <c r="U11" i="4"/>
  <c r="W11" i="4"/>
  <c r="X11" i="4"/>
  <c r="Y11" i="4"/>
  <c r="AA11" i="4"/>
  <c r="AB11" i="4"/>
  <c r="C13" i="4"/>
  <c r="E12" i="4" s="1"/>
  <c r="F12" i="4" s="1"/>
  <c r="G12" i="4" s="1"/>
  <c r="G17" i="4"/>
  <c r="H17" i="4"/>
  <c r="I17" i="4"/>
  <c r="J17" i="4"/>
  <c r="K17" i="4"/>
  <c r="O17" i="4"/>
  <c r="P17" i="4"/>
  <c r="Q17" i="4"/>
  <c r="R17" i="4"/>
  <c r="S17" i="4"/>
  <c r="W17" i="4"/>
  <c r="X17" i="4"/>
  <c r="Y17" i="4"/>
  <c r="Z17" i="4"/>
  <c r="AA17" i="4"/>
  <c r="G23" i="4"/>
  <c r="H23" i="4"/>
  <c r="I23" i="4"/>
  <c r="J23" i="4"/>
  <c r="K23" i="4"/>
  <c r="O23" i="4"/>
  <c r="P23" i="4"/>
  <c r="Q23" i="4"/>
  <c r="R23" i="4"/>
  <c r="S23" i="4"/>
  <c r="W23" i="4"/>
  <c r="X23" i="4"/>
  <c r="Y23" i="4"/>
  <c r="Z23" i="4"/>
  <c r="AA23" i="4"/>
  <c r="D31" i="4"/>
  <c r="E31" i="4" s="1"/>
  <c r="D28" i="4" l="1"/>
  <c r="D29" i="4" s="1"/>
  <c r="D33" i="4" s="1"/>
  <c r="F17" i="2"/>
  <c r="F19" i="2"/>
  <c r="F33" i="2" s="1"/>
  <c r="H13" i="5"/>
  <c r="D46" i="5"/>
  <c r="D49" i="5" s="1"/>
  <c r="D51" i="5" s="1"/>
  <c r="F8" i="1"/>
  <c r="F10" i="1" s="1"/>
  <c r="F39" i="1"/>
  <c r="H12" i="4"/>
  <c r="G14" i="4"/>
  <c r="F31" i="4"/>
  <c r="J11" i="5"/>
  <c r="V23" i="4"/>
  <c r="U23" i="4"/>
  <c r="AB23" i="4"/>
  <c r="T23" i="4"/>
  <c r="L23" i="4"/>
  <c r="D23" i="4"/>
  <c r="D26" i="4" s="1"/>
  <c r="M23" i="4"/>
  <c r="V17" i="4"/>
  <c r="N17" i="4"/>
  <c r="F17" i="4"/>
  <c r="N23" i="4"/>
  <c r="C19" i="4"/>
  <c r="E17" i="4"/>
  <c r="F23" i="4"/>
  <c r="I12" i="4" l="1"/>
  <c r="H14" i="4"/>
  <c r="H46" i="5"/>
  <c r="H49" i="5" s="1"/>
  <c r="I13" i="5"/>
  <c r="N49" i="5"/>
  <c r="J25" i="5"/>
  <c r="E18" i="4"/>
  <c r="F18" i="4" s="1"/>
  <c r="G18" i="4" s="1"/>
  <c r="C25" i="4"/>
  <c r="E24" i="4" s="1"/>
  <c r="E20" i="4"/>
  <c r="G31" i="4"/>
  <c r="D61" i="5"/>
  <c r="F24" i="4" l="1"/>
  <c r="E26" i="4"/>
  <c r="H58" i="5"/>
  <c r="H59" i="5" s="1"/>
  <c r="H61" i="5" s="1"/>
  <c r="H62" i="5" s="1"/>
  <c r="H51" i="5"/>
  <c r="H18" i="4"/>
  <c r="G20" i="4"/>
  <c r="H31" i="4"/>
  <c r="J12" i="4"/>
  <c r="I14" i="4"/>
  <c r="E28" i="4"/>
  <c r="E29" i="4" s="1"/>
  <c r="E33" i="4" s="1"/>
  <c r="F20" i="4"/>
  <c r="I31" i="4" l="1"/>
  <c r="G24" i="4"/>
  <c r="F26" i="4"/>
  <c r="F28" i="4"/>
  <c r="F29" i="4" s="1"/>
  <c r="F33" i="4" s="1"/>
  <c r="I18" i="4"/>
  <c r="H20" i="4"/>
  <c r="K12" i="4"/>
  <c r="J14" i="4"/>
  <c r="H24" i="4" l="1"/>
  <c r="G26" i="4"/>
  <c r="G28" i="4" s="1"/>
  <c r="G29" i="4" s="1"/>
  <c r="G33" i="4" s="1"/>
  <c r="J31" i="4"/>
  <c r="J18" i="4"/>
  <c r="I20" i="4"/>
  <c r="L12" i="4"/>
  <c r="K14" i="4"/>
  <c r="M12" i="4" l="1"/>
  <c r="L14" i="4"/>
  <c r="K31" i="4"/>
  <c r="I24" i="4"/>
  <c r="H26" i="4"/>
  <c r="H28" i="4" s="1"/>
  <c r="H29" i="4" s="1"/>
  <c r="H33" i="4" s="1"/>
  <c r="K18" i="4"/>
  <c r="J20" i="4"/>
  <c r="L18" i="4" l="1"/>
  <c r="K20" i="4"/>
  <c r="J24" i="4"/>
  <c r="I26" i="4"/>
  <c r="I28" i="4" s="1"/>
  <c r="I29" i="4" s="1"/>
  <c r="I33" i="4" s="1"/>
  <c r="L31" i="4"/>
  <c r="N12" i="4"/>
  <c r="M14" i="4"/>
  <c r="K24" i="4" l="1"/>
  <c r="J26" i="4"/>
  <c r="J28" i="4" s="1"/>
  <c r="J29" i="4" s="1"/>
  <c r="J33" i="4" s="1"/>
  <c r="M31" i="4"/>
  <c r="O12" i="4"/>
  <c r="N14" i="4"/>
  <c r="M18" i="4"/>
  <c r="L20" i="4"/>
  <c r="N18" i="4" l="1"/>
  <c r="M20" i="4"/>
  <c r="P12" i="4"/>
  <c r="O14" i="4"/>
  <c r="K26" i="4"/>
  <c r="K28" i="4" s="1"/>
  <c r="K29" i="4" s="1"/>
  <c r="K33" i="4" s="1"/>
  <c r="L24" i="4"/>
  <c r="N31" i="4"/>
  <c r="M24" i="4" l="1"/>
  <c r="L26" i="4"/>
  <c r="L28" i="4" s="1"/>
  <c r="L29" i="4" s="1"/>
  <c r="L33" i="4" s="1"/>
  <c r="Q12" i="4"/>
  <c r="P14" i="4"/>
  <c r="O31" i="4"/>
  <c r="O18" i="4"/>
  <c r="N20" i="4"/>
  <c r="P31" i="4" l="1"/>
  <c r="Q14" i="4"/>
  <c r="R12" i="4"/>
  <c r="P18" i="4"/>
  <c r="O20" i="4"/>
  <c r="N24" i="4"/>
  <c r="M26" i="4"/>
  <c r="M28" i="4" s="1"/>
  <c r="M29" i="4" s="1"/>
  <c r="M33" i="4" s="1"/>
  <c r="S12" i="4" l="1"/>
  <c r="R14" i="4"/>
  <c r="Q31" i="4"/>
  <c r="O24" i="4"/>
  <c r="N26" i="4"/>
  <c r="N28" i="4" s="1"/>
  <c r="N29" i="4" s="1"/>
  <c r="N33" i="4" s="1"/>
  <c r="Q18" i="4"/>
  <c r="P20" i="4"/>
  <c r="R31" i="4" l="1"/>
  <c r="R18" i="4"/>
  <c r="Q20" i="4"/>
  <c r="P24" i="4"/>
  <c r="O26" i="4"/>
  <c r="O28" i="4" s="1"/>
  <c r="O29" i="4" s="1"/>
  <c r="O33" i="4" s="1"/>
  <c r="S14" i="4"/>
  <c r="T12" i="4"/>
  <c r="Q24" i="4" l="1"/>
  <c r="P26" i="4"/>
  <c r="P28" i="4" s="1"/>
  <c r="P29" i="4" s="1"/>
  <c r="P33" i="4" s="1"/>
  <c r="U12" i="4"/>
  <c r="T14" i="4"/>
  <c r="S18" i="4"/>
  <c r="R20" i="4"/>
  <c r="S31" i="4"/>
  <c r="R24" i="4" l="1"/>
  <c r="Q26" i="4"/>
  <c r="Q28" i="4" s="1"/>
  <c r="Q29" i="4" s="1"/>
  <c r="Q33" i="4" s="1"/>
  <c r="T18" i="4"/>
  <c r="S20" i="4"/>
  <c r="V12" i="4"/>
  <c r="U14" i="4"/>
  <c r="T31" i="4"/>
  <c r="S24" i="4" l="1"/>
  <c r="R26" i="4"/>
  <c r="R28" i="4" s="1"/>
  <c r="R29" i="4" s="1"/>
  <c r="R33" i="4" s="1"/>
  <c r="W12" i="4"/>
  <c r="V14" i="4"/>
  <c r="U18" i="4"/>
  <c r="T20" i="4"/>
  <c r="U31" i="4"/>
  <c r="T24" i="4" l="1"/>
  <c r="S26" i="4"/>
  <c r="S28" i="4" s="1"/>
  <c r="S29" i="4" s="1"/>
  <c r="S33" i="4" s="1"/>
  <c r="X12" i="4"/>
  <c r="W14" i="4"/>
  <c r="V31" i="4"/>
  <c r="V18" i="4"/>
  <c r="U20" i="4"/>
  <c r="W18" i="4" l="1"/>
  <c r="V20" i="4"/>
  <c r="Y12" i="4"/>
  <c r="X14" i="4"/>
  <c r="W31" i="4"/>
  <c r="U24" i="4"/>
  <c r="T26" i="4"/>
  <c r="T28" i="4" s="1"/>
  <c r="T29" i="4" s="1"/>
  <c r="T33" i="4" s="1"/>
  <c r="X18" i="4" l="1"/>
  <c r="W20" i="4"/>
  <c r="Y14" i="4"/>
  <c r="Z12" i="4"/>
  <c r="V24" i="4"/>
  <c r="U26" i="4"/>
  <c r="U28" i="4" s="1"/>
  <c r="U29" i="4" s="1"/>
  <c r="U33" i="4" s="1"/>
  <c r="X31" i="4"/>
  <c r="Y31" i="4" l="1"/>
  <c r="AA12" i="4"/>
  <c r="Z14" i="4"/>
  <c r="X20" i="4"/>
  <c r="Y18" i="4"/>
  <c r="W24" i="4"/>
  <c r="V26" i="4"/>
  <c r="V28" i="4" s="1"/>
  <c r="V29" i="4" s="1"/>
  <c r="V33" i="4" s="1"/>
  <c r="Z18" i="4" l="1"/>
  <c r="Y20" i="4"/>
  <c r="Z31" i="4"/>
  <c r="X24" i="4"/>
  <c r="W26" i="4"/>
  <c r="W28" i="4" s="1"/>
  <c r="W29" i="4" s="1"/>
  <c r="W33" i="4" s="1"/>
  <c r="AB12" i="4"/>
  <c r="AB14" i="4" s="1"/>
  <c r="AA14" i="4"/>
  <c r="Y24" i="4" l="1"/>
  <c r="X26" i="4"/>
  <c r="X28" i="4" s="1"/>
  <c r="X29" i="4" s="1"/>
  <c r="X33" i="4" s="1"/>
  <c r="AA31" i="4"/>
  <c r="AA18" i="4"/>
  <c r="Z20" i="4"/>
  <c r="AB18" i="4" l="1"/>
  <c r="AB20" i="4" s="1"/>
  <c r="AA20" i="4"/>
  <c r="AB31" i="4"/>
  <c r="Z24" i="4"/>
  <c r="Y26" i="4"/>
  <c r="Y28" i="4" s="1"/>
  <c r="Y29" i="4" s="1"/>
  <c r="Y33" i="4" s="1"/>
  <c r="AA24" i="4" l="1"/>
  <c r="Z26" i="4"/>
  <c r="Z28" i="4" s="1"/>
  <c r="Z29" i="4" s="1"/>
  <c r="Z33" i="4" s="1"/>
  <c r="AA26" i="4" l="1"/>
  <c r="AA28" i="4" s="1"/>
  <c r="AA29" i="4" s="1"/>
  <c r="AA33" i="4" s="1"/>
  <c r="AB24" i="4"/>
  <c r="AB26" i="4" s="1"/>
  <c r="AB28" i="4" s="1"/>
  <c r="AB29" i="4" s="1"/>
  <c r="AB33" i="4" s="1"/>
</calcChain>
</file>

<file path=xl/comments1.xml><?xml version="1.0" encoding="utf-8"?>
<comments xmlns="http://schemas.openxmlformats.org/spreadsheetml/2006/main">
  <authors>
    <author>Authorized User</author>
  </authors>
  <commentList>
    <comment ref="F22" authorId="0" shapeId="0">
      <text>
        <r>
          <rPr>
            <b/>
            <sz val="8"/>
            <color indexed="81"/>
            <rFont val="Tahoma"/>
          </rPr>
          <t>Authorized User:</t>
        </r>
        <r>
          <rPr>
            <sz val="8"/>
            <color indexed="81"/>
            <rFont val="Tahoma"/>
          </rPr>
          <t xml:space="preserve">
Added at B. Bierenkoven's request</t>
        </r>
      </text>
    </comment>
  </commentList>
</comments>
</file>

<file path=xl/sharedStrings.xml><?xml version="1.0" encoding="utf-8"?>
<sst xmlns="http://schemas.openxmlformats.org/spreadsheetml/2006/main" count="293" uniqueCount="179">
  <si>
    <t>Project Orion</t>
  </si>
  <si>
    <t>Summary of Project Costs (Plant 1)</t>
  </si>
  <si>
    <t>Source</t>
  </si>
  <si>
    <t>Summary</t>
  </si>
  <si>
    <t>Date</t>
  </si>
  <si>
    <t>Land</t>
  </si>
  <si>
    <t>EPC</t>
  </si>
  <si>
    <t>Management's Costs</t>
  </si>
  <si>
    <t>Major Equipment</t>
  </si>
  <si>
    <t>Total Project Cost</t>
  </si>
  <si>
    <t>Gas Turbines</t>
  </si>
  <si>
    <t>Heat Recovery Boilers</t>
  </si>
  <si>
    <t>Steam Turbines</t>
  </si>
  <si>
    <r>
      <t xml:space="preserve">Construction Services </t>
    </r>
    <r>
      <rPr>
        <sz val="10"/>
        <rFont val="Arial"/>
      </rPr>
      <t>(Cont.)</t>
    </r>
  </si>
  <si>
    <t>Total Major Equipment</t>
  </si>
  <si>
    <t>Structural Steel</t>
  </si>
  <si>
    <t>Balance of Plant Equipment and Materials</t>
  </si>
  <si>
    <t>Building and Erection</t>
  </si>
  <si>
    <t>Electrical Xfrmrs  and Swgr</t>
  </si>
  <si>
    <t>Equipment Installation - Mechanical</t>
  </si>
  <si>
    <t>Instrumentation and Controls</t>
  </si>
  <si>
    <t>Process Piping</t>
  </si>
  <si>
    <t>Conduit, Wire and Cable</t>
  </si>
  <si>
    <t>Equipment Installation - Electrical</t>
  </si>
  <si>
    <t>Metal Building</t>
  </si>
  <si>
    <t>Electrical - Wire, Cable &amp; Terminati</t>
  </si>
  <si>
    <t>Pumps</t>
  </si>
  <si>
    <t>Testing, Calibration</t>
  </si>
  <si>
    <t>Misc. Equipment</t>
  </si>
  <si>
    <t>Site Interconnections Eng. &amp; Construction</t>
  </si>
  <si>
    <t>Condeners</t>
  </si>
  <si>
    <t>Total Construction Services</t>
  </si>
  <si>
    <t>Natural Gas Sample and Meter</t>
  </si>
  <si>
    <t>Cooling Tower</t>
  </si>
  <si>
    <t>Change Orders/Contingency</t>
  </si>
  <si>
    <t>Piping</t>
  </si>
  <si>
    <t>Valves</t>
  </si>
  <si>
    <t>Engineering</t>
  </si>
  <si>
    <t>Total Plant Equipment and Materials</t>
  </si>
  <si>
    <t>Total EPC</t>
  </si>
  <si>
    <t>Construction Services</t>
  </si>
  <si>
    <t>General Conditions Incl. O.H. And Pro.</t>
  </si>
  <si>
    <t>Managment's Costs</t>
  </si>
  <si>
    <t>Field Office Expenses</t>
  </si>
  <si>
    <t>Field Office Personnel</t>
  </si>
  <si>
    <t>Misc. General Field Conditions</t>
  </si>
  <si>
    <t>O&amp;M Start Up Personnel and Expenses</t>
  </si>
  <si>
    <t>Electrical Subcontractor Indirects</t>
  </si>
  <si>
    <t>Spare Parts</t>
  </si>
  <si>
    <t>Construction Equipment</t>
  </si>
  <si>
    <t>Insurance</t>
  </si>
  <si>
    <t>Mobilization</t>
  </si>
  <si>
    <t>Allowance for Sales and Use Tax</t>
  </si>
  <si>
    <t>Site Development</t>
  </si>
  <si>
    <t>Total Management's Costs</t>
  </si>
  <si>
    <t>Foundations</t>
  </si>
  <si>
    <t>Total Plant Costs</t>
  </si>
  <si>
    <t>Project Management, Expenses and Devel't Fees</t>
  </si>
  <si>
    <t>Freight</t>
  </si>
  <si>
    <t>STANDARD 1EA + 6 LM</t>
  </si>
  <si>
    <t>SUMMARY OF ANNUAL OPERATION &amp; MAINTENANCE</t>
  </si>
  <si>
    <t>Prepared by P. Steinway</t>
  </si>
  <si>
    <t>(Amounts in US$ Actual)</t>
  </si>
  <si>
    <t>Average</t>
  </si>
  <si>
    <t>Total</t>
  </si>
  <si>
    <t>Personnel Expenses</t>
  </si>
  <si>
    <t>Annual</t>
  </si>
  <si>
    <t>Positions</t>
  </si>
  <si>
    <t>Wages Manager</t>
  </si>
  <si>
    <t>Wages Supervisors</t>
  </si>
  <si>
    <t>Wage Administration</t>
  </si>
  <si>
    <t>Wages Operations</t>
  </si>
  <si>
    <t>Wages Maintenance</t>
  </si>
  <si>
    <t>Wages Subtotal</t>
  </si>
  <si>
    <t>Burden Expenses @ 45%</t>
  </si>
  <si>
    <t>Burdened Wages</t>
  </si>
  <si>
    <t>G&amp;A @ 15%</t>
  </si>
  <si>
    <t>Fees</t>
  </si>
  <si>
    <t>Sub Total Personnel</t>
  </si>
  <si>
    <t>Operation &amp; Maintenance</t>
  </si>
  <si>
    <r>
      <t xml:space="preserve">Semi Variable (Values assume a 50% Capacity Factor) </t>
    </r>
    <r>
      <rPr>
        <vertAlign val="superscript"/>
        <sz val="9"/>
        <rFont val="Times New Roman"/>
        <family val="1"/>
      </rPr>
      <t>1</t>
    </r>
  </si>
  <si>
    <t>Equipment Parts</t>
  </si>
  <si>
    <t>Expendables</t>
  </si>
  <si>
    <t>Sub Total Semi Variable O&amp;M</t>
  </si>
  <si>
    <t>Fixed</t>
  </si>
  <si>
    <t>Outside Services</t>
  </si>
  <si>
    <t>Water Treatment</t>
  </si>
  <si>
    <t>Office</t>
  </si>
  <si>
    <t>Training</t>
  </si>
  <si>
    <t>Other</t>
  </si>
  <si>
    <t>Sub Total Fixed O&amp;M</t>
  </si>
  <si>
    <t>Can alter for capacity factor as follows:  Cost *(1 - ((50% - CF) * .6)) Not currently implemented.</t>
  </si>
  <si>
    <t>No Chilling</t>
  </si>
  <si>
    <t>with Chilling</t>
  </si>
  <si>
    <t>No STG Upgrade</t>
  </si>
  <si>
    <t>with STG Upgrade</t>
  </si>
  <si>
    <t>Estd Net</t>
  </si>
  <si>
    <t>Ambient</t>
  </si>
  <si>
    <t>RH</t>
  </si>
  <si>
    <t>Config</t>
  </si>
  <si>
    <t>Output *</t>
  </si>
  <si>
    <t>Heat Rate</t>
  </si>
  <si>
    <t>Load</t>
  </si>
  <si>
    <t>Temp (F)</t>
  </si>
  <si>
    <t>(%)</t>
  </si>
  <si>
    <t>7/LM/Stg</t>
  </si>
  <si>
    <t>(mwe)</t>
  </si>
  <si>
    <t>(btu/kwe)</t>
  </si>
  <si>
    <t>Peak</t>
  </si>
  <si>
    <t>162 F</t>
  </si>
  <si>
    <t>Swing</t>
  </si>
  <si>
    <t>162 N</t>
  </si>
  <si>
    <t>Min</t>
  </si>
  <si>
    <t>101 N</t>
  </si>
  <si>
    <t>* Includes 6% for general parasitic and transformer losses plus chiller parasitic loads depending on the amount of chilling being done.</t>
  </si>
  <si>
    <t>Orion Performance Summary 10/12/99: (Expect Update to this by 10/29/99)</t>
  </si>
  <si>
    <t>Variable O&amp;M Costs</t>
  </si>
  <si>
    <t>Total MWh</t>
  </si>
  <si>
    <t>Raw Water</t>
  </si>
  <si>
    <t>Gallons Used ('000s)</t>
  </si>
  <si>
    <t>Cost per 1,000 gals</t>
  </si>
  <si>
    <t>Inflation Factor</t>
  </si>
  <si>
    <t>Raw Water Total Cost</t>
  </si>
  <si>
    <t>Demineralized Water</t>
  </si>
  <si>
    <t>Demineralized Water Total Cost</t>
  </si>
  <si>
    <t>Sewer</t>
  </si>
  <si>
    <t>Sewer Total Cost</t>
  </si>
  <si>
    <t>Total Variable O&amp;M</t>
  </si>
  <si>
    <t>$/MWh</t>
  </si>
  <si>
    <t>Misc. Expendables ($.MWh)</t>
  </si>
  <si>
    <t>Water, Sewer, Demin and Misc. Variable O&amp;M ($/MWh)</t>
  </si>
  <si>
    <t>thousand gals per MWh</t>
  </si>
  <si>
    <t>Summary of Actual Project Costs</t>
  </si>
  <si>
    <t>Fort</t>
  </si>
  <si>
    <t>Orion</t>
  </si>
  <si>
    <t>Lupton</t>
  </si>
  <si>
    <t>Greeley</t>
  </si>
  <si>
    <t>6LM x 6 x 3</t>
  </si>
  <si>
    <t>1EA x 1 x 1</t>
  </si>
  <si>
    <t>5 x 5 x 2</t>
  </si>
  <si>
    <t>1 x 1 x 0</t>
  </si>
  <si>
    <t>Component</t>
  </si>
  <si>
    <t>Notes</t>
  </si>
  <si>
    <t>LMs at $11m each plus $125K shipping…7EA at $17m plus $500K shipping &amp; misc.</t>
  </si>
  <si>
    <t>LMs at 6 5ths Fort Lupton times 1.15 for altitude/capacity adjust…EA swag.</t>
  </si>
  <si>
    <t>LMs at 6 5ths Fort Lupton times 1.15 for altitude/capacity adjust…EA at ST MW ratio.</t>
  </si>
  <si>
    <t>Balance of Plant Equipment &amp; Materials</t>
  </si>
  <si>
    <t>Electrical Xfrmrs &amp; Swgr</t>
  </si>
  <si>
    <t>Instrumentation &amp; Controls</t>
  </si>
  <si>
    <t>Conduit, Wire &amp; Cable</t>
  </si>
  <si>
    <t>Condensers</t>
  </si>
  <si>
    <t>Natural Gas Sample &amp; Meter</t>
  </si>
  <si>
    <t>All Electrical Equipment</t>
  </si>
  <si>
    <t>All Mechanical Equipment</t>
  </si>
  <si>
    <t>General Conditions Incl. O.H. &amp; Profit</t>
  </si>
  <si>
    <t>1.6 times Fort Lup;ton</t>
  </si>
  <si>
    <t>Misc General Field Conditions</t>
  </si>
  <si>
    <t xml:space="preserve">Foundations </t>
  </si>
  <si>
    <t>2.0 times Fort Lupton due to foundations on EA</t>
  </si>
  <si>
    <t>Building &amp; Erection</t>
  </si>
  <si>
    <t>Electrical - Wire, Cable &amp; Terminations</t>
  </si>
  <si>
    <t xml:space="preserve">Testing, Calibration </t>
  </si>
  <si>
    <t>Change Orders &amp; Contingency</t>
  </si>
  <si>
    <t>5% of subtotal</t>
  </si>
  <si>
    <t>SUB TOTAL</t>
  </si>
  <si>
    <t>2.0 times Fort Lupton</t>
  </si>
  <si>
    <t>SUB TOTAL "EPC"</t>
  </si>
  <si>
    <t>POWER GENERATION @ SEA LEVEL</t>
  </si>
  <si>
    <t>kW</t>
  </si>
  <si>
    <t>$/KW</t>
  </si>
  <si>
    <t>Other Internal Costs</t>
  </si>
  <si>
    <t>Project Management, Expenses &amp; Consultants</t>
  </si>
  <si>
    <t>O &amp; M Start Up Personnel &amp; Expenses</t>
  </si>
  <si>
    <t>Includes cost of spare LM shared amoung 2.5 sites</t>
  </si>
  <si>
    <t>Allowanced for Sales &amp; Use Taxes</t>
  </si>
  <si>
    <t>SUB TOTAL OTHER COSTS</t>
  </si>
  <si>
    <t>GRAND TOTAL POWER PLANT</t>
  </si>
  <si>
    <t>PROCUREMENT &amp; CONST</t>
  </si>
  <si>
    <t>Paul Steinway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</si>
</sst>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  <numFmt numFmtId="165" formatCode="yyyy"/>
    <numFmt numFmtId="166" formatCode="&quot;$&quot;#,##0.00"/>
    <numFmt numFmtId="167" formatCode="0.0%"/>
    <numFmt numFmtId="168" formatCode="&quot;$&quot;#,##0"/>
  </numFmts>
  <fonts count="2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9"/>
      <name val="Times New Roman"/>
      <family val="1"/>
    </font>
    <font>
      <sz val="9"/>
      <name val="Arial"/>
    </font>
    <font>
      <b/>
      <i/>
      <sz val="9"/>
      <name val="Times New Roman"/>
      <family val="1"/>
    </font>
    <font>
      <b/>
      <i/>
      <sz val="9"/>
      <name val="Arial"/>
      <family val="2"/>
    </font>
    <font>
      <sz val="9"/>
      <color indexed="12"/>
      <name val="Arial"/>
      <family val="2"/>
    </font>
    <font>
      <i/>
      <sz val="9"/>
      <name val="Times New Roman"/>
      <family val="1"/>
    </font>
    <font>
      <vertAlign val="superscript"/>
      <sz val="9"/>
      <name val="Times New Roman"/>
      <family val="1"/>
    </font>
    <font>
      <b/>
      <sz val="9"/>
      <name val="Arial"/>
      <family val="2"/>
    </font>
    <font>
      <sz val="8"/>
      <name val="Times New Roman"/>
      <family val="1"/>
    </font>
    <font>
      <b/>
      <sz val="8"/>
      <name val="Arial"/>
      <family val="2"/>
    </font>
    <font>
      <sz val="8"/>
      <name val="Arial"/>
    </font>
    <font>
      <b/>
      <i/>
      <sz val="8"/>
      <name val="Arial"/>
      <family val="2"/>
    </font>
    <font>
      <sz val="8"/>
      <name val="Arial"/>
      <family val="2"/>
    </font>
    <font>
      <i/>
      <sz val="8"/>
      <name val="Times New Roman"/>
      <family val="1"/>
    </font>
    <font>
      <b/>
      <sz val="8"/>
      <name val="Times New Roman"/>
      <family val="1"/>
    </font>
    <font>
      <sz val="8"/>
      <color indexed="12"/>
      <name val="Arial"/>
      <family val="2"/>
    </font>
    <font>
      <sz val="8"/>
      <color indexed="8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4" fillId="0" borderId="0" xfId="0" applyFont="1" applyBorder="1"/>
    <xf numFmtId="14" fontId="3" fillId="0" borderId="0" xfId="1" applyNumberFormat="1" applyFont="1" applyBorder="1" applyAlignment="1">
      <alignment horizontal="center"/>
    </xf>
    <xf numFmtId="164" fontId="5" fillId="0" borderId="0" xfId="0" applyNumberFormat="1" applyFont="1" applyBorder="1"/>
    <xf numFmtId="164" fontId="3" fillId="0" borderId="0" xfId="1" applyNumberFormat="1" applyFont="1" applyAlignment="1">
      <alignment horizontal="center"/>
    </xf>
    <xf numFmtId="0" fontId="6" fillId="0" borderId="0" xfId="0" applyFont="1" applyBorder="1"/>
    <xf numFmtId="164" fontId="6" fillId="0" borderId="0" xfId="0" applyNumberFormat="1" applyFont="1" applyBorder="1"/>
    <xf numFmtId="0" fontId="6" fillId="0" borderId="0" xfId="0" applyFont="1"/>
    <xf numFmtId="164" fontId="3" fillId="0" borderId="0" xfId="1" applyNumberFormat="1" applyFont="1"/>
    <xf numFmtId="164" fontId="2" fillId="0" borderId="0" xfId="0" applyNumberFormat="1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164" fontId="7" fillId="0" borderId="0" xfId="1" applyNumberFormat="1" applyFont="1"/>
    <xf numFmtId="0" fontId="6" fillId="0" borderId="6" xfId="0" applyFont="1" applyBorder="1"/>
    <xf numFmtId="164" fontId="3" fillId="0" borderId="0" xfId="1" applyNumberFormat="1" applyFont="1" applyBorder="1"/>
    <xf numFmtId="0" fontId="0" fillId="0" borderId="7" xfId="0" applyBorder="1"/>
    <xf numFmtId="164" fontId="0" fillId="0" borderId="0" xfId="0" applyNumberFormat="1"/>
    <xf numFmtId="0" fontId="0" fillId="0" borderId="6" xfId="0" applyBorder="1"/>
    <xf numFmtId="164" fontId="3" fillId="0" borderId="7" xfId="1" applyNumberFormat="1" applyFont="1" applyBorder="1"/>
    <xf numFmtId="164" fontId="7" fillId="0" borderId="0" xfId="1" applyNumberFormat="1" applyFont="1" applyBorder="1"/>
    <xf numFmtId="164" fontId="0" fillId="0" borderId="0" xfId="0" applyNumberFormat="1" applyBorder="1"/>
    <xf numFmtId="0" fontId="5" fillId="0" borderId="0" xfId="0" applyFont="1" applyBorder="1"/>
    <xf numFmtId="164" fontId="7" fillId="0" borderId="7" xfId="1" applyNumberFormat="1" applyFont="1" applyBorder="1"/>
    <xf numFmtId="164" fontId="0" fillId="0" borderId="7" xfId="0" applyNumberFormat="1" applyBorder="1"/>
    <xf numFmtId="164" fontId="6" fillId="0" borderId="7" xfId="1" applyNumberFormat="1" applyFont="1" applyBorder="1"/>
    <xf numFmtId="164" fontId="2" fillId="0" borderId="7" xfId="0" applyNumberFormat="1" applyFont="1" applyBorder="1"/>
    <xf numFmtId="164" fontId="8" fillId="0" borderId="7" xfId="1" applyNumberFormat="1" applyFont="1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5" fillId="0" borderId="0" xfId="0" applyFont="1"/>
    <xf numFmtId="0" fontId="11" fillId="0" borderId="0" xfId="0" applyFont="1" applyAlignment="1"/>
    <xf numFmtId="0" fontId="12" fillId="0" borderId="0" xfId="0" applyFont="1"/>
    <xf numFmtId="0" fontId="13" fillId="0" borderId="0" xfId="0" applyFont="1" applyAlignment="1"/>
    <xf numFmtId="0" fontId="14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42" fontId="11" fillId="0" borderId="0" xfId="0" applyNumberFormat="1" applyFont="1" applyAlignment="1">
      <alignment horizontal="center"/>
    </xf>
    <xf numFmtId="5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/>
    </xf>
    <xf numFmtId="5" fontId="15" fillId="0" borderId="2" xfId="0" applyNumberFormat="1" applyFont="1" applyBorder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5" fontId="12" fillId="0" borderId="0" xfId="0" applyNumberFormat="1" applyFont="1"/>
    <xf numFmtId="5" fontId="12" fillId="0" borderId="2" xfId="0" applyNumberFormat="1" applyFont="1" applyBorder="1"/>
    <xf numFmtId="0" fontId="12" fillId="0" borderId="10" xfId="0" applyFont="1" applyBorder="1"/>
    <xf numFmtId="0" fontId="12" fillId="0" borderId="10" xfId="0" applyFont="1" applyBorder="1" applyAlignment="1">
      <alignment horizontal="center"/>
    </xf>
    <xf numFmtId="5" fontId="15" fillId="0" borderId="10" xfId="0" applyNumberFormat="1" applyFont="1" applyBorder="1"/>
    <xf numFmtId="0" fontId="11" fillId="0" borderId="0" xfId="0" applyFont="1" applyAlignment="1">
      <alignment horizontal="right"/>
    </xf>
    <xf numFmtId="42" fontId="12" fillId="0" borderId="0" xfId="0" applyNumberFormat="1" applyFont="1"/>
    <xf numFmtId="0" fontId="16" fillId="0" borderId="0" xfId="0" applyFont="1"/>
    <xf numFmtId="0" fontId="12" fillId="0" borderId="0" xfId="0" applyFont="1" applyFill="1" applyBorder="1"/>
    <xf numFmtId="0" fontId="12" fillId="0" borderId="10" xfId="0" applyFont="1" applyFill="1" applyBorder="1"/>
    <xf numFmtId="0" fontId="11" fillId="0" borderId="10" xfId="0" applyFont="1" applyBorder="1" applyAlignment="1">
      <alignment horizontal="right"/>
    </xf>
    <xf numFmtId="5" fontId="12" fillId="0" borderId="10" xfId="0" applyNumberFormat="1" applyFont="1" applyFill="1" applyBorder="1"/>
    <xf numFmtId="5" fontId="18" fillId="0" borderId="0" xfId="0" applyNumberFormat="1" applyFont="1"/>
    <xf numFmtId="0" fontId="19" fillId="0" borderId="0" xfId="0" applyFont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6" xfId="0" applyNumberFormat="1" applyBorder="1"/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4" fontId="3" fillId="0" borderId="2" xfId="1" applyNumberFormat="1" applyFont="1" applyBorder="1"/>
    <xf numFmtId="0" fontId="20" fillId="0" borderId="0" xfId="0" applyFont="1"/>
    <xf numFmtId="0" fontId="21" fillId="0" borderId="0" xfId="0" applyFont="1"/>
    <xf numFmtId="0" fontId="21" fillId="0" borderId="0" xfId="0" applyFont="1" applyFill="1"/>
    <xf numFmtId="0" fontId="21" fillId="0" borderId="0" xfId="0" applyFont="1" applyBorder="1"/>
    <xf numFmtId="0" fontId="22" fillId="0" borderId="1" xfId="0" applyFont="1" applyBorder="1"/>
    <xf numFmtId="0" fontId="21" fillId="0" borderId="1" xfId="0" applyFont="1" applyBorder="1"/>
    <xf numFmtId="0" fontId="21" fillId="0" borderId="0" xfId="0" applyFont="1" applyAlignment="1">
      <alignment horizontal="center"/>
    </xf>
    <xf numFmtId="0" fontId="21" fillId="0" borderId="2" xfId="0" applyFont="1" applyBorder="1"/>
    <xf numFmtId="165" fontId="23" fillId="0" borderId="2" xfId="0" applyNumberFormat="1" applyFont="1" applyBorder="1" applyAlignment="1">
      <alignment horizontal="center"/>
    </xf>
    <xf numFmtId="165" fontId="23" fillId="0" borderId="0" xfId="0" applyNumberFormat="1" applyFont="1" applyBorder="1" applyAlignment="1">
      <alignment horizontal="center"/>
    </xf>
    <xf numFmtId="0" fontId="24" fillId="0" borderId="0" xfId="0" applyFont="1"/>
    <xf numFmtId="0" fontId="25" fillId="0" borderId="0" xfId="0" applyFont="1" applyAlignment="1">
      <alignment horizontal="right"/>
    </xf>
    <xf numFmtId="42" fontId="21" fillId="0" borderId="0" xfId="0" applyNumberFormat="1" applyFont="1"/>
    <xf numFmtId="37" fontId="21" fillId="0" borderId="0" xfId="0" applyNumberFormat="1" applyFont="1"/>
    <xf numFmtId="0" fontId="26" fillId="2" borderId="0" xfId="0" applyFont="1" applyFill="1"/>
    <xf numFmtId="164" fontId="21" fillId="0" borderId="0" xfId="1" applyNumberFormat="1" applyFont="1"/>
    <xf numFmtId="166" fontId="26" fillId="2" borderId="0" xfId="0" applyNumberFormat="1" applyFont="1" applyFill="1" applyAlignment="1">
      <alignment horizontal="center"/>
    </xf>
    <xf numFmtId="166" fontId="21" fillId="0" borderId="0" xfId="0" applyNumberFormat="1" applyFont="1"/>
    <xf numFmtId="167" fontId="27" fillId="0" borderId="0" xfId="2" applyNumberFormat="1" applyFont="1" applyFill="1" applyAlignment="1">
      <alignment horizontal="center"/>
    </xf>
    <xf numFmtId="168" fontId="21" fillId="0" borderId="0" xfId="0" applyNumberFormat="1" applyFont="1"/>
    <xf numFmtId="166" fontId="26" fillId="0" borderId="0" xfId="0" applyNumberFormat="1" applyFont="1" applyFill="1" applyBorder="1" applyAlignment="1">
      <alignment horizontal="center"/>
    </xf>
    <xf numFmtId="43" fontId="26" fillId="2" borderId="0" xfId="1" applyFont="1" applyFill="1"/>
    <xf numFmtId="168" fontId="20" fillId="0" borderId="0" xfId="0" applyNumberFormat="1" applyFont="1"/>
    <xf numFmtId="166" fontId="20" fillId="0" borderId="0" xfId="0" applyNumberFormat="1" applyFont="1"/>
    <xf numFmtId="42" fontId="28" fillId="0" borderId="0" xfId="0" applyNumberFormat="1" applyFont="1" applyAlignment="1">
      <alignment horizontal="center"/>
    </xf>
    <xf numFmtId="42" fontId="28" fillId="0" borderId="0" xfId="0" applyNumberFormat="1" applyFont="1" applyBorder="1" applyAlignment="1">
      <alignment horizontal="center"/>
    </xf>
    <xf numFmtId="42" fontId="0" fillId="0" borderId="0" xfId="0" applyNumberFormat="1" applyBorder="1"/>
    <xf numFmtId="167" fontId="0" fillId="0" borderId="0" xfId="0" applyNumberFormat="1" applyBorder="1"/>
    <xf numFmtId="0" fontId="28" fillId="0" borderId="0" xfId="0" applyFont="1" applyBorder="1"/>
    <xf numFmtId="0" fontId="28" fillId="0" borderId="0" xfId="0" applyFont="1" applyBorder="1" applyAlignment="1">
      <alignment horizontal="right"/>
    </xf>
    <xf numFmtId="166" fontId="28" fillId="0" borderId="0" xfId="0" applyNumberFormat="1" applyFont="1" applyBorder="1"/>
    <xf numFmtId="42" fontId="0" fillId="0" borderId="0" xfId="0" applyNumberFormat="1"/>
    <xf numFmtId="0" fontId="23" fillId="0" borderId="0" xfId="0" applyFont="1"/>
    <xf numFmtId="0" fontId="20" fillId="0" borderId="0" xfId="0" applyFont="1" applyAlignment="1">
      <alignment horizontal="center"/>
    </xf>
    <xf numFmtId="42" fontId="20" fillId="0" borderId="0" xfId="0" applyNumberFormat="1" applyFont="1"/>
    <xf numFmtId="42" fontId="20" fillId="0" borderId="0" xfId="0" applyNumberFormat="1" applyFont="1" applyAlignment="1">
      <alignment horizontal="center"/>
    </xf>
    <xf numFmtId="0" fontId="23" fillId="0" borderId="0" xfId="0" applyFont="1" applyBorder="1"/>
    <xf numFmtId="0" fontId="20" fillId="0" borderId="0" xfId="0" applyFont="1" applyBorder="1" applyAlignment="1">
      <alignment horizontal="center"/>
    </xf>
    <xf numFmtId="0" fontId="20" fillId="0" borderId="0" xfId="0" applyFont="1" applyBorder="1"/>
    <xf numFmtId="42" fontId="20" fillId="0" borderId="0" xfId="0" applyNumberFormat="1" applyFont="1" applyBorder="1"/>
    <xf numFmtId="42" fontId="20" fillId="0" borderId="0" xfId="0" applyNumberFormat="1" applyFont="1" applyBorder="1" applyAlignment="1">
      <alignment horizontal="center"/>
    </xf>
    <xf numFmtId="42" fontId="23" fillId="0" borderId="0" xfId="0" applyNumberFormat="1" applyFont="1" applyBorder="1"/>
    <xf numFmtId="42" fontId="23" fillId="0" borderId="0" xfId="0" applyNumberFormat="1" applyFont="1" applyBorder="1" applyAlignment="1">
      <alignment horizontal="center"/>
    </xf>
    <xf numFmtId="3" fontId="20" fillId="0" borderId="0" xfId="0" applyNumberFormat="1" applyFont="1" applyBorder="1"/>
    <xf numFmtId="37" fontId="20" fillId="0" borderId="0" xfId="0" applyNumberFormat="1" applyFont="1" applyBorder="1"/>
    <xf numFmtId="0" fontId="20" fillId="0" borderId="0" xfId="0" applyFont="1" applyBorder="1" applyAlignment="1">
      <alignment horizontal="right"/>
    </xf>
    <xf numFmtId="166" fontId="20" fillId="0" borderId="0" xfId="0" applyNumberFormat="1" applyFont="1" applyBorder="1"/>
    <xf numFmtId="0" fontId="0" fillId="0" borderId="0" xfId="0" applyAlignment="1">
      <alignment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Summary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KNPower\Project%20Orion\Model\MI%20Final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aytheon Data"/>
      <sheetName val="with Chilling"/>
      <sheetName val="with 105 mw stg"/>
    </sheetNames>
    <sheetDataSet>
      <sheetData sheetId="0"/>
      <sheetData sheetId="1">
        <row r="8">
          <cell r="I8">
            <v>574256</v>
          </cell>
          <cell r="K8">
            <v>7967.4570226519199</v>
          </cell>
        </row>
        <row r="9">
          <cell r="I9">
            <v>574950</v>
          </cell>
          <cell r="K9">
            <v>7735.594399513001</v>
          </cell>
        </row>
        <row r="10">
          <cell r="I10">
            <v>534914</v>
          </cell>
          <cell r="K10">
            <v>7819.7990705047914</v>
          </cell>
        </row>
        <row r="11">
          <cell r="I11">
            <v>495006</v>
          </cell>
          <cell r="K11">
            <v>7991.5799000416155</v>
          </cell>
        </row>
        <row r="12">
          <cell r="I12">
            <v>457980</v>
          </cell>
          <cell r="K12">
            <v>8148.9256928446985</v>
          </cell>
        </row>
        <row r="13">
          <cell r="I13">
            <v>430502</v>
          </cell>
          <cell r="K13">
            <v>8082.1142836644558</v>
          </cell>
        </row>
        <row r="15">
          <cell r="I15">
            <v>471012</v>
          </cell>
          <cell r="K15">
            <v>6820.5905582023388</v>
          </cell>
        </row>
        <row r="16">
          <cell r="I16">
            <v>465096</v>
          </cell>
          <cell r="K16">
            <v>6811.3679756437368</v>
          </cell>
        </row>
        <row r="17">
          <cell r="I17">
            <v>431574</v>
          </cell>
          <cell r="K17">
            <v>6872.3324389328363</v>
          </cell>
        </row>
        <row r="18">
          <cell r="I18">
            <v>389844</v>
          </cell>
          <cell r="K18">
            <v>6976.0724802741606</v>
          </cell>
        </row>
        <row r="19">
          <cell r="I19">
            <v>352782</v>
          </cell>
          <cell r="K19">
            <v>7132.8469139581948</v>
          </cell>
        </row>
        <row r="21">
          <cell r="I21">
            <v>80269</v>
          </cell>
          <cell r="K21">
            <v>6953.369295743064</v>
          </cell>
        </row>
        <row r="22">
          <cell r="I22">
            <v>74975</v>
          </cell>
          <cell r="K22">
            <v>8146.7155718572858</v>
          </cell>
        </row>
        <row r="23">
          <cell r="I23">
            <v>66601</v>
          </cell>
          <cell r="K23">
            <v>8414.2880737526466</v>
          </cell>
        </row>
        <row r="24">
          <cell r="I24">
            <v>63310</v>
          </cell>
          <cell r="K24">
            <v>8431.5274048333595</v>
          </cell>
        </row>
        <row r="25">
          <cell r="I25">
            <v>60327</v>
          </cell>
          <cell r="K25">
            <v>8528.5195683524798</v>
          </cell>
        </row>
      </sheetData>
      <sheetData sheetId="2">
        <row r="8">
          <cell r="J8">
            <v>574256</v>
          </cell>
          <cell r="L8">
            <v>7967.4570226519199</v>
          </cell>
        </row>
        <row r="9">
          <cell r="J9">
            <v>574950</v>
          </cell>
          <cell r="L9">
            <v>7735.594399513001</v>
          </cell>
        </row>
        <row r="10">
          <cell r="J10">
            <v>547788.66108807246</v>
          </cell>
          <cell r="L10">
            <v>7785.917766085362</v>
          </cell>
        </row>
        <row r="11">
          <cell r="J11">
            <v>544198.93007010699</v>
          </cell>
          <cell r="L11">
            <v>7781.5748812630827</v>
          </cell>
        </row>
        <row r="12">
          <cell r="J12">
            <v>532567.92177378223</v>
          </cell>
          <cell r="L12">
            <v>7852.6142601903894</v>
          </cell>
        </row>
        <row r="13">
          <cell r="J13">
            <v>517820.38112333149</v>
          </cell>
          <cell r="L13">
            <v>7996.1795034631368</v>
          </cell>
        </row>
        <row r="15">
          <cell r="J15">
            <v>471012</v>
          </cell>
          <cell r="L15">
            <v>6820.5905582023388</v>
          </cell>
        </row>
        <row r="16">
          <cell r="J16">
            <v>465096</v>
          </cell>
          <cell r="L16">
            <v>6811.5184822058245</v>
          </cell>
        </row>
        <row r="17">
          <cell r="J17">
            <v>444615.91455502954</v>
          </cell>
          <cell r="L17">
            <v>6859.7535667593065</v>
          </cell>
        </row>
        <row r="18">
          <cell r="J18">
            <v>440959.27526821801</v>
          </cell>
          <cell r="L18">
            <v>6873.1961394275422</v>
          </cell>
        </row>
        <row r="19">
          <cell r="J19">
            <v>430194.11964724975</v>
          </cell>
          <cell r="L19">
            <v>6912.2023608356703</v>
          </cell>
        </row>
        <row r="21">
          <cell r="J21">
            <v>80269</v>
          </cell>
          <cell r="L21">
            <v>8181.2405785546098</v>
          </cell>
        </row>
        <row r="22">
          <cell r="J22">
            <v>74975</v>
          </cell>
          <cell r="L22">
            <v>8146.7155718572858</v>
          </cell>
        </row>
        <row r="23">
          <cell r="J23">
            <v>66508.908513165021</v>
          </cell>
          <cell r="L23">
            <v>8547.7271046700298</v>
          </cell>
        </row>
        <row r="24">
          <cell r="J24">
            <v>64800.886759581888</v>
          </cell>
          <cell r="L24">
            <v>8566.2407994427522</v>
          </cell>
        </row>
        <row r="25">
          <cell r="J25">
            <v>63775.205255681823</v>
          </cell>
          <cell r="L25">
            <v>8515.8487193048186</v>
          </cell>
        </row>
      </sheetData>
      <sheetData sheetId="3">
        <row r="8">
          <cell r="J8">
            <v>590322.25862951996</v>
          </cell>
          <cell r="L8">
            <v>8120.7086366230824</v>
          </cell>
        </row>
        <row r="9">
          <cell r="J9">
            <v>591223.52118046756</v>
          </cell>
          <cell r="L9">
            <v>7904.4288061030684</v>
          </cell>
        </row>
        <row r="10">
          <cell r="J10">
            <v>565666.03495116136</v>
          </cell>
          <cell r="L10">
            <v>7977.5765977286928</v>
          </cell>
        </row>
        <row r="11">
          <cell r="J11">
            <v>562262.01577935647</v>
          </cell>
          <cell r="L11">
            <v>7975.1169830200979</v>
          </cell>
        </row>
        <row r="12">
          <cell r="J12">
            <v>550287.28103337588</v>
          </cell>
          <cell r="L12">
            <v>8047.8534877904231</v>
          </cell>
        </row>
        <row r="13">
          <cell r="J13">
            <v>533337.32361569942</v>
          </cell>
          <cell r="L13">
            <v>8327.5820603201882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"/>
      <sheetName val="Drivers"/>
      <sheetName val="Overview"/>
      <sheetName val="Plant"/>
      <sheetName val="NonFuel Costs"/>
      <sheetName val="Fixed O&amp;M"/>
      <sheetName val="Variable O&amp;M"/>
      <sheetName val="Maintenance Reserve"/>
      <sheetName val="Construction Costs"/>
      <sheetName val="Construction"/>
      <sheetName val="Drawdown"/>
      <sheetName val="Module1"/>
    </sheetNames>
    <sheetDataSet>
      <sheetData sheetId="0"/>
      <sheetData sheetId="1">
        <row r="18">
          <cell r="B18">
            <v>0.17</v>
          </cell>
        </row>
        <row r="35">
          <cell r="B35">
            <v>2.5000000000000001E-2</v>
          </cell>
        </row>
        <row r="36">
          <cell r="B36">
            <v>2.5000000000000001E-2</v>
          </cell>
        </row>
      </sheetData>
      <sheetData sheetId="2"/>
      <sheetData sheetId="3">
        <row r="5">
          <cell r="G5">
            <v>1</v>
          </cell>
          <cell r="H5">
            <v>2</v>
          </cell>
          <cell r="I5">
            <v>3</v>
          </cell>
          <cell r="J5">
            <v>4</v>
          </cell>
          <cell r="K5">
            <v>5</v>
          </cell>
          <cell r="L5">
            <v>6</v>
          </cell>
          <cell r="M5">
            <v>7</v>
          </cell>
          <cell r="N5">
            <v>8</v>
          </cell>
          <cell r="O5">
            <v>9</v>
          </cell>
          <cell r="P5">
            <v>10</v>
          </cell>
          <cell r="Q5">
            <v>11</v>
          </cell>
          <cell r="R5">
            <v>12</v>
          </cell>
          <cell r="S5">
            <v>13</v>
          </cell>
          <cell r="T5">
            <v>14</v>
          </cell>
          <cell r="U5">
            <v>15</v>
          </cell>
          <cell r="V5">
            <v>16</v>
          </cell>
          <cell r="W5">
            <v>17</v>
          </cell>
          <cell r="X5">
            <v>18</v>
          </cell>
          <cell r="Y5">
            <v>19</v>
          </cell>
          <cell r="Z5">
            <v>20</v>
          </cell>
          <cell r="AA5">
            <v>21</v>
          </cell>
          <cell r="AB5">
            <v>22</v>
          </cell>
          <cell r="AC5">
            <v>23</v>
          </cell>
          <cell r="AD5">
            <v>24</v>
          </cell>
          <cell r="AE5">
            <v>25</v>
          </cell>
        </row>
        <row r="6">
          <cell r="G6">
            <v>37256</v>
          </cell>
          <cell r="H6">
            <v>37621</v>
          </cell>
          <cell r="I6">
            <v>37986</v>
          </cell>
          <cell r="J6">
            <v>38352</v>
          </cell>
          <cell r="K6">
            <v>38717</v>
          </cell>
          <cell r="L6">
            <v>39082</v>
          </cell>
          <cell r="M6">
            <v>39447</v>
          </cell>
          <cell r="N6">
            <v>39813</v>
          </cell>
          <cell r="O6">
            <v>40178</v>
          </cell>
          <cell r="P6">
            <v>40543</v>
          </cell>
          <cell r="Q6">
            <v>40908</v>
          </cell>
          <cell r="R6">
            <v>41274</v>
          </cell>
          <cell r="S6">
            <v>41639</v>
          </cell>
          <cell r="T6">
            <v>42004</v>
          </cell>
          <cell r="U6">
            <v>42369</v>
          </cell>
          <cell r="V6">
            <v>42735</v>
          </cell>
          <cell r="W6">
            <v>43100</v>
          </cell>
          <cell r="X6">
            <v>43465</v>
          </cell>
          <cell r="Y6">
            <v>43830</v>
          </cell>
          <cell r="Z6">
            <v>44196</v>
          </cell>
          <cell r="AA6">
            <v>44561</v>
          </cell>
          <cell r="AB6">
            <v>44926</v>
          </cell>
          <cell r="AC6">
            <v>45291</v>
          </cell>
          <cell r="AD6">
            <v>45657</v>
          </cell>
          <cell r="AE6">
            <v>46022</v>
          </cell>
        </row>
        <row r="16">
          <cell r="G16">
            <v>327832.46894671582</v>
          </cell>
          <cell r="H16">
            <v>1049265.6765138849</v>
          </cell>
          <cell r="I16">
            <v>1200037.3398057718</v>
          </cell>
          <cell r="J16">
            <v>1350809.0030976587</v>
          </cell>
          <cell r="K16">
            <v>1501580.6663895457</v>
          </cell>
          <cell r="L16">
            <v>1614700.8438575333</v>
          </cell>
          <cell r="M16">
            <v>1727821.0213255212</v>
          </cell>
          <cell r="N16">
            <v>1840941.198793509</v>
          </cell>
          <cell r="O16">
            <v>1954061.3762614967</v>
          </cell>
          <cell r="P16">
            <v>2067181.5537294843</v>
          </cell>
          <cell r="Q16">
            <v>2163865.0515653808</v>
          </cell>
          <cell r="R16">
            <v>2260548.5494012772</v>
          </cell>
          <cell r="S16">
            <v>2357232.0472371737</v>
          </cell>
          <cell r="T16">
            <v>2453915.5450730696</v>
          </cell>
          <cell r="U16">
            <v>2550599.0429089661</v>
          </cell>
          <cell r="V16">
            <v>2647282.5407448621</v>
          </cell>
          <cell r="W16">
            <v>2743966.038580759</v>
          </cell>
          <cell r="X16">
            <v>2743966.038580759</v>
          </cell>
          <cell r="Y16">
            <v>2743966.038580759</v>
          </cell>
          <cell r="Z16">
            <v>2743966.038580759</v>
          </cell>
          <cell r="AA16">
            <v>2743966.038580759</v>
          </cell>
          <cell r="AB16">
            <v>2743966.038580759</v>
          </cell>
          <cell r="AC16">
            <v>2743966.038580759</v>
          </cell>
          <cell r="AD16">
            <v>2743966.038580759</v>
          </cell>
          <cell r="AE16">
            <v>2743966.038580759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4"/>
  <sheetViews>
    <sheetView topLeftCell="A15" zoomScale="75" workbookViewId="0">
      <selection activeCell="C8" sqref="C8"/>
    </sheetView>
  </sheetViews>
  <sheetFormatPr defaultRowHeight="12.75" x14ac:dyDescent="0.2"/>
  <cols>
    <col min="1" max="1" width="10.42578125" customWidth="1"/>
    <col min="2" max="2" width="33" customWidth="1"/>
    <col min="3" max="3" width="16.140625" customWidth="1"/>
    <col min="4" max="4" width="2.7109375" customWidth="1"/>
    <col min="5" max="5" width="42.28515625" customWidth="1"/>
    <col min="6" max="7" width="16.140625" customWidth="1"/>
    <col min="11" max="11" width="34.85546875" customWidth="1"/>
    <col min="12" max="12" width="16.28515625" customWidth="1"/>
    <col min="14" max="14" width="32.7109375" customWidth="1"/>
    <col min="15" max="15" width="19.28515625" customWidth="1"/>
  </cols>
  <sheetData>
    <row r="1" spans="1:10" x14ac:dyDescent="0.2">
      <c r="J1" s="1" t="s">
        <v>0</v>
      </c>
    </row>
    <row r="2" spans="1:10" s="3" customFormat="1" ht="13.5" thickBot="1" x14ac:dyDescent="0.25">
      <c r="A2" s="4" t="s">
        <v>1</v>
      </c>
      <c r="B2" s="2"/>
      <c r="C2" s="2"/>
      <c r="D2" s="2"/>
      <c r="E2" s="2"/>
      <c r="F2" s="2"/>
    </row>
    <row r="3" spans="1:10" s="3" customFormat="1" x14ac:dyDescent="0.2">
      <c r="A3"/>
      <c r="B3"/>
      <c r="C3"/>
    </row>
    <row r="4" spans="1:10" s="7" customFormat="1" x14ac:dyDescent="0.2">
      <c r="A4" s="5"/>
      <c r="B4" s="5"/>
      <c r="C4" s="6"/>
      <c r="D4" s="5"/>
      <c r="E4" s="5"/>
      <c r="F4" s="5"/>
    </row>
    <row r="5" spans="1:10" s="3" customFormat="1" x14ac:dyDescent="0.2">
      <c r="C5" s="8"/>
    </row>
    <row r="6" spans="1:10" s="3" customFormat="1" x14ac:dyDescent="0.2">
      <c r="E6" s="10" t="s">
        <v>3</v>
      </c>
    </row>
    <row r="7" spans="1:10" s="3" customFormat="1" x14ac:dyDescent="0.2">
      <c r="A7" s="7" t="s">
        <v>2</v>
      </c>
      <c r="C7" s="9" t="s">
        <v>178</v>
      </c>
      <c r="E7" s="3" t="s">
        <v>5</v>
      </c>
      <c r="F7" s="12">
        <f>F41</f>
        <v>5000000</v>
      </c>
    </row>
    <row r="8" spans="1:10" s="3" customFormat="1" x14ac:dyDescent="0.2">
      <c r="A8" s="7" t="s">
        <v>4</v>
      </c>
      <c r="C8" s="11">
        <v>36461</v>
      </c>
      <c r="E8" s="3" t="s">
        <v>6</v>
      </c>
      <c r="F8" s="12">
        <f>F28</f>
        <v>209193073</v>
      </c>
    </row>
    <row r="9" spans="1:10" s="3" customFormat="1" x14ac:dyDescent="0.2">
      <c r="C9" s="9"/>
      <c r="E9" s="14" t="s">
        <v>7</v>
      </c>
      <c r="F9" s="15">
        <f>F37</f>
        <v>38316704</v>
      </c>
    </row>
    <row r="10" spans="1:10" s="3" customFormat="1" ht="18" customHeight="1" x14ac:dyDescent="0.2">
      <c r="A10" s="1"/>
      <c r="B10"/>
      <c r="C10" s="13"/>
      <c r="E10" s="7" t="s">
        <v>9</v>
      </c>
      <c r="F10" s="18">
        <f>SUM(F7:F9)</f>
        <v>252509777</v>
      </c>
    </row>
    <row r="11" spans="1:10" x14ac:dyDescent="0.2">
      <c r="A11" s="3"/>
      <c r="B11" s="3"/>
      <c r="C11" s="3"/>
      <c r="D11" s="3"/>
      <c r="E11" s="3"/>
      <c r="F11" s="3"/>
    </row>
    <row r="12" spans="1:10" x14ac:dyDescent="0.2">
      <c r="A12" s="19" t="s">
        <v>6</v>
      </c>
      <c r="B12" s="20"/>
      <c r="C12" s="20"/>
      <c r="D12" s="20"/>
      <c r="E12" s="20"/>
      <c r="F12" s="21"/>
    </row>
    <row r="13" spans="1:10" x14ac:dyDescent="0.2">
      <c r="A13" s="23" t="s">
        <v>8</v>
      </c>
      <c r="B13" s="3"/>
      <c r="C13" s="24"/>
      <c r="D13" s="3"/>
      <c r="E13" s="14" t="s">
        <v>13</v>
      </c>
      <c r="F13" s="25"/>
    </row>
    <row r="14" spans="1:10" x14ac:dyDescent="0.2">
      <c r="A14" s="23"/>
      <c r="B14" s="3"/>
      <c r="C14" s="24"/>
      <c r="D14" s="3"/>
      <c r="E14" s="14"/>
      <c r="F14" s="25"/>
    </row>
    <row r="15" spans="1:10" x14ac:dyDescent="0.2">
      <c r="A15" s="27"/>
      <c r="B15" t="s">
        <v>10</v>
      </c>
      <c r="C15" s="17">
        <f>12000000+12000000+11650000*4+17600000</f>
        <v>88200000</v>
      </c>
      <c r="D15" s="3"/>
      <c r="E15" s="3" t="s">
        <v>15</v>
      </c>
      <c r="F15" s="28">
        <v>184352</v>
      </c>
    </row>
    <row r="16" spans="1:10" x14ac:dyDescent="0.2">
      <c r="A16" s="27"/>
      <c r="B16" t="s">
        <v>11</v>
      </c>
      <c r="C16" s="17">
        <v>16500000</v>
      </c>
      <c r="D16" s="3"/>
      <c r="E16" s="3" t="s">
        <v>17</v>
      </c>
      <c r="F16" s="28">
        <v>1469386</v>
      </c>
    </row>
    <row r="17" spans="1:6" x14ac:dyDescent="0.2">
      <c r="A17" s="27"/>
      <c r="B17" s="40" t="s">
        <v>12</v>
      </c>
      <c r="C17" s="17">
        <v>13044000</v>
      </c>
      <c r="D17" s="3"/>
      <c r="E17" s="3" t="s">
        <v>19</v>
      </c>
      <c r="F17" s="28">
        <v>2267166</v>
      </c>
    </row>
    <row r="18" spans="1:6" x14ac:dyDescent="0.2">
      <c r="A18" s="27"/>
      <c r="B18" s="40" t="s">
        <v>58</v>
      </c>
      <c r="C18" s="22">
        <f>119129424-C15-C16-C17</f>
        <v>1385424</v>
      </c>
      <c r="D18" s="3"/>
      <c r="E18" s="3" t="s">
        <v>21</v>
      </c>
      <c r="F18" s="28">
        <v>2924272</v>
      </c>
    </row>
    <row r="19" spans="1:6" x14ac:dyDescent="0.2">
      <c r="A19" s="27"/>
      <c r="B19" t="s">
        <v>14</v>
      </c>
      <c r="C19" s="26">
        <f>SUM(C15:C18)</f>
        <v>119129424</v>
      </c>
      <c r="D19" s="3"/>
      <c r="E19" s="3" t="s">
        <v>23</v>
      </c>
      <c r="F19" s="28">
        <v>1252755</v>
      </c>
    </row>
    <row r="20" spans="1:6" x14ac:dyDescent="0.2">
      <c r="A20" s="23" t="s">
        <v>16</v>
      </c>
      <c r="B20" s="3"/>
      <c r="C20" s="3"/>
      <c r="D20" s="3"/>
      <c r="E20" s="3" t="s">
        <v>25</v>
      </c>
      <c r="F20" s="28">
        <v>1857267</v>
      </c>
    </row>
    <row r="21" spans="1:6" x14ac:dyDescent="0.2">
      <c r="A21" s="27"/>
      <c r="B21" s="3" t="s">
        <v>18</v>
      </c>
      <c r="C21" s="24">
        <v>9149264</v>
      </c>
      <c r="D21" s="3"/>
      <c r="E21" s="31" t="s">
        <v>27</v>
      </c>
      <c r="F21" s="28">
        <v>558253</v>
      </c>
    </row>
    <row r="22" spans="1:6" x14ac:dyDescent="0.2">
      <c r="A22" s="27"/>
      <c r="B22" s="3" t="s">
        <v>20</v>
      </c>
      <c r="C22" s="24">
        <v>2504816</v>
      </c>
      <c r="D22" s="3"/>
      <c r="E22" s="16" t="s">
        <v>29</v>
      </c>
      <c r="F22" s="32">
        <v>3000000</v>
      </c>
    </row>
    <row r="23" spans="1:6" x14ac:dyDescent="0.2">
      <c r="A23" s="27"/>
      <c r="B23" s="3" t="s">
        <v>22</v>
      </c>
      <c r="C23" s="24">
        <v>1629954</v>
      </c>
      <c r="D23" s="3"/>
      <c r="E23" s="3" t="s">
        <v>31</v>
      </c>
      <c r="F23" s="33">
        <f>SUM(C34:C42)+SUM(F15:F22)</f>
        <v>47197234</v>
      </c>
    </row>
    <row r="24" spans="1:6" x14ac:dyDescent="0.2">
      <c r="A24" s="27"/>
      <c r="B24" s="3" t="s">
        <v>24</v>
      </c>
      <c r="C24" s="24">
        <v>1072154</v>
      </c>
      <c r="D24" s="3"/>
      <c r="E24" s="3"/>
      <c r="F24" s="25"/>
    </row>
    <row r="25" spans="1:6" x14ac:dyDescent="0.2">
      <c r="A25" s="27"/>
      <c r="B25" s="3" t="s">
        <v>26</v>
      </c>
      <c r="C25" s="24">
        <v>1703479</v>
      </c>
      <c r="D25" s="3"/>
      <c r="E25" s="31" t="s">
        <v>34</v>
      </c>
      <c r="F25" s="28">
        <v>9200000</v>
      </c>
    </row>
    <row r="26" spans="1:6" x14ac:dyDescent="0.2">
      <c r="A26" s="27"/>
      <c r="B26" s="3" t="s">
        <v>28</v>
      </c>
      <c r="C26" s="24">
        <v>2561965</v>
      </c>
      <c r="D26" s="3"/>
      <c r="E26" s="3"/>
      <c r="F26" s="25"/>
    </row>
    <row r="27" spans="1:6" x14ac:dyDescent="0.2">
      <c r="A27" s="27"/>
      <c r="B27" s="3" t="s">
        <v>30</v>
      </c>
      <c r="C27" s="24">
        <v>1541818</v>
      </c>
      <c r="D27" s="3"/>
      <c r="E27" s="14" t="s">
        <v>37</v>
      </c>
      <c r="F27" s="34">
        <v>6699886</v>
      </c>
    </row>
    <row r="28" spans="1:6" x14ac:dyDescent="0.2">
      <c r="A28" s="27"/>
      <c r="B28" s="3" t="s">
        <v>32</v>
      </c>
      <c r="C28" s="24">
        <v>1284351</v>
      </c>
      <c r="D28" s="3"/>
      <c r="E28" s="7" t="s">
        <v>39</v>
      </c>
      <c r="F28" s="35">
        <f>C19+C32+F23+F25+F27</f>
        <v>209193073</v>
      </c>
    </row>
    <row r="29" spans="1:6" x14ac:dyDescent="0.2">
      <c r="A29" s="27"/>
      <c r="B29" s="3" t="s">
        <v>33</v>
      </c>
      <c r="C29" s="24">
        <v>1226330</v>
      </c>
      <c r="D29" s="3"/>
      <c r="E29" s="3"/>
      <c r="F29" s="25"/>
    </row>
    <row r="30" spans="1:6" x14ac:dyDescent="0.2">
      <c r="A30" s="27"/>
      <c r="B30" s="3" t="s">
        <v>35</v>
      </c>
      <c r="C30" s="24">
        <v>2825306</v>
      </c>
      <c r="D30" s="3"/>
      <c r="E30" s="7" t="s">
        <v>42</v>
      </c>
      <c r="F30" s="25"/>
    </row>
    <row r="31" spans="1:6" x14ac:dyDescent="0.2">
      <c r="A31" s="27"/>
      <c r="B31" s="14" t="s">
        <v>36</v>
      </c>
      <c r="C31" s="29">
        <v>1467092</v>
      </c>
      <c r="D31" s="3"/>
      <c r="E31" s="3"/>
      <c r="F31" s="25"/>
    </row>
    <row r="32" spans="1:6" x14ac:dyDescent="0.2">
      <c r="A32" s="27"/>
      <c r="B32" s="3" t="s">
        <v>38</v>
      </c>
      <c r="C32" s="30">
        <f>SUM(C21:C31)</f>
        <v>26966529</v>
      </c>
      <c r="D32" s="3"/>
      <c r="E32" t="s">
        <v>57</v>
      </c>
      <c r="F32" s="28">
        <v>20816248</v>
      </c>
    </row>
    <row r="33" spans="1:6" x14ac:dyDescent="0.2">
      <c r="A33" s="23" t="s">
        <v>40</v>
      </c>
      <c r="B33" s="3"/>
      <c r="C33" s="3"/>
      <c r="D33" s="3"/>
      <c r="E33" s="3" t="s">
        <v>46</v>
      </c>
      <c r="F33" s="28">
        <v>5146668</v>
      </c>
    </row>
    <row r="34" spans="1:6" x14ac:dyDescent="0.2">
      <c r="A34" s="27"/>
      <c r="B34" s="3" t="s">
        <v>41</v>
      </c>
      <c r="C34" s="24">
        <v>12787938</v>
      </c>
      <c r="D34" s="3"/>
      <c r="E34" s="3" t="s">
        <v>48</v>
      </c>
      <c r="F34" s="28">
        <v>4000000</v>
      </c>
    </row>
    <row r="35" spans="1:6" x14ac:dyDescent="0.2">
      <c r="A35" s="27"/>
      <c r="B35" s="3" t="s">
        <v>43</v>
      </c>
      <c r="C35" s="24">
        <v>1010152</v>
      </c>
      <c r="D35" s="3"/>
      <c r="E35" s="3" t="s">
        <v>50</v>
      </c>
      <c r="F35" s="28">
        <v>2167996</v>
      </c>
    </row>
    <row r="36" spans="1:6" x14ac:dyDescent="0.2">
      <c r="A36" s="27"/>
      <c r="B36" s="3" t="s">
        <v>44</v>
      </c>
      <c r="C36" s="24">
        <v>2377536</v>
      </c>
      <c r="D36" s="3"/>
      <c r="E36" s="14" t="s">
        <v>52</v>
      </c>
      <c r="F36" s="28">
        <v>6185792</v>
      </c>
    </row>
    <row r="37" spans="1:6" x14ac:dyDescent="0.2">
      <c r="A37" s="27"/>
      <c r="B37" s="3" t="s">
        <v>45</v>
      </c>
      <c r="C37" s="24">
        <v>920640</v>
      </c>
      <c r="D37" s="3"/>
      <c r="E37" s="7" t="s">
        <v>54</v>
      </c>
      <c r="F37" s="35">
        <f>SUM(F32:F36)</f>
        <v>38316704</v>
      </c>
    </row>
    <row r="38" spans="1:6" x14ac:dyDescent="0.2">
      <c r="A38" s="27"/>
      <c r="B38" s="3" t="s">
        <v>47</v>
      </c>
      <c r="C38" s="24">
        <v>6181618</v>
      </c>
      <c r="D38" s="3"/>
      <c r="E38" s="3"/>
      <c r="F38" s="25"/>
    </row>
    <row r="39" spans="1:6" x14ac:dyDescent="0.2">
      <c r="A39" s="27"/>
      <c r="B39" s="3" t="s">
        <v>49</v>
      </c>
      <c r="C39" s="24">
        <v>2962547</v>
      </c>
      <c r="D39" s="3"/>
      <c r="E39" s="7" t="s">
        <v>56</v>
      </c>
      <c r="F39" s="35">
        <f>F28+F37</f>
        <v>247509777</v>
      </c>
    </row>
    <row r="40" spans="1:6" x14ac:dyDescent="0.2">
      <c r="A40" s="27"/>
      <c r="B40" s="3" t="s">
        <v>51</v>
      </c>
      <c r="C40" s="24">
        <v>1004000</v>
      </c>
      <c r="D40" s="3"/>
      <c r="E40" s="3"/>
      <c r="F40" s="25"/>
    </row>
    <row r="41" spans="1:6" x14ac:dyDescent="0.2">
      <c r="A41" s="27"/>
      <c r="B41" s="3" t="s">
        <v>53</v>
      </c>
      <c r="C41" s="24">
        <v>2043358</v>
      </c>
      <c r="D41" s="3"/>
      <c r="E41" s="7" t="s">
        <v>5</v>
      </c>
      <c r="F41" s="36">
        <v>5000000</v>
      </c>
    </row>
    <row r="42" spans="1:6" x14ac:dyDescent="0.2">
      <c r="A42" s="37"/>
      <c r="B42" s="38" t="s">
        <v>55</v>
      </c>
      <c r="C42" s="84">
        <v>4395994</v>
      </c>
      <c r="D42" s="38"/>
      <c r="E42" s="38"/>
      <c r="F42" s="39"/>
    </row>
    <row r="43" spans="1:6" x14ac:dyDescent="0.2">
      <c r="A43" s="3"/>
      <c r="B43" s="3"/>
      <c r="C43" s="3"/>
    </row>
    <row r="46" spans="1:6" ht="15.75" customHeight="1" x14ac:dyDescent="0.2"/>
    <row r="47" spans="1:6" ht="15.75" customHeight="1" x14ac:dyDescent="0.2"/>
    <row r="48" spans="1:6" ht="15.75" customHeight="1" x14ac:dyDescent="0.2"/>
    <row r="51" ht="18.75" customHeight="1" x14ac:dyDescent="0.2"/>
    <row r="59" ht="16.5" customHeight="1" x14ac:dyDescent="0.2"/>
    <row r="67" ht="15.75" customHeight="1" x14ac:dyDescent="0.2"/>
    <row r="114" ht="18" customHeight="1" x14ac:dyDescent="0.2"/>
  </sheetData>
  <pageMargins left="0.75" right="0.75" top="0.32" bottom="0.62" header="0.27" footer="0.5"/>
  <pageSetup orientation="landscape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O63"/>
  <sheetViews>
    <sheetView tabSelected="1" zoomScale="75" workbookViewId="0">
      <selection activeCell="I30" sqref="I30"/>
    </sheetView>
  </sheetViews>
  <sheetFormatPr defaultRowHeight="12.75" x14ac:dyDescent="0.2"/>
  <cols>
    <col min="1" max="1" width="14.140625" customWidth="1"/>
    <col min="2" max="2" width="4.5703125" customWidth="1"/>
    <col min="3" max="3" width="30.28515625" customWidth="1"/>
    <col min="4" max="4" width="14.5703125" bestFit="1" customWidth="1"/>
    <col min="5" max="5" width="4.7109375" customWidth="1"/>
    <col min="6" max="6" width="14.42578125" hidden="1" customWidth="1"/>
    <col min="7" max="7" width="6.5703125" hidden="1" customWidth="1"/>
    <col min="8" max="8" width="15" style="116" bestFit="1" customWidth="1"/>
    <col min="9" max="9" width="14.42578125" style="109" customWidth="1"/>
    <col min="10" max="12" width="12.7109375" customWidth="1"/>
    <col min="13" max="13" width="10.28515625" customWidth="1"/>
    <col min="14" max="14" width="12.140625" customWidth="1"/>
  </cols>
  <sheetData>
    <row r="5" spans="1:15" x14ac:dyDescent="0.2">
      <c r="B5" s="85" t="s">
        <v>132</v>
      </c>
      <c r="C5" s="117"/>
      <c r="D5" s="118" t="s">
        <v>133</v>
      </c>
      <c r="E5" s="118"/>
      <c r="F5" s="118"/>
      <c r="G5" s="117"/>
      <c r="H5" s="119" t="s">
        <v>134</v>
      </c>
      <c r="I5" s="120" t="s">
        <v>134</v>
      </c>
      <c r="J5" s="117"/>
      <c r="K5" s="117"/>
      <c r="L5" s="117"/>
    </row>
    <row r="6" spans="1:15" x14ac:dyDescent="0.2">
      <c r="B6" s="117"/>
      <c r="C6" s="117"/>
      <c r="D6" s="118" t="s">
        <v>135</v>
      </c>
      <c r="E6" s="118"/>
      <c r="F6" s="118" t="s">
        <v>136</v>
      </c>
      <c r="G6" s="117"/>
      <c r="H6" s="119" t="s">
        <v>137</v>
      </c>
      <c r="I6" s="120" t="s">
        <v>138</v>
      </c>
      <c r="J6" s="117"/>
      <c r="K6" s="117"/>
      <c r="L6" s="117" t="s">
        <v>134</v>
      </c>
    </row>
    <row r="7" spans="1:15" x14ac:dyDescent="0.2">
      <c r="A7" s="3"/>
      <c r="B7" s="121"/>
      <c r="C7" s="121"/>
      <c r="D7" s="122" t="s">
        <v>139</v>
      </c>
      <c r="E7" s="123"/>
      <c r="F7" s="122" t="s">
        <v>140</v>
      </c>
      <c r="G7" s="121"/>
      <c r="H7" s="124" t="s">
        <v>141</v>
      </c>
      <c r="I7" s="125" t="s">
        <v>141</v>
      </c>
      <c r="J7" s="121"/>
      <c r="K7" s="121"/>
      <c r="L7" s="121" t="s">
        <v>142</v>
      </c>
      <c r="M7" s="3"/>
      <c r="N7" s="3"/>
      <c r="O7" s="3"/>
    </row>
    <row r="8" spans="1:15" x14ac:dyDescent="0.2">
      <c r="A8" s="3"/>
      <c r="B8" s="121" t="s">
        <v>8</v>
      </c>
      <c r="C8" s="121"/>
      <c r="D8" s="121"/>
      <c r="E8" s="121"/>
      <c r="F8" s="121"/>
      <c r="G8" s="121"/>
      <c r="H8" s="126"/>
      <c r="I8" s="125"/>
      <c r="J8" s="121"/>
      <c r="K8" s="121"/>
      <c r="L8" s="121"/>
      <c r="M8" s="3"/>
      <c r="N8" s="3"/>
      <c r="O8" s="3"/>
    </row>
    <row r="9" spans="1:15" x14ac:dyDescent="0.2">
      <c r="A9" s="3"/>
      <c r="B9" s="121"/>
      <c r="C9" s="121" t="s">
        <v>10</v>
      </c>
      <c r="D9" s="126">
        <f>54296107+598035</f>
        <v>54894142</v>
      </c>
      <c r="E9" s="121"/>
      <c r="F9" s="126">
        <v>12293100</v>
      </c>
      <c r="G9" s="121"/>
      <c r="H9" s="126">
        <f>6*11125000</f>
        <v>66750000</v>
      </c>
      <c r="I9" s="127">
        <v>17500000</v>
      </c>
      <c r="J9" s="121"/>
      <c r="K9" s="121"/>
      <c r="L9" s="121" t="s">
        <v>143</v>
      </c>
      <c r="M9" s="3"/>
      <c r="N9" s="3"/>
      <c r="O9" s="3"/>
    </row>
    <row r="10" spans="1:15" x14ac:dyDescent="0.2">
      <c r="A10" s="3"/>
      <c r="B10" s="121"/>
      <c r="C10" s="121" t="s">
        <v>11</v>
      </c>
      <c r="D10" s="126">
        <v>8040650</v>
      </c>
      <c r="E10" s="121"/>
      <c r="F10" s="126">
        <v>1604162</v>
      </c>
      <c r="G10" s="121"/>
      <c r="H10" s="126">
        <f>+D10/5*6*1.15</f>
        <v>11096097</v>
      </c>
      <c r="I10" s="127">
        <v>2875000</v>
      </c>
      <c r="J10" s="121"/>
      <c r="K10" s="121"/>
      <c r="L10" s="121" t="s">
        <v>144</v>
      </c>
      <c r="M10" s="3"/>
      <c r="N10" s="3"/>
      <c r="O10" s="3"/>
    </row>
    <row r="11" spans="1:15" x14ac:dyDescent="0.2">
      <c r="A11" s="3"/>
      <c r="B11" s="121"/>
      <c r="C11" s="121" t="s">
        <v>12</v>
      </c>
      <c r="D11" s="126">
        <v>11839276</v>
      </c>
      <c r="E11" s="121"/>
      <c r="F11" s="126"/>
      <c r="G11" s="121"/>
      <c r="H11" s="126">
        <f>+D11/5*6*1.15</f>
        <v>16338200.880000001</v>
      </c>
      <c r="I11" s="127">
        <f>+H11/143*40</f>
        <v>4570126.120279721</v>
      </c>
      <c r="J11" s="126">
        <f>SUM(H9:I11)</f>
        <v>119129424.00027971</v>
      </c>
      <c r="K11" s="126"/>
      <c r="L11" s="121" t="s">
        <v>145</v>
      </c>
      <c r="M11" s="3"/>
      <c r="N11" s="3"/>
      <c r="O11" s="3"/>
    </row>
    <row r="12" spans="1:15" x14ac:dyDescent="0.2">
      <c r="A12" s="3"/>
      <c r="B12" s="121" t="s">
        <v>146</v>
      </c>
      <c r="C12" s="121"/>
      <c r="D12" s="126"/>
      <c r="E12" s="121"/>
      <c r="F12" s="126"/>
      <c r="G12" s="121"/>
      <c r="H12" s="126"/>
      <c r="I12" s="127"/>
      <c r="J12" s="121"/>
      <c r="K12" s="121"/>
      <c r="L12" s="121"/>
      <c r="M12" s="3"/>
      <c r="N12" s="3"/>
      <c r="O12" s="3"/>
    </row>
    <row r="13" spans="1:15" x14ac:dyDescent="0.2">
      <c r="A13" s="3"/>
      <c r="B13" s="121"/>
      <c r="C13" s="121" t="s">
        <v>147</v>
      </c>
      <c r="D13" s="126">
        <f>7434027-D14-D15</f>
        <v>5120122</v>
      </c>
      <c r="E13" s="121"/>
      <c r="F13" s="126"/>
      <c r="G13" s="121"/>
      <c r="H13" s="126">
        <f t="shared" ref="H13:H25" si="0">+D13/5*6*1.15</f>
        <v>7065768.3600000003</v>
      </c>
      <c r="I13" s="127">
        <f>+H13/390*115</f>
        <v>2083495.7984615385</v>
      </c>
      <c r="J13" s="121"/>
      <c r="K13" s="121"/>
      <c r="L13" s="121" t="s">
        <v>145</v>
      </c>
      <c r="M13" s="3"/>
      <c r="N13" s="3"/>
      <c r="O13" s="3"/>
    </row>
    <row r="14" spans="1:15" x14ac:dyDescent="0.2">
      <c r="A14" s="3"/>
      <c r="B14" s="121"/>
      <c r="C14" s="121" t="s">
        <v>148</v>
      </c>
      <c r="D14" s="126">
        <f>575000+229327+59921+152500+120000+155000+110000</f>
        <v>1401748</v>
      </c>
      <c r="E14" s="121"/>
      <c r="F14" s="126"/>
      <c r="G14" s="121"/>
      <c r="H14" s="126">
        <f t="shared" si="0"/>
        <v>1934412.2399999998</v>
      </c>
      <c r="I14" s="127">
        <f t="shared" ref="I14:I23" si="1">+H14/390*115</f>
        <v>570403.60923076922</v>
      </c>
      <c r="J14" s="121"/>
      <c r="K14" s="121"/>
      <c r="L14" s="121" t="s">
        <v>145</v>
      </c>
      <c r="M14" s="3"/>
      <c r="N14" s="3"/>
      <c r="O14" s="3"/>
    </row>
    <row r="15" spans="1:15" x14ac:dyDescent="0.2">
      <c r="A15" s="3"/>
      <c r="B15" s="121"/>
      <c r="C15" s="121" t="s">
        <v>149</v>
      </c>
      <c r="D15" s="126">
        <f>537996+206448+167713</f>
        <v>912157</v>
      </c>
      <c r="E15" s="121"/>
      <c r="F15" s="126"/>
      <c r="G15" s="121"/>
      <c r="H15" s="126">
        <f t="shared" si="0"/>
        <v>1258776.6599999997</v>
      </c>
      <c r="I15" s="127">
        <f t="shared" si="1"/>
        <v>371177.73307692294</v>
      </c>
      <c r="J15" s="121"/>
      <c r="K15" s="121"/>
      <c r="L15" s="121" t="s">
        <v>145</v>
      </c>
      <c r="M15" s="3"/>
      <c r="N15" s="3"/>
      <c r="O15" s="3"/>
    </row>
    <row r="16" spans="1:15" x14ac:dyDescent="0.2">
      <c r="A16" s="112"/>
      <c r="B16" s="121"/>
      <c r="C16" s="121" t="s">
        <v>24</v>
      </c>
      <c r="D16" s="126">
        <v>600000</v>
      </c>
      <c r="E16" s="121"/>
      <c r="F16" s="126"/>
      <c r="G16" s="121"/>
      <c r="H16" s="126">
        <f t="shared" si="0"/>
        <v>827999.99999999988</v>
      </c>
      <c r="I16" s="127">
        <f t="shared" si="1"/>
        <v>244153.84615384613</v>
      </c>
      <c r="J16" s="126"/>
      <c r="K16" s="126"/>
      <c r="L16" s="121" t="s">
        <v>145</v>
      </c>
      <c r="M16" s="3"/>
      <c r="N16" s="111"/>
      <c r="O16" s="3"/>
    </row>
    <row r="17" spans="1:15" x14ac:dyDescent="0.2">
      <c r="A17" s="112"/>
      <c r="B17" s="121"/>
      <c r="C17" s="121" t="s">
        <v>26</v>
      </c>
      <c r="D17" s="126">
        <v>953303</v>
      </c>
      <c r="E17" s="121"/>
      <c r="F17" s="126"/>
      <c r="G17" s="121"/>
      <c r="H17" s="126">
        <f t="shared" si="0"/>
        <v>1315558.1399999999</v>
      </c>
      <c r="I17" s="127">
        <f t="shared" si="1"/>
        <v>387920.98999999993</v>
      </c>
      <c r="J17" s="126"/>
      <c r="K17" s="126"/>
      <c r="L17" s="121" t="s">
        <v>145</v>
      </c>
      <c r="M17" s="3"/>
      <c r="N17" s="111"/>
      <c r="O17" s="3"/>
    </row>
    <row r="18" spans="1:15" x14ac:dyDescent="0.2">
      <c r="A18" s="112"/>
      <c r="B18" s="121"/>
      <c r="C18" s="121" t="s">
        <v>28</v>
      </c>
      <c r="D18" s="126">
        <v>1433730</v>
      </c>
      <c r="E18" s="121"/>
      <c r="F18" s="126"/>
      <c r="G18" s="121"/>
      <c r="H18" s="126">
        <f t="shared" si="0"/>
        <v>1978547.4</v>
      </c>
      <c r="I18" s="127">
        <f t="shared" si="1"/>
        <v>583417.82307692314</v>
      </c>
      <c r="J18" s="126"/>
      <c r="K18" s="126"/>
      <c r="L18" s="121" t="s">
        <v>145</v>
      </c>
      <c r="M18" s="3"/>
      <c r="N18" s="111"/>
      <c r="O18" s="3"/>
    </row>
    <row r="19" spans="1:15" x14ac:dyDescent="0.2">
      <c r="A19" s="112"/>
      <c r="B19" s="121"/>
      <c r="C19" s="121" t="s">
        <v>150</v>
      </c>
      <c r="D19" s="126">
        <v>862834</v>
      </c>
      <c r="E19" s="121"/>
      <c r="F19" s="126"/>
      <c r="G19" s="121"/>
      <c r="H19" s="126">
        <f t="shared" si="0"/>
        <v>1190710.92</v>
      </c>
      <c r="I19" s="127">
        <f t="shared" si="1"/>
        <v>351107.0661538461</v>
      </c>
      <c r="J19" s="126"/>
      <c r="K19" s="126"/>
      <c r="L19" s="121" t="s">
        <v>145</v>
      </c>
      <c r="M19" s="3"/>
      <c r="N19" s="3"/>
      <c r="O19" s="3"/>
    </row>
    <row r="20" spans="1:15" x14ac:dyDescent="0.2">
      <c r="A20" s="112"/>
      <c r="B20" s="121"/>
      <c r="C20" s="121" t="s">
        <v>151</v>
      </c>
      <c r="D20" s="126">
        <v>718750</v>
      </c>
      <c r="E20" s="121"/>
      <c r="F20" s="126"/>
      <c r="G20" s="121"/>
      <c r="H20" s="126">
        <f t="shared" si="0"/>
        <v>991874.99999999988</v>
      </c>
      <c r="I20" s="127">
        <f t="shared" si="1"/>
        <v>292475.9615384615</v>
      </c>
      <c r="J20" s="126"/>
      <c r="K20" s="126"/>
      <c r="L20" s="121" t="s">
        <v>145</v>
      </c>
      <c r="M20" s="3"/>
      <c r="N20" s="3"/>
      <c r="O20" s="3"/>
    </row>
    <row r="21" spans="1:15" x14ac:dyDescent="0.2">
      <c r="A21" s="112"/>
      <c r="B21" s="121"/>
      <c r="C21" s="121" t="s">
        <v>33</v>
      </c>
      <c r="D21" s="126">
        <v>686280</v>
      </c>
      <c r="E21" s="121"/>
      <c r="F21" s="126"/>
      <c r="G21" s="121"/>
      <c r="H21" s="126">
        <f t="shared" si="0"/>
        <v>947066.39999999991</v>
      </c>
      <c r="I21" s="127">
        <f t="shared" si="1"/>
        <v>279263.16923076921</v>
      </c>
      <c r="J21" s="126"/>
      <c r="K21" s="126"/>
      <c r="L21" s="121" t="s">
        <v>145</v>
      </c>
      <c r="M21" s="3"/>
      <c r="N21" s="3"/>
      <c r="O21" s="3"/>
    </row>
    <row r="22" spans="1:15" x14ac:dyDescent="0.2">
      <c r="A22" s="112"/>
      <c r="B22" s="121"/>
      <c r="C22" s="121" t="s">
        <v>35</v>
      </c>
      <c r="D22" s="126">
        <v>1581101</v>
      </c>
      <c r="E22" s="121"/>
      <c r="F22" s="126"/>
      <c r="G22" s="121"/>
      <c r="H22" s="126">
        <f t="shared" si="0"/>
        <v>2181919.38</v>
      </c>
      <c r="I22" s="127">
        <f t="shared" si="1"/>
        <v>643386.48384615383</v>
      </c>
      <c r="J22" s="126"/>
      <c r="K22" s="126"/>
      <c r="L22" s="121" t="s">
        <v>145</v>
      </c>
      <c r="M22" s="3"/>
      <c r="N22" s="3"/>
      <c r="O22" s="3"/>
    </row>
    <row r="23" spans="1:15" x14ac:dyDescent="0.2">
      <c r="A23" s="112"/>
      <c r="B23" s="121"/>
      <c r="C23" s="121" t="s">
        <v>36</v>
      </c>
      <c r="D23" s="126">
        <v>821016</v>
      </c>
      <c r="E23" s="121"/>
      <c r="F23" s="126"/>
      <c r="G23" s="121"/>
      <c r="H23" s="126">
        <f t="shared" si="0"/>
        <v>1133002.08</v>
      </c>
      <c r="I23" s="127">
        <f t="shared" si="1"/>
        <v>334090.35692307696</v>
      </c>
      <c r="J23" s="126"/>
      <c r="K23" s="126"/>
      <c r="L23" s="121" t="s">
        <v>145</v>
      </c>
      <c r="M23" s="3"/>
      <c r="N23" s="3"/>
      <c r="O23" s="3"/>
    </row>
    <row r="24" spans="1:15" x14ac:dyDescent="0.2">
      <c r="A24" s="112"/>
      <c r="B24" s="121"/>
      <c r="C24" s="121" t="s">
        <v>152</v>
      </c>
      <c r="D24" s="126"/>
      <c r="E24" s="121"/>
      <c r="F24" s="126">
        <v>1042359</v>
      </c>
      <c r="G24" s="121"/>
      <c r="H24" s="126">
        <f t="shared" si="0"/>
        <v>0</v>
      </c>
      <c r="I24" s="127"/>
      <c r="J24" s="126"/>
      <c r="K24" s="126"/>
      <c r="L24" s="126"/>
      <c r="M24" s="3"/>
      <c r="N24" s="3"/>
      <c r="O24" s="3"/>
    </row>
    <row r="25" spans="1:15" x14ac:dyDescent="0.2">
      <c r="A25" s="112"/>
      <c r="B25" s="121"/>
      <c r="C25" s="121" t="s">
        <v>153</v>
      </c>
      <c r="D25" s="126"/>
      <c r="E25" s="121"/>
      <c r="F25" s="126">
        <v>1313177</v>
      </c>
      <c r="G25" s="121"/>
      <c r="H25" s="126">
        <f t="shared" si="0"/>
        <v>0</v>
      </c>
      <c r="I25" s="127"/>
      <c r="J25" s="126">
        <f>SUM(H13:I24)</f>
        <v>26966529.417692307</v>
      </c>
      <c r="K25" s="126"/>
      <c r="L25" s="126"/>
      <c r="M25" s="3"/>
      <c r="N25" s="3"/>
      <c r="O25" s="3"/>
    </row>
    <row r="26" spans="1:15" x14ac:dyDescent="0.2">
      <c r="A26" s="112"/>
      <c r="B26" s="121" t="s">
        <v>40</v>
      </c>
      <c r="C26" s="121"/>
      <c r="D26" s="126"/>
      <c r="E26" s="121"/>
      <c r="F26" s="126"/>
      <c r="G26" s="121"/>
      <c r="H26" s="126"/>
      <c r="I26" s="127"/>
      <c r="J26" s="126"/>
      <c r="K26" s="126"/>
      <c r="L26" s="126"/>
      <c r="M26" s="3"/>
      <c r="N26" s="3"/>
      <c r="O26" s="3"/>
    </row>
    <row r="27" spans="1:15" x14ac:dyDescent="0.2">
      <c r="A27" s="3"/>
      <c r="B27" s="121"/>
      <c r="C27" s="121" t="s">
        <v>154</v>
      </c>
      <c r="D27" s="126">
        <v>7992461</v>
      </c>
      <c r="E27" s="121"/>
      <c r="F27" s="126">
        <f>190500+147574+20965+68178+449146</f>
        <v>876363</v>
      </c>
      <c r="G27" s="121"/>
      <c r="H27" s="126">
        <f t="shared" ref="H27:H32" si="2">+D27*1.6</f>
        <v>12787937.600000001</v>
      </c>
      <c r="I27" s="127"/>
      <c r="J27" s="121"/>
      <c r="K27" s="121"/>
      <c r="L27" s="121" t="s">
        <v>155</v>
      </c>
      <c r="M27" s="3"/>
      <c r="N27" s="3"/>
      <c r="O27" s="3"/>
    </row>
    <row r="28" spans="1:15" x14ac:dyDescent="0.2">
      <c r="A28" s="3"/>
      <c r="B28" s="121"/>
      <c r="C28" s="121" t="s">
        <v>43</v>
      </c>
      <c r="D28" s="126">
        <f>328555+302790</f>
        <v>631345</v>
      </c>
      <c r="E28" s="121"/>
      <c r="F28" s="126">
        <f>68278+47390</f>
        <v>115668</v>
      </c>
      <c r="G28" s="121"/>
      <c r="H28" s="126">
        <f t="shared" si="2"/>
        <v>1010152</v>
      </c>
      <c r="I28" s="127"/>
      <c r="J28" s="121"/>
      <c r="K28" s="121"/>
      <c r="L28" s="121" t="s">
        <v>155</v>
      </c>
      <c r="M28" s="3"/>
      <c r="N28" s="3"/>
      <c r="O28" s="3"/>
    </row>
    <row r="29" spans="1:15" x14ac:dyDescent="0.2">
      <c r="A29" s="3"/>
      <c r="B29" s="121"/>
      <c r="C29" s="121" t="s">
        <v>44</v>
      </c>
      <c r="D29" s="126">
        <v>1485960</v>
      </c>
      <c r="E29" s="121"/>
      <c r="F29" s="126">
        <v>528209</v>
      </c>
      <c r="G29" s="121"/>
      <c r="H29" s="126">
        <f t="shared" si="2"/>
        <v>2377536</v>
      </c>
      <c r="I29" s="127"/>
      <c r="J29" s="121"/>
      <c r="K29" s="121"/>
      <c r="L29" s="121" t="s">
        <v>155</v>
      </c>
      <c r="M29" s="3"/>
      <c r="N29" s="3"/>
      <c r="O29" s="3"/>
    </row>
    <row r="30" spans="1:15" x14ac:dyDescent="0.2">
      <c r="A30" s="3"/>
      <c r="B30" s="121"/>
      <c r="C30" s="121" t="s">
        <v>156</v>
      </c>
      <c r="D30" s="126">
        <v>575400</v>
      </c>
      <c r="E30" s="121"/>
      <c r="F30" s="126">
        <v>91400</v>
      </c>
      <c r="G30" s="121"/>
      <c r="H30" s="126">
        <f t="shared" si="2"/>
        <v>920640</v>
      </c>
      <c r="I30" s="127"/>
      <c r="J30" s="121"/>
      <c r="K30" s="121"/>
      <c r="L30" s="121" t="s">
        <v>155</v>
      </c>
      <c r="M30" s="3"/>
      <c r="N30" s="3"/>
      <c r="O30" s="3"/>
    </row>
    <row r="31" spans="1:15" x14ac:dyDescent="0.2">
      <c r="A31" s="3"/>
      <c r="B31" s="121"/>
      <c r="C31" s="121" t="s">
        <v>47</v>
      </c>
      <c r="D31" s="126">
        <v>3863511</v>
      </c>
      <c r="E31" s="121"/>
      <c r="F31" s="126"/>
      <c r="G31" s="121"/>
      <c r="H31" s="126">
        <f t="shared" si="2"/>
        <v>6181617.6000000006</v>
      </c>
      <c r="I31" s="127"/>
      <c r="J31" s="121"/>
      <c r="K31" s="121"/>
      <c r="L31" s="121" t="s">
        <v>155</v>
      </c>
      <c r="M31" s="3"/>
      <c r="N31" s="3"/>
      <c r="O31" s="3"/>
    </row>
    <row r="32" spans="1:15" x14ac:dyDescent="0.2">
      <c r="A32" s="3"/>
      <c r="B32" s="121"/>
      <c r="C32" s="121" t="s">
        <v>49</v>
      </c>
      <c r="D32" s="126">
        <v>1851592</v>
      </c>
      <c r="E32" s="121"/>
      <c r="F32" s="126">
        <v>323144</v>
      </c>
      <c r="G32" s="121"/>
      <c r="H32" s="126">
        <f t="shared" si="2"/>
        <v>2962547.2</v>
      </c>
      <c r="I32" s="127"/>
      <c r="J32" s="121"/>
      <c r="K32" s="121"/>
      <c r="L32" s="121" t="s">
        <v>155</v>
      </c>
      <c r="M32" s="3"/>
      <c r="N32" s="3"/>
      <c r="O32" s="3"/>
    </row>
    <row r="33" spans="1:15" x14ac:dyDescent="0.2">
      <c r="A33" s="3"/>
      <c r="B33" s="121"/>
      <c r="C33" s="121" t="s">
        <v>51</v>
      </c>
      <c r="D33" s="126">
        <v>627500</v>
      </c>
      <c r="E33" s="121"/>
      <c r="F33" s="126">
        <v>85930</v>
      </c>
      <c r="G33" s="121"/>
      <c r="H33" s="126">
        <f t="shared" ref="H33:H42" si="3">+D33*1.6</f>
        <v>1004000</v>
      </c>
      <c r="I33" s="127"/>
      <c r="J33" s="121"/>
      <c r="K33" s="121"/>
      <c r="L33" s="121" t="s">
        <v>155</v>
      </c>
      <c r="M33" s="3"/>
      <c r="N33" s="3"/>
      <c r="O33" s="3"/>
    </row>
    <row r="34" spans="1:15" x14ac:dyDescent="0.2">
      <c r="A34" s="3"/>
      <c r="B34" s="121"/>
      <c r="C34" s="121" t="s">
        <v>53</v>
      </c>
      <c r="D34" s="126">
        <v>1277099</v>
      </c>
      <c r="E34" s="121"/>
      <c r="F34" s="126">
        <f>72804+37500+22500</f>
        <v>132804</v>
      </c>
      <c r="G34" s="121"/>
      <c r="H34" s="126">
        <f t="shared" si="3"/>
        <v>2043358.4000000001</v>
      </c>
      <c r="I34" s="127"/>
      <c r="J34" s="121"/>
      <c r="K34" s="121"/>
      <c r="L34" s="121" t="s">
        <v>155</v>
      </c>
      <c r="M34" s="3"/>
      <c r="N34" s="3"/>
      <c r="O34" s="3"/>
    </row>
    <row r="35" spans="1:15" x14ac:dyDescent="0.2">
      <c r="A35" s="3"/>
      <c r="B35" s="121"/>
      <c r="C35" s="121" t="s">
        <v>157</v>
      </c>
      <c r="D35" s="126">
        <f>2090307+107690</f>
        <v>2197997</v>
      </c>
      <c r="E35" s="121"/>
      <c r="F35" s="126">
        <f>151563+75000+46680+18795</f>
        <v>292038</v>
      </c>
      <c r="G35" s="121"/>
      <c r="H35" s="126">
        <f>+D35*2</f>
        <v>4395994</v>
      </c>
      <c r="I35" s="127"/>
      <c r="J35" s="121"/>
      <c r="K35" s="121"/>
      <c r="L35" s="121" t="s">
        <v>158</v>
      </c>
      <c r="M35" s="3"/>
      <c r="N35" s="3"/>
      <c r="O35" s="3"/>
    </row>
    <row r="36" spans="1:15" x14ac:dyDescent="0.2">
      <c r="A36" s="3"/>
      <c r="B36" s="121"/>
      <c r="C36" s="121" t="s">
        <v>15</v>
      </c>
      <c r="D36" s="126">
        <v>115220</v>
      </c>
      <c r="E36" s="121"/>
      <c r="F36" s="126">
        <v>52169</v>
      </c>
      <c r="G36" s="121"/>
      <c r="H36" s="126">
        <f t="shared" si="3"/>
        <v>184352</v>
      </c>
      <c r="I36" s="127"/>
      <c r="J36" s="121"/>
      <c r="K36" s="121"/>
      <c r="L36" s="121" t="s">
        <v>155</v>
      </c>
      <c r="M36" s="3"/>
      <c r="N36" s="3"/>
      <c r="O36" s="3"/>
    </row>
    <row r="37" spans="1:15" x14ac:dyDescent="0.2">
      <c r="A37" s="3"/>
      <c r="B37" s="121"/>
      <c r="C37" s="121" t="s">
        <v>159</v>
      </c>
      <c r="D37" s="126">
        <v>918366</v>
      </c>
      <c r="E37" s="121"/>
      <c r="F37" s="126">
        <f>23000+114100</f>
        <v>137100</v>
      </c>
      <c r="G37" s="121"/>
      <c r="H37" s="126">
        <f t="shared" si="3"/>
        <v>1469385.6</v>
      </c>
      <c r="I37" s="127"/>
      <c r="J37" s="121"/>
      <c r="K37" s="121"/>
      <c r="L37" s="121" t="s">
        <v>155</v>
      </c>
      <c r="M37" s="3"/>
      <c r="N37" s="3"/>
      <c r="O37" s="3"/>
    </row>
    <row r="38" spans="1:15" x14ac:dyDescent="0.2">
      <c r="A38" s="3"/>
      <c r="B38" s="121"/>
      <c r="C38" s="121" t="s">
        <v>19</v>
      </c>
      <c r="D38" s="126">
        <v>1416979</v>
      </c>
      <c r="E38" s="121"/>
      <c r="F38" s="126">
        <f>2025+5946+118205+142572+54522+5212</f>
        <v>328482</v>
      </c>
      <c r="G38" s="121"/>
      <c r="H38" s="126">
        <f t="shared" si="3"/>
        <v>2267166.4</v>
      </c>
      <c r="I38" s="127"/>
      <c r="J38" s="121"/>
      <c r="K38" s="121"/>
      <c r="L38" s="121" t="s">
        <v>155</v>
      </c>
      <c r="M38" s="3"/>
      <c r="N38" s="3"/>
      <c r="O38" s="3"/>
    </row>
    <row r="39" spans="1:15" x14ac:dyDescent="0.2">
      <c r="A39" s="3"/>
      <c r="B39" s="121"/>
      <c r="C39" s="121" t="s">
        <v>21</v>
      </c>
      <c r="D39" s="126">
        <v>1827670</v>
      </c>
      <c r="E39" s="121"/>
      <c r="F39" s="126">
        <f>27805+28833+44262+15305+8350+38888+607+41318+86903+29285+44396+46595+3845+910+42334+506+49093</f>
        <v>509235</v>
      </c>
      <c r="G39" s="121"/>
      <c r="H39" s="126">
        <f t="shared" si="3"/>
        <v>2924272</v>
      </c>
      <c r="I39" s="127"/>
      <c r="J39" s="121"/>
      <c r="K39" s="121"/>
      <c r="L39" s="121" t="s">
        <v>155</v>
      </c>
      <c r="M39" s="3"/>
      <c r="N39" s="3"/>
      <c r="O39" s="3"/>
    </row>
    <row r="40" spans="1:15" x14ac:dyDescent="0.2">
      <c r="A40" s="3"/>
      <c r="B40" s="121"/>
      <c r="C40" s="121" t="s">
        <v>23</v>
      </c>
      <c r="D40" s="126">
        <f>104680+678292</f>
        <v>782972</v>
      </c>
      <c r="E40" s="121"/>
      <c r="F40" s="126">
        <f>34449+58268</f>
        <v>92717</v>
      </c>
      <c r="G40" s="121"/>
      <c r="H40" s="126">
        <f t="shared" si="3"/>
        <v>1252755.2</v>
      </c>
      <c r="I40" s="127"/>
      <c r="J40" s="121"/>
      <c r="K40" s="121"/>
      <c r="L40" s="121" t="s">
        <v>155</v>
      </c>
      <c r="M40" s="3"/>
      <c r="N40" s="3"/>
      <c r="O40" s="3"/>
    </row>
    <row r="41" spans="1:15" x14ac:dyDescent="0.2">
      <c r="A41" s="3"/>
      <c r="B41" s="121"/>
      <c r="C41" s="121" t="s">
        <v>160</v>
      </c>
      <c r="D41" s="126">
        <f>101120+46615+412554+296080+304423</f>
        <v>1160792</v>
      </c>
      <c r="E41" s="121"/>
      <c r="F41" s="126">
        <f>57315+46154+68934+39647+55971</f>
        <v>268021</v>
      </c>
      <c r="G41" s="121"/>
      <c r="H41" s="126">
        <f t="shared" si="3"/>
        <v>1857267.2000000002</v>
      </c>
      <c r="I41" s="127"/>
      <c r="J41" s="121"/>
      <c r="K41" s="121"/>
      <c r="L41" s="121" t="s">
        <v>155</v>
      </c>
      <c r="M41" s="3"/>
      <c r="N41" s="3"/>
      <c r="O41" s="3"/>
    </row>
    <row r="42" spans="1:15" x14ac:dyDescent="0.2">
      <c r="A42" s="3"/>
      <c r="B42" s="121"/>
      <c r="C42" s="121" t="s">
        <v>161</v>
      </c>
      <c r="D42" s="126">
        <f>54000+18668+276240</f>
        <v>348908</v>
      </c>
      <c r="E42" s="121"/>
      <c r="F42" s="126">
        <f>3297+202356</f>
        <v>205653</v>
      </c>
      <c r="G42" s="121"/>
      <c r="H42" s="126">
        <f t="shared" si="3"/>
        <v>558252.80000000005</v>
      </c>
      <c r="I42" s="127"/>
      <c r="J42" s="121"/>
      <c r="K42" s="121"/>
      <c r="L42" s="121" t="s">
        <v>155</v>
      </c>
      <c r="M42" s="3"/>
      <c r="N42" s="3"/>
      <c r="O42" s="3"/>
    </row>
    <row r="43" spans="1:15" x14ac:dyDescent="0.2">
      <c r="A43" s="3"/>
      <c r="B43" s="121" t="s">
        <v>162</v>
      </c>
      <c r="C43" s="121"/>
      <c r="D43" s="126">
        <v>3273375</v>
      </c>
      <c r="E43" s="121"/>
      <c r="F43" s="126"/>
      <c r="G43" s="121"/>
      <c r="H43" s="126">
        <v>9200000</v>
      </c>
      <c r="I43" s="127"/>
      <c r="J43" s="121"/>
      <c r="K43" s="121"/>
      <c r="L43" s="121" t="s">
        <v>163</v>
      </c>
      <c r="M43" s="3"/>
      <c r="N43" s="3"/>
      <c r="O43" s="3"/>
    </row>
    <row r="44" spans="1:15" x14ac:dyDescent="0.2">
      <c r="A44" s="3"/>
      <c r="B44" s="121"/>
      <c r="C44" s="121"/>
      <c r="D44" s="126"/>
      <c r="E44" s="121"/>
      <c r="F44" s="126"/>
      <c r="G44" s="121"/>
      <c r="H44" s="126"/>
      <c r="I44" s="127"/>
      <c r="J44" s="121"/>
      <c r="K44" s="121"/>
      <c r="L44" s="121"/>
      <c r="M44" s="3"/>
      <c r="N44" s="3"/>
      <c r="O44" s="3"/>
    </row>
    <row r="45" spans="1:15" x14ac:dyDescent="0.2">
      <c r="A45" s="3"/>
      <c r="B45" s="121"/>
      <c r="C45" s="123" t="s">
        <v>164</v>
      </c>
      <c r="D45" s="126"/>
      <c r="E45" s="121"/>
      <c r="F45" s="121"/>
      <c r="G45" s="121"/>
      <c r="H45" s="126"/>
      <c r="I45" s="127"/>
      <c r="J45" s="121"/>
      <c r="K45" s="121"/>
      <c r="L45" s="121"/>
      <c r="M45" s="3"/>
      <c r="N45" s="3"/>
      <c r="O45" s="3"/>
    </row>
    <row r="46" spans="1:15" x14ac:dyDescent="0.2">
      <c r="A46" s="3"/>
      <c r="B46" s="121"/>
      <c r="C46" s="123" t="s">
        <v>177</v>
      </c>
      <c r="D46" s="124">
        <f>SUM(D9:D43)</f>
        <v>120212256</v>
      </c>
      <c r="E46" s="123"/>
      <c r="F46" s="124">
        <f>SUM(F9:F43)</f>
        <v>20291731</v>
      </c>
      <c r="G46" s="123"/>
      <c r="H46" s="124">
        <f>SUM(H9:H43)+SUM(I9:I43)</f>
        <v>199493187.417972</v>
      </c>
      <c r="I46" s="127"/>
      <c r="J46" s="121"/>
      <c r="K46" s="121"/>
      <c r="L46" s="121"/>
      <c r="N46" s="3"/>
      <c r="O46" s="3"/>
    </row>
    <row r="47" spans="1:15" x14ac:dyDescent="0.2">
      <c r="A47" s="3"/>
      <c r="B47" s="121" t="s">
        <v>37</v>
      </c>
      <c r="C47" s="121"/>
      <c r="D47" s="126">
        <v>3349943</v>
      </c>
      <c r="E47" s="126"/>
      <c r="F47" s="126">
        <v>510482</v>
      </c>
      <c r="G47" s="126"/>
      <c r="H47" s="126">
        <f>+D47*2</f>
        <v>6699886</v>
      </c>
      <c r="I47" s="127"/>
      <c r="J47" s="123"/>
      <c r="K47" s="123"/>
      <c r="L47" s="121" t="s">
        <v>165</v>
      </c>
      <c r="M47" s="113"/>
      <c r="N47" s="3"/>
      <c r="O47" s="3"/>
    </row>
    <row r="48" spans="1:15" x14ac:dyDescent="0.2">
      <c r="A48" s="3"/>
      <c r="B48" s="121"/>
      <c r="C48" s="121"/>
      <c r="D48" s="126"/>
      <c r="E48" s="121"/>
      <c r="F48" s="121"/>
      <c r="G48" s="121"/>
      <c r="H48" s="126"/>
      <c r="I48" s="127"/>
      <c r="J48" s="121"/>
      <c r="K48" s="121"/>
      <c r="L48" s="121"/>
      <c r="M48" s="3"/>
      <c r="N48" s="3"/>
      <c r="O48" s="3"/>
    </row>
    <row r="49" spans="1:15" x14ac:dyDescent="0.2">
      <c r="A49" s="3"/>
      <c r="B49" s="121"/>
      <c r="C49" s="123" t="s">
        <v>166</v>
      </c>
      <c r="D49" s="124">
        <f>+D47+D46</f>
        <v>123562199</v>
      </c>
      <c r="E49" s="123"/>
      <c r="F49" s="124">
        <f>+F47+F46</f>
        <v>20802213</v>
      </c>
      <c r="G49" s="121"/>
      <c r="H49" s="124">
        <f>SUM(H46:H48)</f>
        <v>206193073.417972</v>
      </c>
      <c r="I49" s="127"/>
      <c r="J49" s="123"/>
      <c r="K49" s="123"/>
      <c r="L49" s="123"/>
      <c r="M49" s="3"/>
      <c r="N49" s="3">
        <f>SUM(H12:H47)</f>
        <v>280415943.99797201</v>
      </c>
      <c r="O49" s="3"/>
    </row>
    <row r="50" spans="1:15" x14ac:dyDescent="0.2">
      <c r="A50" s="3"/>
      <c r="B50" s="121"/>
      <c r="C50" s="123" t="s">
        <v>167</v>
      </c>
      <c r="D50" s="128">
        <v>304000</v>
      </c>
      <c r="E50" s="122" t="s">
        <v>168</v>
      </c>
      <c r="F50" s="128">
        <v>40000</v>
      </c>
      <c r="G50" s="122" t="s">
        <v>168</v>
      </c>
      <c r="H50" s="129">
        <v>510000</v>
      </c>
      <c r="I50" s="125" t="s">
        <v>168</v>
      </c>
      <c r="J50" s="121"/>
      <c r="K50" s="121"/>
      <c r="L50" s="121"/>
      <c r="M50" s="3"/>
      <c r="N50" s="3"/>
      <c r="O50" s="3"/>
    </row>
    <row r="51" spans="1:15" x14ac:dyDescent="0.2">
      <c r="A51" s="3"/>
      <c r="B51" s="121"/>
      <c r="C51" s="130"/>
      <c r="D51" s="131">
        <f>+D49/D50</f>
        <v>406.45460197368419</v>
      </c>
      <c r="E51" s="122" t="s">
        <v>169</v>
      </c>
      <c r="F51" s="131">
        <f>+F49/F50</f>
        <v>520.05532500000004</v>
      </c>
      <c r="G51" s="122" t="s">
        <v>169</v>
      </c>
      <c r="H51" s="131">
        <f>+H49/H$50</f>
        <v>404.30014395680786</v>
      </c>
      <c r="I51" s="122" t="s">
        <v>169</v>
      </c>
      <c r="J51" s="121"/>
      <c r="K51" s="121"/>
      <c r="L51" s="121"/>
      <c r="M51" s="3"/>
      <c r="N51" s="3"/>
      <c r="O51" s="3"/>
    </row>
    <row r="52" spans="1:15" x14ac:dyDescent="0.2">
      <c r="A52" s="3"/>
      <c r="B52" s="121"/>
      <c r="C52" s="130"/>
      <c r="D52" s="131"/>
      <c r="E52" s="123"/>
      <c r="F52" s="131"/>
      <c r="G52" s="121"/>
      <c r="H52" s="126"/>
      <c r="I52" s="125"/>
      <c r="J52" s="121"/>
      <c r="K52" s="121"/>
      <c r="L52" s="121"/>
      <c r="M52" s="3"/>
      <c r="N52" s="3"/>
      <c r="O52" s="3"/>
    </row>
    <row r="53" spans="1:15" x14ac:dyDescent="0.2">
      <c r="A53" s="3"/>
      <c r="B53" s="121" t="s">
        <v>170</v>
      </c>
      <c r="C53" s="121"/>
      <c r="D53" s="126"/>
      <c r="E53" s="121"/>
      <c r="F53" s="121"/>
      <c r="G53" s="121"/>
      <c r="H53" s="126"/>
      <c r="I53" s="125"/>
      <c r="J53" s="121"/>
      <c r="K53" s="121"/>
      <c r="L53" s="121"/>
      <c r="M53" s="3"/>
      <c r="N53" s="3"/>
      <c r="O53" s="3"/>
    </row>
    <row r="54" spans="1:15" x14ac:dyDescent="0.2">
      <c r="A54" s="3"/>
      <c r="B54" s="121"/>
      <c r="C54" s="121" t="s">
        <v>171</v>
      </c>
      <c r="D54" s="126">
        <f>4016265-1108141</f>
        <v>2908124</v>
      </c>
      <c r="E54" s="121"/>
      <c r="F54" s="121">
        <f>82500+70124</f>
        <v>152624</v>
      </c>
      <c r="G54" s="121"/>
      <c r="H54" s="126">
        <f>+D54*2</f>
        <v>5816248</v>
      </c>
      <c r="I54" s="125"/>
      <c r="J54" s="121"/>
      <c r="K54" s="121"/>
      <c r="L54" s="121" t="s">
        <v>165</v>
      </c>
      <c r="M54" s="3"/>
      <c r="N54" s="3"/>
      <c r="O54" s="3"/>
    </row>
    <row r="55" spans="1:15" x14ac:dyDescent="0.2">
      <c r="A55" s="3"/>
      <c r="B55" s="121"/>
      <c r="C55" s="121" t="s">
        <v>172</v>
      </c>
      <c r="D55" s="126">
        <v>2573334</v>
      </c>
      <c r="E55" s="121"/>
      <c r="F55" s="121">
        <v>159520</v>
      </c>
      <c r="G55" s="121"/>
      <c r="H55" s="126">
        <f>+D55*2</f>
        <v>5146668</v>
      </c>
      <c r="I55" s="125"/>
      <c r="J55" s="121"/>
      <c r="K55" s="121"/>
      <c r="L55" s="121" t="s">
        <v>165</v>
      </c>
      <c r="M55" s="3"/>
      <c r="N55" s="3"/>
      <c r="O55" s="3"/>
    </row>
    <row r="56" spans="1:15" x14ac:dyDescent="0.2">
      <c r="A56" s="3"/>
      <c r="B56" s="121"/>
      <c r="C56" s="121" t="s">
        <v>48</v>
      </c>
      <c r="D56" s="126">
        <v>1200000</v>
      </c>
      <c r="E56" s="121"/>
      <c r="F56" s="121">
        <v>128194</v>
      </c>
      <c r="G56" s="121"/>
      <c r="H56" s="126">
        <v>4000000</v>
      </c>
      <c r="I56" s="125"/>
      <c r="J56" s="121"/>
      <c r="K56" s="121"/>
      <c r="L56" s="121" t="s">
        <v>173</v>
      </c>
      <c r="M56" s="3"/>
      <c r="N56" s="3"/>
      <c r="O56" s="3"/>
    </row>
    <row r="57" spans="1:15" x14ac:dyDescent="0.2">
      <c r="A57" s="3"/>
      <c r="B57" s="121"/>
      <c r="C57" s="121" t="s">
        <v>50</v>
      </c>
      <c r="D57" s="126">
        <v>1083998</v>
      </c>
      <c r="E57" s="121"/>
      <c r="F57" s="126">
        <v>52565</v>
      </c>
      <c r="G57" s="121"/>
      <c r="H57" s="126">
        <f>+D57*2</f>
        <v>2167996</v>
      </c>
      <c r="I57" s="125"/>
      <c r="J57" s="121"/>
      <c r="K57" s="121"/>
      <c r="L57" s="121" t="s">
        <v>165</v>
      </c>
      <c r="M57" s="3"/>
      <c r="N57" s="3"/>
      <c r="O57" s="3"/>
    </row>
    <row r="58" spans="1:15" x14ac:dyDescent="0.2">
      <c r="A58" s="3"/>
      <c r="B58" s="121"/>
      <c r="C58" s="121" t="s">
        <v>174</v>
      </c>
      <c r="D58" s="126"/>
      <c r="E58" s="121"/>
      <c r="F58" s="126"/>
      <c r="G58" s="121"/>
      <c r="H58" s="126">
        <f>+H49*0.03</f>
        <v>6185792.2025391599</v>
      </c>
      <c r="I58" s="125"/>
      <c r="J58" s="121"/>
      <c r="K58" s="121"/>
      <c r="L58" s="121"/>
      <c r="M58" s="3"/>
      <c r="N58" s="3"/>
      <c r="O58" s="3"/>
    </row>
    <row r="59" spans="1:15" x14ac:dyDescent="0.2">
      <c r="A59" s="3"/>
      <c r="B59" s="121"/>
      <c r="C59" s="123" t="s">
        <v>175</v>
      </c>
      <c r="D59" s="124">
        <f>SUM(D54:D58)</f>
        <v>7765456</v>
      </c>
      <c r="E59" s="121"/>
      <c r="F59" s="124">
        <f>SUM(F54:F58)</f>
        <v>492903</v>
      </c>
      <c r="G59" s="121"/>
      <c r="H59" s="124">
        <f>SUM(H54:H58)</f>
        <v>23316704.202539161</v>
      </c>
      <c r="I59" s="125"/>
      <c r="J59" s="121"/>
      <c r="K59" s="121"/>
      <c r="L59" s="121"/>
      <c r="M59" s="3"/>
      <c r="N59" s="3"/>
      <c r="O59" s="3"/>
    </row>
    <row r="60" spans="1:15" x14ac:dyDescent="0.2">
      <c r="A60" s="3"/>
      <c r="B60" s="121"/>
      <c r="C60" s="121"/>
      <c r="D60" s="126"/>
      <c r="E60" s="121"/>
      <c r="F60" s="126"/>
      <c r="G60" s="121"/>
      <c r="H60" s="126"/>
      <c r="I60" s="125"/>
      <c r="J60" s="121"/>
      <c r="K60" s="121"/>
      <c r="L60" s="121"/>
      <c r="M60" s="3"/>
      <c r="N60" s="3"/>
      <c r="O60" s="3"/>
    </row>
    <row r="61" spans="1:15" x14ac:dyDescent="0.2">
      <c r="A61" s="3"/>
      <c r="B61" s="123" t="s">
        <v>176</v>
      </c>
      <c r="C61" s="121"/>
      <c r="D61" s="124">
        <f>+D59+D49</f>
        <v>131327655</v>
      </c>
      <c r="E61" s="123"/>
      <c r="F61" s="124">
        <f>+F59+F49</f>
        <v>21295116</v>
      </c>
      <c r="G61" s="121"/>
      <c r="H61" s="124">
        <f>+H59+H49</f>
        <v>229509777.62051117</v>
      </c>
      <c r="I61" s="125"/>
      <c r="J61" s="121"/>
      <c r="K61" s="121"/>
      <c r="L61" s="121"/>
      <c r="M61" s="3"/>
      <c r="N61" s="3"/>
      <c r="O61" s="3"/>
    </row>
    <row r="62" spans="1:15" x14ac:dyDescent="0.2">
      <c r="A62" s="3"/>
      <c r="B62" s="123"/>
      <c r="C62" s="121"/>
      <c r="D62" s="128"/>
      <c r="E62" s="123"/>
      <c r="F62" s="128"/>
      <c r="G62" s="123"/>
      <c r="H62" s="131">
        <f>+H61/H$50</f>
        <v>450.01917180492387</v>
      </c>
      <c r="I62" s="122" t="s">
        <v>169</v>
      </c>
      <c r="J62" s="121"/>
      <c r="K62" s="121"/>
      <c r="L62" s="121"/>
      <c r="M62" s="3"/>
      <c r="N62" s="3"/>
      <c r="O62" s="3"/>
    </row>
    <row r="63" spans="1:15" x14ac:dyDescent="0.2">
      <c r="A63" s="3"/>
      <c r="B63" s="3"/>
      <c r="C63" s="114"/>
      <c r="D63" s="115"/>
      <c r="E63" s="113"/>
      <c r="F63" s="115"/>
      <c r="G63" s="3"/>
      <c r="H63" s="111"/>
      <c r="I63" s="110"/>
      <c r="J63" s="3"/>
      <c r="K63" s="3"/>
      <c r="L63" s="3"/>
      <c r="M63" s="3"/>
      <c r="N63" s="3"/>
      <c r="O63" s="3"/>
    </row>
  </sheetData>
  <pageMargins left="0.75" right="0.75" top="0.48" bottom="0.55000000000000004" header="0.5" footer="0.5"/>
  <pageSetup scale="9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6" workbookViewId="0">
      <selection activeCell="G15" sqref="G15"/>
    </sheetView>
  </sheetViews>
  <sheetFormatPr defaultRowHeight="12" x14ac:dyDescent="0.2"/>
  <cols>
    <col min="1" max="1" width="7.140625" style="42" customWidth="1"/>
    <col min="2" max="2" width="9.140625" style="42"/>
    <col min="3" max="3" width="25.7109375" style="42" customWidth="1"/>
    <col min="4" max="4" width="13.7109375" style="42" customWidth="1"/>
    <col min="5" max="5" width="14.28515625" style="42" customWidth="1"/>
    <col min="6" max="6" width="13.7109375" style="42" customWidth="1"/>
    <col min="7" max="16384" width="9.140625" style="42"/>
  </cols>
  <sheetData>
    <row r="1" spans="1:6" x14ac:dyDescent="0.2">
      <c r="A1" s="41" t="s">
        <v>59</v>
      </c>
    </row>
    <row r="2" spans="1:6" x14ac:dyDescent="0.2">
      <c r="A2" s="41" t="s">
        <v>60</v>
      </c>
    </row>
    <row r="3" spans="1:6" x14ac:dyDescent="0.2">
      <c r="A3" s="43" t="s">
        <v>61</v>
      </c>
    </row>
    <row r="5" spans="1:6" x14ac:dyDescent="0.2">
      <c r="A5" s="44" t="s">
        <v>62</v>
      </c>
    </row>
    <row r="6" spans="1:6" x14ac:dyDescent="0.2">
      <c r="A6" s="45"/>
      <c r="B6" s="45"/>
      <c r="C6" s="45"/>
      <c r="D6" s="46" t="s">
        <v>63</v>
      </c>
      <c r="E6" s="46"/>
      <c r="F6" s="47" t="s">
        <v>64</v>
      </c>
    </row>
    <row r="7" spans="1:6" x14ac:dyDescent="0.2">
      <c r="A7" s="45" t="s">
        <v>65</v>
      </c>
      <c r="B7" s="45"/>
      <c r="C7" s="45"/>
      <c r="D7" s="46" t="s">
        <v>66</v>
      </c>
      <c r="E7" s="46" t="s">
        <v>67</v>
      </c>
      <c r="F7" s="46" t="s">
        <v>66</v>
      </c>
    </row>
    <row r="8" spans="1:6" x14ac:dyDescent="0.2">
      <c r="A8" s="45"/>
      <c r="B8" s="45"/>
      <c r="C8" s="45"/>
      <c r="D8" s="46"/>
      <c r="E8" s="46"/>
      <c r="F8" s="46"/>
    </row>
    <row r="9" spans="1:6" x14ac:dyDescent="0.2">
      <c r="C9" s="42" t="s">
        <v>68</v>
      </c>
      <c r="D9" s="48">
        <v>90000</v>
      </c>
      <c r="E9" s="49">
        <v>1</v>
      </c>
      <c r="F9" s="48">
        <f>+E9*D9</f>
        <v>90000</v>
      </c>
    </row>
    <row r="10" spans="1:6" x14ac:dyDescent="0.2">
      <c r="C10" s="42" t="s">
        <v>69</v>
      </c>
      <c r="D10" s="48">
        <v>65000</v>
      </c>
      <c r="E10" s="49">
        <v>2</v>
      </c>
      <c r="F10" s="48">
        <f>+E10*D10</f>
        <v>130000</v>
      </c>
    </row>
    <row r="11" spans="1:6" x14ac:dyDescent="0.2">
      <c r="C11" s="42" t="s">
        <v>70</v>
      </c>
      <c r="D11" s="48">
        <v>28000</v>
      </c>
      <c r="E11" s="49">
        <v>1</v>
      </c>
      <c r="F11" s="48">
        <f>+E11*D11</f>
        <v>28000</v>
      </c>
    </row>
    <row r="12" spans="1:6" x14ac:dyDescent="0.2">
      <c r="C12" s="42" t="s">
        <v>71</v>
      </c>
      <c r="D12" s="48">
        <v>50000</v>
      </c>
      <c r="E12" s="49">
        <v>12</v>
      </c>
      <c r="F12" s="48">
        <f>+E12*D12</f>
        <v>600000</v>
      </c>
    </row>
    <row r="13" spans="1:6" x14ac:dyDescent="0.2">
      <c r="C13" s="42" t="s">
        <v>72</v>
      </c>
      <c r="D13" s="48">
        <v>60000</v>
      </c>
      <c r="E13" s="50">
        <v>6</v>
      </c>
      <c r="F13" s="51">
        <f>+E13*D13</f>
        <v>360000</v>
      </c>
    </row>
    <row r="14" spans="1:6" x14ac:dyDescent="0.2">
      <c r="C14" s="52" t="s">
        <v>73</v>
      </c>
      <c r="E14" s="53">
        <f>SUM(E9:E13)</f>
        <v>22</v>
      </c>
      <c r="F14" s="54">
        <f>SUM(F9:F13)</f>
        <v>1208000</v>
      </c>
    </row>
    <row r="15" spans="1:6" x14ac:dyDescent="0.2">
      <c r="C15" s="42" t="s">
        <v>74</v>
      </c>
      <c r="E15" s="53"/>
      <c r="F15" s="55">
        <f>+F14*0.45</f>
        <v>543600</v>
      </c>
    </row>
    <row r="16" spans="1:6" x14ac:dyDescent="0.2">
      <c r="C16" s="42" t="s">
        <v>75</v>
      </c>
      <c r="E16" s="53"/>
      <c r="F16" s="54">
        <f>+F15+F14</f>
        <v>1751600</v>
      </c>
    </row>
    <row r="17" spans="1:6" x14ac:dyDescent="0.2">
      <c r="C17" s="42" t="s">
        <v>76</v>
      </c>
      <c r="E17" s="53"/>
      <c r="F17" s="54">
        <f>+F16*0.15</f>
        <v>262740</v>
      </c>
    </row>
    <row r="18" spans="1:6" ht="12.75" thickBot="1" x14ac:dyDescent="0.25">
      <c r="C18" s="56" t="s">
        <v>77</v>
      </c>
      <c r="D18" s="56"/>
      <c r="E18" s="57"/>
      <c r="F18" s="58">
        <v>250000</v>
      </c>
    </row>
    <row r="19" spans="1:6" ht="12.75" thickTop="1" x14ac:dyDescent="0.2">
      <c r="D19" s="59" t="s">
        <v>78</v>
      </c>
      <c r="E19" s="53"/>
      <c r="F19" s="54">
        <f>+F16+F17+F18</f>
        <v>2264340</v>
      </c>
    </row>
    <row r="20" spans="1:6" x14ac:dyDescent="0.2">
      <c r="E20" s="53"/>
      <c r="F20" s="60"/>
    </row>
    <row r="21" spans="1:6" x14ac:dyDescent="0.2">
      <c r="A21" s="45" t="s">
        <v>79</v>
      </c>
      <c r="E21" s="53"/>
      <c r="F21" s="60"/>
    </row>
    <row r="22" spans="1:6" ht="13.5" x14ac:dyDescent="0.2">
      <c r="B22" s="61" t="s">
        <v>80</v>
      </c>
      <c r="E22" s="53"/>
      <c r="F22" s="60"/>
    </row>
    <row r="23" spans="1:6" x14ac:dyDescent="0.2">
      <c r="C23" s="42" t="s">
        <v>81</v>
      </c>
      <c r="F23" s="48">
        <v>750000</v>
      </c>
    </row>
    <row r="24" spans="1:6" x14ac:dyDescent="0.2">
      <c r="C24" s="42" t="s">
        <v>82</v>
      </c>
      <c r="F24" s="51">
        <v>250000</v>
      </c>
    </row>
    <row r="25" spans="1:6" x14ac:dyDescent="0.2">
      <c r="D25" s="59" t="s">
        <v>83</v>
      </c>
      <c r="F25" s="54">
        <f>SUM(F23:F24)</f>
        <v>1000000</v>
      </c>
    </row>
    <row r="26" spans="1:6" x14ac:dyDescent="0.2">
      <c r="B26" s="61" t="s">
        <v>84</v>
      </c>
      <c r="F26" s="60"/>
    </row>
    <row r="27" spans="1:6" x14ac:dyDescent="0.2">
      <c r="C27" s="42" t="s">
        <v>85</v>
      </c>
      <c r="F27" s="48">
        <v>125000</v>
      </c>
    </row>
    <row r="28" spans="1:6" x14ac:dyDescent="0.2">
      <c r="C28" s="42" t="s">
        <v>86</v>
      </c>
      <c r="F28" s="48">
        <v>550000</v>
      </c>
    </row>
    <row r="29" spans="1:6" x14ac:dyDescent="0.2">
      <c r="C29" s="42" t="s">
        <v>87</v>
      </c>
      <c r="F29" s="48">
        <v>72000</v>
      </c>
    </row>
    <row r="30" spans="1:6" x14ac:dyDescent="0.2">
      <c r="C30" s="42" t="s">
        <v>88</v>
      </c>
      <c r="F30" s="48">
        <v>25000</v>
      </c>
    </row>
    <row r="31" spans="1:6" x14ac:dyDescent="0.2">
      <c r="C31" s="62" t="s">
        <v>89</v>
      </c>
      <c r="D31" s="62"/>
      <c r="E31" s="62"/>
      <c r="F31" s="51">
        <v>125000</v>
      </c>
    </row>
    <row r="32" spans="1:6" ht="12.75" thickBot="1" x14ac:dyDescent="0.25">
      <c r="B32" s="56"/>
      <c r="C32" s="63"/>
      <c r="D32" s="64" t="s">
        <v>90</v>
      </c>
      <c r="E32" s="63"/>
      <c r="F32" s="65">
        <f>SUM(F27:F31)</f>
        <v>897000</v>
      </c>
    </row>
    <row r="33" spans="2:6" ht="12.75" thickTop="1" x14ac:dyDescent="0.2">
      <c r="D33" s="59" t="s">
        <v>64</v>
      </c>
      <c r="F33" s="66">
        <f>F32+F25+F19</f>
        <v>4161340</v>
      </c>
    </row>
    <row r="35" spans="2:6" ht="12.75" x14ac:dyDescent="0.2">
      <c r="B35" s="67">
        <v>1</v>
      </c>
      <c r="C35" s="67" t="s">
        <v>91</v>
      </c>
      <c r="D35"/>
      <c r="E35"/>
      <c r="F3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workbookViewId="0">
      <selection activeCell="G15" sqref="G15"/>
    </sheetView>
  </sheetViews>
  <sheetFormatPr defaultRowHeight="12.75" x14ac:dyDescent="0.2"/>
  <sheetData>
    <row r="2" spans="1:11" x14ac:dyDescent="0.2">
      <c r="A2" t="s">
        <v>115</v>
      </c>
    </row>
    <row r="3" spans="1:11" x14ac:dyDescent="0.2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1" x14ac:dyDescent="0.2">
      <c r="A4" s="27"/>
      <c r="E4" s="27" t="s">
        <v>92</v>
      </c>
      <c r="G4" s="27" t="s">
        <v>93</v>
      </c>
      <c r="I4" s="27" t="s">
        <v>93</v>
      </c>
      <c r="K4" s="27"/>
    </row>
    <row r="5" spans="1:11" x14ac:dyDescent="0.2">
      <c r="A5" s="27"/>
      <c r="E5" s="37" t="s">
        <v>94</v>
      </c>
      <c r="F5" s="38"/>
      <c r="G5" s="37" t="s">
        <v>94</v>
      </c>
      <c r="H5" s="38"/>
      <c r="I5" s="37" t="s">
        <v>95</v>
      </c>
      <c r="J5" s="39"/>
      <c r="K5" s="27"/>
    </row>
    <row r="6" spans="1:11" x14ac:dyDescent="0.2">
      <c r="A6" s="27"/>
      <c r="E6" s="68" t="s">
        <v>96</v>
      </c>
      <c r="F6" s="69" t="s">
        <v>96</v>
      </c>
      <c r="G6" s="68" t="s">
        <v>96</v>
      </c>
      <c r="H6" s="69" t="s">
        <v>96</v>
      </c>
      <c r="I6" s="68" t="s">
        <v>96</v>
      </c>
      <c r="J6" s="69" t="s">
        <v>96</v>
      </c>
      <c r="K6" s="27"/>
    </row>
    <row r="7" spans="1:11" x14ac:dyDescent="0.2">
      <c r="A7" s="27"/>
      <c r="B7" s="69" t="s">
        <v>97</v>
      </c>
      <c r="C7" s="69" t="s">
        <v>98</v>
      </c>
      <c r="D7" s="70" t="s">
        <v>99</v>
      </c>
      <c r="E7" s="71" t="s">
        <v>100</v>
      </c>
      <c r="F7" s="72" t="s">
        <v>101</v>
      </c>
      <c r="G7" s="71" t="s">
        <v>100</v>
      </c>
      <c r="H7" s="72" t="s">
        <v>101</v>
      </c>
      <c r="I7" s="71" t="s">
        <v>100</v>
      </c>
      <c r="J7" s="72" t="s">
        <v>101</v>
      </c>
      <c r="K7" s="27"/>
    </row>
    <row r="8" spans="1:11" x14ac:dyDescent="0.2">
      <c r="A8" s="73" t="s">
        <v>102</v>
      </c>
      <c r="B8" s="74" t="s">
        <v>103</v>
      </c>
      <c r="C8" s="74" t="s">
        <v>104</v>
      </c>
      <c r="D8" s="74" t="s">
        <v>105</v>
      </c>
      <c r="E8" s="73" t="s">
        <v>106</v>
      </c>
      <c r="F8" s="16" t="s">
        <v>107</v>
      </c>
      <c r="G8" s="73" t="s">
        <v>106</v>
      </c>
      <c r="H8" s="16" t="s">
        <v>107</v>
      </c>
      <c r="I8" s="73" t="s">
        <v>106</v>
      </c>
      <c r="J8" s="16" t="s">
        <v>107</v>
      </c>
      <c r="K8" s="27"/>
    </row>
    <row r="9" spans="1:11" x14ac:dyDescent="0.2">
      <c r="A9" s="27"/>
      <c r="E9" s="27"/>
      <c r="G9" s="27"/>
      <c r="I9" s="27"/>
      <c r="K9" s="27"/>
    </row>
    <row r="10" spans="1:11" x14ac:dyDescent="0.2">
      <c r="A10" s="68" t="s">
        <v>108</v>
      </c>
      <c r="B10" s="69">
        <v>-20</v>
      </c>
      <c r="C10" s="69">
        <v>60</v>
      </c>
      <c r="D10" s="69" t="s">
        <v>109</v>
      </c>
      <c r="E10" s="75">
        <f>'[1]Raytheon Data'!I8/1.06/1000</f>
        <v>541.75094339622638</v>
      </c>
      <c r="F10" s="76">
        <f>'[1]Raytheon Data'!K8*1.06</f>
        <v>8445.504444011036</v>
      </c>
      <c r="G10" s="75">
        <f>'[1]with Chilling'!J8/1.06/1000</f>
        <v>541.75094339622638</v>
      </c>
      <c r="H10" s="76">
        <f>'[1]with Chilling'!L8*1.06</f>
        <v>8445.504444011036</v>
      </c>
      <c r="I10" s="75">
        <f>'[1]with 105 mw stg'!J8/1.06/1000</f>
        <v>556.9077911599245</v>
      </c>
      <c r="J10" s="76">
        <f>'[1]with 105 mw stg'!L8*1.06</f>
        <v>8607.9511548204682</v>
      </c>
      <c r="K10" s="27"/>
    </row>
    <row r="11" spans="1:11" x14ac:dyDescent="0.2">
      <c r="A11" s="68" t="s">
        <v>108</v>
      </c>
      <c r="B11" s="69">
        <v>20</v>
      </c>
      <c r="C11" s="69">
        <v>60</v>
      </c>
      <c r="D11" s="77" t="s">
        <v>109</v>
      </c>
      <c r="E11" s="75">
        <f>'[1]Raytheon Data'!I9/1.06/1000</f>
        <v>542.40566037735846</v>
      </c>
      <c r="F11" s="76">
        <f>'[1]Raytheon Data'!K9*1.06</f>
        <v>8199.7300634837811</v>
      </c>
      <c r="G11" s="75">
        <f>'[1]with Chilling'!J9/1.06/1000</f>
        <v>542.40566037735846</v>
      </c>
      <c r="H11" s="76">
        <f>'[1]with Chilling'!L9*1.06</f>
        <v>8199.7300634837811</v>
      </c>
      <c r="I11" s="75">
        <f>'[1]with 105 mw stg'!J9/1.06/1000</f>
        <v>557.75803884949767</v>
      </c>
      <c r="J11" s="76">
        <f>'[1]with 105 mw stg'!L9*1.06</f>
        <v>8378.6945344692522</v>
      </c>
      <c r="K11" s="27"/>
    </row>
    <row r="12" spans="1:11" x14ac:dyDescent="0.2">
      <c r="A12" s="68" t="s">
        <v>108</v>
      </c>
      <c r="B12" s="69">
        <v>60</v>
      </c>
      <c r="C12" s="69">
        <v>60</v>
      </c>
      <c r="D12" s="69" t="s">
        <v>109</v>
      </c>
      <c r="E12" s="75">
        <f>'[1]Raytheon Data'!I10/1.06/1000</f>
        <v>504.63584905660372</v>
      </c>
      <c r="F12" s="76">
        <f>'[1]Raytheon Data'!K10*1.06</f>
        <v>8288.9870147350794</v>
      </c>
      <c r="G12" s="75">
        <f>'[1]with Chilling'!J10/1.06/1000</f>
        <v>516.7817557434646</v>
      </c>
      <c r="H12" s="76">
        <f>'[1]with Chilling'!L10*1.06</f>
        <v>8253.0728320504841</v>
      </c>
      <c r="I12" s="75">
        <f>'[1]with 105 mw stg'!J10/1.06/1000</f>
        <v>533.64720278411448</v>
      </c>
      <c r="J12" s="76">
        <f>'[1]with 105 mw stg'!L10*1.06</f>
        <v>8456.2311935924154</v>
      </c>
      <c r="K12" s="27"/>
    </row>
    <row r="13" spans="1:11" x14ac:dyDescent="0.2">
      <c r="A13" s="68" t="s">
        <v>108</v>
      </c>
      <c r="B13" s="69">
        <v>80</v>
      </c>
      <c r="C13" s="69">
        <v>40</v>
      </c>
      <c r="D13" s="69" t="s">
        <v>109</v>
      </c>
      <c r="E13" s="75">
        <f>'[1]Raytheon Data'!I11/1.06/1000</f>
        <v>466.98679245283017</v>
      </c>
      <c r="F13" s="76">
        <f>'[1]Raytheon Data'!K11*1.06</f>
        <v>8471.0746940441131</v>
      </c>
      <c r="G13" s="75">
        <f>'[1]with Chilling'!J11/1.06/1000</f>
        <v>513.39521704727076</v>
      </c>
      <c r="H13" s="76">
        <f>'[1]with Chilling'!L11*1.06</f>
        <v>8248.4693741388674</v>
      </c>
      <c r="I13" s="75">
        <f>'[1]with 105 mw stg'!J11/1.06/1000</f>
        <v>530.43586394278918</v>
      </c>
      <c r="J13" s="76">
        <f>'[1]with 105 mw stg'!L11*1.06</f>
        <v>8453.6240020013047</v>
      </c>
      <c r="K13" s="27"/>
    </row>
    <row r="14" spans="1:11" x14ac:dyDescent="0.2">
      <c r="A14" s="68" t="s">
        <v>108</v>
      </c>
      <c r="B14" s="69">
        <v>95</v>
      </c>
      <c r="C14" s="69">
        <v>34.5</v>
      </c>
      <c r="D14" s="77" t="s">
        <v>109</v>
      </c>
      <c r="E14" s="75">
        <f>'[1]Raytheon Data'!I12/1.06/1000</f>
        <v>432.05660377358487</v>
      </c>
      <c r="F14" s="76">
        <f>'[1]Raytheon Data'!K12*1.06</f>
        <v>8637.8612344153807</v>
      </c>
      <c r="G14" s="75">
        <f>'[1]with Chilling'!J12/1.06/1000</f>
        <v>502.42256771111528</v>
      </c>
      <c r="H14" s="76">
        <f>'[1]with Chilling'!L12*1.06</f>
        <v>8323.7711158018137</v>
      </c>
      <c r="I14" s="75">
        <f>'[1]with 105 mw stg'!J12/1.06/1000</f>
        <v>519.13894437110935</v>
      </c>
      <c r="J14" s="76">
        <f>'[1]with 105 mw stg'!L12*1.06</f>
        <v>8530.724697057849</v>
      </c>
      <c r="K14" s="27"/>
    </row>
    <row r="15" spans="1:11" x14ac:dyDescent="0.2">
      <c r="A15" s="68" t="s">
        <v>108</v>
      </c>
      <c r="B15" s="69">
        <v>105</v>
      </c>
      <c r="C15" s="69">
        <v>27</v>
      </c>
      <c r="D15" s="69" t="s">
        <v>109</v>
      </c>
      <c r="E15" s="75">
        <f>'[1]Raytheon Data'!I13/1.06/1000</f>
        <v>406.13396226415091</v>
      </c>
      <c r="F15" s="76">
        <f>'[1]Raytheon Data'!K13*1.06</f>
        <v>8567.0411406843232</v>
      </c>
      <c r="G15" s="75">
        <f>'[1]with Chilling'!J13/1.06/1000</f>
        <v>488.50979351257683</v>
      </c>
      <c r="H15" s="76">
        <f>'[1]with Chilling'!L13*1.06</f>
        <v>8475.9502736709255</v>
      </c>
      <c r="I15" s="75">
        <f>'[1]with 105 mw stg'!J13/1.06/1000</f>
        <v>503.14841850537681</v>
      </c>
      <c r="J15" s="76">
        <f>'[1]with 105 mw stg'!L13*1.06</f>
        <v>8827.2369839393996</v>
      </c>
      <c r="K15" s="27"/>
    </row>
    <row r="16" spans="1:11" x14ac:dyDescent="0.2">
      <c r="A16" s="68"/>
      <c r="B16" s="69"/>
      <c r="C16" s="69"/>
      <c r="D16" s="69"/>
      <c r="E16" s="78"/>
      <c r="G16" s="78"/>
      <c r="I16" s="78"/>
      <c r="K16" s="27"/>
    </row>
    <row r="17" spans="1:11" x14ac:dyDescent="0.2">
      <c r="A17" s="68" t="s">
        <v>110</v>
      </c>
      <c r="B17" s="69">
        <v>20</v>
      </c>
      <c r="C17" s="69">
        <v>60</v>
      </c>
      <c r="D17" s="77" t="s">
        <v>111</v>
      </c>
      <c r="E17" s="75">
        <f>'[1]Raytheon Data'!I15/1.06/1000</f>
        <v>444.3509433962264</v>
      </c>
      <c r="F17" s="76">
        <f>'[1]Raytheon Data'!K15*1.06</f>
        <v>7229.8259916944799</v>
      </c>
      <c r="G17" s="75">
        <f>'[1]with Chilling'!J15/1.06/1000</f>
        <v>444.3509433962264</v>
      </c>
      <c r="H17" s="76">
        <f>'[1]with Chilling'!L15*1.06</f>
        <v>7229.8259916944799</v>
      </c>
      <c r="I17" s="75">
        <f t="shared" ref="I17:J21" si="0">G17</f>
        <v>444.3509433962264</v>
      </c>
      <c r="J17" s="76">
        <f t="shared" si="0"/>
        <v>7229.8259916944799</v>
      </c>
      <c r="K17" s="27"/>
    </row>
    <row r="18" spans="1:11" x14ac:dyDescent="0.2">
      <c r="A18" s="68" t="s">
        <v>110</v>
      </c>
      <c r="B18" s="69">
        <v>40</v>
      </c>
      <c r="C18" s="69">
        <v>60</v>
      </c>
      <c r="D18" s="69" t="s">
        <v>111</v>
      </c>
      <c r="E18" s="75">
        <f>'[1]Raytheon Data'!I16/1.06/1000</f>
        <v>438.76981132075468</v>
      </c>
      <c r="F18" s="76">
        <f>'[1]Raytheon Data'!K16*1.06</f>
        <v>7220.0500541823612</v>
      </c>
      <c r="G18" s="75">
        <f>'[1]with Chilling'!J16/1.06/1000</f>
        <v>438.76981132075468</v>
      </c>
      <c r="H18" s="76">
        <f>'[1]with Chilling'!L16*1.06</f>
        <v>7220.2095911381739</v>
      </c>
      <c r="I18" s="75">
        <f t="shared" si="0"/>
        <v>438.76981132075468</v>
      </c>
      <c r="J18" s="76">
        <f t="shared" si="0"/>
        <v>7220.2095911381739</v>
      </c>
      <c r="K18" s="27"/>
    </row>
    <row r="19" spans="1:11" x14ac:dyDescent="0.2">
      <c r="A19" s="68" t="s">
        <v>110</v>
      </c>
      <c r="B19" s="69">
        <v>60</v>
      </c>
      <c r="C19" s="69">
        <v>60</v>
      </c>
      <c r="D19" s="77" t="s">
        <v>111</v>
      </c>
      <c r="E19" s="75">
        <f>'[1]Raytheon Data'!I17/1.06/1000</f>
        <v>407.14528301886787</v>
      </c>
      <c r="F19" s="76">
        <f>'[1]Raytheon Data'!K17*1.06</f>
        <v>7284.6723852688065</v>
      </c>
      <c r="G19" s="75">
        <f>'[1]with Chilling'!J17/1.06/1000</f>
        <v>419.44897599531089</v>
      </c>
      <c r="H19" s="76">
        <f>'[1]with Chilling'!L17*1.06</f>
        <v>7271.3387807648651</v>
      </c>
      <c r="I19" s="75">
        <f t="shared" si="0"/>
        <v>419.44897599531089</v>
      </c>
      <c r="J19" s="76">
        <f t="shared" si="0"/>
        <v>7271.3387807648651</v>
      </c>
      <c r="K19" s="27"/>
    </row>
    <row r="20" spans="1:11" x14ac:dyDescent="0.2">
      <c r="A20" s="68" t="s">
        <v>110</v>
      </c>
      <c r="B20" s="69">
        <v>80</v>
      </c>
      <c r="C20" s="69">
        <v>40</v>
      </c>
      <c r="D20" s="77" t="s">
        <v>111</v>
      </c>
      <c r="E20" s="75">
        <f>'[1]Raytheon Data'!I18/1.06/1000</f>
        <v>367.77735849056603</v>
      </c>
      <c r="F20" s="76">
        <f>'[1]Raytheon Data'!K18*1.06</f>
        <v>7394.6368290906103</v>
      </c>
      <c r="G20" s="75">
        <f>'[1]with Chilling'!J18/1.06/1000</f>
        <v>415.99931629077173</v>
      </c>
      <c r="H20" s="76">
        <f>'[1]with Chilling'!L18*1.06</f>
        <v>7285.587907793195</v>
      </c>
      <c r="I20" s="75">
        <f t="shared" si="0"/>
        <v>415.99931629077173</v>
      </c>
      <c r="J20" s="76">
        <f t="shared" si="0"/>
        <v>7285.587907793195</v>
      </c>
      <c r="K20" s="27"/>
    </row>
    <row r="21" spans="1:11" x14ac:dyDescent="0.2">
      <c r="A21" s="68" t="s">
        <v>110</v>
      </c>
      <c r="B21" s="69">
        <v>95</v>
      </c>
      <c r="C21" s="69">
        <v>34.5</v>
      </c>
      <c r="D21" s="77" t="s">
        <v>111</v>
      </c>
      <c r="E21" s="75">
        <f>'[1]Raytheon Data'!I19/1.06/1000</f>
        <v>332.81320754716984</v>
      </c>
      <c r="F21" s="76">
        <f>'[1]Raytheon Data'!K19*1.06</f>
        <v>7560.8177287956869</v>
      </c>
      <c r="G21" s="75">
        <f>'[1]with Chilling'!J19/1.06/1000</f>
        <v>405.843509101179</v>
      </c>
      <c r="H21" s="76">
        <f>'[1]with Chilling'!L19*1.06</f>
        <v>7326.9345024858112</v>
      </c>
      <c r="I21" s="75">
        <f t="shared" si="0"/>
        <v>405.843509101179</v>
      </c>
      <c r="J21" s="76">
        <f t="shared" si="0"/>
        <v>7326.9345024858112</v>
      </c>
      <c r="K21" s="27"/>
    </row>
    <row r="22" spans="1:11" x14ac:dyDescent="0.2">
      <c r="A22" s="68"/>
      <c r="B22" s="69"/>
      <c r="C22" s="69"/>
      <c r="D22" s="69"/>
      <c r="E22" s="78"/>
      <c r="G22" s="78"/>
      <c r="I22" s="78"/>
      <c r="K22" s="27"/>
    </row>
    <row r="23" spans="1:11" x14ac:dyDescent="0.2">
      <c r="A23" s="68" t="s">
        <v>112</v>
      </c>
      <c r="B23" s="69">
        <v>-20</v>
      </c>
      <c r="C23" s="69">
        <v>60</v>
      </c>
      <c r="D23" s="69" t="s">
        <v>113</v>
      </c>
      <c r="E23" s="75">
        <f>'[1]Raytheon Data'!I21/1.06/1000</f>
        <v>75.725471698113211</v>
      </c>
      <c r="F23" s="76">
        <f>'[1]Raytheon Data'!K21*1.06</f>
        <v>7370.5714534876479</v>
      </c>
      <c r="G23" s="75">
        <f>'[1]with Chilling'!J21/1.06/1000</f>
        <v>75.725471698113211</v>
      </c>
      <c r="H23" s="76">
        <f>'[1]with Chilling'!L21*1.06</f>
        <v>8672.1150132678868</v>
      </c>
      <c r="I23" s="75">
        <f t="shared" ref="I23:J27" si="1">G23</f>
        <v>75.725471698113211</v>
      </c>
      <c r="J23" s="76">
        <f t="shared" si="1"/>
        <v>8672.1150132678868</v>
      </c>
      <c r="K23" s="27"/>
    </row>
    <row r="24" spans="1:11" x14ac:dyDescent="0.2">
      <c r="A24" s="68" t="s">
        <v>112</v>
      </c>
      <c r="B24" s="69">
        <v>20</v>
      </c>
      <c r="C24" s="69">
        <v>60</v>
      </c>
      <c r="D24" s="69" t="s">
        <v>113</v>
      </c>
      <c r="E24" s="75">
        <f>'[1]Raytheon Data'!I22/1.06/1000</f>
        <v>70.731132075471706</v>
      </c>
      <c r="F24" s="76">
        <f>'[1]Raytheon Data'!K22*1.06</f>
        <v>8635.5185061687225</v>
      </c>
      <c r="G24" s="75">
        <f>'[1]with Chilling'!J22/1.06/1000</f>
        <v>70.731132075471706</v>
      </c>
      <c r="H24" s="76">
        <f>'[1]with Chilling'!L22*1.06</f>
        <v>8635.5185061687225</v>
      </c>
      <c r="I24" s="75">
        <f t="shared" si="1"/>
        <v>70.731132075471706</v>
      </c>
      <c r="J24" s="76">
        <f t="shared" si="1"/>
        <v>8635.5185061687225</v>
      </c>
      <c r="K24" s="27"/>
    </row>
    <row r="25" spans="1:11" x14ac:dyDescent="0.2">
      <c r="A25" s="68" t="s">
        <v>112</v>
      </c>
      <c r="B25" s="69">
        <v>60</v>
      </c>
      <c r="C25" s="69">
        <v>60</v>
      </c>
      <c r="D25" s="69" t="s">
        <v>113</v>
      </c>
      <c r="E25" s="75">
        <f>'[1]Raytheon Data'!I23/1.06/1000</f>
        <v>62.831132075471693</v>
      </c>
      <c r="F25" s="76">
        <f>'[1]Raytheon Data'!K23*1.06</f>
        <v>8919.145358177806</v>
      </c>
      <c r="G25" s="75">
        <f>'[1]with Chilling'!J23/1.06/1000</f>
        <v>62.744253314306619</v>
      </c>
      <c r="H25" s="76">
        <f>'[1]with Chilling'!L23*1.06</f>
        <v>9060.5907309502327</v>
      </c>
      <c r="I25" s="75">
        <f t="shared" si="1"/>
        <v>62.744253314306619</v>
      </c>
      <c r="J25" s="76">
        <f t="shared" si="1"/>
        <v>9060.5907309502327</v>
      </c>
      <c r="K25" s="27"/>
    </row>
    <row r="26" spans="1:11" x14ac:dyDescent="0.2">
      <c r="A26" s="68" t="s">
        <v>112</v>
      </c>
      <c r="B26" s="69">
        <v>80</v>
      </c>
      <c r="C26" s="69">
        <v>40</v>
      </c>
      <c r="D26" s="69" t="s">
        <v>113</v>
      </c>
      <c r="E26" s="75">
        <f>'[1]Raytheon Data'!I24/1.06/1000</f>
        <v>59.726415094339615</v>
      </c>
      <c r="F26" s="76">
        <f>'[1]Raytheon Data'!K24*1.06</f>
        <v>8937.4190491233621</v>
      </c>
      <c r="G26" s="75">
        <f>'[1]with Chilling'!J24/1.06/1000</f>
        <v>61.132912037341406</v>
      </c>
      <c r="H26" s="76">
        <f>'[1]with Chilling'!L24*1.06</f>
        <v>9080.2152474093182</v>
      </c>
      <c r="I26" s="75">
        <f t="shared" si="1"/>
        <v>61.132912037341406</v>
      </c>
      <c r="J26" s="76">
        <f t="shared" si="1"/>
        <v>9080.2152474093182</v>
      </c>
      <c r="K26" s="27"/>
    </row>
    <row r="27" spans="1:11" x14ac:dyDescent="0.2">
      <c r="A27" s="79" t="s">
        <v>112</v>
      </c>
      <c r="B27" s="80">
        <v>95</v>
      </c>
      <c r="C27" s="80">
        <v>34.5</v>
      </c>
      <c r="D27" s="80" t="s">
        <v>113</v>
      </c>
      <c r="E27" s="81">
        <f>'[1]Raytheon Data'!I25/1.06/1000</f>
        <v>56.912264150943393</v>
      </c>
      <c r="F27" s="82">
        <f>'[1]Raytheon Data'!K25*1.06</f>
        <v>9040.2307424536284</v>
      </c>
      <c r="G27" s="81">
        <f>'[1]with Chilling'!J25/1.06/1000</f>
        <v>60.165287977058327</v>
      </c>
      <c r="H27" s="83">
        <f>'[1]with Chilling'!L25*1.06</f>
        <v>9026.7996424631074</v>
      </c>
      <c r="I27" s="81">
        <f t="shared" si="1"/>
        <v>60.165287977058327</v>
      </c>
      <c r="J27" s="83">
        <f t="shared" si="1"/>
        <v>9026.7996424631074</v>
      </c>
      <c r="K27" s="27"/>
    </row>
    <row r="28" spans="1:11" x14ac:dyDescent="0.2">
      <c r="A28" s="69"/>
      <c r="B28" s="69"/>
      <c r="C28" s="69"/>
      <c r="D28" s="69"/>
    </row>
    <row r="29" spans="1:11" ht="25.5" customHeight="1" x14ac:dyDescent="0.2">
      <c r="A29" s="132" t="s">
        <v>114</v>
      </c>
      <c r="B29" s="132"/>
      <c r="C29" s="132"/>
      <c r="D29" s="132"/>
      <c r="E29" s="132"/>
      <c r="F29" s="132"/>
      <c r="G29" s="132"/>
      <c r="H29" s="132"/>
      <c r="I29" s="132"/>
      <c r="J29" s="132"/>
    </row>
  </sheetData>
  <mergeCells count="1">
    <mergeCell ref="A29:J29"/>
  </mergeCells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3"/>
  <sheetViews>
    <sheetView workbookViewId="0">
      <selection sqref="A1:M33"/>
    </sheetView>
  </sheetViews>
  <sheetFormatPr defaultRowHeight="11.25" x14ac:dyDescent="0.2"/>
  <cols>
    <col min="1" max="1" width="9.140625" style="86"/>
    <col min="2" max="2" width="29.140625" style="86" customWidth="1"/>
    <col min="3" max="3" width="4.85546875" style="86" customWidth="1"/>
    <col min="4" max="4" width="8.7109375" style="86" customWidth="1"/>
    <col min="5" max="5" width="9.7109375" style="86" customWidth="1"/>
    <col min="6" max="6" width="9.85546875" style="86" customWidth="1"/>
    <col min="7" max="7" width="10" style="86" customWidth="1"/>
    <col min="8" max="8" width="9.85546875" style="86" customWidth="1"/>
    <col min="9" max="9" width="9.7109375" style="86" customWidth="1"/>
    <col min="10" max="10" width="10.140625" style="86" customWidth="1"/>
    <col min="11" max="11" width="10.42578125" style="86" customWidth="1"/>
    <col min="12" max="12" width="10.140625" style="86" customWidth="1"/>
    <col min="13" max="13" width="9.85546875" style="86" customWidth="1"/>
    <col min="14" max="14" width="10" style="86" customWidth="1"/>
    <col min="15" max="15" width="10.42578125" style="86" customWidth="1"/>
    <col min="16" max="16" width="10.28515625" style="86" customWidth="1"/>
    <col min="17" max="17" width="10.5703125" style="86" customWidth="1"/>
    <col min="18" max="18" width="10.85546875" style="86" customWidth="1"/>
    <col min="19" max="19" width="10.140625" style="86" customWidth="1"/>
    <col min="20" max="20" width="11.140625" style="86" customWidth="1"/>
    <col min="21" max="21" width="10.42578125" style="86" customWidth="1"/>
    <col min="22" max="22" width="10.7109375" style="86" customWidth="1"/>
    <col min="23" max="23" width="10.28515625" style="86" customWidth="1"/>
    <col min="24" max="24" width="10.42578125" style="86" customWidth="1"/>
    <col min="25" max="25" width="10" style="86" customWidth="1"/>
    <col min="26" max="26" width="10.7109375" style="86" customWidth="1"/>
    <col min="27" max="27" width="10.85546875" style="86" customWidth="1"/>
    <col min="28" max="28" width="11.42578125" style="86" customWidth="1"/>
    <col min="29" max="29" width="9.140625" style="88"/>
    <col min="30" max="16384" width="9.140625" style="86"/>
  </cols>
  <sheetData>
    <row r="1" spans="1:29" x14ac:dyDescent="0.2">
      <c r="A1" s="85" t="s">
        <v>116</v>
      </c>
      <c r="J1" s="87"/>
    </row>
    <row r="3" spans="1:29" ht="12" thickBot="1" x14ac:dyDescent="0.25">
      <c r="A3" s="89" t="s">
        <v>62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</row>
    <row r="4" spans="1:29" x14ac:dyDescent="0.2">
      <c r="D4" s="91">
        <f>[2]Plant!G5</f>
        <v>1</v>
      </c>
      <c r="E4" s="91">
        <f>[2]Plant!H5</f>
        <v>2</v>
      </c>
      <c r="F4" s="91">
        <f>[2]Plant!I5</f>
        <v>3</v>
      </c>
      <c r="G4" s="91">
        <f>[2]Plant!J5</f>
        <v>4</v>
      </c>
      <c r="H4" s="91">
        <f>[2]Plant!K5</f>
        <v>5</v>
      </c>
      <c r="I4" s="91">
        <f>[2]Plant!L5</f>
        <v>6</v>
      </c>
      <c r="J4" s="91">
        <f>[2]Plant!M5</f>
        <v>7</v>
      </c>
      <c r="K4" s="91">
        <f>[2]Plant!N5</f>
        <v>8</v>
      </c>
      <c r="L4" s="91">
        <f>[2]Plant!O5</f>
        <v>9</v>
      </c>
      <c r="M4" s="91">
        <f>[2]Plant!P5</f>
        <v>10</v>
      </c>
      <c r="N4" s="91">
        <f>[2]Plant!Q5</f>
        <v>11</v>
      </c>
      <c r="O4" s="91">
        <f>[2]Plant!R5</f>
        <v>12</v>
      </c>
      <c r="P4" s="91">
        <f>[2]Plant!S5</f>
        <v>13</v>
      </c>
      <c r="Q4" s="91">
        <f>[2]Plant!T5</f>
        <v>14</v>
      </c>
      <c r="R4" s="91">
        <f>[2]Plant!U5</f>
        <v>15</v>
      </c>
      <c r="S4" s="91">
        <f>[2]Plant!V5</f>
        <v>16</v>
      </c>
      <c r="T4" s="91">
        <f>[2]Plant!W5</f>
        <v>17</v>
      </c>
      <c r="U4" s="91">
        <f>[2]Plant!X5</f>
        <v>18</v>
      </c>
      <c r="V4" s="91">
        <f>[2]Plant!Y5</f>
        <v>19</v>
      </c>
      <c r="W4" s="91">
        <f>[2]Plant!Z5</f>
        <v>20</v>
      </c>
      <c r="X4" s="91">
        <f>[2]Plant!AA5</f>
        <v>21</v>
      </c>
      <c r="Y4" s="91">
        <f>[2]Plant!AB5</f>
        <v>22</v>
      </c>
      <c r="Z4" s="91">
        <f>[2]Plant!AC5</f>
        <v>23</v>
      </c>
      <c r="AA4" s="91">
        <f>[2]Plant!AD5</f>
        <v>24</v>
      </c>
      <c r="AB4" s="91">
        <f>[2]Plant!AE5</f>
        <v>25</v>
      </c>
    </row>
    <row r="5" spans="1:29" x14ac:dyDescent="0.2">
      <c r="A5" s="92"/>
      <c r="B5" s="92"/>
      <c r="C5" s="92"/>
      <c r="D5" s="93">
        <f>[2]Plant!G6</f>
        <v>37256</v>
      </c>
      <c r="E5" s="93">
        <f>[2]Plant!H6</f>
        <v>37621</v>
      </c>
      <c r="F5" s="93">
        <f>[2]Plant!I6</f>
        <v>37986</v>
      </c>
      <c r="G5" s="93">
        <f>[2]Plant!J6</f>
        <v>38352</v>
      </c>
      <c r="H5" s="93">
        <f>[2]Plant!K6</f>
        <v>38717</v>
      </c>
      <c r="I5" s="93">
        <f>[2]Plant!L6</f>
        <v>39082</v>
      </c>
      <c r="J5" s="93">
        <f>[2]Plant!M6</f>
        <v>39447</v>
      </c>
      <c r="K5" s="93">
        <f>[2]Plant!N6</f>
        <v>39813</v>
      </c>
      <c r="L5" s="93">
        <f>[2]Plant!O6</f>
        <v>40178</v>
      </c>
      <c r="M5" s="93">
        <f>[2]Plant!P6</f>
        <v>40543</v>
      </c>
      <c r="N5" s="93">
        <f>[2]Plant!Q6</f>
        <v>40908</v>
      </c>
      <c r="O5" s="93">
        <f>[2]Plant!R6</f>
        <v>41274</v>
      </c>
      <c r="P5" s="93">
        <f>[2]Plant!S6</f>
        <v>41639</v>
      </c>
      <c r="Q5" s="93">
        <f>[2]Plant!T6</f>
        <v>42004</v>
      </c>
      <c r="R5" s="93">
        <f>[2]Plant!U6</f>
        <v>42369</v>
      </c>
      <c r="S5" s="93">
        <f>[2]Plant!V6</f>
        <v>42735</v>
      </c>
      <c r="T5" s="93">
        <f>[2]Plant!W6</f>
        <v>43100</v>
      </c>
      <c r="U5" s="93">
        <f>[2]Plant!X6</f>
        <v>43465</v>
      </c>
      <c r="V5" s="93">
        <f>[2]Plant!Y6</f>
        <v>43830</v>
      </c>
      <c r="W5" s="93">
        <f>[2]Plant!Z6</f>
        <v>44196</v>
      </c>
      <c r="X5" s="93">
        <f>[2]Plant!AA6</f>
        <v>44561</v>
      </c>
      <c r="Y5" s="93">
        <f>[2]Plant!AB6</f>
        <v>44926</v>
      </c>
      <c r="Z5" s="93">
        <f>[2]Plant!AC6</f>
        <v>45291</v>
      </c>
      <c r="AA5" s="93">
        <f>[2]Plant!AD6</f>
        <v>45657</v>
      </c>
      <c r="AB5" s="93">
        <f>[2]Plant!AE6</f>
        <v>46022</v>
      </c>
      <c r="AC5" s="94"/>
    </row>
    <row r="6" spans="1:29" x14ac:dyDescent="0.2">
      <c r="B6" s="95"/>
      <c r="C6" s="96"/>
      <c r="D6" s="97"/>
    </row>
    <row r="7" spans="1:29" x14ac:dyDescent="0.2">
      <c r="A7" s="85" t="s">
        <v>117</v>
      </c>
      <c r="B7" s="96"/>
      <c r="C7" s="96"/>
      <c r="D7" s="98">
        <f>[2]Plant!G16</f>
        <v>327832.46894671582</v>
      </c>
      <c r="E7" s="98">
        <f>[2]Plant!H16</f>
        <v>1049265.6765138849</v>
      </c>
      <c r="F7" s="98">
        <f>[2]Plant!I16</f>
        <v>1200037.3398057718</v>
      </c>
      <c r="G7" s="98">
        <f>[2]Plant!J16</f>
        <v>1350809.0030976587</v>
      </c>
      <c r="H7" s="98">
        <f>[2]Plant!K16</f>
        <v>1501580.6663895457</v>
      </c>
      <c r="I7" s="98">
        <f>[2]Plant!L16</f>
        <v>1614700.8438575333</v>
      </c>
      <c r="J7" s="98">
        <f>[2]Plant!M16</f>
        <v>1727821.0213255212</v>
      </c>
      <c r="K7" s="98">
        <f>[2]Plant!N16</f>
        <v>1840941.198793509</v>
      </c>
      <c r="L7" s="98">
        <f>[2]Plant!O16</f>
        <v>1954061.3762614967</v>
      </c>
      <c r="M7" s="98">
        <f>[2]Plant!P16</f>
        <v>2067181.5537294843</v>
      </c>
      <c r="N7" s="98">
        <f>[2]Plant!Q16</f>
        <v>2163865.0515653808</v>
      </c>
      <c r="O7" s="98">
        <f>[2]Plant!R16</f>
        <v>2260548.5494012772</v>
      </c>
      <c r="P7" s="98">
        <f>[2]Plant!S16</f>
        <v>2357232.0472371737</v>
      </c>
      <c r="Q7" s="98">
        <f>[2]Plant!T16</f>
        <v>2453915.5450730696</v>
      </c>
      <c r="R7" s="98">
        <f>[2]Plant!U16</f>
        <v>2550599.0429089661</v>
      </c>
      <c r="S7" s="98">
        <f>[2]Plant!V16</f>
        <v>2647282.5407448621</v>
      </c>
      <c r="T7" s="98">
        <f>[2]Plant!W16</f>
        <v>2743966.038580759</v>
      </c>
      <c r="U7" s="98">
        <f>[2]Plant!X16</f>
        <v>2743966.038580759</v>
      </c>
      <c r="V7" s="98">
        <f>[2]Plant!Y16</f>
        <v>2743966.038580759</v>
      </c>
      <c r="W7" s="98">
        <f>[2]Plant!Z16</f>
        <v>2743966.038580759</v>
      </c>
      <c r="X7" s="98">
        <f>[2]Plant!AA16</f>
        <v>2743966.038580759</v>
      </c>
      <c r="Y7" s="98">
        <f>[2]Plant!AB16</f>
        <v>2743966.038580759</v>
      </c>
      <c r="Z7" s="98">
        <f>[2]Plant!AC16</f>
        <v>2743966.038580759</v>
      </c>
      <c r="AA7" s="98">
        <f>[2]Plant!AD16</f>
        <v>2743966.038580759</v>
      </c>
      <c r="AB7" s="98">
        <f>[2]Plant!AE16</f>
        <v>2743966.038580759</v>
      </c>
    </row>
    <row r="8" spans="1:29" x14ac:dyDescent="0.2">
      <c r="B8" s="95"/>
      <c r="C8" s="96"/>
      <c r="D8" s="97"/>
    </row>
    <row r="9" spans="1:29" x14ac:dyDescent="0.2">
      <c r="B9" s="95"/>
      <c r="C9" s="96"/>
      <c r="D9" s="97"/>
    </row>
    <row r="10" spans="1:29" x14ac:dyDescent="0.2">
      <c r="A10" s="85" t="s">
        <v>118</v>
      </c>
      <c r="C10" s="99">
        <v>0.72</v>
      </c>
      <c r="D10" s="86" t="s">
        <v>131</v>
      </c>
    </row>
    <row r="11" spans="1:29" x14ac:dyDescent="0.2">
      <c r="B11" s="86" t="s">
        <v>119</v>
      </c>
      <c r="D11" s="100">
        <f t="shared" ref="D11:AB11" si="0">($C$10*1000*D7)/1000</f>
        <v>236039.37764163539</v>
      </c>
      <c r="E11" s="100">
        <f t="shared" si="0"/>
        <v>755471.2870899972</v>
      </c>
      <c r="F11" s="100">
        <f t="shared" si="0"/>
        <v>864026.88466015575</v>
      </c>
      <c r="G11" s="100">
        <f t="shared" si="0"/>
        <v>972582.48223031429</v>
      </c>
      <c r="H11" s="100">
        <f t="shared" si="0"/>
        <v>1081138.0798004731</v>
      </c>
      <c r="I11" s="100">
        <f t="shared" si="0"/>
        <v>1162584.607577424</v>
      </c>
      <c r="J11" s="100">
        <f t="shared" si="0"/>
        <v>1244031.1353543755</v>
      </c>
      <c r="K11" s="100">
        <f t="shared" si="0"/>
        <v>1325477.6631313264</v>
      </c>
      <c r="L11" s="100">
        <f t="shared" si="0"/>
        <v>1406924.1909082774</v>
      </c>
      <c r="M11" s="100">
        <f t="shared" si="0"/>
        <v>1488370.7186852288</v>
      </c>
      <c r="N11" s="100">
        <f t="shared" si="0"/>
        <v>1557982.8371270741</v>
      </c>
      <c r="O11" s="100">
        <f t="shared" si="0"/>
        <v>1627594.9555689197</v>
      </c>
      <c r="P11" s="100">
        <f t="shared" si="0"/>
        <v>1697207.0740107652</v>
      </c>
      <c r="Q11" s="100">
        <f t="shared" si="0"/>
        <v>1766819.19245261</v>
      </c>
      <c r="R11" s="100">
        <f t="shared" si="0"/>
        <v>1836431.3108944558</v>
      </c>
      <c r="S11" s="100">
        <f t="shared" si="0"/>
        <v>1906043.4293363006</v>
      </c>
      <c r="T11" s="100">
        <f t="shared" si="0"/>
        <v>1975655.5477781466</v>
      </c>
      <c r="U11" s="100">
        <f t="shared" si="0"/>
        <v>1975655.5477781466</v>
      </c>
      <c r="V11" s="100">
        <f t="shared" si="0"/>
        <v>1975655.5477781466</v>
      </c>
      <c r="W11" s="100">
        <f t="shared" si="0"/>
        <v>1975655.5477781466</v>
      </c>
      <c r="X11" s="100">
        <f t="shared" si="0"/>
        <v>1975655.5477781466</v>
      </c>
      <c r="Y11" s="100">
        <f t="shared" si="0"/>
        <v>1975655.5477781466</v>
      </c>
      <c r="Z11" s="100">
        <f t="shared" si="0"/>
        <v>1975655.5477781466</v>
      </c>
      <c r="AA11" s="100">
        <f t="shared" si="0"/>
        <v>1975655.5477781466</v>
      </c>
      <c r="AB11" s="100">
        <f t="shared" si="0"/>
        <v>1975655.5477781466</v>
      </c>
    </row>
    <row r="12" spans="1:29" x14ac:dyDescent="0.2">
      <c r="B12" s="86" t="s">
        <v>120</v>
      </c>
      <c r="D12" s="101">
        <v>1</v>
      </c>
      <c r="E12" s="102">
        <f>D12*(1+$C$13)</f>
        <v>1.0249999999999999</v>
      </c>
      <c r="F12" s="102">
        <f t="shared" ref="F12:AB12" si="1">E12*(1+$C$13)</f>
        <v>1.0506249999999999</v>
      </c>
      <c r="G12" s="102">
        <f t="shared" si="1"/>
        <v>1.0768906249999999</v>
      </c>
      <c r="H12" s="102">
        <f t="shared" si="1"/>
        <v>1.1038128906249998</v>
      </c>
      <c r="I12" s="102">
        <f t="shared" si="1"/>
        <v>1.1314082128906247</v>
      </c>
      <c r="J12" s="102">
        <f t="shared" si="1"/>
        <v>1.1596934182128902</v>
      </c>
      <c r="K12" s="102">
        <f t="shared" si="1"/>
        <v>1.1886857536682123</v>
      </c>
      <c r="L12" s="102">
        <f t="shared" si="1"/>
        <v>1.2184028975099175</v>
      </c>
      <c r="M12" s="102">
        <f t="shared" si="1"/>
        <v>1.2488629699476652</v>
      </c>
      <c r="N12" s="102">
        <f t="shared" si="1"/>
        <v>1.2800845441963566</v>
      </c>
      <c r="O12" s="102">
        <f t="shared" si="1"/>
        <v>1.3120866578012655</v>
      </c>
      <c r="P12" s="102">
        <f t="shared" si="1"/>
        <v>1.3448888242462971</v>
      </c>
      <c r="Q12" s="102">
        <f t="shared" si="1"/>
        <v>1.3785110448524545</v>
      </c>
      <c r="R12" s="102">
        <f t="shared" si="1"/>
        <v>1.4129738209737657</v>
      </c>
      <c r="S12" s="102">
        <f t="shared" si="1"/>
        <v>1.4482981664981096</v>
      </c>
      <c r="T12" s="102">
        <f t="shared" si="1"/>
        <v>1.4845056206605622</v>
      </c>
      <c r="U12" s="102">
        <f t="shared" si="1"/>
        <v>1.5216182611770761</v>
      </c>
      <c r="V12" s="102">
        <f t="shared" si="1"/>
        <v>1.5596587177065029</v>
      </c>
      <c r="W12" s="102">
        <f t="shared" si="1"/>
        <v>1.5986501856491653</v>
      </c>
      <c r="X12" s="102">
        <f t="shared" si="1"/>
        <v>1.6386164402903942</v>
      </c>
      <c r="Y12" s="102">
        <f t="shared" si="1"/>
        <v>1.6795818512976539</v>
      </c>
      <c r="Z12" s="102">
        <f t="shared" si="1"/>
        <v>1.721571397580095</v>
      </c>
      <c r="AA12" s="102">
        <f t="shared" si="1"/>
        <v>1.7646106825195973</v>
      </c>
      <c r="AB12" s="102">
        <f t="shared" si="1"/>
        <v>1.8087259495825871</v>
      </c>
    </row>
    <row r="13" spans="1:29" x14ac:dyDescent="0.2">
      <c r="B13" s="86" t="s">
        <v>121</v>
      </c>
      <c r="C13" s="103">
        <f>[2]Drivers!B35</f>
        <v>2.5000000000000001E-2</v>
      </c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</row>
    <row r="14" spans="1:29" x14ac:dyDescent="0.2">
      <c r="B14" s="86" t="s">
        <v>122</v>
      </c>
      <c r="C14" s="105"/>
      <c r="D14" s="104">
        <f>D11*D12</f>
        <v>236039.37764163539</v>
      </c>
      <c r="E14" s="104">
        <f t="shared" ref="E14:AB14" si="2">E11*E12</f>
        <v>774358.06926724711</v>
      </c>
      <c r="F14" s="104">
        <f t="shared" si="2"/>
        <v>907768.24569607608</v>
      </c>
      <c r="G14" s="104">
        <f t="shared" si="2"/>
        <v>1047364.9571530544</v>
      </c>
      <c r="H14" s="104">
        <f t="shared" si="2"/>
        <v>1193374.1490293217</v>
      </c>
      <c r="I14" s="104">
        <f t="shared" si="2"/>
        <v>1315357.7731933214</v>
      </c>
      <c r="J14" s="104">
        <f t="shared" si="2"/>
        <v>1442694.7197223783</v>
      </c>
      <c r="K14" s="104">
        <f t="shared" si="2"/>
        <v>1575576.4149696415</v>
      </c>
      <c r="L14" s="104">
        <f t="shared" si="2"/>
        <v>1714200.5107794416</v>
      </c>
      <c r="M14" s="104">
        <f t="shared" si="2"/>
        <v>1858771.0761203759</v>
      </c>
      <c r="N14" s="104">
        <f t="shared" si="2"/>
        <v>1994349.7499295573</v>
      </c>
      <c r="O14" s="104">
        <f t="shared" si="2"/>
        <v>2135545.6255066232</v>
      </c>
      <c r="P14" s="104">
        <f t="shared" si="2"/>
        <v>2282554.8262688359</v>
      </c>
      <c r="Q14" s="104">
        <f t="shared" si="2"/>
        <v>2435579.7710532174</v>
      </c>
      <c r="R14" s="104">
        <f t="shared" si="2"/>
        <v>2594829.3663104004</v>
      </c>
      <c r="S14" s="104">
        <f t="shared" si="2"/>
        <v>2760519.2039735331</v>
      </c>
      <c r="T14" s="104">
        <f t="shared" si="2"/>
        <v>2932871.7651658808</v>
      </c>
      <c r="U14" s="104">
        <f t="shared" si="2"/>
        <v>3006193.5592950271</v>
      </c>
      <c r="V14" s="104">
        <f t="shared" si="2"/>
        <v>3081348.3982774029</v>
      </c>
      <c r="W14" s="104">
        <f t="shared" si="2"/>
        <v>3158382.1082343375</v>
      </c>
      <c r="X14" s="104">
        <f t="shared" si="2"/>
        <v>3237341.6609401954</v>
      </c>
      <c r="Y14" s="104">
        <f t="shared" si="2"/>
        <v>3318275.2024637</v>
      </c>
      <c r="Z14" s="104">
        <f t="shared" si="2"/>
        <v>3401232.0825252919</v>
      </c>
      <c r="AA14" s="104">
        <f t="shared" si="2"/>
        <v>3486262.8845884241</v>
      </c>
      <c r="AB14" s="104">
        <f t="shared" si="2"/>
        <v>3573419.4567031343</v>
      </c>
    </row>
    <row r="15" spans="1:29" x14ac:dyDescent="0.2">
      <c r="D15" s="100"/>
    </row>
    <row r="16" spans="1:29" x14ac:dyDescent="0.2">
      <c r="A16" s="85" t="s">
        <v>123</v>
      </c>
      <c r="C16" s="106">
        <v>0.06</v>
      </c>
      <c r="D16" s="86" t="s">
        <v>131</v>
      </c>
    </row>
    <row r="17" spans="1:28" x14ac:dyDescent="0.2">
      <c r="B17" s="86" t="s">
        <v>119</v>
      </c>
      <c r="D17" s="100">
        <f t="shared" ref="D17:AB17" si="3">($C$16*1000*D7)/1000</f>
        <v>19669.948136802948</v>
      </c>
      <c r="E17" s="100">
        <f t="shared" si="3"/>
        <v>62955.940590833095</v>
      </c>
      <c r="F17" s="100">
        <f t="shared" si="3"/>
        <v>72002.240388346312</v>
      </c>
      <c r="G17" s="100">
        <f t="shared" si="3"/>
        <v>81048.540185859529</v>
      </c>
      <c r="H17" s="100">
        <f t="shared" si="3"/>
        <v>90094.839983372731</v>
      </c>
      <c r="I17" s="100">
        <f t="shared" si="3"/>
        <v>96882.050631451988</v>
      </c>
      <c r="J17" s="100">
        <f t="shared" si="3"/>
        <v>103669.26127953127</v>
      </c>
      <c r="K17" s="100">
        <f t="shared" si="3"/>
        <v>110456.47192761055</v>
      </c>
      <c r="L17" s="100">
        <f t="shared" si="3"/>
        <v>117243.6825756898</v>
      </c>
      <c r="M17" s="100">
        <f t="shared" si="3"/>
        <v>124030.89322376906</v>
      </c>
      <c r="N17" s="100">
        <f t="shared" si="3"/>
        <v>129831.90309392285</v>
      </c>
      <c r="O17" s="100">
        <f t="shared" si="3"/>
        <v>135632.91296407665</v>
      </c>
      <c r="P17" s="100">
        <f t="shared" si="3"/>
        <v>141433.92283423041</v>
      </c>
      <c r="Q17" s="100">
        <f t="shared" si="3"/>
        <v>147234.93270438418</v>
      </c>
      <c r="R17" s="100">
        <f t="shared" si="3"/>
        <v>153035.94257453797</v>
      </c>
      <c r="S17" s="100">
        <f t="shared" si="3"/>
        <v>158836.95244469171</v>
      </c>
      <c r="T17" s="100">
        <f t="shared" si="3"/>
        <v>164637.96231484553</v>
      </c>
      <c r="U17" s="100">
        <f t="shared" si="3"/>
        <v>164637.96231484553</v>
      </c>
      <c r="V17" s="100">
        <f t="shared" si="3"/>
        <v>164637.96231484553</v>
      </c>
      <c r="W17" s="100">
        <f t="shared" si="3"/>
        <v>164637.96231484553</v>
      </c>
      <c r="X17" s="100">
        <f t="shared" si="3"/>
        <v>164637.96231484553</v>
      </c>
      <c r="Y17" s="100">
        <f t="shared" si="3"/>
        <v>164637.96231484553</v>
      </c>
      <c r="Z17" s="100">
        <f t="shared" si="3"/>
        <v>164637.96231484553</v>
      </c>
      <c r="AA17" s="100">
        <f t="shared" si="3"/>
        <v>164637.96231484553</v>
      </c>
      <c r="AB17" s="100">
        <f t="shared" si="3"/>
        <v>164637.96231484553</v>
      </c>
    </row>
    <row r="18" spans="1:28" x14ac:dyDescent="0.2">
      <c r="B18" s="86" t="s">
        <v>120</v>
      </c>
      <c r="D18" s="101">
        <v>1</v>
      </c>
      <c r="E18" s="102">
        <f>D18*(1+$C$19)</f>
        <v>1.0249999999999999</v>
      </c>
      <c r="F18" s="102">
        <f t="shared" ref="F18:AB18" si="4">E18*(1+$C$19)</f>
        <v>1.0506249999999999</v>
      </c>
      <c r="G18" s="102">
        <f t="shared" si="4"/>
        <v>1.0768906249999999</v>
      </c>
      <c r="H18" s="102">
        <f t="shared" si="4"/>
        <v>1.1038128906249998</v>
      </c>
      <c r="I18" s="102">
        <f t="shared" si="4"/>
        <v>1.1314082128906247</v>
      </c>
      <c r="J18" s="102">
        <f t="shared" si="4"/>
        <v>1.1596934182128902</v>
      </c>
      <c r="K18" s="102">
        <f t="shared" si="4"/>
        <v>1.1886857536682123</v>
      </c>
      <c r="L18" s="102">
        <f t="shared" si="4"/>
        <v>1.2184028975099175</v>
      </c>
      <c r="M18" s="102">
        <f t="shared" si="4"/>
        <v>1.2488629699476652</v>
      </c>
      <c r="N18" s="102">
        <f t="shared" si="4"/>
        <v>1.2800845441963566</v>
      </c>
      <c r="O18" s="102">
        <f t="shared" si="4"/>
        <v>1.3120866578012655</v>
      </c>
      <c r="P18" s="102">
        <f t="shared" si="4"/>
        <v>1.3448888242462971</v>
      </c>
      <c r="Q18" s="102">
        <f t="shared" si="4"/>
        <v>1.3785110448524545</v>
      </c>
      <c r="R18" s="102">
        <f t="shared" si="4"/>
        <v>1.4129738209737657</v>
      </c>
      <c r="S18" s="102">
        <f t="shared" si="4"/>
        <v>1.4482981664981096</v>
      </c>
      <c r="T18" s="102">
        <f t="shared" si="4"/>
        <v>1.4845056206605622</v>
      </c>
      <c r="U18" s="102">
        <f t="shared" si="4"/>
        <v>1.5216182611770761</v>
      </c>
      <c r="V18" s="102">
        <f t="shared" si="4"/>
        <v>1.5596587177065029</v>
      </c>
      <c r="W18" s="102">
        <f t="shared" si="4"/>
        <v>1.5986501856491653</v>
      </c>
      <c r="X18" s="102">
        <f t="shared" si="4"/>
        <v>1.6386164402903942</v>
      </c>
      <c r="Y18" s="102">
        <f t="shared" si="4"/>
        <v>1.6795818512976539</v>
      </c>
      <c r="Z18" s="102">
        <f t="shared" si="4"/>
        <v>1.721571397580095</v>
      </c>
      <c r="AA18" s="102">
        <f t="shared" si="4"/>
        <v>1.7646106825195973</v>
      </c>
      <c r="AB18" s="102">
        <f t="shared" si="4"/>
        <v>1.8087259495825871</v>
      </c>
    </row>
    <row r="19" spans="1:28" x14ac:dyDescent="0.2">
      <c r="B19" s="86" t="s">
        <v>121</v>
      </c>
      <c r="C19" s="103">
        <f>C13</f>
        <v>2.5000000000000001E-2</v>
      </c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</row>
    <row r="20" spans="1:28" x14ac:dyDescent="0.2">
      <c r="B20" s="86" t="s">
        <v>124</v>
      </c>
      <c r="C20" s="105"/>
      <c r="D20" s="104">
        <f>D17*D18</f>
        <v>19669.948136802948</v>
      </c>
      <c r="E20" s="104">
        <f t="shared" ref="E20:AB20" si="5">E17*E18</f>
        <v>64529.839105603918</v>
      </c>
      <c r="F20" s="104">
        <f t="shared" si="5"/>
        <v>75647.353808006344</v>
      </c>
      <c r="G20" s="104">
        <f t="shared" si="5"/>
        <v>87280.413096087868</v>
      </c>
      <c r="H20" s="104">
        <f t="shared" si="5"/>
        <v>99447.845752443463</v>
      </c>
      <c r="I20" s="104">
        <f t="shared" si="5"/>
        <v>109613.14776611011</v>
      </c>
      <c r="J20" s="104">
        <f t="shared" si="5"/>
        <v>120224.55997686484</v>
      </c>
      <c r="K20" s="104">
        <f t="shared" si="5"/>
        <v>131298.03458080348</v>
      </c>
      <c r="L20" s="104">
        <f t="shared" si="5"/>
        <v>142850.04256495347</v>
      </c>
      <c r="M20" s="104">
        <f t="shared" si="5"/>
        <v>154897.58967669797</v>
      </c>
      <c r="N20" s="104">
        <f t="shared" si="5"/>
        <v>166195.81249412979</v>
      </c>
      <c r="O20" s="104">
        <f t="shared" si="5"/>
        <v>177962.13545888526</v>
      </c>
      <c r="P20" s="104">
        <f t="shared" si="5"/>
        <v>190212.90218906966</v>
      </c>
      <c r="Q20" s="104">
        <f t="shared" si="5"/>
        <v>202964.98092110144</v>
      </c>
      <c r="R20" s="104">
        <f t="shared" si="5"/>
        <v>216235.78052586669</v>
      </c>
      <c r="S20" s="104">
        <f t="shared" si="5"/>
        <v>230043.26699779442</v>
      </c>
      <c r="T20" s="104">
        <f t="shared" si="5"/>
        <v>244405.98043049002</v>
      </c>
      <c r="U20" s="104">
        <f t="shared" si="5"/>
        <v>250516.12994125223</v>
      </c>
      <c r="V20" s="104">
        <f t="shared" si="5"/>
        <v>256779.03318978351</v>
      </c>
      <c r="W20" s="104">
        <f t="shared" si="5"/>
        <v>263198.50901952811</v>
      </c>
      <c r="X20" s="104">
        <f t="shared" si="5"/>
        <v>269778.47174501623</v>
      </c>
      <c r="Y20" s="104">
        <f t="shared" si="5"/>
        <v>276522.93353864161</v>
      </c>
      <c r="Z20" s="104">
        <f t="shared" si="5"/>
        <v>283436.00687710766</v>
      </c>
      <c r="AA20" s="104">
        <f t="shared" si="5"/>
        <v>290521.9070490353</v>
      </c>
      <c r="AB20" s="104">
        <f t="shared" si="5"/>
        <v>297784.9547252612</v>
      </c>
    </row>
    <row r="21" spans="1:28" x14ac:dyDescent="0.2">
      <c r="C21" s="97"/>
    </row>
    <row r="22" spans="1:28" x14ac:dyDescent="0.2">
      <c r="A22" s="85" t="s">
        <v>125</v>
      </c>
      <c r="C22" s="99">
        <v>0.09</v>
      </c>
      <c r="D22" s="86" t="s">
        <v>131</v>
      </c>
    </row>
    <row r="23" spans="1:28" x14ac:dyDescent="0.2">
      <c r="B23" s="86" t="s">
        <v>119</v>
      </c>
      <c r="D23" s="100">
        <f t="shared" ref="D23:AB23" si="6">($C$22*1000*D7)/1000</f>
        <v>29504.922205204424</v>
      </c>
      <c r="E23" s="100">
        <f t="shared" si="6"/>
        <v>94433.910886249651</v>
      </c>
      <c r="F23" s="100">
        <f t="shared" si="6"/>
        <v>108003.36058251947</v>
      </c>
      <c r="G23" s="100">
        <f t="shared" si="6"/>
        <v>121572.81027878929</v>
      </c>
      <c r="H23" s="100">
        <f t="shared" si="6"/>
        <v>135142.25997505913</v>
      </c>
      <c r="I23" s="100">
        <f t="shared" si="6"/>
        <v>145323.075947178</v>
      </c>
      <c r="J23" s="100">
        <f t="shared" si="6"/>
        <v>155503.89191929693</v>
      </c>
      <c r="K23" s="100">
        <f t="shared" si="6"/>
        <v>165684.7078914158</v>
      </c>
      <c r="L23" s="100">
        <f t="shared" si="6"/>
        <v>175865.52386353468</v>
      </c>
      <c r="M23" s="100">
        <f t="shared" si="6"/>
        <v>186046.33983565361</v>
      </c>
      <c r="N23" s="100">
        <f t="shared" si="6"/>
        <v>194747.85464088427</v>
      </c>
      <c r="O23" s="100">
        <f t="shared" si="6"/>
        <v>203449.36944611496</v>
      </c>
      <c r="P23" s="100">
        <f t="shared" si="6"/>
        <v>212150.88425134565</v>
      </c>
      <c r="Q23" s="100">
        <f t="shared" si="6"/>
        <v>220852.39905657625</v>
      </c>
      <c r="R23" s="100">
        <f t="shared" si="6"/>
        <v>229553.91386180697</v>
      </c>
      <c r="S23" s="100">
        <f t="shared" si="6"/>
        <v>238255.42866703757</v>
      </c>
      <c r="T23" s="100">
        <f t="shared" si="6"/>
        <v>246956.94347226832</v>
      </c>
      <c r="U23" s="100">
        <f t="shared" si="6"/>
        <v>246956.94347226832</v>
      </c>
      <c r="V23" s="100">
        <f t="shared" si="6"/>
        <v>246956.94347226832</v>
      </c>
      <c r="W23" s="100">
        <f t="shared" si="6"/>
        <v>246956.94347226832</v>
      </c>
      <c r="X23" s="100">
        <f t="shared" si="6"/>
        <v>246956.94347226832</v>
      </c>
      <c r="Y23" s="100">
        <f t="shared" si="6"/>
        <v>246956.94347226832</v>
      </c>
      <c r="Z23" s="100">
        <f t="shared" si="6"/>
        <v>246956.94347226832</v>
      </c>
      <c r="AA23" s="100">
        <f t="shared" si="6"/>
        <v>246956.94347226832</v>
      </c>
      <c r="AB23" s="100">
        <f t="shared" si="6"/>
        <v>246956.94347226832</v>
      </c>
    </row>
    <row r="24" spans="1:28" x14ac:dyDescent="0.2">
      <c r="B24" s="86" t="s">
        <v>120</v>
      </c>
      <c r="D24" s="101">
        <v>0.5</v>
      </c>
      <c r="E24" s="102">
        <f>D24*(1+$C$25)</f>
        <v>0.51249999999999996</v>
      </c>
      <c r="F24" s="102">
        <f t="shared" ref="F24:AB24" si="7">E24*(1+$C$25)</f>
        <v>0.52531249999999996</v>
      </c>
      <c r="G24" s="102">
        <f t="shared" si="7"/>
        <v>0.53844531249999994</v>
      </c>
      <c r="H24" s="102">
        <f t="shared" si="7"/>
        <v>0.55190644531249988</v>
      </c>
      <c r="I24" s="102">
        <f t="shared" si="7"/>
        <v>0.56570410644531233</v>
      </c>
      <c r="J24" s="102">
        <f t="shared" si="7"/>
        <v>0.57984670910644509</v>
      </c>
      <c r="K24" s="102">
        <f t="shared" si="7"/>
        <v>0.59434287683410614</v>
      </c>
      <c r="L24" s="102">
        <f t="shared" si="7"/>
        <v>0.60920144875495874</v>
      </c>
      <c r="M24" s="102">
        <f t="shared" si="7"/>
        <v>0.62443148497383261</v>
      </c>
      <c r="N24" s="102">
        <f t="shared" si="7"/>
        <v>0.64004227209817832</v>
      </c>
      <c r="O24" s="102">
        <f t="shared" si="7"/>
        <v>0.65604332890063277</v>
      </c>
      <c r="P24" s="102">
        <f t="shared" si="7"/>
        <v>0.67244441212314854</v>
      </c>
      <c r="Q24" s="102">
        <f t="shared" si="7"/>
        <v>0.68925552242622723</v>
      </c>
      <c r="R24" s="102">
        <f t="shared" si="7"/>
        <v>0.70648691048688284</v>
      </c>
      <c r="S24" s="102">
        <f t="shared" si="7"/>
        <v>0.7241490832490548</v>
      </c>
      <c r="T24" s="102">
        <f t="shared" si="7"/>
        <v>0.74225281033028112</v>
      </c>
      <c r="U24" s="102">
        <f t="shared" si="7"/>
        <v>0.76080913058853805</v>
      </c>
      <c r="V24" s="102">
        <f t="shared" si="7"/>
        <v>0.77982935885325144</v>
      </c>
      <c r="W24" s="102">
        <f t="shared" si="7"/>
        <v>0.79932509282458264</v>
      </c>
      <c r="X24" s="102">
        <f t="shared" si="7"/>
        <v>0.81930822014519711</v>
      </c>
      <c r="Y24" s="102">
        <f t="shared" si="7"/>
        <v>0.83979092564882696</v>
      </c>
      <c r="Z24" s="102">
        <f t="shared" si="7"/>
        <v>0.86078569879004752</v>
      </c>
      <c r="AA24" s="102">
        <f t="shared" si="7"/>
        <v>0.88230534125979865</v>
      </c>
      <c r="AB24" s="102">
        <f t="shared" si="7"/>
        <v>0.90436297479129357</v>
      </c>
    </row>
    <row r="25" spans="1:28" x14ac:dyDescent="0.2">
      <c r="B25" s="86" t="s">
        <v>121</v>
      </c>
      <c r="C25" s="103">
        <f>C19</f>
        <v>2.5000000000000001E-2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</row>
    <row r="26" spans="1:28" x14ac:dyDescent="0.2">
      <c r="B26" s="86" t="s">
        <v>126</v>
      </c>
      <c r="C26" s="105"/>
      <c r="D26" s="104">
        <f>D23*D24</f>
        <v>14752.461102602212</v>
      </c>
      <c r="E26" s="104">
        <f t="shared" ref="E26:AB26" si="8">E23*E24</f>
        <v>48397.379329202944</v>
      </c>
      <c r="F26" s="104">
        <f t="shared" si="8"/>
        <v>56735.515356004755</v>
      </c>
      <c r="G26" s="104">
        <f t="shared" si="8"/>
        <v>65460.309822065901</v>
      </c>
      <c r="H26" s="104">
        <f t="shared" si="8"/>
        <v>74585.884314332608</v>
      </c>
      <c r="I26" s="104">
        <f t="shared" si="8"/>
        <v>82209.860824582589</v>
      </c>
      <c r="J26" s="104">
        <f t="shared" si="8"/>
        <v>90168.419982648644</v>
      </c>
      <c r="K26" s="104">
        <f t="shared" si="8"/>
        <v>98473.525935602593</v>
      </c>
      <c r="L26" s="104">
        <f t="shared" si="8"/>
        <v>107137.5319237151</v>
      </c>
      <c r="M26" s="104">
        <f t="shared" si="8"/>
        <v>116173.19225752349</v>
      </c>
      <c r="N26" s="104">
        <f t="shared" si="8"/>
        <v>124646.85937059733</v>
      </c>
      <c r="O26" s="104">
        <f t="shared" si="8"/>
        <v>133471.60159416395</v>
      </c>
      <c r="P26" s="104">
        <f t="shared" si="8"/>
        <v>142659.67664180225</v>
      </c>
      <c r="Q26" s="104">
        <f t="shared" si="8"/>
        <v>152223.73569082608</v>
      </c>
      <c r="R26" s="104">
        <f t="shared" si="8"/>
        <v>162176.83539440003</v>
      </c>
      <c r="S26" s="104">
        <f t="shared" si="8"/>
        <v>172532.45024834582</v>
      </c>
      <c r="T26" s="104">
        <f t="shared" si="8"/>
        <v>183304.48532286755</v>
      </c>
      <c r="U26" s="104">
        <f t="shared" si="8"/>
        <v>187887.09745593919</v>
      </c>
      <c r="V26" s="104">
        <f t="shared" si="8"/>
        <v>192584.27489233768</v>
      </c>
      <c r="W26" s="104">
        <f t="shared" si="8"/>
        <v>197398.8817646461</v>
      </c>
      <c r="X26" s="104">
        <f t="shared" si="8"/>
        <v>202333.85380876221</v>
      </c>
      <c r="Y26" s="104">
        <f t="shared" si="8"/>
        <v>207392.20015398125</v>
      </c>
      <c r="Z26" s="104">
        <f t="shared" si="8"/>
        <v>212577.00515783075</v>
      </c>
      <c r="AA26" s="104">
        <f t="shared" si="8"/>
        <v>217891.43028677651</v>
      </c>
      <c r="AB26" s="104">
        <f t="shared" si="8"/>
        <v>223338.7160439459</v>
      </c>
    </row>
    <row r="27" spans="1:28" x14ac:dyDescent="0.2">
      <c r="A27" s="85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</row>
    <row r="28" spans="1:28" x14ac:dyDescent="0.2">
      <c r="A28" s="85" t="s">
        <v>127</v>
      </c>
      <c r="D28" s="107">
        <f>D14+D20+D26</f>
        <v>270461.78688104055</v>
      </c>
      <c r="E28" s="107">
        <f t="shared" ref="E28:AB28" si="9">E14+E20+E26</f>
        <v>887285.2877020539</v>
      </c>
      <c r="F28" s="107">
        <f t="shared" si="9"/>
        <v>1040151.1148600872</v>
      </c>
      <c r="G28" s="107">
        <f t="shared" si="9"/>
        <v>1200105.6800712084</v>
      </c>
      <c r="H28" s="107">
        <f t="shared" si="9"/>
        <v>1367407.8790960978</v>
      </c>
      <c r="I28" s="107">
        <f t="shared" si="9"/>
        <v>1507180.7817840141</v>
      </c>
      <c r="J28" s="107">
        <f t="shared" si="9"/>
        <v>1653087.6996818918</v>
      </c>
      <c r="K28" s="107">
        <f t="shared" si="9"/>
        <v>1805347.9754860476</v>
      </c>
      <c r="L28" s="107">
        <f t="shared" si="9"/>
        <v>1964188.08526811</v>
      </c>
      <c r="M28" s="107">
        <f t="shared" si="9"/>
        <v>2129841.8580545974</v>
      </c>
      <c r="N28" s="107">
        <f t="shared" si="9"/>
        <v>2285192.4217942841</v>
      </c>
      <c r="O28" s="107">
        <f t="shared" si="9"/>
        <v>2446979.3625596724</v>
      </c>
      <c r="P28" s="107">
        <f t="shared" si="9"/>
        <v>2615427.4050997077</v>
      </c>
      <c r="Q28" s="107">
        <f t="shared" si="9"/>
        <v>2790768.4876651447</v>
      </c>
      <c r="R28" s="107">
        <f t="shared" si="9"/>
        <v>2973241.9822306675</v>
      </c>
      <c r="S28" s="107">
        <f t="shared" si="9"/>
        <v>3163094.9212196735</v>
      </c>
      <c r="T28" s="107">
        <f t="shared" si="9"/>
        <v>3360582.2309192382</v>
      </c>
      <c r="U28" s="107">
        <f t="shared" si="9"/>
        <v>3444596.7866922184</v>
      </c>
      <c r="V28" s="107">
        <f t="shared" si="9"/>
        <v>3530711.7063595238</v>
      </c>
      <c r="W28" s="107">
        <f t="shared" si="9"/>
        <v>3618979.4990185117</v>
      </c>
      <c r="X28" s="107">
        <f t="shared" si="9"/>
        <v>3709453.9864939735</v>
      </c>
      <c r="Y28" s="107">
        <f t="shared" si="9"/>
        <v>3802190.3361563231</v>
      </c>
      <c r="Z28" s="107">
        <f t="shared" si="9"/>
        <v>3897245.0945602302</v>
      </c>
      <c r="AA28" s="107">
        <f t="shared" si="9"/>
        <v>3994676.221924236</v>
      </c>
      <c r="AB28" s="107">
        <f t="shared" si="9"/>
        <v>4094543.1274723415</v>
      </c>
    </row>
    <row r="29" spans="1:28" x14ac:dyDescent="0.2">
      <c r="A29" s="85" t="s">
        <v>128</v>
      </c>
      <c r="D29" s="108">
        <f>D28/D7</f>
        <v>0.82499999999999996</v>
      </c>
      <c r="E29" s="108">
        <f t="shared" ref="E29:AB29" si="10">E28/E7</f>
        <v>0.84562499999999996</v>
      </c>
      <c r="F29" s="108">
        <f t="shared" si="10"/>
        <v>0.86676562499999998</v>
      </c>
      <c r="G29" s="108">
        <f t="shared" si="10"/>
        <v>0.88843476562500001</v>
      </c>
      <c r="H29" s="108">
        <f t="shared" si="10"/>
        <v>0.91064563476562488</v>
      </c>
      <c r="I29" s="108">
        <f t="shared" si="10"/>
        <v>0.93341177563476529</v>
      </c>
      <c r="J29" s="108">
        <f t="shared" si="10"/>
        <v>0.95674707002563453</v>
      </c>
      <c r="K29" s="108">
        <f t="shared" si="10"/>
        <v>0.98066574677627505</v>
      </c>
      <c r="L29" s="108">
        <f t="shared" si="10"/>
        <v>1.0051823904456818</v>
      </c>
      <c r="M29" s="108">
        <f t="shared" si="10"/>
        <v>1.0303119502068239</v>
      </c>
      <c r="N29" s="108">
        <f t="shared" si="10"/>
        <v>1.0560697489619941</v>
      </c>
      <c r="O29" s="108">
        <f t="shared" si="10"/>
        <v>1.0824714926860441</v>
      </c>
      <c r="P29" s="108">
        <f t="shared" si="10"/>
        <v>1.109533280003195</v>
      </c>
      <c r="Q29" s="108">
        <f t="shared" si="10"/>
        <v>1.1372716120032749</v>
      </c>
      <c r="R29" s="108">
        <f t="shared" si="10"/>
        <v>1.1657034023033568</v>
      </c>
      <c r="S29" s="108">
        <f t="shared" si="10"/>
        <v>1.1948459873609403</v>
      </c>
      <c r="T29" s="108">
        <f t="shared" si="10"/>
        <v>1.2247171370449639</v>
      </c>
      <c r="U29" s="108">
        <f t="shared" si="10"/>
        <v>1.2553350654710878</v>
      </c>
      <c r="V29" s="108">
        <f t="shared" si="10"/>
        <v>1.286718442107865</v>
      </c>
      <c r="W29" s="108">
        <f t="shared" si="10"/>
        <v>1.3188864031605616</v>
      </c>
      <c r="X29" s="108">
        <f t="shared" si="10"/>
        <v>1.3518585632395752</v>
      </c>
      <c r="Y29" s="108">
        <f t="shared" si="10"/>
        <v>1.3856550273205646</v>
      </c>
      <c r="Z29" s="108">
        <f t="shared" si="10"/>
        <v>1.4202964030035783</v>
      </c>
      <c r="AA29" s="108">
        <f t="shared" si="10"/>
        <v>1.4558038130786679</v>
      </c>
      <c r="AB29" s="108">
        <f t="shared" si="10"/>
        <v>1.4921989084056344</v>
      </c>
    </row>
    <row r="31" spans="1:28" x14ac:dyDescent="0.2">
      <c r="A31" s="85" t="s">
        <v>129</v>
      </c>
      <c r="D31" s="108">
        <f>[2]Drivers!B18</f>
        <v>0.17</v>
      </c>
      <c r="E31" s="108">
        <f>D31*(1+[2]Drivers!$B$36)</f>
        <v>0.17424999999999999</v>
      </c>
      <c r="F31" s="108">
        <f>E31*(1+[2]Drivers!$B$36)</f>
        <v>0.17860624999999997</v>
      </c>
      <c r="G31" s="108">
        <f>F31*(1+[2]Drivers!$B$36)</f>
        <v>0.18307140624999996</v>
      </c>
      <c r="H31" s="108">
        <f>G31*(1+[2]Drivers!$B$36)</f>
        <v>0.18764819140624994</v>
      </c>
      <c r="I31" s="108">
        <f>H31*(1+[2]Drivers!$B$36)</f>
        <v>0.19233939619140616</v>
      </c>
      <c r="J31" s="108">
        <f>I31*(1+[2]Drivers!$B$36)</f>
        <v>0.1971478810961913</v>
      </c>
      <c r="K31" s="108">
        <f>J31*(1+[2]Drivers!$B$36)</f>
        <v>0.20207657812359606</v>
      </c>
      <c r="L31" s="108">
        <f>K31*(1+[2]Drivers!$B$36)</f>
        <v>0.20712849257668595</v>
      </c>
      <c r="M31" s="108">
        <f>L31*(1+[2]Drivers!$B$36)</f>
        <v>0.21230670489110307</v>
      </c>
      <c r="N31" s="108">
        <f>M31*(1+[2]Drivers!$B$36)</f>
        <v>0.21761437251338062</v>
      </c>
      <c r="O31" s="108">
        <f>N31*(1+[2]Drivers!$B$36)</f>
        <v>0.2230547318262151</v>
      </c>
      <c r="P31" s="108">
        <f>O31*(1+[2]Drivers!$B$36)</f>
        <v>0.22863110012187046</v>
      </c>
      <c r="Q31" s="108">
        <f>P31*(1+[2]Drivers!$B$36)</f>
        <v>0.23434687762491721</v>
      </c>
      <c r="R31" s="108">
        <f>Q31*(1+[2]Drivers!$B$36)</f>
        <v>0.24020554956554013</v>
      </c>
      <c r="S31" s="108">
        <f>R31*(1+[2]Drivers!$B$36)</f>
        <v>0.24621068830467863</v>
      </c>
      <c r="T31" s="108">
        <f>S31*(1+[2]Drivers!$B$36)</f>
        <v>0.25236595551229557</v>
      </c>
      <c r="U31" s="108">
        <f>T31*(1+[2]Drivers!$B$36)</f>
        <v>0.25867510440010294</v>
      </c>
      <c r="V31" s="108">
        <f>U31*(1+[2]Drivers!$B$36)</f>
        <v>0.26514198201010547</v>
      </c>
      <c r="W31" s="108">
        <f>V31*(1+[2]Drivers!$B$36)</f>
        <v>0.27177053156035808</v>
      </c>
      <c r="X31" s="108">
        <f>W31*(1+[2]Drivers!$B$36)</f>
        <v>0.27856479484936703</v>
      </c>
      <c r="Y31" s="108">
        <f>X31*(1+[2]Drivers!$B$36)</f>
        <v>0.28552891472060116</v>
      </c>
      <c r="Z31" s="108">
        <f>Y31*(1+[2]Drivers!$B$36)</f>
        <v>0.29266713758861618</v>
      </c>
      <c r="AA31" s="108">
        <f>Z31*(1+[2]Drivers!$B$36)</f>
        <v>0.29998381602833157</v>
      </c>
      <c r="AB31" s="108">
        <f>AA31*(1+[2]Drivers!$B$36)</f>
        <v>0.30748341142903984</v>
      </c>
    </row>
    <row r="33" spans="1:28" x14ac:dyDescent="0.2">
      <c r="A33" s="85" t="s">
        <v>130</v>
      </c>
      <c r="D33" s="108">
        <f>D31+D29</f>
        <v>0.995</v>
      </c>
      <c r="E33" s="108">
        <f t="shared" ref="E33:AB33" si="11">E31+E29</f>
        <v>1.0198749999999999</v>
      </c>
      <c r="F33" s="108">
        <f t="shared" si="11"/>
        <v>1.0453718749999998</v>
      </c>
      <c r="G33" s="108">
        <f t="shared" si="11"/>
        <v>1.0715061718749999</v>
      </c>
      <c r="H33" s="108">
        <f t="shared" si="11"/>
        <v>1.0982938261718749</v>
      </c>
      <c r="I33" s="108">
        <f t="shared" si="11"/>
        <v>1.1257511718261715</v>
      </c>
      <c r="J33" s="108">
        <f t="shared" si="11"/>
        <v>1.1538949511218259</v>
      </c>
      <c r="K33" s="108">
        <f t="shared" si="11"/>
        <v>1.1827423248998712</v>
      </c>
      <c r="L33" s="108">
        <f t="shared" si="11"/>
        <v>1.2123108830223677</v>
      </c>
      <c r="M33" s="108">
        <f t="shared" si="11"/>
        <v>1.242618655097927</v>
      </c>
      <c r="N33" s="108">
        <f t="shared" si="11"/>
        <v>1.2736841214753747</v>
      </c>
      <c r="O33" s="108">
        <f t="shared" si="11"/>
        <v>1.3055262245122592</v>
      </c>
      <c r="P33" s="108">
        <f t="shared" si="11"/>
        <v>1.3381643801250653</v>
      </c>
      <c r="Q33" s="108">
        <f t="shared" si="11"/>
        <v>1.371618489628192</v>
      </c>
      <c r="R33" s="108">
        <f t="shared" si="11"/>
        <v>1.405908951868897</v>
      </c>
      <c r="S33" s="108">
        <f t="shared" si="11"/>
        <v>1.4410566756656189</v>
      </c>
      <c r="T33" s="108">
        <f t="shared" si="11"/>
        <v>1.4770830925572596</v>
      </c>
      <c r="U33" s="108">
        <f t="shared" si="11"/>
        <v>1.5140101698711907</v>
      </c>
      <c r="V33" s="108">
        <f t="shared" si="11"/>
        <v>1.5518604241179705</v>
      </c>
      <c r="W33" s="108">
        <f t="shared" si="11"/>
        <v>1.5906569347209196</v>
      </c>
      <c r="X33" s="108">
        <f t="shared" si="11"/>
        <v>1.6304233580889422</v>
      </c>
      <c r="Y33" s="108">
        <f t="shared" si="11"/>
        <v>1.6711839420411656</v>
      </c>
      <c r="Z33" s="108">
        <f t="shared" si="11"/>
        <v>1.7129635405921944</v>
      </c>
      <c r="AA33" s="108">
        <f t="shared" si="11"/>
        <v>1.7557876291069996</v>
      </c>
      <c r="AB33" s="108">
        <f t="shared" si="11"/>
        <v>1.7996823198346743</v>
      </c>
    </row>
  </sheetData>
  <pageMargins left="0.75" right="0.75" top="1" bottom="1" header="0.5" footer="0.5"/>
  <pageSetup scale="87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Construction Costs</vt:lpstr>
      <vt:lpstr>Cost Basis</vt:lpstr>
      <vt:lpstr>Fixed O&amp;M</vt:lpstr>
      <vt:lpstr>Performance</vt:lpstr>
      <vt:lpstr>Variable O&amp;M</vt:lpstr>
      <vt:lpstr>'Construction Costs'!Print_Area</vt:lpstr>
      <vt:lpstr>'Cost Basis'!Print_Area</vt:lpstr>
      <vt:lpstr>'Variable O&amp;M'!Print_Area</vt:lpstr>
    </vt:vector>
  </TitlesOfParts>
  <Company>KN Energy,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 Energy, Inc.</dc:creator>
  <cp:lastModifiedBy>Felienne</cp:lastModifiedBy>
  <cp:lastPrinted>1999-11-01T23:46:26Z</cp:lastPrinted>
  <dcterms:created xsi:type="dcterms:W3CDTF">1999-10-28T20:29:02Z</dcterms:created>
  <dcterms:modified xsi:type="dcterms:W3CDTF">2014-09-03T11:25:52Z</dcterms:modified>
</cp:coreProperties>
</file>