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tabRatio="877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7">CLARIFICATIONS!$A$1:$C$51</definedName>
    <definedName name="_xlnm.Print_Area" localSheetId="3">'EPC DETAIL X 2 LM 6000'!$B$2:$K$104</definedName>
    <definedName name="_xlnm.Print_Area" localSheetId="4">FINANCE!$B$4:$S$52</definedName>
    <definedName name="_xlnm.Print_Area" localSheetId="2">'OPERATIONAL CHARACTERISTICS'!$B$2:$J$45</definedName>
    <definedName name="_xlnm.Print_Area" localSheetId="1">PROJECTCONFIGURATION!$A$1:$K$37</definedName>
    <definedName name="_xlnm.Print_Area" localSheetId="6">SOURCEDATA!$A$1:$L$76</definedName>
    <definedName name="_xlnm.Print_Area" localSheetId="0">SUMMARY!$B$1:$J$32</definedName>
    <definedName name="_xlnm.Print_Area" localSheetId="5">'TURBINE AVAILABILITY'!$B$2:$E$17</definedName>
  </definedNames>
  <calcPr calcId="152511" calcMode="manual" iterate="1"/>
</workbook>
</file>

<file path=xl/calcChain.xml><?xml version="1.0" encoding="utf-8"?>
<calcChain xmlns="http://schemas.openxmlformats.org/spreadsheetml/2006/main">
  <c r="A5" i="9" l="1"/>
  <c r="A6" i="9" s="1"/>
  <c r="A7" i="9" s="1"/>
  <c r="A8" i="9" s="1"/>
  <c r="A9" i="9" s="1"/>
  <c r="A15" i="9" s="1"/>
  <c r="A21" i="9" s="1"/>
  <c r="A22" i="9" s="1"/>
  <c r="A23" i="9" s="1"/>
  <c r="A24" i="9" s="1"/>
  <c r="A25" i="9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K8" i="1"/>
  <c r="I15" i="1"/>
  <c r="K15" i="1"/>
  <c r="F17" i="1"/>
  <c r="K17" i="1" s="1"/>
  <c r="I17" i="1"/>
  <c r="I18" i="1"/>
  <c r="I35" i="1" s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8" i="1"/>
  <c r="K38" i="1"/>
  <c r="I39" i="1"/>
  <c r="I61" i="1" s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F70" i="1" s="1"/>
  <c r="I63" i="1"/>
  <c r="K63" i="1"/>
  <c r="I64" i="1"/>
  <c r="K64" i="1"/>
  <c r="K68" i="1" s="1"/>
  <c r="I65" i="1"/>
  <c r="K65" i="1"/>
  <c r="D66" i="1"/>
  <c r="I66" i="1"/>
  <c r="K66" i="1"/>
  <c r="I67" i="1"/>
  <c r="K67" i="1"/>
  <c r="D68" i="1"/>
  <c r="D70" i="1" s="1"/>
  <c r="D81" i="1" s="1"/>
  <c r="D92" i="1" s="1"/>
  <c r="F68" i="1"/>
  <c r="I68" i="1"/>
  <c r="I72" i="1"/>
  <c r="K72" i="1"/>
  <c r="I73" i="1"/>
  <c r="I74" i="1" s="1"/>
  <c r="K73" i="1"/>
  <c r="D74" i="1"/>
  <c r="F74" i="1"/>
  <c r="K74" i="1"/>
  <c r="I76" i="1"/>
  <c r="K76" i="1"/>
  <c r="I77" i="1"/>
  <c r="K77" i="1"/>
  <c r="I78" i="1"/>
  <c r="K78" i="1"/>
  <c r="K79" i="1" s="1"/>
  <c r="D79" i="1"/>
  <c r="F79" i="1"/>
  <c r="I79" i="1"/>
  <c r="I83" i="1"/>
  <c r="K83" i="1"/>
  <c r="I84" i="1"/>
  <c r="K84" i="1"/>
  <c r="I85" i="1"/>
  <c r="K85" i="1"/>
  <c r="D86" i="1"/>
  <c r="F86" i="1"/>
  <c r="K86" i="1"/>
  <c r="J87" i="1"/>
  <c r="L87" i="1"/>
  <c r="L97" i="1" s="1"/>
  <c r="M87" i="1"/>
  <c r="E88" i="1"/>
  <c r="J88" i="1"/>
  <c r="E89" i="1"/>
  <c r="J89" i="1"/>
  <c r="E95" i="1"/>
  <c r="G95" i="1"/>
  <c r="E97" i="1"/>
  <c r="G97" i="1"/>
  <c r="D98" i="1"/>
  <c r="F98" i="1"/>
  <c r="K98" i="1" s="1"/>
  <c r="K101" i="1" s="1"/>
  <c r="I99" i="1"/>
  <c r="K99" i="1"/>
  <c r="I100" i="1"/>
  <c r="K100" i="1"/>
  <c r="F101" i="1"/>
  <c r="C14" i="8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Q29" i="8"/>
  <c r="R29" i="8"/>
  <c r="S29" i="8" s="1"/>
  <c r="Q30" i="8"/>
  <c r="R30" i="8"/>
  <c r="S30" i="8" s="1"/>
  <c r="Q31" i="8"/>
  <c r="R31" i="8"/>
  <c r="S31" i="8" s="1"/>
  <c r="Q32" i="8"/>
  <c r="R32" i="8"/>
  <c r="S32" i="8" s="1"/>
  <c r="Q33" i="8"/>
  <c r="R33" i="8"/>
  <c r="S33" i="8" s="1"/>
  <c r="Q34" i="8"/>
  <c r="R34" i="8"/>
  <c r="S34" i="8" s="1"/>
  <c r="Q35" i="8"/>
  <c r="R35" i="8"/>
  <c r="S35" i="8" s="1"/>
  <c r="Q36" i="8"/>
  <c r="R36" i="8"/>
  <c r="S36" i="8" s="1"/>
  <c r="Q37" i="8"/>
  <c r="R37" i="8"/>
  <c r="S37" i="8" s="1"/>
  <c r="Q38" i="8"/>
  <c r="R38" i="8"/>
  <c r="S38" i="8"/>
  <c r="L249" i="8"/>
  <c r="M249" i="8"/>
  <c r="N249" i="8" s="1"/>
  <c r="L250" i="8"/>
  <c r="M250" i="8"/>
  <c r="L251" i="8"/>
  <c r="M251" i="8"/>
  <c r="N251" i="8" s="1"/>
  <c r="L252" i="8"/>
  <c r="M252" i="8"/>
  <c r="N252" i="8"/>
  <c r="L253" i="8"/>
  <c r="M253" i="8"/>
  <c r="N253" i="8" s="1"/>
  <c r="L254" i="8"/>
  <c r="M254" i="8"/>
  <c r="N254" i="8"/>
  <c r="L255" i="8"/>
  <c r="M255" i="8"/>
  <c r="N255" i="8"/>
  <c r="L256" i="8"/>
  <c r="N256" i="8" s="1"/>
  <c r="M256" i="8"/>
  <c r="L257" i="8"/>
  <c r="M257" i="8"/>
  <c r="N257" i="8"/>
  <c r="L258" i="8"/>
  <c r="M258" i="8"/>
  <c r="N258" i="8" s="1"/>
  <c r="L259" i="8"/>
  <c r="M259" i="8"/>
  <c r="N259" i="8" s="1"/>
  <c r="L260" i="8"/>
  <c r="M260" i="8"/>
  <c r="N260" i="8"/>
  <c r="L261" i="8"/>
  <c r="M261" i="8"/>
  <c r="N261" i="8" s="1"/>
  <c r="L262" i="8"/>
  <c r="N262" i="8" s="1"/>
  <c r="M262" i="8"/>
  <c r="L263" i="8"/>
  <c r="M263" i="8"/>
  <c r="N263" i="8" s="1"/>
  <c r="L264" i="8"/>
  <c r="M264" i="8"/>
  <c r="N264" i="8"/>
  <c r="L265" i="8"/>
  <c r="M265" i="8"/>
  <c r="N265" i="8"/>
  <c r="L266" i="8"/>
  <c r="M266" i="8"/>
  <c r="N266" i="8"/>
  <c r="L267" i="8"/>
  <c r="M267" i="8"/>
  <c r="N267" i="8" s="1"/>
  <c r="L268" i="8"/>
  <c r="M268" i="8"/>
  <c r="N268" i="8"/>
  <c r="L269" i="8"/>
  <c r="M269" i="8"/>
  <c r="N269" i="8"/>
  <c r="L270" i="8"/>
  <c r="N270" i="8" s="1"/>
  <c r="M270" i="8"/>
  <c r="L271" i="8"/>
  <c r="M271" i="8"/>
  <c r="N271" i="8"/>
  <c r="L272" i="8"/>
  <c r="M272" i="8"/>
  <c r="N272" i="8" s="1"/>
  <c r="L273" i="8"/>
  <c r="M273" i="8"/>
  <c r="N273" i="8"/>
  <c r="L274" i="8"/>
  <c r="M274" i="8"/>
  <c r="N274" i="8" s="1"/>
  <c r="L275" i="8"/>
  <c r="M275" i="8"/>
  <c r="L276" i="8"/>
  <c r="N276" i="8" s="1"/>
  <c r="M276" i="8"/>
  <c r="L277" i="8"/>
  <c r="M277" i="8"/>
  <c r="N277" i="8" s="1"/>
  <c r="L278" i="8"/>
  <c r="M278" i="8"/>
  <c r="N278" i="8"/>
  <c r="L279" i="8"/>
  <c r="M279" i="8"/>
  <c r="N279" i="8"/>
  <c r="L280" i="8"/>
  <c r="M280" i="8"/>
  <c r="N280" i="8"/>
  <c r="L281" i="8"/>
  <c r="M281" i="8"/>
  <c r="N281" i="8" s="1"/>
  <c r="L282" i="8"/>
  <c r="M282" i="8"/>
  <c r="N282" i="8"/>
  <c r="L283" i="8"/>
  <c r="M283" i="8"/>
  <c r="N283" i="8" s="1"/>
  <c r="L284" i="8"/>
  <c r="M284" i="8"/>
  <c r="N284" i="8" s="1"/>
  <c r="L285" i="8"/>
  <c r="M285" i="8"/>
  <c r="N285" i="8"/>
  <c r="L286" i="8"/>
  <c r="M286" i="8"/>
  <c r="N286" i="8"/>
  <c r="L287" i="8"/>
  <c r="N287" i="8" s="1"/>
  <c r="M287" i="8"/>
  <c r="L288" i="8"/>
  <c r="M288" i="8"/>
  <c r="N288" i="8" s="1"/>
  <c r="L289" i="8"/>
  <c r="M289" i="8"/>
  <c r="N289" i="8"/>
  <c r="L290" i="8"/>
  <c r="M290" i="8"/>
  <c r="N290" i="8"/>
  <c r="L291" i="8"/>
  <c r="M291" i="8"/>
  <c r="L292" i="8"/>
  <c r="M292" i="8"/>
  <c r="N292" i="8"/>
  <c r="L293" i="8"/>
  <c r="M293" i="8"/>
  <c r="N293" i="8"/>
  <c r="L294" i="8"/>
  <c r="M294" i="8"/>
  <c r="N294" i="8"/>
  <c r="L295" i="8"/>
  <c r="M295" i="8"/>
  <c r="N295" i="8" s="1"/>
  <c r="L296" i="8"/>
  <c r="M296" i="8"/>
  <c r="N296" i="8"/>
  <c r="L297" i="8"/>
  <c r="M297" i="8"/>
  <c r="N297" i="8" s="1"/>
  <c r="L298" i="8"/>
  <c r="N298" i="8" s="1"/>
  <c r="M298" i="8"/>
  <c r="L299" i="8"/>
  <c r="M299" i="8"/>
  <c r="N299" i="8" s="1"/>
  <c r="L300" i="8"/>
  <c r="M300" i="8"/>
  <c r="N300" i="8" s="1"/>
  <c r="L301" i="8"/>
  <c r="N301" i="8" s="1"/>
  <c r="M301" i="8"/>
  <c r="L302" i="8"/>
  <c r="N302" i="8" s="1"/>
  <c r="M302" i="8"/>
  <c r="L303" i="8"/>
  <c r="M303" i="8"/>
  <c r="N303" i="8"/>
  <c r="L304" i="8"/>
  <c r="M304" i="8"/>
  <c r="N304" i="8"/>
  <c r="L305" i="8"/>
  <c r="M305" i="8"/>
  <c r="N305" i="8"/>
  <c r="L306" i="8"/>
  <c r="M306" i="8"/>
  <c r="N306" i="8" s="1"/>
  <c r="L307" i="8"/>
  <c r="M307" i="8"/>
  <c r="N307" i="8" s="1"/>
  <c r="L308" i="8"/>
  <c r="M308" i="8"/>
  <c r="N308" i="8"/>
  <c r="L309" i="8"/>
  <c r="M309" i="8"/>
  <c r="N309" i="8" s="1"/>
  <c r="L310" i="8"/>
  <c r="M310" i="8"/>
  <c r="N310" i="8"/>
  <c r="L311" i="8"/>
  <c r="M311" i="8"/>
  <c r="N311" i="8" s="1"/>
  <c r="L312" i="8"/>
  <c r="N312" i="8" s="1"/>
  <c r="M312" i="8"/>
  <c r="L313" i="8"/>
  <c r="M313" i="8"/>
  <c r="N313" i="8" s="1"/>
  <c r="L314" i="8"/>
  <c r="M314" i="8"/>
  <c r="N314" i="8"/>
  <c r="L315" i="8"/>
  <c r="M315" i="8"/>
  <c r="N315" i="8" s="1"/>
  <c r="L316" i="8"/>
  <c r="M316" i="8"/>
  <c r="N316" i="8" s="1"/>
  <c r="L317" i="8"/>
  <c r="N317" i="8" s="1"/>
  <c r="M317" i="8"/>
  <c r="L318" i="8"/>
  <c r="M318" i="8"/>
  <c r="N318" i="8"/>
  <c r="L319" i="8"/>
  <c r="M319" i="8"/>
  <c r="N319" i="8"/>
  <c r="L320" i="8"/>
  <c r="M320" i="8"/>
  <c r="N320" i="8" s="1"/>
  <c r="L321" i="8"/>
  <c r="M321" i="8"/>
  <c r="N321" i="8"/>
  <c r="L322" i="8"/>
  <c r="M322" i="8"/>
  <c r="N322" i="8" s="1"/>
  <c r="L323" i="8"/>
  <c r="M323" i="8"/>
  <c r="L324" i="8"/>
  <c r="M324" i="8"/>
  <c r="N324" i="8"/>
  <c r="L325" i="8"/>
  <c r="M325" i="8"/>
  <c r="N325" i="8" s="1"/>
  <c r="L326" i="8"/>
  <c r="N326" i="8" s="1"/>
  <c r="M326" i="8"/>
  <c r="L327" i="8"/>
  <c r="M327" i="8"/>
  <c r="N327" i="8" s="1"/>
  <c r="L328" i="8"/>
  <c r="N328" i="8" s="1"/>
  <c r="M328" i="8"/>
  <c r="L329" i="8"/>
  <c r="M329" i="8"/>
  <c r="N329" i="8"/>
  <c r="L330" i="8"/>
  <c r="M330" i="8"/>
  <c r="N330" i="8"/>
  <c r="L331" i="8"/>
  <c r="M331" i="8"/>
  <c r="N331" i="8" s="1"/>
  <c r="L332" i="8"/>
  <c r="M332" i="8"/>
  <c r="N332" i="8"/>
  <c r="L333" i="8"/>
  <c r="M333" i="8"/>
  <c r="N333" i="8"/>
  <c r="L334" i="8"/>
  <c r="N334" i="8" s="1"/>
  <c r="M334" i="8"/>
  <c r="L335" i="8"/>
  <c r="M335" i="8"/>
  <c r="N335" i="8"/>
  <c r="L336" i="8"/>
  <c r="M336" i="8"/>
  <c r="N336" i="8" s="1"/>
  <c r="L337" i="8"/>
  <c r="M337" i="8"/>
  <c r="N337" i="8"/>
  <c r="L338" i="8"/>
  <c r="M338" i="8"/>
  <c r="N338" i="8" s="1"/>
  <c r="L339" i="8"/>
  <c r="M339" i="8"/>
  <c r="L340" i="8"/>
  <c r="N340" i="8" s="1"/>
  <c r="M340" i="8"/>
  <c r="L341" i="8"/>
  <c r="M341" i="8"/>
  <c r="N341" i="8" s="1"/>
  <c r="L342" i="8"/>
  <c r="M342" i="8"/>
  <c r="N342" i="8"/>
  <c r="L343" i="8"/>
  <c r="M343" i="8"/>
  <c r="N343" i="8"/>
  <c r="L344" i="8"/>
  <c r="M344" i="8"/>
  <c r="N344" i="8"/>
  <c r="L345" i="8"/>
  <c r="M345" i="8"/>
  <c r="N345" i="8" s="1"/>
  <c r="L346" i="8"/>
  <c r="M346" i="8"/>
  <c r="N346" i="8"/>
  <c r="L347" i="8"/>
  <c r="M347" i="8"/>
  <c r="N347" i="8" s="1"/>
  <c r="L348" i="8"/>
  <c r="N348" i="8" s="1"/>
  <c r="M348" i="8"/>
  <c r="L349" i="8"/>
  <c r="M349" i="8"/>
  <c r="N349" i="8" s="1"/>
  <c r="L350" i="8"/>
  <c r="M350" i="8"/>
  <c r="N350" i="8"/>
  <c r="L351" i="8"/>
  <c r="M351" i="8"/>
  <c r="N351" i="8"/>
  <c r="L352" i="8"/>
  <c r="M352" i="8"/>
  <c r="N352" i="8"/>
  <c r="L353" i="8"/>
  <c r="M353" i="8"/>
  <c r="N353" i="8" s="1"/>
  <c r="L354" i="8"/>
  <c r="M354" i="8"/>
  <c r="N354" i="8"/>
  <c r="L355" i="8"/>
  <c r="M355" i="8"/>
  <c r="N355" i="8" s="1"/>
  <c r="L356" i="8"/>
  <c r="N356" i="8" s="1"/>
  <c r="M356" i="8"/>
  <c r="L357" i="8"/>
  <c r="M357" i="8"/>
  <c r="N357" i="8" s="1"/>
  <c r="L358" i="8"/>
  <c r="M358" i="8"/>
  <c r="N358" i="8"/>
  <c r="L359" i="8"/>
  <c r="M359" i="8"/>
  <c r="N359" i="8"/>
  <c r="L360" i="8"/>
  <c r="M360" i="8"/>
  <c r="N360" i="8"/>
  <c r="L361" i="8"/>
  <c r="M361" i="8"/>
  <c r="N361" i="8" s="1"/>
  <c r="L362" i="8"/>
  <c r="M362" i="8"/>
  <c r="N362" i="8"/>
  <c r="L363" i="8"/>
  <c r="M363" i="8"/>
  <c r="N363" i="8" s="1"/>
  <c r="L364" i="8"/>
  <c r="N364" i="8" s="1"/>
  <c r="M364" i="8"/>
  <c r="L365" i="8"/>
  <c r="M365" i="8"/>
  <c r="N365" i="8" s="1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C15" i="2"/>
  <c r="E42" i="2"/>
  <c r="I28" i="3"/>
  <c r="M34" i="3"/>
  <c r="M35" i="3"/>
  <c r="B65" i="3"/>
  <c r="C65" i="3"/>
  <c r="D65" i="3"/>
  <c r="I10" i="3" s="1"/>
  <c r="E65" i="3"/>
  <c r="F65" i="3"/>
  <c r="I16" i="3" s="1"/>
  <c r="G65" i="3"/>
  <c r="H65" i="3"/>
  <c r="E19" i="3" s="1"/>
  <c r="I65" i="3"/>
  <c r="I22" i="3" s="1"/>
  <c r="J65" i="3"/>
  <c r="K65" i="3"/>
  <c r="L65" i="3"/>
  <c r="M65" i="3"/>
  <c r="B4" i="4"/>
  <c r="I4" i="4" s="1"/>
  <c r="C4" i="4"/>
  <c r="D4" i="4"/>
  <c r="E4" i="4"/>
  <c r="F4" i="4"/>
  <c r="G4" i="4"/>
  <c r="H4" i="4"/>
  <c r="J4" i="4"/>
  <c r="K4" i="4"/>
  <c r="B6" i="4"/>
  <c r="C6" i="4" s="1"/>
  <c r="C7" i="4" s="1"/>
  <c r="D6" i="4"/>
  <c r="D7" i="4" s="1"/>
  <c r="E6" i="4"/>
  <c r="E7" i="4" s="1"/>
  <c r="F6" i="4"/>
  <c r="F7" i="4" s="1"/>
  <c r="I6" i="4"/>
  <c r="I7" i="4" s="1"/>
  <c r="J6" i="4"/>
  <c r="B7" i="4"/>
  <c r="J7" i="4"/>
  <c r="C13" i="4"/>
  <c r="C31" i="4"/>
  <c r="D31" i="4"/>
  <c r="E31" i="4"/>
  <c r="F31" i="4"/>
  <c r="G31" i="4"/>
  <c r="H31" i="4"/>
  <c r="I31" i="4"/>
  <c r="J31" i="4"/>
  <c r="K31" i="4"/>
  <c r="B33" i="4"/>
  <c r="C40" i="4" s="1"/>
  <c r="C33" i="4"/>
  <c r="D33" i="4"/>
  <c r="E33" i="4"/>
  <c r="E53" i="4" s="1"/>
  <c r="F33" i="4"/>
  <c r="F53" i="4" s="1"/>
  <c r="G33" i="4"/>
  <c r="G53" i="4" s="1"/>
  <c r="G54" i="4" s="1"/>
  <c r="H33" i="4"/>
  <c r="I33" i="4"/>
  <c r="J33" i="4"/>
  <c r="J34" i="4" s="1"/>
  <c r="K33" i="4"/>
  <c r="B34" i="4"/>
  <c r="F34" i="4" s="1"/>
  <c r="C34" i="4"/>
  <c r="D34" i="4"/>
  <c r="H34" i="4"/>
  <c r="I34" i="4"/>
  <c r="K34" i="4"/>
  <c r="P40" i="4"/>
  <c r="P45" i="4"/>
  <c r="P48" i="4" s="1"/>
  <c r="P47" i="4"/>
  <c r="B53" i="4"/>
  <c r="B56" i="4" s="1"/>
  <c r="C53" i="4"/>
  <c r="C56" i="4" s="1"/>
  <c r="C57" i="4" s="1"/>
  <c r="D53" i="4"/>
  <c r="H53" i="4"/>
  <c r="H54" i="4" s="1"/>
  <c r="I53" i="4"/>
  <c r="J53" i="4"/>
  <c r="K53" i="4"/>
  <c r="K56" i="4" s="1"/>
  <c r="K57" i="4" s="1"/>
  <c r="C54" i="4"/>
  <c r="I54" i="4"/>
  <c r="K54" i="4"/>
  <c r="G56" i="4"/>
  <c r="G57" i="4" s="1"/>
  <c r="H56" i="4"/>
  <c r="I56" i="4"/>
  <c r="I57" i="4" s="1"/>
  <c r="H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4" i="4"/>
  <c r="D76" i="4"/>
  <c r="D5" i="5"/>
  <c r="I12" i="5"/>
  <c r="C30" i="5"/>
  <c r="E22" i="6"/>
  <c r="I31" i="3" l="1"/>
  <c r="E4" i="3"/>
  <c r="I4" i="3" s="1"/>
  <c r="I15" i="5"/>
  <c r="M10" i="5"/>
  <c r="C17" i="4"/>
  <c r="C21" i="4"/>
  <c r="C25" i="4"/>
  <c r="D13" i="4"/>
  <c r="C18" i="4"/>
  <c r="C22" i="4"/>
  <c r="F56" i="4"/>
  <c r="F57" i="4" s="1"/>
  <c r="F54" i="4"/>
  <c r="C19" i="4"/>
  <c r="E16" i="3"/>
  <c r="C23" i="4"/>
  <c r="J54" i="4"/>
  <c r="J56" i="4"/>
  <c r="J57" i="4" s="1"/>
  <c r="C42" i="4"/>
  <c r="C44" i="4"/>
  <c r="C45" i="4"/>
  <c r="C41" i="4"/>
  <c r="E10" i="2"/>
  <c r="E12" i="2" s="1"/>
  <c r="E14" i="2" s="1"/>
  <c r="G10" i="2"/>
  <c r="G12" i="2" s="1"/>
  <c r="G14" i="2" s="1"/>
  <c r="H10" i="2"/>
  <c r="H12" i="2" s="1"/>
  <c r="H14" i="2" s="1"/>
  <c r="C16" i="4"/>
  <c r="D54" i="4"/>
  <c r="D56" i="4"/>
  <c r="D57" i="4" s="1"/>
  <c r="E34" i="4"/>
  <c r="C20" i="4"/>
  <c r="I7" i="3"/>
  <c r="D72" i="4"/>
  <c r="I6" i="5" s="1"/>
  <c r="E56" i="4"/>
  <c r="E57" i="4" s="1"/>
  <c r="E54" i="4"/>
  <c r="C24" i="4"/>
  <c r="D40" i="4"/>
  <c r="F10" i="2"/>
  <c r="F12" i="2" s="1"/>
  <c r="G34" i="4"/>
  <c r="H6" i="4"/>
  <c r="H7" i="4" s="1"/>
  <c r="G6" i="4"/>
  <c r="G7" i="4" s="1"/>
  <c r="N323" i="8"/>
  <c r="N250" i="8"/>
  <c r="M95" i="1"/>
  <c r="M97" i="1"/>
  <c r="K35" i="1"/>
  <c r="N339" i="8"/>
  <c r="N275" i="8"/>
  <c r="J97" i="1"/>
  <c r="J95" i="1"/>
  <c r="K6" i="4"/>
  <c r="K7" i="4" s="1"/>
  <c r="I19" i="3"/>
  <c r="N291" i="8"/>
  <c r="D101" i="1"/>
  <c r="I98" i="1"/>
  <c r="I101" i="1" s="1"/>
  <c r="D103" i="1"/>
  <c r="D104" i="1" s="1"/>
  <c r="E92" i="1"/>
  <c r="D93" i="1"/>
  <c r="K70" i="1"/>
  <c r="K81" i="1" s="1"/>
  <c r="K92" i="1" s="1"/>
  <c r="F81" i="1"/>
  <c r="F92" i="1" s="1"/>
  <c r="I86" i="1"/>
  <c r="I70" i="1"/>
  <c r="I81" i="1" s="1"/>
  <c r="I92" i="1" s="1"/>
  <c r="K61" i="1"/>
  <c r="L95" i="1"/>
  <c r="B12" i="2" l="1"/>
  <c r="F14" i="2"/>
  <c r="D6" i="5"/>
  <c r="I103" i="1"/>
  <c r="I104" i="1" s="1"/>
  <c r="J92" i="1"/>
  <c r="I93" i="1"/>
  <c r="L92" i="1"/>
  <c r="M92" i="1"/>
  <c r="K103" i="1"/>
  <c r="K104" i="1" s="1"/>
  <c r="K93" i="1"/>
  <c r="F103" i="1"/>
  <c r="F104" i="1" s="1"/>
  <c r="F93" i="1"/>
  <c r="G92" i="1"/>
  <c r="D42" i="4"/>
  <c r="E40" i="4"/>
  <c r="D45" i="4"/>
  <c r="D41" i="4"/>
  <c r="D43" i="4"/>
  <c r="D44" i="4"/>
  <c r="K19" i="3"/>
  <c r="K4" i="3"/>
  <c r="E96" i="1"/>
  <c r="E94" i="1"/>
  <c r="I16" i="5"/>
  <c r="I11" i="5"/>
  <c r="I13" i="5"/>
  <c r="I10" i="5"/>
  <c r="I7" i="5"/>
  <c r="F7" i="8" s="1"/>
  <c r="I34" i="3"/>
  <c r="D17" i="4"/>
  <c r="D21" i="4"/>
  <c r="D25" i="4"/>
  <c r="D16" i="4"/>
  <c r="D20" i="4"/>
  <c r="D24" i="4"/>
  <c r="D19" i="4"/>
  <c r="I13" i="3" s="1"/>
  <c r="K13" i="3" s="1"/>
  <c r="D23" i="4"/>
  <c r="E13" i="4"/>
  <c r="D18" i="4"/>
  <c r="D22" i="4"/>
  <c r="K7" i="3"/>
  <c r="E7" i="3"/>
  <c r="K31" i="3"/>
  <c r="F13" i="4" l="1"/>
  <c r="E18" i="4"/>
  <c r="E22" i="4"/>
  <c r="E19" i="4"/>
  <c r="E23" i="4"/>
  <c r="E17" i="4"/>
  <c r="E24" i="4"/>
  <c r="E25" i="4"/>
  <c r="E20" i="4"/>
  <c r="E21" i="4"/>
  <c r="E16" i="4"/>
  <c r="M96" i="1"/>
  <c r="M94" i="1"/>
  <c r="E41" i="4"/>
  <c r="E43" i="4"/>
  <c r="E44" i="4"/>
  <c r="F40" i="4"/>
  <c r="E45" i="4"/>
  <c r="E42" i="4"/>
  <c r="L94" i="1"/>
  <c r="L96" i="1"/>
  <c r="K34" i="3"/>
  <c r="G94" i="1"/>
  <c r="G96" i="1"/>
  <c r="J94" i="1"/>
  <c r="J96" i="1"/>
  <c r="R12" i="8"/>
  <c r="R13" i="8"/>
  <c r="R17" i="8"/>
  <c r="R21" i="8"/>
  <c r="R25" i="8"/>
  <c r="R11" i="8"/>
  <c r="R10" i="8"/>
  <c r="R9" i="8"/>
  <c r="R16" i="8"/>
  <c r="R20" i="8"/>
  <c r="R24" i="8"/>
  <c r="R19" i="8"/>
  <c r="R26" i="8"/>
  <c r="R23" i="8"/>
  <c r="R27" i="8"/>
  <c r="R22" i="8"/>
  <c r="R15" i="8"/>
  <c r="I17" i="5"/>
  <c r="R18" i="8"/>
  <c r="R14" i="8"/>
  <c r="D7" i="5"/>
  <c r="B14" i="2"/>
  <c r="F15" i="8"/>
  <c r="F19" i="8"/>
  <c r="F23" i="8"/>
  <c r="F27" i="8"/>
  <c r="F16" i="8"/>
  <c r="F20" i="8"/>
  <c r="F24" i="8"/>
  <c r="F28" i="8"/>
  <c r="F13" i="8"/>
  <c r="F17" i="8"/>
  <c r="F21" i="8"/>
  <c r="F25" i="8"/>
  <c r="F14" i="8"/>
  <c r="F18" i="8"/>
  <c r="F22" i="8"/>
  <c r="F26" i="8"/>
  <c r="K10" i="3"/>
  <c r="K28" i="3"/>
  <c r="K16" i="3"/>
  <c r="K22" i="3"/>
  <c r="F45" i="4" l="1"/>
  <c r="F41" i="4"/>
  <c r="I25" i="3" s="1"/>
  <c r="F42" i="4"/>
  <c r="F44" i="4"/>
  <c r="G40" i="4"/>
  <c r="F43" i="4"/>
  <c r="F19" i="4"/>
  <c r="F23" i="4"/>
  <c r="G13" i="4"/>
  <c r="F18" i="4"/>
  <c r="F22" i="4"/>
  <c r="F17" i="4"/>
  <c r="F21" i="4"/>
  <c r="F25" i="4"/>
  <c r="F16" i="4"/>
  <c r="F20" i="4"/>
  <c r="F24" i="4"/>
  <c r="K25" i="3" l="1"/>
  <c r="K37" i="3" s="1"/>
  <c r="I37" i="3"/>
  <c r="G19" i="4"/>
  <c r="G23" i="4"/>
  <c r="H13" i="4"/>
  <c r="G16" i="4"/>
  <c r="G20" i="4"/>
  <c r="G24" i="4"/>
  <c r="G22" i="4"/>
  <c r="G17" i="4"/>
  <c r="G18" i="4"/>
  <c r="G25" i="4"/>
  <c r="G21" i="4"/>
  <c r="G44" i="4"/>
  <c r="H40" i="4"/>
  <c r="G45" i="4"/>
  <c r="G43" i="4"/>
  <c r="G41" i="4"/>
  <c r="G42" i="4"/>
  <c r="H16" i="4" l="1"/>
  <c r="H20" i="4"/>
  <c r="H19" i="4"/>
  <c r="H23" i="4"/>
  <c r="H18" i="4"/>
  <c r="H22" i="4"/>
  <c r="H17" i="4"/>
  <c r="H21" i="4"/>
  <c r="H25" i="4"/>
  <c r="H24" i="4"/>
  <c r="H44" i="4"/>
  <c r="I40" i="4"/>
  <c r="H41" i="4"/>
  <c r="H42" i="4"/>
  <c r="H43" i="4"/>
  <c r="H45" i="4"/>
  <c r="I39" i="3"/>
  <c r="D10" i="5"/>
  <c r="D12" i="5" s="1"/>
  <c r="D14" i="5" s="1"/>
  <c r="D15" i="5" s="1"/>
  <c r="I44" i="4" l="1"/>
  <c r="I45" i="4"/>
  <c r="I42" i="4"/>
  <c r="I43" i="4"/>
  <c r="J40" i="4"/>
  <c r="I41" i="4"/>
  <c r="D19" i="5"/>
  <c r="S8" i="8" s="1"/>
  <c r="R28" i="8"/>
  <c r="J42" i="4" l="1"/>
  <c r="J43" i="4"/>
  <c r="K40" i="4"/>
  <c r="J41" i="4"/>
  <c r="J44" i="4"/>
  <c r="J45" i="4"/>
  <c r="D20" i="5"/>
  <c r="K42" i="4" l="1"/>
  <c r="K43" i="4"/>
  <c r="K44" i="4"/>
  <c r="K45" i="4"/>
  <c r="K41" i="4"/>
  <c r="L40" i="4"/>
  <c r="L10" i="8"/>
  <c r="M14" i="8"/>
  <c r="M18" i="8"/>
  <c r="M22" i="8"/>
  <c r="M26" i="8"/>
  <c r="M30" i="8"/>
  <c r="M34" i="8"/>
  <c r="M38" i="8"/>
  <c r="L40" i="8"/>
  <c r="M45" i="8"/>
  <c r="L48" i="8"/>
  <c r="M53" i="8"/>
  <c r="L56" i="8"/>
  <c r="M61" i="8"/>
  <c r="L64" i="8"/>
  <c r="M69" i="8"/>
  <c r="L72" i="8"/>
  <c r="M77" i="8"/>
  <c r="L80" i="8"/>
  <c r="M85" i="8"/>
  <c r="L88" i="8"/>
  <c r="M93" i="8"/>
  <c r="L96" i="8"/>
  <c r="M101" i="8"/>
  <c r="N101" i="8" s="1"/>
  <c r="L104" i="8"/>
  <c r="M109" i="8"/>
  <c r="M10" i="8"/>
  <c r="L15" i="8"/>
  <c r="L19" i="8"/>
  <c r="L23" i="8"/>
  <c r="L27" i="8"/>
  <c r="L29" i="8"/>
  <c r="L33" i="8"/>
  <c r="L37" i="8"/>
  <c r="M40" i="8"/>
  <c r="L43" i="8"/>
  <c r="M48" i="8"/>
  <c r="N48" i="8" s="1"/>
  <c r="L51" i="8"/>
  <c r="M56" i="8"/>
  <c r="N56" i="8" s="1"/>
  <c r="L59" i="8"/>
  <c r="M64" i="8"/>
  <c r="N64" i="8" s="1"/>
  <c r="L67" i="8"/>
  <c r="M72" i="8"/>
  <c r="L75" i="8"/>
  <c r="M80" i="8"/>
  <c r="N80" i="8" s="1"/>
  <c r="L83" i="8"/>
  <c r="M88" i="8"/>
  <c r="N88" i="8" s="1"/>
  <c r="L91" i="8"/>
  <c r="M96" i="8"/>
  <c r="N96" i="8" s="1"/>
  <c r="L99" i="8"/>
  <c r="M104" i="8"/>
  <c r="L9" i="8"/>
  <c r="M15" i="8"/>
  <c r="N15" i="8" s="1"/>
  <c r="M19" i="8"/>
  <c r="M23" i="8"/>
  <c r="N23" i="8" s="1"/>
  <c r="M27" i="8"/>
  <c r="N27" i="8" s="1"/>
  <c r="M29" i="8"/>
  <c r="N29" i="8" s="1"/>
  <c r="M33" i="8"/>
  <c r="M37" i="8"/>
  <c r="N37" i="8" s="1"/>
  <c r="M43" i="8"/>
  <c r="N43" i="8" s="1"/>
  <c r="L46" i="8"/>
  <c r="M51" i="8"/>
  <c r="N51" i="8" s="1"/>
  <c r="L54" i="8"/>
  <c r="M59" i="8"/>
  <c r="N59" i="8" s="1"/>
  <c r="L62" i="8"/>
  <c r="M67" i="8"/>
  <c r="N67" i="8" s="1"/>
  <c r="L70" i="8"/>
  <c r="M75" i="8"/>
  <c r="N75" i="8" s="1"/>
  <c r="L78" i="8"/>
  <c r="M83" i="8"/>
  <c r="N83" i="8" s="1"/>
  <c r="L86" i="8"/>
  <c r="M91" i="8"/>
  <c r="N91" i="8" s="1"/>
  <c r="L94" i="8"/>
  <c r="M99" i="8"/>
  <c r="N99" i="8" s="1"/>
  <c r="L102" i="8"/>
  <c r="M107" i="8"/>
  <c r="L110" i="8"/>
  <c r="L12" i="8"/>
  <c r="M16" i="8"/>
  <c r="N16" i="8" s="1"/>
  <c r="M20" i="8"/>
  <c r="N20" i="8" s="1"/>
  <c r="M24" i="8"/>
  <c r="M28" i="8"/>
  <c r="M32" i="8"/>
  <c r="L11" i="8"/>
  <c r="M13" i="8"/>
  <c r="M17" i="8"/>
  <c r="M21" i="8"/>
  <c r="N21" i="8" s="1"/>
  <c r="M25" i="8"/>
  <c r="N25" i="8" s="1"/>
  <c r="M31" i="8"/>
  <c r="N31" i="8" s="1"/>
  <c r="M35" i="8"/>
  <c r="M39" i="8"/>
  <c r="L42" i="8"/>
  <c r="M47" i="8"/>
  <c r="L50" i="8"/>
  <c r="M55" i="8"/>
  <c r="L58" i="8"/>
  <c r="M63" i="8"/>
  <c r="N63" i="8" s="1"/>
  <c r="L66" i="8"/>
  <c r="M71" i="8"/>
  <c r="L74" i="8"/>
  <c r="M79" i="8"/>
  <c r="L82" i="8"/>
  <c r="M87" i="8"/>
  <c r="N87" i="8" s="1"/>
  <c r="L90" i="8"/>
  <c r="M95" i="8"/>
  <c r="N95" i="8" s="1"/>
  <c r="L98" i="8"/>
  <c r="M103" i="8"/>
  <c r="L106" i="8"/>
  <c r="M111" i="8"/>
  <c r="L114" i="8"/>
  <c r="M119" i="8"/>
  <c r="N119" i="8" s="1"/>
  <c r="L122" i="8"/>
  <c r="M127" i="8"/>
  <c r="N127" i="8" s="1"/>
  <c r="L130" i="8"/>
  <c r="M135" i="8"/>
  <c r="L138" i="8"/>
  <c r="M143" i="8"/>
  <c r="L146" i="8"/>
  <c r="M151" i="8"/>
  <c r="L154" i="8"/>
  <c r="M11" i="8"/>
  <c r="N11" i="8" s="1"/>
  <c r="L14" i="8"/>
  <c r="L18" i="8"/>
  <c r="L22" i="8"/>
  <c r="L26" i="8"/>
  <c r="L30" i="8"/>
  <c r="L34" i="8"/>
  <c r="L13" i="8"/>
  <c r="L35" i="8"/>
  <c r="L45" i="8"/>
  <c r="M50" i="8"/>
  <c r="N50" i="8" s="1"/>
  <c r="L61" i="8"/>
  <c r="M66" i="8"/>
  <c r="N66" i="8" s="1"/>
  <c r="L77" i="8"/>
  <c r="M82" i="8"/>
  <c r="N82" i="8" s="1"/>
  <c r="L93" i="8"/>
  <c r="M98" i="8"/>
  <c r="N98" i="8" s="1"/>
  <c r="M108" i="8"/>
  <c r="M112" i="8"/>
  <c r="M115" i="8"/>
  <c r="M118" i="8"/>
  <c r="M121" i="8"/>
  <c r="M124" i="8"/>
  <c r="N124" i="8" s="1"/>
  <c r="L149" i="8"/>
  <c r="L152" i="8"/>
  <c r="L155" i="8"/>
  <c r="M160" i="8"/>
  <c r="L163" i="8"/>
  <c r="M168" i="8"/>
  <c r="L171" i="8"/>
  <c r="M176" i="8"/>
  <c r="N176" i="8" s="1"/>
  <c r="L179" i="8"/>
  <c r="M184" i="8"/>
  <c r="N184" i="8" s="1"/>
  <c r="L187" i="8"/>
  <c r="M192" i="8"/>
  <c r="L195" i="8"/>
  <c r="M200" i="8"/>
  <c r="L203" i="8"/>
  <c r="M208" i="8"/>
  <c r="N208" i="8" s="1"/>
  <c r="L211" i="8"/>
  <c r="M216" i="8"/>
  <c r="N216" i="8" s="1"/>
  <c r="L219" i="8"/>
  <c r="M224" i="8"/>
  <c r="L227" i="8"/>
  <c r="M232" i="8"/>
  <c r="L235" i="8"/>
  <c r="M240" i="8"/>
  <c r="N240" i="8" s="1"/>
  <c r="L243" i="8"/>
  <c r="M248" i="8"/>
  <c r="N248" i="8" s="1"/>
  <c r="M9" i="8"/>
  <c r="N9" i="8" s="1"/>
  <c r="L20" i="8"/>
  <c r="L41" i="8"/>
  <c r="M46" i="8"/>
  <c r="N46" i="8" s="1"/>
  <c r="L57" i="8"/>
  <c r="M62" i="8"/>
  <c r="L73" i="8"/>
  <c r="M78" i="8"/>
  <c r="N78" i="8" s="1"/>
  <c r="L89" i="8"/>
  <c r="M94" i="8"/>
  <c r="L105" i="8"/>
  <c r="L109" i="8"/>
  <c r="L125" i="8"/>
  <c r="L128" i="8"/>
  <c r="L131" i="8"/>
  <c r="L134" i="8"/>
  <c r="L137" i="8"/>
  <c r="L140" i="8"/>
  <c r="L143" i="8"/>
  <c r="M146" i="8"/>
  <c r="N146" i="8" s="1"/>
  <c r="M149" i="8"/>
  <c r="M152" i="8"/>
  <c r="M155" i="8"/>
  <c r="N155" i="8" s="1"/>
  <c r="L158" i="8"/>
  <c r="M163" i="8"/>
  <c r="N163" i="8" s="1"/>
  <c r="L166" i="8"/>
  <c r="M171" i="8"/>
  <c r="N171" i="8" s="1"/>
  <c r="L174" i="8"/>
  <c r="M179" i="8"/>
  <c r="L182" i="8"/>
  <c r="M187" i="8"/>
  <c r="N187" i="8" s="1"/>
  <c r="L190" i="8"/>
  <c r="M195" i="8"/>
  <c r="N195" i="8" s="1"/>
  <c r="L198" i="8"/>
  <c r="M203" i="8"/>
  <c r="N203" i="8" s="1"/>
  <c r="L206" i="8"/>
  <c r="M211" i="8"/>
  <c r="L214" i="8"/>
  <c r="M219" i="8"/>
  <c r="N219" i="8" s="1"/>
  <c r="L222" i="8"/>
  <c r="M227" i="8"/>
  <c r="N227" i="8" s="1"/>
  <c r="L230" i="8"/>
  <c r="M235" i="8"/>
  <c r="N235" i="8" s="1"/>
  <c r="L238" i="8"/>
  <c r="M243" i="8"/>
  <c r="L246" i="8"/>
  <c r="L17" i="8"/>
  <c r="M41" i="8"/>
  <c r="N41" i="8" s="1"/>
  <c r="L52" i="8"/>
  <c r="M57" i="8"/>
  <c r="L68" i="8"/>
  <c r="M73" i="8"/>
  <c r="L84" i="8"/>
  <c r="M89" i="8"/>
  <c r="N89" i="8" s="1"/>
  <c r="L100" i="8"/>
  <c r="M105" i="8"/>
  <c r="N105" i="8" s="1"/>
  <c r="L113" i="8"/>
  <c r="L116" i="8"/>
  <c r="L119" i="8"/>
  <c r="M122" i="8"/>
  <c r="M125" i="8"/>
  <c r="N125" i="8" s="1"/>
  <c r="M128" i="8"/>
  <c r="N128" i="8" s="1"/>
  <c r="M131" i="8"/>
  <c r="N131" i="8" s="1"/>
  <c r="M134" i="8"/>
  <c r="N134" i="8" s="1"/>
  <c r="M137" i="8"/>
  <c r="N137" i="8" s="1"/>
  <c r="M140" i="8"/>
  <c r="N140" i="8" s="1"/>
  <c r="M158" i="8"/>
  <c r="L161" i="8"/>
  <c r="M166" i="8"/>
  <c r="N166" i="8" s="1"/>
  <c r="L169" i="8"/>
  <c r="M174" i="8"/>
  <c r="N174" i="8" s="1"/>
  <c r="L177" i="8"/>
  <c r="M182" i="8"/>
  <c r="L185" i="8"/>
  <c r="M190" i="8"/>
  <c r="L193" i="8"/>
  <c r="M198" i="8"/>
  <c r="N198" i="8" s="1"/>
  <c r="L201" i="8"/>
  <c r="M206" i="8"/>
  <c r="N206" i="8" s="1"/>
  <c r="L209" i="8"/>
  <c r="M214" i="8"/>
  <c r="L217" i="8"/>
  <c r="M222" i="8"/>
  <c r="L225" i="8"/>
  <c r="M230" i="8"/>
  <c r="N230" i="8" s="1"/>
  <c r="L233" i="8"/>
  <c r="M238" i="8"/>
  <c r="N238" i="8" s="1"/>
  <c r="L241" i="8"/>
  <c r="M246" i="8"/>
  <c r="L21" i="8"/>
  <c r="L31" i="8"/>
  <c r="M36" i="8"/>
  <c r="M42" i="8"/>
  <c r="N42" i="8" s="1"/>
  <c r="L53" i="8"/>
  <c r="M58" i="8"/>
  <c r="N58" i="8" s="1"/>
  <c r="L69" i="8"/>
  <c r="M74" i="8"/>
  <c r="N74" i="8" s="1"/>
  <c r="L85" i="8"/>
  <c r="M90" i="8"/>
  <c r="L101" i="8"/>
  <c r="M106" i="8"/>
  <c r="N106" i="8" s="1"/>
  <c r="L117" i="8"/>
  <c r="L120" i="8"/>
  <c r="L123" i="8"/>
  <c r="L126" i="8"/>
  <c r="L129" i="8"/>
  <c r="L132" i="8"/>
  <c r="L135" i="8"/>
  <c r="M138" i="8"/>
  <c r="N138" i="8" s="1"/>
  <c r="M141" i="8"/>
  <c r="N141" i="8" s="1"/>
  <c r="M144" i="8"/>
  <c r="N144" i="8" s="1"/>
  <c r="M147" i="8"/>
  <c r="N147" i="8" s="1"/>
  <c r="M150" i="8"/>
  <c r="M153" i="8"/>
  <c r="M156" i="8"/>
  <c r="L159" i="8"/>
  <c r="M164" i="8"/>
  <c r="L167" i="8"/>
  <c r="M172" i="8"/>
  <c r="N172" i="8" s="1"/>
  <c r="L175" i="8"/>
  <c r="M180" i="8"/>
  <c r="L183" i="8"/>
  <c r="M188" i="8"/>
  <c r="L191" i="8"/>
  <c r="M196" i="8"/>
  <c r="L199" i="8"/>
  <c r="M204" i="8"/>
  <c r="N204" i="8" s="1"/>
  <c r="L207" i="8"/>
  <c r="M212" i="8"/>
  <c r="L215" i="8"/>
  <c r="M220" i="8"/>
  <c r="L223" i="8"/>
  <c r="M228" i="8"/>
  <c r="L231" i="8"/>
  <c r="M236" i="8"/>
  <c r="L239" i="8"/>
  <c r="M244" i="8"/>
  <c r="L247" i="8"/>
  <c r="L16" i="8"/>
  <c r="L32" i="8"/>
  <c r="L39" i="8"/>
  <c r="M44" i="8"/>
  <c r="N44" i="8" s="1"/>
  <c r="L55" i="8"/>
  <c r="M60" i="8"/>
  <c r="N60" i="8" s="1"/>
  <c r="L71" i="8"/>
  <c r="M76" i="8"/>
  <c r="L87" i="8"/>
  <c r="M92" i="8"/>
  <c r="N92" i="8" s="1"/>
  <c r="L103" i="8"/>
  <c r="L108" i="8"/>
  <c r="L112" i="8"/>
  <c r="L115" i="8"/>
  <c r="L118" i="8"/>
  <c r="L121" i="8"/>
  <c r="L124" i="8"/>
  <c r="L127" i="8"/>
  <c r="M130" i="8"/>
  <c r="N130" i="8" s="1"/>
  <c r="M133" i="8"/>
  <c r="M136" i="8"/>
  <c r="N136" i="8" s="1"/>
  <c r="M139" i="8"/>
  <c r="N139" i="8" s="1"/>
  <c r="M142" i="8"/>
  <c r="M145" i="8"/>
  <c r="M148" i="8"/>
  <c r="N148" i="8" s="1"/>
  <c r="M157" i="8"/>
  <c r="L160" i="8"/>
  <c r="M165" i="8"/>
  <c r="L168" i="8"/>
  <c r="M173" i="8"/>
  <c r="L176" i="8"/>
  <c r="M181" i="8"/>
  <c r="L184" i="8"/>
  <c r="M189" i="8"/>
  <c r="N189" i="8" s="1"/>
  <c r="L192" i="8"/>
  <c r="M197" i="8"/>
  <c r="L200" i="8"/>
  <c r="M205" i="8"/>
  <c r="N205" i="8" s="1"/>
  <c r="L208" i="8"/>
  <c r="M213" i="8"/>
  <c r="L216" i="8"/>
  <c r="M221" i="8"/>
  <c r="L224" i="8"/>
  <c r="M229" i="8"/>
  <c r="N229" i="8" s="1"/>
  <c r="L232" i="8"/>
  <c r="M237" i="8"/>
  <c r="N237" i="8" s="1"/>
  <c r="L240" i="8"/>
  <c r="M245" i="8"/>
  <c r="L248" i="8"/>
  <c r="L44" i="8"/>
  <c r="M102" i="8"/>
  <c r="N102" i="8" s="1"/>
  <c r="M113" i="8"/>
  <c r="N113" i="8" s="1"/>
  <c r="M129" i="8"/>
  <c r="N129" i="8" s="1"/>
  <c r="L145" i="8"/>
  <c r="M161" i="8"/>
  <c r="N161" i="8" s="1"/>
  <c r="M175" i="8"/>
  <c r="L189" i="8"/>
  <c r="L204" i="8"/>
  <c r="M210" i="8"/>
  <c r="N210" i="8" s="1"/>
  <c r="L218" i="8"/>
  <c r="M225" i="8"/>
  <c r="N225" i="8" s="1"/>
  <c r="M239" i="8"/>
  <c r="N239" i="8" s="1"/>
  <c r="M116" i="8"/>
  <c r="N116" i="8" s="1"/>
  <c r="L148" i="8"/>
  <c r="L178" i="8"/>
  <c r="L228" i="8"/>
  <c r="L25" i="8"/>
  <c r="L47" i="8"/>
  <c r="L60" i="8"/>
  <c r="M114" i="8"/>
  <c r="N114" i="8" s="1"/>
  <c r="L147" i="8"/>
  <c r="M154" i="8"/>
  <c r="L162" i="8"/>
  <c r="M169" i="8"/>
  <c r="M183" i="8"/>
  <c r="N183" i="8" s="1"/>
  <c r="L197" i="8"/>
  <c r="L212" i="8"/>
  <c r="M218" i="8"/>
  <c r="N218" i="8" s="1"/>
  <c r="L226" i="8"/>
  <c r="M233" i="8"/>
  <c r="M247" i="8"/>
  <c r="N247" i="8" s="1"/>
  <c r="L107" i="8"/>
  <c r="L164" i="8"/>
  <c r="M199" i="8"/>
  <c r="N199" i="8" s="1"/>
  <c r="L242" i="8"/>
  <c r="L38" i="8"/>
  <c r="L49" i="8"/>
  <c r="L63" i="8"/>
  <c r="L76" i="8"/>
  <c r="M123" i="8"/>
  <c r="L139" i="8"/>
  <c r="L156" i="8"/>
  <c r="M162" i="8"/>
  <c r="N162" i="8" s="1"/>
  <c r="L170" i="8"/>
  <c r="M177" i="8"/>
  <c r="M191" i="8"/>
  <c r="L205" i="8"/>
  <c r="L220" i="8"/>
  <c r="M226" i="8"/>
  <c r="N226" i="8" s="1"/>
  <c r="L234" i="8"/>
  <c r="M241" i="8"/>
  <c r="L28" i="8"/>
  <c r="M49" i="8"/>
  <c r="N49" i="8" s="1"/>
  <c r="L79" i="8"/>
  <c r="L92" i="8"/>
  <c r="L141" i="8"/>
  <c r="M170" i="8"/>
  <c r="L213" i="8"/>
  <c r="M12" i="8"/>
  <c r="N12" i="8" s="1"/>
  <c r="L36" i="8"/>
  <c r="M52" i="8"/>
  <c r="N52" i="8" s="1"/>
  <c r="M65" i="8"/>
  <c r="L81" i="8"/>
  <c r="L95" i="8"/>
  <c r="M117" i="8"/>
  <c r="L133" i="8"/>
  <c r="L150" i="8"/>
  <c r="L157" i="8"/>
  <c r="L172" i="8"/>
  <c r="M178" i="8"/>
  <c r="L186" i="8"/>
  <c r="M193" i="8"/>
  <c r="N193" i="8" s="1"/>
  <c r="M207" i="8"/>
  <c r="L221" i="8"/>
  <c r="L236" i="8"/>
  <c r="M242" i="8"/>
  <c r="N242" i="8" s="1"/>
  <c r="D23" i="5"/>
  <c r="D24" i="5" s="1"/>
  <c r="M54" i="8"/>
  <c r="M68" i="8"/>
  <c r="N68" i="8" s="1"/>
  <c r="M81" i="8"/>
  <c r="N81" i="8" s="1"/>
  <c r="L97" i="8"/>
  <c r="M110" i="8"/>
  <c r="N110" i="8" s="1"/>
  <c r="M126" i="8"/>
  <c r="N126" i="8" s="1"/>
  <c r="L142" i="8"/>
  <c r="M70" i="8"/>
  <c r="N70" i="8" s="1"/>
  <c r="M84" i="8"/>
  <c r="N84" i="8" s="1"/>
  <c r="M97" i="8"/>
  <c r="L111" i="8"/>
  <c r="L144" i="8"/>
  <c r="L151" i="8"/>
  <c r="M159" i="8"/>
  <c r="N159" i="8" s="1"/>
  <c r="L173" i="8"/>
  <c r="L188" i="8"/>
  <c r="M194" i="8"/>
  <c r="L202" i="8"/>
  <c r="M209" i="8"/>
  <c r="M223" i="8"/>
  <c r="N223" i="8" s="1"/>
  <c r="L237" i="8"/>
  <c r="M132" i="8"/>
  <c r="N132" i="8" s="1"/>
  <c r="L24" i="8"/>
  <c r="M86" i="8"/>
  <c r="M100" i="8"/>
  <c r="M120" i="8"/>
  <c r="L136" i="8"/>
  <c r="L153" i="8"/>
  <c r="M167" i="8"/>
  <c r="N167" i="8" s="1"/>
  <c r="L181" i="8"/>
  <c r="L196" i="8"/>
  <c r="M202" i="8"/>
  <c r="N202" i="8" s="1"/>
  <c r="L210" i="8"/>
  <c r="M217" i="8"/>
  <c r="N217" i="8" s="1"/>
  <c r="M231" i="8"/>
  <c r="L245" i="8"/>
  <c r="L65" i="8"/>
  <c r="M185" i="8"/>
  <c r="N185" i="8" s="1"/>
  <c r="M234" i="8"/>
  <c r="N234" i="8" s="1"/>
  <c r="M201" i="8"/>
  <c r="M215" i="8"/>
  <c r="N215" i="8" s="1"/>
  <c r="L229" i="8"/>
  <c r="L180" i="8"/>
  <c r="M186" i="8"/>
  <c r="N186" i="8" s="1"/>
  <c r="L244" i="8"/>
  <c r="L165" i="8"/>
  <c r="L194" i="8"/>
  <c r="N173" i="8" l="1"/>
  <c r="N236" i="8"/>
  <c r="N133" i="8"/>
  <c r="N201" i="8"/>
  <c r="N86" i="8"/>
  <c r="Q13" i="8"/>
  <c r="S13" i="8" s="1"/>
  <c r="D16" i="8"/>
  <c r="E16" i="8" s="1"/>
  <c r="Q17" i="8"/>
  <c r="S17" i="8" s="1"/>
  <c r="D20" i="8"/>
  <c r="E20" i="8" s="1"/>
  <c r="Q21" i="8"/>
  <c r="S21" i="8" s="1"/>
  <c r="D24" i="8"/>
  <c r="E24" i="8" s="1"/>
  <c r="Q25" i="8"/>
  <c r="S25" i="8" s="1"/>
  <c r="D28" i="8"/>
  <c r="E28" i="8" s="1"/>
  <c r="Q11" i="8"/>
  <c r="S11" i="8" s="1"/>
  <c r="D13" i="8"/>
  <c r="E13" i="8" s="1"/>
  <c r="Q14" i="8"/>
  <c r="S14" i="8" s="1"/>
  <c r="D17" i="8"/>
  <c r="E17" i="8" s="1"/>
  <c r="Q18" i="8"/>
  <c r="S18" i="8" s="1"/>
  <c r="D21" i="8"/>
  <c r="E21" i="8" s="1"/>
  <c r="Q22" i="8"/>
  <c r="S22" i="8" s="1"/>
  <c r="D25" i="8"/>
  <c r="E25" i="8" s="1"/>
  <c r="Q26" i="8"/>
  <c r="S26" i="8" s="1"/>
  <c r="D14" i="8"/>
  <c r="E14" i="8" s="1"/>
  <c r="Q15" i="8"/>
  <c r="S15" i="8" s="1"/>
  <c r="D18" i="8"/>
  <c r="E18" i="8" s="1"/>
  <c r="Q19" i="8"/>
  <c r="S19" i="8" s="1"/>
  <c r="D22" i="8"/>
  <c r="E22" i="8" s="1"/>
  <c r="Q23" i="8"/>
  <c r="S23" i="8" s="1"/>
  <c r="D26" i="8"/>
  <c r="E26" i="8" s="1"/>
  <c r="Q27" i="8"/>
  <c r="S27" i="8" s="1"/>
  <c r="D15" i="8"/>
  <c r="E15" i="8" s="1"/>
  <c r="Q16" i="8"/>
  <c r="S16" i="8" s="1"/>
  <c r="D19" i="8"/>
  <c r="E19" i="8" s="1"/>
  <c r="Q20" i="8"/>
  <c r="S20" i="8" s="1"/>
  <c r="D23" i="8"/>
  <c r="E23" i="8" s="1"/>
  <c r="Q24" i="8"/>
  <c r="S24" i="8" s="1"/>
  <c r="D27" i="8"/>
  <c r="E27" i="8" s="1"/>
  <c r="Q28" i="8"/>
  <c r="S28" i="8" s="1"/>
  <c r="Q12" i="8"/>
  <c r="S12" i="8" s="1"/>
  <c r="Q9" i="8"/>
  <c r="S9" i="8" s="1"/>
  <c r="Q10" i="8"/>
  <c r="S10" i="8" s="1"/>
  <c r="D27" i="5"/>
  <c r="N177" i="8"/>
  <c r="N142" i="8"/>
  <c r="N244" i="8"/>
  <c r="N212" i="8"/>
  <c r="N180" i="8"/>
  <c r="N150" i="8"/>
  <c r="N246" i="8"/>
  <c r="N214" i="8"/>
  <c r="N182" i="8"/>
  <c r="N108" i="8"/>
  <c r="N35" i="8"/>
  <c r="N28" i="8"/>
  <c r="N33" i="8"/>
  <c r="N109" i="8"/>
  <c r="N77" i="8"/>
  <c r="N45" i="8"/>
  <c r="N14" i="8"/>
  <c r="N197" i="8"/>
  <c r="N55" i="8"/>
  <c r="N207" i="8"/>
  <c r="N117" i="8"/>
  <c r="N170" i="8"/>
  <c r="N228" i="8"/>
  <c r="N196" i="8"/>
  <c r="N164" i="8"/>
  <c r="N243" i="8"/>
  <c r="N211" i="8"/>
  <c r="N179" i="8"/>
  <c r="N149" i="8"/>
  <c r="N121" i="8"/>
  <c r="N17" i="8"/>
  <c r="N19" i="8"/>
  <c r="N93" i="8"/>
  <c r="N61" i="8"/>
  <c r="N30" i="8"/>
  <c r="N241" i="8"/>
  <c r="N38" i="8"/>
  <c r="N34" i="8"/>
  <c r="N231" i="8"/>
  <c r="N36" i="8"/>
  <c r="N122" i="8"/>
  <c r="N73" i="8"/>
  <c r="N232" i="8"/>
  <c r="N200" i="8"/>
  <c r="N168" i="8"/>
  <c r="N118" i="8"/>
  <c r="N143" i="8"/>
  <c r="N111" i="8"/>
  <c r="N79" i="8"/>
  <c r="N47" i="8"/>
  <c r="N13" i="8"/>
  <c r="N26" i="8"/>
  <c r="L42" i="4"/>
  <c r="L45" i="4"/>
  <c r="L41" i="4"/>
  <c r="L44" i="4"/>
  <c r="L43" i="4"/>
  <c r="N169" i="8"/>
  <c r="N157" i="8"/>
  <c r="N120" i="8"/>
  <c r="N220" i="8"/>
  <c r="N188" i="8"/>
  <c r="N156" i="8"/>
  <c r="N90" i="8"/>
  <c r="N222" i="8"/>
  <c r="N190" i="8"/>
  <c r="N158" i="8"/>
  <c r="N115" i="8"/>
  <c r="N107" i="8"/>
  <c r="N85" i="8"/>
  <c r="N53" i="8"/>
  <c r="N22" i="8"/>
  <c r="N24" i="8"/>
  <c r="N69" i="8"/>
  <c r="N165" i="8"/>
  <c r="N152" i="8"/>
  <c r="N62" i="8"/>
  <c r="N151" i="8"/>
  <c r="N209" i="8"/>
  <c r="N123" i="8"/>
  <c r="N221" i="8"/>
  <c r="N97" i="8"/>
  <c r="N100" i="8"/>
  <c r="N194" i="8"/>
  <c r="N54" i="8"/>
  <c r="N178" i="8"/>
  <c r="N65" i="8"/>
  <c r="N191" i="8"/>
  <c r="N233" i="8"/>
  <c r="N154" i="8"/>
  <c r="N175" i="8"/>
  <c r="N245" i="8"/>
  <c r="N213" i="8"/>
  <c r="N181" i="8"/>
  <c r="N145" i="8"/>
  <c r="N76" i="8"/>
  <c r="N153" i="8"/>
  <c r="N57" i="8"/>
  <c r="N94" i="8"/>
  <c r="N224" i="8"/>
  <c r="N192" i="8"/>
  <c r="N160" i="8"/>
  <c r="N112" i="8"/>
  <c r="N135" i="8"/>
  <c r="N103" i="8"/>
  <c r="N71" i="8"/>
  <c r="N39" i="8"/>
  <c r="N32" i="8"/>
  <c r="N104" i="8"/>
  <c r="N72" i="8"/>
  <c r="N40" i="8"/>
  <c r="N10" i="8"/>
  <c r="N18" i="8"/>
  <c r="D30" i="5" l="1"/>
  <c r="S6" i="8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<sst xmlns="http://schemas.openxmlformats.org/spreadsheetml/2006/main" count="508" uniqueCount="357">
  <si>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</si>
  <si>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</si>
  <si>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</si>
  <si>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</si>
  <si>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</si>
  <si>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</si>
  <si>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</si>
  <si>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</si>
  <si>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</si>
  <si>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</si>
  <si>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</si>
  <si>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</si>
  <si>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</si>
  <si>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</si>
  <si>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</si>
  <si>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</si>
  <si>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</si>
  <si>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</si>
  <si>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</si>
  <si>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</si>
  <si>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</si>
  <si>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</si>
  <si>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</si>
  <si>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</si>
  <si>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</si>
  <si>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</si>
  <si>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</si>
  <si>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</si>
  <si>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</si>
  <si>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</si>
  <si>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</si>
  <si>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</si>
  <si>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</si>
  <si>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</si>
  <si>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</si>
  <si>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</si>
  <si>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</si>
  <si>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</si>
  <si>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</si>
  <si>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</si>
  <si>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</si>
  <si>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</si>
  <si>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</si>
  <si>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</si>
  <si>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</si>
  <si>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</si>
  <si>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</si>
  <si>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</si>
  <si>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</si>
  <si>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</si>
  <si>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</si>
  <si>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</si>
  <si>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</si>
  <si>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</si>
  <si>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</si>
  <si>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</si>
  <si>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</si>
  <si>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</si>
  <si>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</si>
  <si>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</si>
  <si>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</si>
  <si>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</si>
  <si>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</si>
  <si>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</si>
  <si>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</si>
  <si>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</si>
  <si>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</si>
  <si>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</si>
  <si>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</si>
  <si>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</si>
  <si>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</si>
  <si>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</si>
  <si>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</si>
  <si>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</si>
  <si>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</si>
  <si>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</si>
  <si>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</si>
  <si>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</si>
  <si>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</si>
  <si>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</si>
  <si>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</si>
  <si>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</si>
  <si>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</si>
  <si>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</si>
  <si>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</si>
  <si>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</si>
  <si>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</si>
  <si>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</si>
  <si>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</si>
  <si>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</si>
  <si>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</si>
  <si>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</si>
  <si>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</si>
  <si>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</si>
  <si>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</si>
  <si>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</si>
  <si>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</si>
  <si>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</si>
  <si>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</si>
  <si>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</si>
  <si>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</si>
  <si>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</si>
  <si>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</si>
  <si>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</si>
  <si>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</si>
  <si>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</si>
  <si>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</si>
  <si>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</si>
  <si>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</si>
  <si>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</si>
  <si>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</si>
  <si>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</si>
  <si>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</si>
  <si>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</si>
  <si>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</si>
  <si>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</si>
  <si>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</si>
  <si>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</si>
  <si>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</si>
  <si>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</si>
  <si>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</si>
  <si>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</si>
  <si>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</si>
  <si>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</si>
  <si>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</si>
  <si>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</si>
  <si>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</si>
  <si>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</si>
  <si>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</si>
  <si>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</si>
  <si>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</si>
  <si>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</si>
  <si>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</si>
  <si>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</si>
  <si>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</si>
  <si>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</si>
  <si>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</si>
  <si>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</si>
  <si>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</si>
  <si>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</si>
  <si>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</si>
  <si>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</si>
  <si>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</si>
  <si>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</si>
  <si>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</si>
  <si>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</si>
  <si>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</si>
  <si>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</si>
  <si>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</si>
  <si>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</si>
  <si>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</si>
  <si>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</si>
  <si>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</si>
  <si>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</si>
  <si>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</si>
  <si>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</si>
  <si>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</si>
  <si>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</si>
  <si>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</si>
  <si>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</si>
  <si>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</si>
  <si>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</si>
  <si>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</si>
  <si>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</si>
  <si>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</si>
  <si>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</si>
  <si>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</si>
  <si>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</si>
  <si>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</si>
  <si>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</si>
  <si>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</si>
  <si>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</si>
  <si>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</si>
  <si>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</si>
  <si>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</si>
  <si>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</si>
  <si>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</si>
  <si>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</si>
  <si>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</si>
  <si>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</si>
  <si>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</si>
  <si>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</si>
  <si>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</si>
  <si>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</si>
  <si>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</si>
  <si>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</si>
  <si>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</si>
  <si>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</si>
  <si>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</si>
  <si>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</si>
  <si>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</si>
  <si>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</si>
  <si>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</si>
  <si>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</si>
  <si>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</si>
  <si>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</si>
  <si>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</si>
  <si>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</si>
  <si>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</si>
  <si>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</si>
  <si>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</si>
  <si>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</si>
  <si>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</si>
  <si>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</si>
  <si>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</si>
  <si>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</si>
  <si>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</si>
  <si>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</si>
  <si>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</si>
  <si>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</si>
  <si>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</si>
  <si>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</si>
  <si>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</si>
  <si>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</si>
  <si>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</si>
  <si>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</si>
  <si>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</si>
  <si>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</si>
  <si>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</si>
  <si>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</si>
  <si>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</si>
  <si>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</si>
  <si>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</si>
  <si>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</si>
  <si>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</si>
  <si>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</si>
  <si>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</si>
  <si>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</si>
  <si>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</si>
  <si>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</si>
  <si>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</si>
  <si>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</si>
  <si>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</si>
  <si>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</si>
  <si>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</si>
  <si>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</si>
  <si>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</si>
  <si>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</si>
  <si>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</si>
  <si>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</si>
  <si>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</si>
  <si>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</si>
  <si>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</si>
  <si>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</si>
  <si>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</si>
  <si>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</si>
  <si>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</si>
  <si>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</si>
  <si>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</si>
  <si>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</si>
  <si>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</si>
  <si>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</si>
  <si>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</si>
  <si>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</si>
  <si>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</si>
  <si>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</si>
  <si>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</si>
  <si>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</si>
  <si>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</si>
  <si>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</si>
  <si>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</si>
  <si>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</si>
  <si>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</si>
  <si>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</si>
  <si>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</si>
  <si>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</si>
  <si>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</si>
  <si>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</si>
  <si>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</si>
  <si>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</si>
  <si>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</si>
  <si>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</si>
  <si>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</si>
  <si>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</si>
  <si>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</si>
  <si>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</si>
  <si>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</si>
  <si>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</si>
  <si>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</si>
  <si>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</si>
  <si>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</si>
  <si>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</si>
  <si>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</si>
  <si>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</si>
  <si>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</si>
  <si>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</si>
  <si>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</si>
  <si>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</si>
  <si>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</si>
  <si>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</si>
  <si>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</si>
  <si>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</si>
  <si>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</si>
  <si>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</si>
  <si>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</si>
  <si>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</si>
  <si>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</si>
  <si>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</si>
  <si>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</si>
  <si>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</si>
  <si>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</si>
  <si>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</si>
  <si>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</si>
  <si>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</si>
  <si>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</si>
  <si>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</si>
  <si>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</si>
  <si>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</si>
  <si>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</si>
  <si>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</si>
  <si>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</si>
  <si>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</si>
  <si>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</si>
  <si>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</si>
  <si>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</si>
  <si>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</si>
  <si>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</si>
  <si>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</si>
  <si>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</si>
  <si>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</si>
  <si>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</si>
  <si>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</si>
  <si>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</si>
  <si>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</si>
  <si>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</si>
  <si>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</si>
  <si>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</si>
  <si>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</si>
  <si>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</si>
  <si>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</si>
  <si>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</si>
  <si>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</si>
  <si>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</si>
  <si>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</si>
  <si>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</si>
  <si>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</si>
  <si>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</si>
  <si>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</si>
  <si>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</si>
  <si>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</si>
  <si>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</si>
  <si>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</si>
  <si>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</si>
  <si>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</si>
  <si>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</si>
  <si>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</si>
  <si>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</si>
  <si>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</si>
  <si>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</si>
  <si>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</si>
  <si>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</si>
  <si>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</si>
  <si>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</si>
  <si>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</si>
  <si>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4</t>
  </si>
  <si>
    <t>9</t>
  </si>
  <si>
    <t>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</si>
</sst>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804820546436"/>
          <c:y val="8.0884900002790056E-2"/>
          <c:w val="0.87680591140471942"/>
          <c:h val="0.72796410002511047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94.44719106867511</c:v>
                </c:pt>
                <c:pt idx="1">
                  <c:v>78.705992557229266</c:v>
                </c:pt>
                <c:pt idx="2">
                  <c:v>67.462279334767928</c:v>
                </c:pt>
                <c:pt idx="3">
                  <c:v>59.029494417921946</c:v>
                </c:pt>
                <c:pt idx="4">
                  <c:v>52.470661704819506</c:v>
                </c:pt>
                <c:pt idx="5">
                  <c:v>47.223595534337555</c:v>
                </c:pt>
                <c:pt idx="6">
                  <c:v>42.93054139485232</c:v>
                </c:pt>
                <c:pt idx="7">
                  <c:v>39.352996278614633</c:v>
                </c:pt>
                <c:pt idx="8">
                  <c:v>36.325842718721198</c:v>
                </c:pt>
                <c:pt idx="9">
                  <c:v>33.731139667383964</c:v>
                </c:pt>
                <c:pt idx="10">
                  <c:v>31.482397022891703</c:v>
                </c:pt>
                <c:pt idx="11">
                  <c:v>23.611797767168778</c:v>
                </c:pt>
                <c:pt idx="12">
                  <c:v>18.889438213735023</c:v>
                </c:pt>
                <c:pt idx="13">
                  <c:v>15.741198511445852</c:v>
                </c:pt>
                <c:pt idx="14">
                  <c:v>13.492455866953588</c:v>
                </c:pt>
                <c:pt idx="15">
                  <c:v>11.805898883584389</c:v>
                </c:pt>
              </c:numCache>
            </c:numRef>
          </c:val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23.802856024886598</c:v>
                </c:pt>
                <c:pt idx="1">
                  <c:v>23.802856024886598</c:v>
                </c:pt>
                <c:pt idx="2">
                  <c:v>23.802856024886598</c:v>
                </c:pt>
                <c:pt idx="3">
                  <c:v>23.802856024886598</c:v>
                </c:pt>
                <c:pt idx="4">
                  <c:v>23.802856024886598</c:v>
                </c:pt>
                <c:pt idx="5">
                  <c:v>23.802856024886598</c:v>
                </c:pt>
                <c:pt idx="6">
                  <c:v>23.802856024886598</c:v>
                </c:pt>
                <c:pt idx="7">
                  <c:v>23.802856024886598</c:v>
                </c:pt>
                <c:pt idx="8">
                  <c:v>23.802856024886598</c:v>
                </c:pt>
                <c:pt idx="9">
                  <c:v>23.802856024886598</c:v>
                </c:pt>
                <c:pt idx="10">
                  <c:v>23.802856024886598</c:v>
                </c:pt>
                <c:pt idx="11">
                  <c:v>23.802856024886598</c:v>
                </c:pt>
                <c:pt idx="12">
                  <c:v>23.802856024886598</c:v>
                </c:pt>
                <c:pt idx="13">
                  <c:v>23.802856024886598</c:v>
                </c:pt>
                <c:pt idx="14">
                  <c:v>23.802856024886598</c:v>
                </c:pt>
                <c:pt idx="15">
                  <c:v>23.802856024886598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59360"/>
        <c:axId val="139859920"/>
      </c:areaChart>
      <c:catAx>
        <c:axId val="1398593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5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85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59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62973244032033"/>
          <c:y val="0.20588883637073832"/>
          <c:w val="0.23934431635642342"/>
          <c:h val="0.14338686818676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11.emf"/><Relationship Id="rId7" Type="http://schemas.openxmlformats.org/officeDocument/2006/relationships/image" Target="../media/image7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Relationship Id="rId6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image" Target="../media/image4.emf"/><Relationship Id="rId4" Type="http://schemas.openxmlformats.org/officeDocument/2006/relationships/image" Target="../media/image10.emf"/><Relationship Id="rId9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9</xdr:row>
          <xdr:rowOff>19050</xdr:rowOff>
        </xdr:from>
        <xdr:to>
          <xdr:col>2</xdr:col>
          <xdr:colOff>2647950</xdr:colOff>
          <xdr:row>9</xdr:row>
          <xdr:rowOff>209550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2047875</xdr:colOff>
          <xdr:row>3</xdr:row>
          <xdr:rowOff>19050</xdr:rowOff>
        </xdr:from>
        <xdr:to>
          <xdr:col>2</xdr:col>
          <xdr:colOff>2657475</xdr:colOff>
          <xdr:row>6</xdr:row>
          <xdr:rowOff>200025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23</xdr:row>
          <xdr:rowOff>9525</xdr:rowOff>
        </xdr:from>
        <xdr:to>
          <xdr:col>2</xdr:col>
          <xdr:colOff>2647950</xdr:colOff>
          <xdr:row>23</xdr:row>
          <xdr:rowOff>200025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200025</xdr:rowOff>
        </xdr:from>
        <xdr:to>
          <xdr:col>3</xdr:col>
          <xdr:colOff>66675</xdr:colOff>
          <xdr:row>3</xdr:row>
          <xdr:rowOff>209550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200025</xdr:rowOff>
        </xdr:from>
        <xdr:to>
          <xdr:col>3</xdr:col>
          <xdr:colOff>66675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209550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14</xdr:row>
          <xdr:rowOff>200025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561975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200025</xdr:rowOff>
        </xdr:from>
        <xdr:to>
          <xdr:col>2</xdr:col>
          <xdr:colOff>552450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23</xdr:row>
          <xdr:rowOff>200025</xdr:rowOff>
        </xdr:from>
        <xdr:to>
          <xdr:col>2</xdr:col>
          <xdr:colOff>561975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26</xdr:row>
          <xdr:rowOff>200025</xdr:rowOff>
        </xdr:from>
        <xdr:to>
          <xdr:col>4</xdr:col>
          <xdr:colOff>590550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32</xdr:row>
          <xdr:rowOff>190500</xdr:rowOff>
        </xdr:from>
        <xdr:to>
          <xdr:col>4</xdr:col>
          <xdr:colOff>590550</xdr:colOff>
          <xdr:row>33</xdr:row>
          <xdr:rowOff>209550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200025</xdr:rowOff>
        </xdr:from>
        <xdr:to>
          <xdr:col>2</xdr:col>
          <xdr:colOff>561975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4</xdr:row>
          <xdr:rowOff>19050</xdr:rowOff>
        </xdr:from>
        <xdr:to>
          <xdr:col>1</xdr:col>
          <xdr:colOff>1666875</xdr:colOff>
          <xdr:row>6</xdr:row>
          <xdr:rowOff>209550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29</xdr:row>
          <xdr:rowOff>180975</xdr:rowOff>
        </xdr:from>
        <xdr:to>
          <xdr:col>4</xdr:col>
          <xdr:colOff>590550</xdr:colOff>
          <xdr:row>30</xdr:row>
          <xdr:rowOff>200025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542925</xdr:colOff>
          <xdr:row>18</xdr:row>
          <xdr:rowOff>209550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0</xdr:row>
          <xdr:rowOff>152400</xdr:rowOff>
        </xdr:from>
        <xdr:to>
          <xdr:col>4</xdr:col>
          <xdr:colOff>476250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0</xdr:row>
          <xdr:rowOff>161925</xdr:rowOff>
        </xdr:from>
        <xdr:to>
          <xdr:col>5</xdr:col>
          <xdr:colOff>257175</xdr:colOff>
          <xdr:row>0</xdr:row>
          <xdr:rowOff>438150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0</xdr:rowOff>
    </xdr:from>
    <xdr:to>
      <xdr:col>5</xdr:col>
      <xdr:colOff>800100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18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15.x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2.xml"/><Relationship Id="rId25" Type="http://schemas.openxmlformats.org/officeDocument/2006/relationships/image" Target="../media/image11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1.xml"/><Relationship Id="rId20" Type="http://schemas.openxmlformats.org/officeDocument/2006/relationships/image" Target="../media/image9.emf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control" Target="../activeX/activeX17.xml"/><Relationship Id="rId5" Type="http://schemas.openxmlformats.org/officeDocument/2006/relationships/image" Target="../media/image4.emf"/><Relationship Id="rId15" Type="http://schemas.openxmlformats.org/officeDocument/2006/relationships/control" Target="../activeX/activeX10.xml"/><Relationship Id="rId23" Type="http://schemas.openxmlformats.org/officeDocument/2006/relationships/image" Target="../media/image10.emf"/><Relationship Id="rId28" Type="http://schemas.openxmlformats.org/officeDocument/2006/relationships/control" Target="../activeX/activeX19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6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abSelected="1" topLeftCell="A2" zoomScale="75" workbookViewId="0">
      <selection activeCell="D11" sqref="D11"/>
    </sheetView>
  </sheetViews>
  <sheetFormatPr defaultRowHeight="12.75" x14ac:dyDescent="0.2"/>
  <cols>
    <col min="1" max="1" width="2.42578125" customWidth="1"/>
    <col min="2" max="2" width="4" customWidth="1"/>
    <col min="3" max="3" width="41.85546875" customWidth="1"/>
    <col min="4" max="5" width="12.28515625" customWidth="1"/>
    <col min="6" max="6" width="7.140625" customWidth="1"/>
    <col min="7" max="7" width="4.5703125" customWidth="1"/>
    <col min="8" max="8" width="29.42578125" customWidth="1"/>
    <col min="9" max="9" width="10.5703125" customWidth="1"/>
    <col min="10" max="10" width="24.5703125" customWidth="1"/>
    <col min="11" max="11" width="4" customWidth="1"/>
    <col min="12" max="12" width="14.28515625" customWidth="1"/>
    <col min="13" max="13" width="7.85546875" customWidth="1"/>
    <col min="14" max="14" width="10.28515625" bestFit="1" customWidth="1"/>
    <col min="16" max="16" width="10.28515625" bestFit="1" customWidth="1"/>
    <col min="55" max="55" width="14.85546875" bestFit="1" customWidth="1"/>
  </cols>
  <sheetData>
    <row r="1" spans="2:56" ht="29.25" customHeight="1" x14ac:dyDescent="0.2">
      <c r="B1" s="120" t="s">
        <v>120</v>
      </c>
    </row>
    <row r="2" spans="2:56" ht="17.25" customHeight="1" thickBot="1" x14ac:dyDescent="0.25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25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">
      <c r="C5" s="104" t="s">
        <v>122</v>
      </c>
      <c r="D5" s="315" t="str">
        <f>IF(PROJECTCONFIGURATION!A1,"ISO","95*")</f>
        <v>95*</v>
      </c>
      <c r="E5" s="105" t="s">
        <v>345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">
      <c r="B6" s="76"/>
      <c r="C6" s="104" t="s">
        <v>124</v>
      </c>
      <c r="D6" s="96">
        <f>+IF(PROJECTCONFIGURATION!A1,'OPERATIONAL CHARACTERISTICS'!$E$12,'OPERATIONAL CHARACTERISTICS'!$F$12)*PROJECTCONFIGURATION!$B$65</f>
        <v>182.07178978263283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25">
      <c r="B7" s="76"/>
      <c r="C7" s="106" t="s">
        <v>123</v>
      </c>
      <c r="D7" s="107">
        <f>+IF(PROJECTCONFIGURATION!A1,'OPERATIONAL CHARACTERISTICS'!$E$14,'OPERATIONAL CHARACTERISTICS'!$F$14)</f>
        <v>9345.5444252589296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2.0316183478753933</v>
      </c>
      <c r="J7" s="108" t="s">
        <v>127</v>
      </c>
      <c r="K7" s="59"/>
      <c r="L7" s="59"/>
      <c r="BD7" s="59"/>
    </row>
    <row r="8" spans="2:56" ht="17.25" customHeight="1" thickBot="1" x14ac:dyDescent="0.25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25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">
      <c r="B10" s="72" t="b">
        <v>1</v>
      </c>
      <c r="C10" s="111" t="s">
        <v>96</v>
      </c>
      <c r="D10" s="112">
        <f ca="1">+PROJECTCONFIGURATION!I37</f>
        <v>101751.67786814649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702.40523813896493</v>
      </c>
      <c r="J10" s="255" t="s">
        <v>249</v>
      </c>
      <c r="K10" s="59"/>
      <c r="L10" s="258" t="s">
        <v>227</v>
      </c>
      <c r="M10" s="259">
        <f>PROJECTCONFIGURATION!$B$65^N10</f>
        <v>1.515716566510398</v>
      </c>
      <c r="N10" s="248">
        <v>0.3</v>
      </c>
    </row>
    <row r="11" spans="2:56" ht="17.25" customHeight="1" x14ac:dyDescent="0.2">
      <c r="B11" s="72"/>
      <c r="C11" s="104" t="s">
        <v>100</v>
      </c>
      <c r="D11" s="127">
        <v>6</v>
      </c>
      <c r="E11" s="114" t="s">
        <v>133</v>
      </c>
      <c r="F11" s="59"/>
      <c r="G11" s="72"/>
      <c r="H11" s="252" t="s">
        <v>250</v>
      </c>
      <c r="I11" s="250">
        <f>(125+4+22+8+13+9+31)*($M$10/1.23)</f>
        <v>261.24545699203605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">
      <c r="B12" s="72"/>
      <c r="C12" s="104" t="s">
        <v>103</v>
      </c>
      <c r="D12" s="269">
        <f ca="1">+D10*(D11/12)*D22*0.5*0.84*(1-D18)</f>
        <v>854.71409409243051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374</v>
      </c>
      <c r="J12" s="253" t="s">
        <v>249</v>
      </c>
      <c r="K12" s="59"/>
      <c r="L12" s="59"/>
      <c r="Q12" s="73"/>
    </row>
    <row r="13" spans="2:56" ht="17.25" customHeight="1" x14ac:dyDescent="0.2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97.350901426277602</v>
      </c>
      <c r="J13" s="253" t="s">
        <v>249</v>
      </c>
      <c r="K13" s="59"/>
      <c r="L13" s="59"/>
      <c r="Q13" s="73"/>
    </row>
    <row r="14" spans="2:56" ht="17.25" customHeight="1" x14ac:dyDescent="0.2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25">
      <c r="B15" s="62"/>
      <c r="C15" s="145" t="s">
        <v>166</v>
      </c>
      <c r="D15" s="116">
        <f ca="1">+D14+D12+D10</f>
        <v>102606.39196223892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25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216.88302089904883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25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0.7560591985119518</v>
      </c>
      <c r="J17" s="256" t="s">
        <v>254</v>
      </c>
      <c r="K17" s="59"/>
      <c r="L17" s="59"/>
      <c r="Q17" s="73"/>
    </row>
    <row r="18" spans="1:17" ht="17.25" customHeight="1" thickBot="1" x14ac:dyDescent="0.25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25">
      <c r="C19" s="104" t="s">
        <v>119</v>
      </c>
      <c r="D19" s="95">
        <f ca="1">+D15*D18</f>
        <v>51303.195981119461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">
      <c r="C20" s="104" t="s">
        <v>102</v>
      </c>
      <c r="D20" s="61">
        <f ca="1">+D15-D19</f>
        <v>51303.195981119461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">
      <c r="C23" s="104" t="s">
        <v>109</v>
      </c>
      <c r="D23" s="61">
        <f ca="1">-PMT($D$22/12,$D$21*12,$D$20)*12</f>
        <v>5149.4458543239243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25">
      <c r="C24" s="106" t="s">
        <v>109</v>
      </c>
      <c r="D24" s="123">
        <f ca="1">+D23/12/(IF(PROJECTCONFIGURATION!A1,'OPERATIONAL CHARACTERISTICS'!E12,'OPERATIONAL CHARACTERISTICS'!H12)*PROJECTCONFIGURATION!B65)</f>
        <v>3.1792404293495111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25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25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">
      <c r="A27" s="7"/>
      <c r="B27" s="72"/>
      <c r="C27" s="104" t="s">
        <v>206</v>
      </c>
      <c r="D27" s="203">
        <f ca="1">+D24+I17</f>
        <v>3.9352996278614629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">
      <c r="A30" s="7"/>
      <c r="B30" s="72"/>
      <c r="C30" s="104" t="str">
        <f>REPLACE("XX YEAR IRR",1,2,D21)</f>
        <v>20 YEAR IRR</v>
      </c>
      <c r="D30" s="201">
        <f ca="1">+IRR(FINANCE!S8:S38)</f>
        <v>9.4384407478364407E-2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25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">
      <c r="G43" s="59"/>
      <c r="H43" s="125"/>
      <c r="I43" s="59"/>
      <c r="J43" s="59"/>
      <c r="K43" s="59"/>
      <c r="L43" s="59"/>
    </row>
    <row r="44" spans="3:12" ht="17.25" customHeight="1" x14ac:dyDescent="0.2">
      <c r="G44" s="59"/>
      <c r="H44" s="125"/>
      <c r="I44" s="59"/>
      <c r="J44" s="59"/>
    </row>
    <row r="45" spans="3:12" ht="17.25" customHeight="1" x14ac:dyDescent="0.2">
      <c r="G45" s="59"/>
      <c r="H45" s="125"/>
    </row>
    <row r="46" spans="3:12" ht="17.25" customHeight="1" x14ac:dyDescent="0.2">
      <c r="G46" s="59"/>
      <c r="H46" s="125"/>
    </row>
    <row r="47" spans="3:12" ht="17.25" customHeight="1" x14ac:dyDescent="0.2">
      <c r="G47" s="59"/>
      <c r="H47" s="125"/>
    </row>
    <row r="48" spans="3:12" x14ac:dyDescent="0.2">
      <c r="G48" s="59"/>
      <c r="H48" s="125"/>
    </row>
    <row r="49" spans="7:8" x14ac:dyDescent="0.2">
      <c r="G49" s="59"/>
      <c r="H49" s="125"/>
    </row>
    <row r="50" spans="7:8" x14ac:dyDescent="0.2">
      <c r="G50" s="59"/>
      <c r="H50" s="125"/>
    </row>
    <row r="51" spans="7:8" x14ac:dyDescent="0.2">
      <c r="G51" s="59"/>
      <c r="H51" s="125"/>
    </row>
    <row r="52" spans="7:8" x14ac:dyDescent="0.2">
      <c r="G52" s="59"/>
      <c r="H52" s="125"/>
    </row>
    <row r="53" spans="7:8" x14ac:dyDescent="0.2">
      <c r="G53" s="59"/>
      <c r="H53" s="125"/>
    </row>
    <row r="54" spans="7:8" x14ac:dyDescent="0.2">
      <c r="G54" s="59"/>
      <c r="H54" s="125"/>
    </row>
    <row r="55" spans="7:8" x14ac:dyDescent="0.2">
      <c r="G55" s="59"/>
      <c r="H55" s="125"/>
    </row>
    <row r="56" spans="7:8" x14ac:dyDescent="0.2">
      <c r="G56" s="59"/>
      <c r="H56" s="125"/>
    </row>
    <row r="57" spans="7:8" x14ac:dyDescent="0.2">
      <c r="G57" s="59"/>
      <c r="H57" s="125"/>
    </row>
    <row r="58" spans="7:8" x14ac:dyDescent="0.2">
      <c r="G58" s="59"/>
      <c r="H58" s="125"/>
    </row>
    <row r="59" spans="7:8" x14ac:dyDescent="0.2">
      <c r="G59" s="59"/>
      <c r="H59" s="125"/>
    </row>
    <row r="60" spans="7:8" x14ac:dyDescent="0.2">
      <c r="G60" s="59"/>
      <c r="H60" s="125"/>
    </row>
    <row r="61" spans="7:8" x14ac:dyDescent="0.2">
      <c r="G61" s="59"/>
      <c r="H61" s="125"/>
    </row>
    <row r="62" spans="7:8" x14ac:dyDescent="0.2">
      <c r="G62" s="59"/>
      <c r="H62" s="125"/>
    </row>
    <row r="63" spans="7:8" x14ac:dyDescent="0.2">
      <c r="G63" s="59"/>
      <c r="H63" s="125"/>
    </row>
    <row r="64" spans="7:8" x14ac:dyDescent="0.2">
      <c r="G64" s="59"/>
      <c r="H64" s="125"/>
    </row>
    <row r="65" spans="7:8" x14ac:dyDescent="0.2">
      <c r="G65" s="59"/>
      <c r="H65" s="125"/>
    </row>
    <row r="66" spans="7:8" x14ac:dyDescent="0.2">
      <c r="G66" s="59"/>
      <c r="H66" s="125"/>
    </row>
    <row r="67" spans="7:8" x14ac:dyDescent="0.2">
      <c r="G67" s="59"/>
      <c r="H67" s="125"/>
    </row>
    <row r="68" spans="7:8" x14ac:dyDescent="0.2">
      <c r="G68" s="59"/>
      <c r="H68" s="125"/>
    </row>
    <row r="69" spans="7:8" x14ac:dyDescent="0.2">
      <c r="G69" s="59"/>
      <c r="H69" s="125"/>
    </row>
    <row r="70" spans="7:8" x14ac:dyDescent="0.2">
      <c r="G70" s="59"/>
      <c r="H70" s="125"/>
    </row>
    <row r="71" spans="7:8" x14ac:dyDescent="0.2">
      <c r="G71" s="59"/>
      <c r="H71" s="125"/>
    </row>
    <row r="72" spans="7:8" x14ac:dyDescent="0.2">
      <c r="G72" s="59"/>
      <c r="H72" s="125"/>
    </row>
    <row r="73" spans="7:8" x14ac:dyDescent="0.2">
      <c r="G73" s="59"/>
      <c r="H73" s="125"/>
    </row>
    <row r="74" spans="7:8" x14ac:dyDescent="0.2">
      <c r="G74" s="59"/>
      <c r="H74" s="125"/>
    </row>
    <row r="75" spans="7:8" x14ac:dyDescent="0.2">
      <c r="G75" s="59"/>
      <c r="H75" s="125"/>
    </row>
    <row r="76" spans="7:8" x14ac:dyDescent="0.2">
      <c r="G76" s="59"/>
      <c r="H76" s="125"/>
    </row>
    <row r="77" spans="7:8" x14ac:dyDescent="0.2">
      <c r="G77" s="59"/>
      <c r="H77" s="125"/>
    </row>
    <row r="78" spans="7:8" x14ac:dyDescent="0.2">
      <c r="G78" s="59"/>
      <c r="H78" s="125"/>
    </row>
    <row r="79" spans="7:8" x14ac:dyDescent="0.2">
      <c r="G79" s="59"/>
      <c r="H79" s="125"/>
    </row>
    <row r="80" spans="7:8" x14ac:dyDescent="0.2">
      <c r="G80" s="59"/>
      <c r="H80" s="125"/>
    </row>
    <row r="81" spans="7:8" x14ac:dyDescent="0.2">
      <c r="G81" s="59"/>
      <c r="H81" s="125"/>
    </row>
    <row r="82" spans="7:8" x14ac:dyDescent="0.2">
      <c r="G82" s="59"/>
      <c r="H82" s="125"/>
    </row>
    <row r="83" spans="7:8" x14ac:dyDescent="0.2">
      <c r="G83" s="59"/>
      <c r="H83" s="125"/>
    </row>
    <row r="84" spans="7:8" x14ac:dyDescent="0.2">
      <c r="G84" s="59"/>
      <c r="H84" s="125"/>
    </row>
    <row r="85" spans="7:8" x14ac:dyDescent="0.2">
      <c r="G85" s="59"/>
      <c r="H85" s="125"/>
    </row>
    <row r="86" spans="7:8" x14ac:dyDescent="0.2">
      <c r="G86" s="59"/>
      <c r="H86" s="125"/>
    </row>
    <row r="87" spans="7:8" x14ac:dyDescent="0.2">
      <c r="G87" s="59"/>
      <c r="H87" s="125"/>
    </row>
    <row r="88" spans="7:8" x14ac:dyDescent="0.2">
      <c r="G88" s="59"/>
      <c r="H88" s="125"/>
    </row>
    <row r="89" spans="7:8" x14ac:dyDescent="0.2">
      <c r="G89" s="59"/>
      <c r="H89" s="125"/>
    </row>
    <row r="90" spans="7:8" x14ac:dyDescent="0.2">
      <c r="G90" s="59"/>
      <c r="H90" s="125"/>
    </row>
    <row r="91" spans="7:8" x14ac:dyDescent="0.2">
      <c r="G91" s="59"/>
      <c r="H91" s="125"/>
    </row>
    <row r="92" spans="7:8" x14ac:dyDescent="0.2">
      <c r="G92" s="59"/>
      <c r="H92" s="125"/>
    </row>
    <row r="93" spans="7:8" x14ac:dyDescent="0.2">
      <c r="G93" s="59"/>
      <c r="H93" s="125"/>
    </row>
    <row r="94" spans="7:8" x14ac:dyDescent="0.2">
      <c r="G94" s="59"/>
      <c r="H94" s="125"/>
    </row>
    <row r="95" spans="7:8" x14ac:dyDescent="0.2">
      <c r="G95" s="59"/>
      <c r="H95" s="125"/>
    </row>
    <row r="96" spans="7:8" x14ac:dyDescent="0.2">
      <c r="G96" s="59"/>
      <c r="H96" s="125"/>
    </row>
    <row r="97" spans="7:8" x14ac:dyDescent="0.2">
      <c r="G97" s="59"/>
      <c r="H97" s="125"/>
    </row>
    <row r="98" spans="7:8" x14ac:dyDescent="0.2">
      <c r="G98" s="59"/>
      <c r="H98" s="125"/>
    </row>
    <row r="99" spans="7:8" x14ac:dyDescent="0.2">
      <c r="G99" s="59"/>
      <c r="H99" s="125"/>
    </row>
    <row r="100" spans="7:8" x14ac:dyDescent="0.2">
      <c r="G100" s="59"/>
      <c r="H100" s="125"/>
    </row>
    <row r="101" spans="7:8" x14ac:dyDescent="0.2">
      <c r="G101" s="59"/>
      <c r="H101" s="125"/>
    </row>
    <row r="102" spans="7:8" x14ac:dyDescent="0.2">
      <c r="G102" s="59"/>
      <c r="H102" s="125"/>
    </row>
    <row r="103" spans="7:8" x14ac:dyDescent="0.2">
      <c r="G103" s="59"/>
      <c r="H103" s="125"/>
    </row>
    <row r="104" spans="7:8" x14ac:dyDescent="0.2">
      <c r="G104" s="59"/>
      <c r="H104" s="125"/>
    </row>
    <row r="105" spans="7:8" x14ac:dyDescent="0.2">
      <c r="G105" s="59"/>
      <c r="H105" s="125"/>
    </row>
    <row r="106" spans="7:8" x14ac:dyDescent="0.2">
      <c r="G106" s="59"/>
      <c r="H106" s="125"/>
    </row>
    <row r="107" spans="7:8" x14ac:dyDescent="0.2">
      <c r="G107" s="59"/>
      <c r="H107" s="125"/>
    </row>
    <row r="108" spans="7:8" x14ac:dyDescent="0.2">
      <c r="G108" s="59"/>
      <c r="H108" s="125"/>
    </row>
    <row r="109" spans="7:8" x14ac:dyDescent="0.2">
      <c r="G109" s="59"/>
      <c r="H109" s="125"/>
    </row>
    <row r="110" spans="7:8" x14ac:dyDescent="0.2">
      <c r="G110" s="59"/>
      <c r="H110" s="125"/>
    </row>
    <row r="111" spans="7:8" x14ac:dyDescent="0.2">
      <c r="G111" s="59"/>
      <c r="H111" s="125"/>
    </row>
    <row r="112" spans="7:8" x14ac:dyDescent="0.2">
      <c r="G112" s="59"/>
      <c r="H112" s="125"/>
    </row>
    <row r="113" spans="7:8" x14ac:dyDescent="0.2">
      <c r="G113" s="59"/>
      <c r="H113" s="125"/>
    </row>
    <row r="114" spans="7:8" x14ac:dyDescent="0.2">
      <c r="G114" s="59"/>
      <c r="H114" s="125"/>
    </row>
    <row r="115" spans="7:8" x14ac:dyDescent="0.2">
      <c r="G115" s="59"/>
      <c r="H115" s="125"/>
    </row>
    <row r="116" spans="7:8" x14ac:dyDescent="0.2">
      <c r="G116" s="59"/>
      <c r="H116" s="125"/>
    </row>
    <row r="117" spans="7:8" x14ac:dyDescent="0.2">
      <c r="G117" s="59"/>
      <c r="H117" s="125"/>
    </row>
    <row r="118" spans="7:8" x14ac:dyDescent="0.2">
      <c r="G118" s="59"/>
      <c r="H118" s="125"/>
    </row>
    <row r="119" spans="7:8" x14ac:dyDescent="0.2">
      <c r="G119" s="59"/>
      <c r="H119" s="125"/>
    </row>
    <row r="120" spans="7:8" x14ac:dyDescent="0.2">
      <c r="G120" s="59"/>
      <c r="H120" s="125"/>
    </row>
    <row r="121" spans="7:8" x14ac:dyDescent="0.2">
      <c r="G121" s="59"/>
      <c r="H121" s="125"/>
    </row>
    <row r="122" spans="7:8" x14ac:dyDescent="0.2">
      <c r="G122" s="59"/>
      <c r="H122" s="125"/>
    </row>
    <row r="123" spans="7:8" x14ac:dyDescent="0.2">
      <c r="G123" s="59"/>
      <c r="H123" s="125"/>
    </row>
    <row r="124" spans="7:8" x14ac:dyDescent="0.2">
      <c r="G124" s="59"/>
      <c r="H124" s="125"/>
    </row>
    <row r="125" spans="7:8" x14ac:dyDescent="0.2">
      <c r="G125" s="59"/>
      <c r="H125" s="125"/>
    </row>
    <row r="126" spans="7:8" x14ac:dyDescent="0.2">
      <c r="G126" s="59"/>
      <c r="H126" s="125"/>
    </row>
    <row r="127" spans="7:8" x14ac:dyDescent="0.2">
      <c r="G127" s="59"/>
      <c r="H127" s="125"/>
    </row>
    <row r="128" spans="7:8" x14ac:dyDescent="0.2">
      <c r="G128" s="59"/>
      <c r="H128" s="125"/>
    </row>
    <row r="129" spans="7:8" x14ac:dyDescent="0.2">
      <c r="G129" s="59"/>
      <c r="H129" s="125"/>
    </row>
    <row r="130" spans="7:8" x14ac:dyDescent="0.2">
      <c r="G130" s="59"/>
      <c r="H130" s="125"/>
    </row>
    <row r="131" spans="7:8" x14ac:dyDescent="0.2">
      <c r="G131" s="59"/>
      <c r="H131" s="125"/>
    </row>
    <row r="132" spans="7:8" x14ac:dyDescent="0.2">
      <c r="G132" s="59"/>
      <c r="H132" s="125"/>
    </row>
    <row r="133" spans="7:8" x14ac:dyDescent="0.2">
      <c r="G133" s="59"/>
      <c r="H133" s="125"/>
    </row>
    <row r="134" spans="7:8" x14ac:dyDescent="0.2">
      <c r="G134" s="59"/>
      <c r="H134" s="125"/>
    </row>
    <row r="135" spans="7:8" x14ac:dyDescent="0.2">
      <c r="G135" s="59"/>
      <c r="H135" s="125"/>
    </row>
    <row r="136" spans="7:8" x14ac:dyDescent="0.2">
      <c r="G136" s="59"/>
      <c r="H136" s="125"/>
    </row>
    <row r="137" spans="7:8" x14ac:dyDescent="0.2">
      <c r="G137" s="59"/>
      <c r="H137" s="125"/>
    </row>
    <row r="138" spans="7:8" x14ac:dyDescent="0.2">
      <c r="G138" s="59"/>
      <c r="H138" s="125"/>
    </row>
    <row r="139" spans="7:8" x14ac:dyDescent="0.2">
      <c r="G139" s="59"/>
      <c r="H139" s="125"/>
    </row>
    <row r="140" spans="7:8" x14ac:dyDescent="0.2">
      <c r="G140" s="59"/>
      <c r="H140" s="125"/>
    </row>
    <row r="141" spans="7:8" x14ac:dyDescent="0.2">
      <c r="G141" s="59"/>
      <c r="H141" s="125"/>
    </row>
    <row r="142" spans="7:8" x14ac:dyDescent="0.2">
      <c r="G142" s="59"/>
      <c r="H142" s="125"/>
    </row>
    <row r="143" spans="7:8" x14ac:dyDescent="0.2">
      <c r="G143" s="59"/>
      <c r="H143" s="125"/>
    </row>
    <row r="144" spans="7:8" x14ac:dyDescent="0.2">
      <c r="G144" s="59"/>
      <c r="H144" s="125"/>
    </row>
    <row r="226" spans="17:17" x14ac:dyDescent="0.2">
      <c r="Q226" s="73"/>
    </row>
    <row r="370" spans="53:55" x14ac:dyDescent="0.2">
      <c r="BA370" s="132"/>
      <c r="BB370" s="132"/>
      <c r="BC370" s="132"/>
    </row>
    <row r="371" spans="53:55" x14ac:dyDescent="0.2">
      <c r="BA371" s="132"/>
      <c r="BB371" s="132"/>
      <c r="BC371" s="132"/>
    </row>
    <row r="372" spans="53:55" x14ac:dyDescent="0.2">
      <c r="BA372" s="132"/>
      <c r="BB372" s="132"/>
      <c r="BC372" s="132"/>
    </row>
    <row r="373" spans="53:55" x14ac:dyDescent="0.2">
      <c r="BA373" s="132"/>
      <c r="BB373" s="132"/>
      <c r="BC373" s="132"/>
    </row>
    <row r="374" spans="53:55" x14ac:dyDescent="0.2">
      <c r="BA374" s="132"/>
      <c r="BB374" s="132"/>
      <c r="BC374" s="132"/>
    </row>
    <row r="375" spans="53:55" x14ac:dyDescent="0.2">
      <c r="BA375" s="132"/>
      <c r="BB375" s="132"/>
      <c r="BC375" s="132"/>
    </row>
    <row r="376" spans="53:55" x14ac:dyDescent="0.2">
      <c r="BA376" s="132"/>
      <c r="BB376" s="132"/>
      <c r="BC376" s="132"/>
    </row>
    <row r="377" spans="53:55" x14ac:dyDescent="0.2">
      <c r="BA377" s="132"/>
      <c r="BB377" s="132"/>
      <c r="BC377" s="132"/>
    </row>
    <row r="378" spans="53:55" x14ac:dyDescent="0.2">
      <c r="BA378" s="132"/>
      <c r="BB378" s="132"/>
      <c r="BC378" s="132"/>
    </row>
    <row r="379" spans="53:55" x14ac:dyDescent="0.2">
      <c r="BA379" s="132"/>
      <c r="BB379" s="132"/>
      <c r="BC379" s="132"/>
    </row>
    <row r="380" spans="53:55" x14ac:dyDescent="0.2">
      <c r="BA380" s="132"/>
      <c r="BB380" s="132"/>
      <c r="BC380" s="132"/>
    </row>
    <row r="381" spans="53:55" x14ac:dyDescent="0.2">
      <c r="BA381" s="132"/>
      <c r="BB381" s="132"/>
      <c r="BC381" s="132"/>
    </row>
    <row r="382" spans="53:55" x14ac:dyDescent="0.2">
      <c r="BA382" s="132"/>
      <c r="BB382" s="132"/>
      <c r="BC382" s="132"/>
    </row>
    <row r="383" spans="53:55" x14ac:dyDescent="0.2">
      <c r="BA383" s="132"/>
      <c r="BB383" s="132"/>
      <c r="BC383" s="132"/>
    </row>
    <row r="384" spans="53:55" x14ac:dyDescent="0.2">
      <c r="BA384" s="132"/>
      <c r="BB384" s="132"/>
      <c r="BC384" s="132"/>
    </row>
    <row r="385" spans="53:55" x14ac:dyDescent="0.2">
      <c r="BA385" s="132"/>
      <c r="BB385" s="132"/>
      <c r="BC385" s="132"/>
    </row>
    <row r="386" spans="53:55" x14ac:dyDescent="0.2">
      <c r="BA386" s="132"/>
      <c r="BB386" s="132"/>
      <c r="BC386" s="132"/>
    </row>
    <row r="387" spans="53:55" x14ac:dyDescent="0.2">
      <c r="BA387" s="132"/>
      <c r="BB387" s="132"/>
      <c r="BC387" s="132"/>
    </row>
    <row r="388" spans="53:55" x14ac:dyDescent="0.2">
      <c r="BA388" s="132"/>
      <c r="BB388" s="132"/>
      <c r="BC388" s="132"/>
    </row>
    <row r="389" spans="53:55" x14ac:dyDescent="0.2">
      <c r="BA389" s="132"/>
      <c r="BB389" s="132"/>
      <c r="BC389" s="132"/>
    </row>
    <row r="390" spans="53:55" x14ac:dyDescent="0.2">
      <c r="BA390" s="132"/>
      <c r="BB390" s="132"/>
      <c r="BC390" s="132"/>
    </row>
    <row r="391" spans="53:55" x14ac:dyDescent="0.2">
      <c r="BA391" s="132"/>
      <c r="BB391" s="132"/>
      <c r="BC391" s="132"/>
    </row>
    <row r="392" spans="53:55" x14ac:dyDescent="0.2">
      <c r="BA392" s="132"/>
      <c r="BB392" s="132"/>
      <c r="BC392" s="132"/>
    </row>
    <row r="393" spans="53:55" x14ac:dyDescent="0.2">
      <c r="BA393" s="132"/>
      <c r="BB393" s="132"/>
      <c r="BC393" s="132"/>
    </row>
    <row r="394" spans="53:55" x14ac:dyDescent="0.2">
      <c r="BA394" s="132"/>
      <c r="BB394" s="132"/>
      <c r="BC394" s="132"/>
    </row>
    <row r="395" spans="53:55" x14ac:dyDescent="0.2">
      <c r="BA395" s="132"/>
      <c r="BB395" s="132"/>
      <c r="BC395" s="132"/>
    </row>
    <row r="396" spans="53:55" x14ac:dyDescent="0.2">
      <c r="BA396" s="132"/>
      <c r="BB396" s="132"/>
      <c r="BC396" s="132"/>
    </row>
    <row r="397" spans="53:55" x14ac:dyDescent="0.2">
      <c r="BA397" s="132"/>
      <c r="BB397" s="132"/>
      <c r="BC397" s="132"/>
    </row>
    <row r="398" spans="53:55" x14ac:dyDescent="0.2">
      <c r="BA398" s="132"/>
      <c r="BB398" s="132"/>
      <c r="BC398" s="132"/>
    </row>
    <row r="399" spans="53:55" x14ac:dyDescent="0.2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2038350</xdr:colOff>
                <xdr:row>23</xdr:row>
                <xdr:rowOff>9525</xdr:rowOff>
              </from>
              <to>
                <xdr:col>2</xdr:col>
                <xdr:colOff>2647950</xdr:colOff>
                <xdr:row>23</xdr:row>
                <xdr:rowOff>200025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2047875</xdr:colOff>
                <xdr:row>3</xdr:row>
                <xdr:rowOff>19050</xdr:rowOff>
              </from>
              <to>
                <xdr:col>2</xdr:col>
                <xdr:colOff>2657475</xdr:colOff>
                <xdr:row>6</xdr:row>
                <xdr:rowOff>200025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2038350</xdr:colOff>
                <xdr:row>9</xdr:row>
                <xdr:rowOff>19050</xdr:rowOff>
              </from>
              <to>
                <xdr:col>2</xdr:col>
                <xdr:colOff>2647950</xdr:colOff>
                <xdr:row>9</xdr:row>
                <xdr:rowOff>209550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K4" sqref="K4"/>
    </sheetView>
  </sheetViews>
  <sheetFormatPr defaultRowHeight="12.75" x14ac:dyDescent="0.2"/>
  <cols>
    <col min="1" max="1" width="3.7109375" style="58" customWidth="1"/>
    <col min="2" max="2" width="35.42578125" style="58" customWidth="1"/>
    <col min="3" max="4" width="9.140625" style="58"/>
    <col min="5" max="5" width="10.28515625" style="58" bestFit="1" customWidth="1"/>
    <col min="6" max="6" width="9.140625" style="58"/>
    <col min="7" max="7" width="11.28515625" style="58" bestFit="1" customWidth="1"/>
    <col min="8" max="8" width="9.140625" style="58"/>
    <col min="9" max="9" width="11.28515625" style="58" bestFit="1" customWidth="1"/>
    <col min="10" max="16384" width="9.140625" style="58"/>
  </cols>
  <sheetData>
    <row r="1" spans="1:12" ht="36.75" customHeight="1" thickBot="1" x14ac:dyDescent="0.25">
      <c r="A1" s="76" t="b">
        <v>0</v>
      </c>
      <c r="B1" s="99" t="s">
        <v>344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56048</v>
      </c>
      <c r="J4" s="328"/>
      <c r="K4" s="329">
        <f>+I4/($B$65*'OPERATIONAL CHARACTERISTICS'!$B$12)</f>
        <v>307.83461878917728</v>
      </c>
      <c r="L4" s="58" t="s">
        <v>224</v>
      </c>
    </row>
    <row r="5" spans="1:12" ht="17.25" customHeight="1" x14ac:dyDescent="0.2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">
      <c r="B7" s="325" t="s">
        <v>73</v>
      </c>
      <c r="C7" s="66"/>
      <c r="D7" s="326"/>
      <c r="E7" s="71">
        <f>+I7/$B$65</f>
        <v>8043.1738166122304</v>
      </c>
      <c r="F7" s="328"/>
      <c r="G7" s="70">
        <v>0</v>
      </c>
      <c r="H7" s="326"/>
      <c r="I7" s="71">
        <f>(1+IF(G65,SOURCEDATA!B36,0))*(IF(B65=0,0,HLOOKUP(B65,SOURCEDATA!B3:K6,4))+G7)</f>
        <v>32172.695266448922</v>
      </c>
      <c r="J7" s="328"/>
      <c r="K7" s="329">
        <f>+I7/($B$65*'OPERATIONAL CHARACTERISTICS'!$B$12)</f>
        <v>176.7033503919439</v>
      </c>
    </row>
    <row r="8" spans="1:12" ht="6.75" customHeight="1" x14ac:dyDescent="0.2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5400</v>
      </c>
      <c r="J10" s="328"/>
      <c r="K10" s="329">
        <f>+I10/($B$65*'OPERATIONAL CHARACTERISTICS'!$B$12)</f>
        <v>29.658630842519933</v>
      </c>
    </row>
    <row r="11" spans="1:12" ht="6" customHeight="1" x14ac:dyDescent="0.2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1135</v>
      </c>
      <c r="J13" s="328"/>
      <c r="K13" s="329">
        <f>+I13/($B$65*'OPERATIONAL CHARACTERISTICS'!$B$12)</f>
        <v>6.2338048159740973</v>
      </c>
    </row>
    <row r="14" spans="1:12" ht="5.25" customHeight="1" x14ac:dyDescent="0.2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">
      <c r="B16" s="325" t="s">
        <v>77</v>
      </c>
      <c r="C16" s="66"/>
      <c r="D16" s="326"/>
      <c r="E16" s="71">
        <f>+I16/$B$65</f>
        <v>0</v>
      </c>
      <c r="F16" s="67"/>
      <c r="G16" s="74">
        <v>0</v>
      </c>
      <c r="H16" s="326"/>
      <c r="I16" s="71">
        <f>+IF(F65,HLOOKUP(B65,SOURCEDATA!B30:K31,2),0)+G16</f>
        <v>0</v>
      </c>
      <c r="J16" s="328"/>
      <c r="K16" s="329">
        <f>+I16/($B$65*'OPERATIONAL CHARACTERISTICS'!$B$12)</f>
        <v>0</v>
      </c>
    </row>
    <row r="17" spans="2:13" ht="6" customHeight="1" x14ac:dyDescent="0.2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1000</v>
      </c>
      <c r="J22" s="328"/>
      <c r="K22" s="329">
        <f>+I22/($B$65*'OPERATIONAL CHARACTERISTICS'!$B$12)</f>
        <v>5.4923390449110991</v>
      </c>
    </row>
    <row r="23" spans="2:13" ht="9" customHeight="1" x14ac:dyDescent="0.2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615.21270914349418</v>
      </c>
      <c r="J25" s="328"/>
      <c r="K25" s="329">
        <f ca="1">+I25/($B$65*'OPERATIONAL CHARACTERISTICS'!$B$12)</f>
        <v>3.3789567833543486</v>
      </c>
    </row>
    <row r="26" spans="2:13" ht="6.75" customHeight="1" x14ac:dyDescent="0.2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">
      <c r="B28" s="325" t="s">
        <v>352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4061.2619817811774</v>
      </c>
      <c r="J31" s="328"/>
      <c r="K31" s="329">
        <f>+I31/($B$65*'OPERATIONAL CHARACTERISTICS'!$B$12)</f>
        <v>22.305827754149789</v>
      </c>
    </row>
    <row r="32" spans="2:13" ht="8.25" customHeight="1" x14ac:dyDescent="0.2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25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1319.5079107728941</v>
      </c>
      <c r="J34" s="86"/>
      <c r="K34" s="340">
        <f>+I34/($B$65*'OPERATIONAL CHARACTERISTICS'!$B$12)</f>
        <v>7.2471848184070371</v>
      </c>
      <c r="M34" s="58">
        <f>25/20</f>
        <v>1.25</v>
      </c>
    </row>
    <row r="35" spans="2:13" ht="17.25" customHeight="1" thickBot="1" x14ac:dyDescent="0.25">
      <c r="B35" s="57"/>
      <c r="M35" s="58">
        <f>25/4</f>
        <v>6.25</v>
      </c>
    </row>
    <row r="36" spans="2:13" ht="17.25" customHeight="1" x14ac:dyDescent="0.2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25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101751.67786814649</v>
      </c>
      <c r="J37" s="86"/>
      <c r="K37" s="345">
        <f ca="1">K34+K28+K25+K22+K19+K16+K13+K10+K7+K4+K31</f>
        <v>558.85471324043738</v>
      </c>
    </row>
    <row r="38" spans="2:13" ht="17.25" customHeight="1" x14ac:dyDescent="0.2">
      <c r="B38" s="57"/>
    </row>
    <row r="39" spans="2:13" ht="17.25" customHeight="1" x14ac:dyDescent="0.2">
      <c r="B39" s="57"/>
      <c r="I39" s="58">
        <f ca="1">+I37/5</f>
        <v>20350.335573629298</v>
      </c>
    </row>
    <row r="40" spans="2:13" ht="17.25" customHeight="1" x14ac:dyDescent="0.2">
      <c r="B40" s="57"/>
    </row>
    <row r="41" spans="2:13" ht="17.25" customHeight="1" x14ac:dyDescent="0.2"/>
    <row r="42" spans="2:13" ht="17.25" customHeight="1" x14ac:dyDescent="0.2"/>
    <row r="43" spans="2:13" ht="17.25" customHeight="1" x14ac:dyDescent="0.2"/>
    <row r="44" spans="2:13" ht="17.25" customHeight="1" x14ac:dyDescent="0.2"/>
    <row r="45" spans="2:13" ht="17.25" customHeight="1" x14ac:dyDescent="0.2"/>
    <row r="46" spans="2:13" ht="17.25" customHeight="1" x14ac:dyDescent="0.2"/>
    <row r="47" spans="2:13" ht="17.25" customHeight="1" x14ac:dyDescent="0.2"/>
    <row r="48" spans="2:13" ht="17.25" customHeight="1" x14ac:dyDescent="0.2"/>
    <row r="49" spans="2:13" ht="17.25" customHeight="1" x14ac:dyDescent="0.2"/>
    <row r="50" spans="2:13" ht="17.25" customHeight="1" x14ac:dyDescent="0.2"/>
    <row r="51" spans="2:13" ht="17.25" customHeight="1" x14ac:dyDescent="0.2"/>
    <row r="52" spans="2:13" ht="17.25" customHeight="1" x14ac:dyDescent="0.2"/>
    <row r="53" spans="2:13" ht="17.25" customHeight="1" x14ac:dyDescent="0.2"/>
    <row r="54" spans="2:13" ht="17.25" customHeight="1" x14ac:dyDescent="0.2"/>
    <row r="62" spans="2:13" ht="408.75" customHeight="1" x14ac:dyDescent="0.2"/>
    <row r="63" spans="2:13" x14ac:dyDescent="0.2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">
      <c r="B65" s="348">
        <f>+VALUE(B66)</f>
        <v>4</v>
      </c>
      <c r="C65" s="348">
        <f>+VALUE(C66)</f>
        <v>9</v>
      </c>
      <c r="D65" s="348">
        <f>+VALUE(D66)</f>
        <v>16</v>
      </c>
      <c r="E65" s="348">
        <f>+VALUE(E66)</f>
        <v>138</v>
      </c>
      <c r="F65" s="349" t="b">
        <f>+F66</f>
        <v>0</v>
      </c>
      <c r="G65" s="347" t="b">
        <f>+G66</f>
        <v>0</v>
      </c>
      <c r="H65" s="348">
        <f>+IF(H66,B65,0)</f>
        <v>0</v>
      </c>
      <c r="I65" s="348" t="b">
        <f>+I66</f>
        <v>1</v>
      </c>
      <c r="J65" s="347" t="b">
        <f>+J66</f>
        <v>1</v>
      </c>
      <c r="K65" s="347" t="b">
        <f>+K66</f>
        <v>0</v>
      </c>
      <c r="L65" s="347" t="b">
        <f>+L66</f>
        <v>1</v>
      </c>
      <c r="M65" s="347" t="b">
        <f>+M66</f>
        <v>1</v>
      </c>
    </row>
    <row r="66" spans="2:13" x14ac:dyDescent="0.2">
      <c r="B66" s="350" t="s">
        <v>354</v>
      </c>
      <c r="C66" s="348" t="s">
        <v>355</v>
      </c>
      <c r="D66" s="348" t="s">
        <v>353</v>
      </c>
      <c r="E66" s="348" t="s">
        <v>356</v>
      </c>
      <c r="F66" s="351" t="b">
        <v>0</v>
      </c>
      <c r="G66" s="347" t="b">
        <v>0</v>
      </c>
      <c r="H66" s="349" t="b">
        <v>0</v>
      </c>
      <c r="I66" s="347" t="b">
        <v>1</v>
      </c>
      <c r="J66" s="347" t="b">
        <v>1</v>
      </c>
      <c r="K66" s="347" t="b">
        <v>0</v>
      </c>
      <c r="L66" s="347" t="b">
        <v>1</v>
      </c>
      <c r="M66" s="347" t="b">
        <v>1</v>
      </c>
    </row>
    <row r="67" spans="2:13" x14ac:dyDescent="0.2">
      <c r="B67" s="352"/>
      <c r="C67" s="347"/>
      <c r="D67" s="347"/>
      <c r="E67" s="347" t="b">
        <v>1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495300</xdr:colOff>
                <xdr:row>0</xdr:row>
                <xdr:rowOff>161925</xdr:rowOff>
              </from>
              <to>
                <xdr:col>5</xdr:col>
                <xdr:colOff>257175</xdr:colOff>
                <xdr:row>0</xdr:row>
                <xdr:rowOff>438150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352425</xdr:colOff>
                <xdr:row>0</xdr:row>
                <xdr:rowOff>152400</xdr:rowOff>
              </from>
              <to>
                <xdr:col>4</xdr:col>
                <xdr:colOff>476250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542925</xdr:colOff>
                <xdr:row>18</xdr:row>
                <xdr:rowOff>209550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276225</xdr:colOff>
                <xdr:row>29</xdr:row>
                <xdr:rowOff>180975</xdr:rowOff>
              </from>
              <to>
                <xdr:col>4</xdr:col>
                <xdr:colOff>590550</xdr:colOff>
                <xdr:row>30</xdr:row>
                <xdr:rowOff>200025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971550</xdr:colOff>
                <xdr:row>4</xdr:row>
                <xdr:rowOff>19050</xdr:rowOff>
              </from>
              <to>
                <xdr:col>1</xdr:col>
                <xdr:colOff>1666875</xdr:colOff>
                <xdr:row>6</xdr:row>
                <xdr:rowOff>209550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1">
            <anchor moveWithCells="1">
              <from>
                <xdr:col>2</xdr:col>
                <xdr:colOff>247650</xdr:colOff>
                <xdr:row>11</xdr:row>
                <xdr:rowOff>200025</xdr:rowOff>
              </from>
              <to>
                <xdr:col>2</xdr:col>
                <xdr:colOff>561975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5" name="CheckBox6">
          <controlPr defaultSize="0" autoLine="0" linkedCell="L66" r:id="rId11">
            <anchor moveWithCells="1">
              <from>
                <xdr:col>4</xdr:col>
                <xdr:colOff>276225</xdr:colOff>
                <xdr:row>32</xdr:row>
                <xdr:rowOff>190500</xdr:rowOff>
              </from>
              <to>
                <xdr:col>4</xdr:col>
                <xdr:colOff>590550</xdr:colOff>
                <xdr:row>33</xdr:row>
                <xdr:rowOff>209550</xdr:rowOff>
              </to>
            </anchor>
          </controlPr>
        </control>
      </mc:Choice>
      <mc:Fallback>
        <control shapeId="1118" r:id="rId15" name="CheckBox6"/>
      </mc:Fallback>
    </mc:AlternateContent>
    <mc:AlternateContent xmlns:mc="http://schemas.openxmlformats.org/markup-compatibility/2006">
      <mc:Choice Requires="x14">
        <control shapeId="1071" r:id="rId16" name="CheckBox5">
          <controlPr defaultSize="0" autoLine="0" linkedCell="K66" r:id="rId9">
            <anchor moveWithCells="1">
              <from>
                <xdr:col>4</xdr:col>
                <xdr:colOff>276225</xdr:colOff>
                <xdr:row>26</xdr:row>
                <xdr:rowOff>200025</xdr:rowOff>
              </from>
              <to>
                <xdr:col>4</xdr:col>
                <xdr:colOff>590550</xdr:colOff>
                <xdr:row>28</xdr:row>
                <xdr:rowOff>0</xdr:rowOff>
              </to>
            </anchor>
          </controlPr>
        </control>
      </mc:Choice>
      <mc:Fallback>
        <control shapeId="1071" r:id="rId16" name="CheckBox5"/>
      </mc:Fallback>
    </mc:AlternateContent>
    <mc:AlternateContent xmlns:mc="http://schemas.openxmlformats.org/markup-compatibility/2006">
      <mc:Choice Requires="x14">
        <control shapeId="1070" r:id="rId17" name="CheckBox4">
          <controlPr defaultSize="0" autoLine="0" linkedCell="J66" r:id="rId11">
            <anchor moveWithCells="1">
              <from>
                <xdr:col>2</xdr:col>
                <xdr:colOff>247650</xdr:colOff>
                <xdr:row>23</xdr:row>
                <xdr:rowOff>200025</xdr:rowOff>
              </from>
              <to>
                <xdr:col>2</xdr:col>
                <xdr:colOff>561975</xdr:colOff>
                <xdr:row>25</xdr:row>
                <xdr:rowOff>0</xdr:rowOff>
              </to>
            </anchor>
          </controlPr>
        </control>
      </mc:Choice>
      <mc:Fallback>
        <control shapeId="1070" r:id="rId17" name="CheckBox4"/>
      </mc:Fallback>
    </mc:AlternateContent>
    <mc:AlternateContent xmlns:mc="http://schemas.openxmlformats.org/markup-compatibility/2006">
      <mc:Choice Requires="x14">
        <control shapeId="1064" r:id="rId18" name="CheckBox3">
          <controlPr defaultSize="0" autoLine="0" linkedCell="I66" r:id="rId11">
            <anchor moveWithCells="1">
              <from>
                <xdr:col>2</xdr:col>
                <xdr:colOff>238125</xdr:colOff>
                <xdr:row>20</xdr:row>
                <xdr:rowOff>200025</xdr:rowOff>
              </from>
              <to>
                <xdr:col>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64" r:id="rId18" name="CheckBox3"/>
      </mc:Fallback>
    </mc:AlternateContent>
    <mc:AlternateContent xmlns:mc="http://schemas.openxmlformats.org/markup-compatibility/2006">
      <mc:Choice Requires="x14">
        <control shapeId="1053" r:id="rId19" name="CheckBox2">
          <controlPr defaultSize="0" autoLine="0" linkedCell="G66" r:id="rId20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561975</xdr:colOff>
                <xdr:row>7</xdr:row>
                <xdr:rowOff>0</xdr:rowOff>
              </to>
            </anchor>
          </controlPr>
        </control>
      </mc:Choice>
      <mc:Fallback>
        <control shapeId="1053" r:id="rId19" name="CheckBox2"/>
      </mc:Fallback>
    </mc:AlternateContent>
    <mc:AlternateContent xmlns:mc="http://schemas.openxmlformats.org/markup-compatibility/2006">
      <mc:Choice Requires="x14">
        <control shapeId="1033" r:id="rId21" name="CheckBox1">
          <controlPr defaultSize="0" autoLine="0" linkedCell="F66" r:id="rId9">
            <anchor moveWithCells="1">
              <from>
                <xdr:col>2</xdr:col>
                <xdr:colOff>257175</xdr:colOff>
                <xdr:row>14</xdr:row>
                <xdr:rowOff>200025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1" name="CheckBox1"/>
      </mc:Fallback>
    </mc:AlternateContent>
    <mc:AlternateContent xmlns:mc="http://schemas.openxmlformats.org/markup-compatibility/2006">
      <mc:Choice Requires="x14">
        <control shapeId="1030" r:id="rId22" name="ComboBox4">
          <controlPr defaultSize="0" autoLine="0" linkedCell="E66" listFillRange="E69:E74" r:id="rId23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209550</xdr:rowOff>
              </to>
            </anchor>
          </controlPr>
        </control>
      </mc:Choice>
      <mc:Fallback>
        <control shapeId="1030" r:id="rId22" name="ComboBox4"/>
      </mc:Fallback>
    </mc:AlternateContent>
    <mc:AlternateContent xmlns:mc="http://schemas.openxmlformats.org/markup-compatibility/2006">
      <mc:Choice Requires="x14">
        <control shapeId="1029" r:id="rId24" name="ComboBox3">
          <controlPr defaultSize="0" autoLine="0" autoPict="0" linkedCell="D66" listFillRange="D68:D72" r:id="rId25">
            <anchor moveWithCells="1">
              <from>
                <xdr:col>4</xdr:col>
                <xdr:colOff>19050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4" name="ComboBox3"/>
      </mc:Fallback>
    </mc:AlternateContent>
    <mc:AlternateContent xmlns:mc="http://schemas.openxmlformats.org/markup-compatibility/2006">
      <mc:Choice Requires="x14">
        <control shapeId="1028" r:id="rId26" name="ComboBox2">
          <controlPr defaultSize="0" autoLine="0" linkedCell="C66" listFillRange="C68:C78" r:id="rId27">
            <anchor moveWithCells="1">
              <from>
                <xdr:col>2</xdr:col>
                <xdr:colOff>9525</xdr:colOff>
                <xdr:row>8</xdr:row>
                <xdr:rowOff>200025</xdr:rowOff>
              </from>
              <to>
                <xdr:col>3</xdr:col>
                <xdr:colOff>66675</xdr:colOff>
                <xdr:row>10</xdr:row>
                <xdr:rowOff>0</xdr:rowOff>
              </to>
            </anchor>
          </controlPr>
        </control>
      </mc:Choice>
      <mc:Fallback>
        <control shapeId="1028" r:id="rId26" name="ComboBox2"/>
      </mc:Fallback>
    </mc:AlternateContent>
    <mc:AlternateContent xmlns:mc="http://schemas.openxmlformats.org/markup-compatibility/2006">
      <mc:Choice Requires="x14">
        <control shapeId="1025" r:id="rId28" name="ComboBox1">
          <controlPr defaultSize="0" autoLine="0" autoPict="0" linkedCell="B66" listFillRange="B68:B78" r:id="rId29">
            <anchor moveWithCells="1">
              <from>
                <xdr:col>2</xdr:col>
                <xdr:colOff>0</xdr:colOff>
                <xdr:row>2</xdr:row>
                <xdr:rowOff>200025</xdr:rowOff>
              </from>
              <to>
                <xdr:col>3</xdr:col>
                <xdr:colOff>66675</xdr:colOff>
                <xdr:row>3</xdr:row>
                <xdr:rowOff>209550</xdr:rowOff>
              </to>
            </anchor>
          </controlPr>
        </control>
      </mc:Choice>
      <mc:Fallback>
        <control shapeId="1025" r:id="rId28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L45"/>
  <sheetViews>
    <sheetView showGridLines="0" workbookViewId="0">
      <selection activeCell="B12" sqref="B12"/>
    </sheetView>
  </sheetViews>
  <sheetFormatPr defaultRowHeight="12.75" x14ac:dyDescent="0.2"/>
  <cols>
    <col min="1" max="1" width="3.42578125" customWidth="1"/>
    <col min="2" max="2" width="8.5703125" customWidth="1"/>
    <col min="3" max="3" width="45.42578125" customWidth="1"/>
    <col min="4" max="4" width="5.85546875" customWidth="1"/>
    <col min="5" max="5" width="14" customWidth="1"/>
    <col min="6" max="6" width="12.42578125" customWidth="1"/>
    <col min="7" max="7" width="9.5703125" customWidth="1"/>
    <col min="8" max="8" width="13.28515625" customWidth="1"/>
    <col min="11" max="11" width="3.140625" customWidth="1"/>
  </cols>
  <sheetData>
    <row r="2" spans="2:12" ht="20.25" x14ac:dyDescent="0.2">
      <c r="B2" s="120" t="s">
        <v>163</v>
      </c>
    </row>
    <row r="3" spans="2:12" ht="13.5" thickBot="1" x14ac:dyDescent="0.25"/>
    <row r="4" spans="2:12" ht="13.5" thickBot="1" x14ac:dyDescent="0.25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">
      <c r="C5" s="149"/>
      <c r="D5" s="78"/>
      <c r="E5" s="150"/>
      <c r="F5" s="150"/>
      <c r="G5" s="150"/>
      <c r="H5" s="150"/>
      <c r="I5" s="77"/>
      <c r="J5" s="79"/>
    </row>
    <row r="6" spans="2:12" x14ac:dyDescent="0.2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">
      <c r="C10" s="6" t="s">
        <v>238</v>
      </c>
      <c r="D10" s="224"/>
      <c r="E10" s="244">
        <f>IF(PROJECTCONFIGURATION!$J$65,-SOURCEDATA!$P$48/1000,0)</f>
        <v>-6.6052554341785169E-2</v>
      </c>
      <c r="F10" s="244">
        <f>IF(PROJECTCONFIGURATION!$J$65,-SOURCEDATA!$P$48/1000,0)</f>
        <v>-6.6052554341785169E-2</v>
      </c>
      <c r="G10" s="244">
        <f>IF(PROJECTCONFIGURATION!$J$65,-SOURCEDATA!$P$48/1000,0)</f>
        <v>-6.6052554341785169E-2</v>
      </c>
      <c r="H10" s="244">
        <f>IF(PROJECTCONFIGURATION!$J$65,-SOURCEDATA!$P$48/1000,0)</f>
        <v>-6.6052554341785169E-2</v>
      </c>
      <c r="I10" s="7"/>
      <c r="J10" s="81"/>
      <c r="L10" s="219" t="s">
        <v>298</v>
      </c>
    </row>
    <row r="11" spans="2:12" x14ac:dyDescent="0.2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">
      <c r="B12" s="312">
        <f>+IF(AND(chillers,iso),E12,IF(iso,G12,IF(chillers,F12,H12)))</f>
        <v>45.517947445658208</v>
      </c>
      <c r="C12" s="7" t="s">
        <v>124</v>
      </c>
      <c r="D12" s="224"/>
      <c r="E12" s="244">
        <f>SUM(E7:E11)</f>
        <v>47.067947445658206</v>
      </c>
      <c r="F12" s="244">
        <f>SUM(F7:F11)</f>
        <v>45.517947445658208</v>
      </c>
      <c r="G12" s="244">
        <f>SUM(G7:G11)</f>
        <v>44.523947445658216</v>
      </c>
      <c r="H12" s="244">
        <f>SUM(H7:H11)</f>
        <v>33.743947445658215</v>
      </c>
      <c r="I12" s="7"/>
      <c r="J12" s="81"/>
    </row>
    <row r="13" spans="2:12" x14ac:dyDescent="0.2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">
      <c r="B14" s="313">
        <f>+IF(AND(chillers,iso),E14,IF(iso,G14,IF(chillers,F14,H14)))</f>
        <v>9345.5444252589296</v>
      </c>
      <c r="C14" s="6" t="s">
        <v>351</v>
      </c>
      <c r="D14" s="224"/>
      <c r="E14" s="235">
        <f>(413000*1.03)/E12</f>
        <v>9037.7852250967499</v>
      </c>
      <c r="F14" s="235">
        <f>(413000*1.03)/F12</f>
        <v>9345.5444252589296</v>
      </c>
      <c r="G14" s="235">
        <f>(392000*1.03)/G12</f>
        <v>9068.3783259063421</v>
      </c>
      <c r="H14" s="235">
        <f>(317000*1.03)/H12</f>
        <v>9676.1056342272004</v>
      </c>
      <c r="I14" s="7"/>
      <c r="J14" s="81"/>
    </row>
    <row r="15" spans="2:12" ht="13.5" thickBot="1" x14ac:dyDescent="0.25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5" thickBot="1" x14ac:dyDescent="0.25"/>
    <row r="17" spans="2:10" ht="13.5" thickBot="1" x14ac:dyDescent="0.25">
      <c r="B17" s="20" t="s">
        <v>187</v>
      </c>
      <c r="C17" s="2"/>
      <c r="D17" s="2"/>
      <c r="E17" s="122"/>
      <c r="F17" s="122"/>
      <c r="G17" s="2"/>
      <c r="H17" s="87"/>
    </row>
    <row r="18" spans="2:10" x14ac:dyDescent="0.2">
      <c r="C18" s="149"/>
      <c r="D18" s="78"/>
      <c r="E18" s="150"/>
      <c r="F18" s="150"/>
      <c r="G18" s="77"/>
      <c r="H18" s="79"/>
    </row>
    <row r="19" spans="2:10" x14ac:dyDescent="0.2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5" thickBot="1" x14ac:dyDescent="0.25">
      <c r="C22" s="8"/>
      <c r="D22" s="84"/>
      <c r="E22" s="84"/>
      <c r="F22" s="84"/>
      <c r="G22" s="84"/>
      <c r="H22" s="85"/>
    </row>
    <row r="23" spans="2:10" ht="13.5" thickBot="1" x14ac:dyDescent="0.25"/>
    <row r="24" spans="2:10" ht="13.5" thickBot="1" x14ac:dyDescent="0.25">
      <c r="B24" s="20" t="s">
        <v>181</v>
      </c>
      <c r="C24" s="2"/>
      <c r="D24" s="2"/>
      <c r="E24" s="122"/>
      <c r="F24" s="122"/>
      <c r="G24" s="2"/>
      <c r="H24" s="87"/>
    </row>
    <row r="25" spans="2:10" x14ac:dyDescent="0.2">
      <c r="C25" s="149"/>
      <c r="D25" s="78"/>
      <c r="E25" s="150"/>
      <c r="F25" s="150"/>
      <c r="G25" s="77"/>
      <c r="H25" s="79"/>
    </row>
    <row r="26" spans="2:10" x14ac:dyDescent="0.2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">
      <c r="C28" s="6"/>
      <c r="D28" s="7"/>
      <c r="E28" s="32"/>
      <c r="F28" s="184"/>
      <c r="G28" s="7"/>
      <c r="H28" s="81"/>
    </row>
    <row r="29" spans="2:10" x14ac:dyDescent="0.2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5" thickBot="1" x14ac:dyDescent="0.25">
      <c r="C35" s="8"/>
      <c r="D35" s="84"/>
      <c r="E35" s="187"/>
      <c r="F35" s="188"/>
      <c r="G35" s="84"/>
      <c r="H35" s="85"/>
    </row>
    <row r="36" spans="2:8" ht="13.5" thickBot="1" x14ac:dyDescent="0.25"/>
    <row r="37" spans="2:8" ht="13.5" thickBot="1" x14ac:dyDescent="0.25">
      <c r="B37" s="20" t="s">
        <v>346</v>
      </c>
      <c r="C37" s="2"/>
      <c r="D37" s="2"/>
      <c r="E37" s="122"/>
      <c r="F37" s="122"/>
      <c r="G37" s="2"/>
      <c r="H37" s="87"/>
    </row>
    <row r="38" spans="2:8" x14ac:dyDescent="0.2">
      <c r="C38" s="149"/>
      <c r="D38" s="78"/>
      <c r="E38" s="150"/>
      <c r="F38" s="150"/>
      <c r="G38" s="77"/>
      <c r="H38" s="79"/>
    </row>
    <row r="39" spans="2:8" x14ac:dyDescent="0.2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">
      <c r="C40" s="6" t="s">
        <v>347</v>
      </c>
      <c r="D40" s="7"/>
      <c r="E40" s="186">
        <v>500000</v>
      </c>
      <c r="F40" s="184"/>
      <c r="G40" s="7"/>
      <c r="H40" s="81"/>
    </row>
    <row r="41" spans="2:8" ht="13.5" thickBot="1" x14ac:dyDescent="0.25">
      <c r="C41" s="8" t="s">
        <v>348</v>
      </c>
      <c r="D41" s="7"/>
      <c r="E41" s="83">
        <v>65000</v>
      </c>
      <c r="F41" s="184"/>
      <c r="G41" s="7"/>
      <c r="H41" s="81"/>
    </row>
    <row r="42" spans="2:8" x14ac:dyDescent="0.2">
      <c r="C42" s="27" t="s">
        <v>350</v>
      </c>
      <c r="D42" s="7"/>
      <c r="E42" s="316">
        <f>SUM(E39:E41)</f>
        <v>14565000</v>
      </c>
      <c r="F42" s="7"/>
      <c r="G42" s="7"/>
      <c r="H42" s="81"/>
    </row>
    <row r="43" spans="2:8" x14ac:dyDescent="0.2">
      <c r="C43" s="6"/>
      <c r="D43" s="7"/>
      <c r="E43" s="7"/>
      <c r="F43" s="7"/>
      <c r="G43" s="7"/>
      <c r="H43" s="81"/>
    </row>
    <row r="44" spans="2:8" x14ac:dyDescent="0.2">
      <c r="C44" s="27" t="s">
        <v>160</v>
      </c>
      <c r="D44" s="7"/>
      <c r="E44" s="317" t="s">
        <v>349</v>
      </c>
      <c r="F44" s="7"/>
      <c r="G44" s="7"/>
      <c r="H44" s="81"/>
    </row>
    <row r="45" spans="2:8" ht="13.5" thickBot="1" x14ac:dyDescent="0.25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scale="8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>
      <selection activeCell="B2" sqref="B2:K104"/>
    </sheetView>
  </sheetViews>
  <sheetFormatPr defaultRowHeight="12.75" x14ac:dyDescent="0.2"/>
  <cols>
    <col min="1" max="1" width="2.7109375" customWidth="1"/>
    <col min="2" max="2" width="25.28515625" customWidth="1"/>
    <col min="3" max="3" width="38" customWidth="1"/>
    <col min="4" max="4" width="21.85546875" customWidth="1"/>
    <col min="5" max="5" width="3.28515625" hidden="1" customWidth="1"/>
    <col min="6" max="6" width="21.85546875" customWidth="1"/>
    <col min="7" max="7" width="3.42578125" hidden="1" customWidth="1"/>
    <col min="8" max="8" width="4.85546875" hidden="1" customWidth="1"/>
    <col min="9" max="9" width="16.85546875" customWidth="1"/>
    <col min="10" max="10" width="3.140625" hidden="1" customWidth="1"/>
    <col min="11" max="11" width="19.42578125" customWidth="1"/>
    <col min="12" max="13" width="18.140625" customWidth="1"/>
  </cols>
  <sheetData>
    <row r="2" spans="2:11" ht="20.25" x14ac:dyDescent="0.2">
      <c r="B2" s="120" t="s">
        <v>162</v>
      </c>
    </row>
    <row r="3" spans="2:11" x14ac:dyDescent="0.2">
      <c r="E3" s="271"/>
    </row>
    <row r="4" spans="2:11" ht="13.5" thickBot="1" x14ac:dyDescent="0.25">
      <c r="E4" s="271"/>
    </row>
    <row r="5" spans="2:11" x14ac:dyDescent="0.2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5" thickBot="1" x14ac:dyDescent="0.25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5" thickBot="1" x14ac:dyDescent="0.25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5" thickBot="1" x14ac:dyDescent="0.3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5" thickBot="1" x14ac:dyDescent="0.25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5" thickBot="1" x14ac:dyDescent="0.3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5" thickBot="1" x14ac:dyDescent="0.25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5" thickBot="1" x14ac:dyDescent="0.3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5" thickBot="1" x14ac:dyDescent="0.3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5" thickBot="1" x14ac:dyDescent="0.25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5" thickBot="1" x14ac:dyDescent="0.3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25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5" thickBot="1" x14ac:dyDescent="0.25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5" thickBot="1" x14ac:dyDescent="0.3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5" thickBot="1" x14ac:dyDescent="0.25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5" thickBot="1" x14ac:dyDescent="0.3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5" thickBot="1" x14ac:dyDescent="0.25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5" thickBot="1" x14ac:dyDescent="0.3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5" thickBot="1" x14ac:dyDescent="0.25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5" thickBot="1" x14ac:dyDescent="0.3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5" thickBot="1" x14ac:dyDescent="0.25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5" thickBot="1" x14ac:dyDescent="0.3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5" thickBot="1" x14ac:dyDescent="0.3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5" thickBot="1" x14ac:dyDescent="0.3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5" thickBot="1" x14ac:dyDescent="0.3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5" thickBot="1" x14ac:dyDescent="0.3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5" thickBot="1" x14ac:dyDescent="0.3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5" thickBot="1" x14ac:dyDescent="0.3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5" thickBot="1" x14ac:dyDescent="0.25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5" thickBot="1" x14ac:dyDescent="0.25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5" thickBot="1" x14ac:dyDescent="0.3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5" thickBot="1" x14ac:dyDescent="0.3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5" thickBot="1" x14ac:dyDescent="0.3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">
      <c r="E129" s="271"/>
      <c r="G129" s="271"/>
    </row>
    <row r="130" spans="5:7" x14ac:dyDescent="0.2">
      <c r="E130" s="271"/>
      <c r="G130" s="271"/>
    </row>
    <row r="131" spans="5:7" x14ac:dyDescent="0.2">
      <c r="E131" s="271"/>
      <c r="G131" s="271"/>
    </row>
    <row r="132" spans="5:7" x14ac:dyDescent="0.2">
      <c r="E132" s="271"/>
      <c r="G132" s="271"/>
    </row>
    <row r="133" spans="5:7" x14ac:dyDescent="0.2">
      <c r="E133" s="271"/>
      <c r="G133" s="271"/>
    </row>
    <row r="134" spans="5:7" x14ac:dyDescent="0.2">
      <c r="E134" s="271"/>
      <c r="G134" s="271"/>
    </row>
    <row r="135" spans="5:7" x14ac:dyDescent="0.2">
      <c r="E135" s="271"/>
      <c r="G135" s="271"/>
    </row>
    <row r="136" spans="5:7" x14ac:dyDescent="0.2">
      <c r="E136" s="271"/>
      <c r="G136" s="271"/>
    </row>
    <row r="137" spans="5:7" x14ac:dyDescent="0.2">
      <c r="E137" s="271"/>
      <c r="G137" s="271"/>
    </row>
    <row r="138" spans="5:7" x14ac:dyDescent="0.2">
      <c r="E138" s="271"/>
      <c r="G138" s="271"/>
    </row>
    <row r="139" spans="5:7" x14ac:dyDescent="0.2">
      <c r="E139" s="271"/>
      <c r="G139" s="271"/>
    </row>
    <row r="140" spans="5:7" x14ac:dyDescent="0.2">
      <c r="E140" s="271"/>
      <c r="G140" s="271"/>
    </row>
    <row r="141" spans="5:7" x14ac:dyDescent="0.2">
      <c r="E141" s="271"/>
      <c r="G141" s="271"/>
    </row>
    <row r="142" spans="5:7" x14ac:dyDescent="0.2">
      <c r="E142" s="271"/>
      <c r="G142" s="271"/>
    </row>
    <row r="143" spans="5:7" x14ac:dyDescent="0.2">
      <c r="E143" s="271"/>
      <c r="G143" s="271"/>
    </row>
    <row r="144" spans="5:7" x14ac:dyDescent="0.2">
      <c r="E144" s="271"/>
      <c r="G144" s="271"/>
    </row>
    <row r="145" spans="5:7" x14ac:dyDescent="0.2">
      <c r="E145" s="271"/>
      <c r="G145" s="271"/>
    </row>
    <row r="146" spans="5:7" x14ac:dyDescent="0.2">
      <c r="E146" s="271"/>
      <c r="G146" s="271"/>
    </row>
    <row r="147" spans="5:7" x14ac:dyDescent="0.2">
      <c r="E147" s="271"/>
      <c r="G147" s="271"/>
    </row>
    <row r="148" spans="5:7" x14ac:dyDescent="0.2">
      <c r="E148" s="271"/>
      <c r="G148" s="271"/>
    </row>
    <row r="149" spans="5:7" x14ac:dyDescent="0.2">
      <c r="E149" s="271"/>
      <c r="G149" s="271"/>
    </row>
    <row r="150" spans="5:7" x14ac:dyDescent="0.2">
      <c r="E150" s="271"/>
      <c r="G150" s="271"/>
    </row>
    <row r="151" spans="5:7" x14ac:dyDescent="0.2">
      <c r="E151" s="271"/>
      <c r="G151" s="271"/>
    </row>
    <row r="152" spans="5:7" x14ac:dyDescent="0.2">
      <c r="E152" s="271"/>
      <c r="G152" s="271"/>
    </row>
    <row r="153" spans="5:7" x14ac:dyDescent="0.2">
      <c r="E153" s="271"/>
      <c r="G153" s="271"/>
    </row>
    <row r="154" spans="5:7" x14ac:dyDescent="0.2">
      <c r="E154" s="271"/>
      <c r="G154" s="271"/>
    </row>
    <row r="155" spans="5:7" x14ac:dyDescent="0.2">
      <c r="E155" s="271"/>
      <c r="G155" s="271"/>
    </row>
    <row r="156" spans="5:7" x14ac:dyDescent="0.2">
      <c r="E156" s="271"/>
      <c r="G156" s="271"/>
    </row>
    <row r="157" spans="5:7" x14ac:dyDescent="0.2">
      <c r="E157" s="271"/>
      <c r="G157" s="271"/>
    </row>
    <row r="158" spans="5:7" x14ac:dyDescent="0.2">
      <c r="E158" s="271"/>
      <c r="G158" s="271"/>
    </row>
    <row r="159" spans="5:7" x14ac:dyDescent="0.2">
      <c r="E159" s="271"/>
      <c r="G159" s="271"/>
    </row>
    <row r="160" spans="5:7" x14ac:dyDescent="0.2">
      <c r="E160" s="271"/>
      <c r="G160" s="271"/>
    </row>
    <row r="161" spans="5:7" x14ac:dyDescent="0.2">
      <c r="E161" s="271"/>
      <c r="G161" s="271"/>
    </row>
    <row r="162" spans="5:7" x14ac:dyDescent="0.2">
      <c r="E162" s="271"/>
      <c r="G162" s="271"/>
    </row>
    <row r="163" spans="5:7" x14ac:dyDescent="0.2">
      <c r="E163" s="271"/>
      <c r="G163" s="271"/>
    </row>
    <row r="164" spans="5:7" x14ac:dyDescent="0.2">
      <c r="E164" s="271"/>
      <c r="G164" s="271"/>
    </row>
    <row r="165" spans="5:7" x14ac:dyDescent="0.2">
      <c r="E165" s="271"/>
      <c r="G165" s="271"/>
    </row>
    <row r="166" spans="5:7" x14ac:dyDescent="0.2">
      <c r="E166" s="271"/>
      <c r="G166" s="271"/>
    </row>
    <row r="167" spans="5:7" x14ac:dyDescent="0.2">
      <c r="E167" s="271"/>
      <c r="G167" s="271"/>
    </row>
    <row r="168" spans="5:7" x14ac:dyDescent="0.2">
      <c r="E168" s="271"/>
      <c r="G168" s="271"/>
    </row>
    <row r="169" spans="5:7" x14ac:dyDescent="0.2">
      <c r="E169" s="271"/>
      <c r="G169" s="271"/>
    </row>
    <row r="170" spans="5:7" x14ac:dyDescent="0.2">
      <c r="E170" s="271"/>
      <c r="G170" s="271"/>
    </row>
    <row r="171" spans="5:7" x14ac:dyDescent="0.2">
      <c r="E171" s="271"/>
      <c r="G171" s="271"/>
    </row>
    <row r="172" spans="5:7" x14ac:dyDescent="0.2">
      <c r="E172" s="271"/>
      <c r="G172" s="271"/>
    </row>
    <row r="173" spans="5:7" x14ac:dyDescent="0.2">
      <c r="E173" s="271"/>
      <c r="G173" s="271"/>
    </row>
    <row r="174" spans="5:7" x14ac:dyDescent="0.2">
      <c r="E174" s="271"/>
      <c r="G174" s="271"/>
    </row>
    <row r="175" spans="5:7" x14ac:dyDescent="0.2">
      <c r="E175" s="271"/>
      <c r="G175" s="271"/>
    </row>
    <row r="176" spans="5:7" x14ac:dyDescent="0.2">
      <c r="E176" s="271"/>
      <c r="G176" s="271"/>
    </row>
    <row r="177" spans="5:7" x14ac:dyDescent="0.2">
      <c r="E177" s="271"/>
      <c r="G177" s="271"/>
    </row>
    <row r="178" spans="5:7" x14ac:dyDescent="0.2">
      <c r="E178" s="271"/>
      <c r="G178" s="271"/>
    </row>
    <row r="179" spans="5:7" x14ac:dyDescent="0.2">
      <c r="E179" s="271"/>
      <c r="G179" s="271"/>
    </row>
    <row r="180" spans="5:7" x14ac:dyDescent="0.2">
      <c r="E180" s="271"/>
      <c r="G180" s="271"/>
    </row>
    <row r="181" spans="5:7" x14ac:dyDescent="0.2">
      <c r="E181" s="271"/>
      <c r="G181" s="271"/>
    </row>
    <row r="182" spans="5:7" x14ac:dyDescent="0.2">
      <c r="E182" s="271"/>
      <c r="G182" s="271"/>
    </row>
    <row r="183" spans="5:7" x14ac:dyDescent="0.2">
      <c r="E183" s="271"/>
      <c r="G183" s="271"/>
    </row>
    <row r="184" spans="5:7" x14ac:dyDescent="0.2">
      <c r="E184" s="271"/>
      <c r="G184" s="271"/>
    </row>
    <row r="185" spans="5:7" x14ac:dyDescent="0.2">
      <c r="E185" s="271"/>
      <c r="G185" s="271"/>
    </row>
    <row r="186" spans="5:7" x14ac:dyDescent="0.2">
      <c r="E186" s="271"/>
      <c r="G186" s="271"/>
    </row>
    <row r="187" spans="5:7" x14ac:dyDescent="0.2">
      <c r="E187" s="271"/>
      <c r="G187" s="271"/>
    </row>
    <row r="188" spans="5:7" x14ac:dyDescent="0.2">
      <c r="E188" s="271"/>
      <c r="G188" s="271"/>
    </row>
    <row r="189" spans="5:7" x14ac:dyDescent="0.2">
      <c r="E189" s="271"/>
      <c r="G189" s="271"/>
    </row>
    <row r="190" spans="5:7" x14ac:dyDescent="0.2">
      <c r="E190" s="271"/>
      <c r="G190" s="271"/>
    </row>
    <row r="191" spans="5:7" x14ac:dyDescent="0.2">
      <c r="E191" s="271"/>
      <c r="G191" s="271"/>
    </row>
    <row r="192" spans="5:7" x14ac:dyDescent="0.2">
      <c r="E192" s="271"/>
      <c r="G192" s="271"/>
    </row>
    <row r="193" spans="5:7" x14ac:dyDescent="0.2">
      <c r="E193" s="271"/>
      <c r="G193" s="271"/>
    </row>
    <row r="194" spans="5:7" x14ac:dyDescent="0.2">
      <c r="E194" s="271"/>
      <c r="G194" s="271"/>
    </row>
    <row r="195" spans="5:7" x14ac:dyDescent="0.2">
      <c r="E195" s="271"/>
      <c r="G195" s="271"/>
    </row>
    <row r="196" spans="5:7" x14ac:dyDescent="0.2">
      <c r="E196" s="271"/>
      <c r="G196" s="271"/>
    </row>
    <row r="197" spans="5:7" x14ac:dyDescent="0.2">
      <c r="E197" s="271"/>
      <c r="G197" s="271"/>
    </row>
    <row r="198" spans="5:7" x14ac:dyDescent="0.2">
      <c r="E198" s="271"/>
      <c r="G198" s="271"/>
    </row>
    <row r="199" spans="5:7" x14ac:dyDescent="0.2">
      <c r="E199" s="271"/>
      <c r="G199" s="271"/>
    </row>
    <row r="200" spans="5:7" x14ac:dyDescent="0.2">
      <c r="E200" s="271"/>
      <c r="G200" s="271"/>
    </row>
    <row r="201" spans="5:7" x14ac:dyDescent="0.2">
      <c r="E201" s="271"/>
      <c r="G201" s="271"/>
    </row>
    <row r="202" spans="5:7" x14ac:dyDescent="0.2">
      <c r="E202" s="271"/>
      <c r="G202" s="271"/>
    </row>
    <row r="203" spans="5:7" x14ac:dyDescent="0.2">
      <c r="E203" s="271"/>
      <c r="G203" s="271"/>
    </row>
    <row r="204" spans="5:7" x14ac:dyDescent="0.2">
      <c r="E204" s="271"/>
      <c r="G204" s="271"/>
    </row>
    <row r="205" spans="5:7" x14ac:dyDescent="0.2">
      <c r="E205" s="271"/>
    </row>
    <row r="206" spans="5:7" x14ac:dyDescent="0.2">
      <c r="E206" s="271"/>
    </row>
    <row r="207" spans="5:7" x14ac:dyDescent="0.2">
      <c r="E207" s="271"/>
    </row>
    <row r="208" spans="5:7" x14ac:dyDescent="0.2">
      <c r="E208" s="271"/>
    </row>
    <row r="209" spans="5:5" x14ac:dyDescent="0.2">
      <c r="E209" s="271"/>
    </row>
    <row r="210" spans="5:5" x14ac:dyDescent="0.2">
      <c r="E210" s="271"/>
    </row>
    <row r="211" spans="5:5" x14ac:dyDescent="0.2">
      <c r="E211" s="271"/>
    </row>
    <row r="212" spans="5:5" x14ac:dyDescent="0.2">
      <c r="E212" s="271"/>
    </row>
    <row r="213" spans="5:5" x14ac:dyDescent="0.2">
      <c r="E213" s="271"/>
    </row>
    <row r="214" spans="5:5" x14ac:dyDescent="0.2">
      <c r="E214" s="271"/>
    </row>
    <row r="215" spans="5:5" x14ac:dyDescent="0.2">
      <c r="E215" s="271"/>
    </row>
    <row r="216" spans="5:5" x14ac:dyDescent="0.2">
      <c r="E216" s="271"/>
    </row>
    <row r="217" spans="5:5" x14ac:dyDescent="0.2">
      <c r="E217" s="271"/>
    </row>
    <row r="218" spans="5:5" x14ac:dyDescent="0.2">
      <c r="E218" s="271"/>
    </row>
    <row r="219" spans="5:5" x14ac:dyDescent="0.2">
      <c r="E219" s="271"/>
    </row>
    <row r="220" spans="5:5" x14ac:dyDescent="0.2">
      <c r="E220" s="271"/>
    </row>
    <row r="221" spans="5:5" x14ac:dyDescent="0.2">
      <c r="E221" s="271"/>
    </row>
    <row r="222" spans="5:5" x14ac:dyDescent="0.2">
      <c r="E222" s="271"/>
    </row>
    <row r="223" spans="5:5" x14ac:dyDescent="0.2">
      <c r="E223" s="271"/>
    </row>
    <row r="224" spans="5:5" x14ac:dyDescent="0.2">
      <c r="E224" s="271"/>
    </row>
    <row r="225" spans="5:5" x14ac:dyDescent="0.2">
      <c r="E225" s="271"/>
    </row>
    <row r="226" spans="5:5" x14ac:dyDescent="0.2">
      <c r="E226" s="271"/>
    </row>
    <row r="227" spans="5:5" x14ac:dyDescent="0.2">
      <c r="E227" s="271"/>
    </row>
    <row r="228" spans="5:5" x14ac:dyDescent="0.2">
      <c r="E228" s="271"/>
    </row>
    <row r="229" spans="5:5" x14ac:dyDescent="0.2">
      <c r="E229" s="271"/>
    </row>
    <row r="230" spans="5:5" x14ac:dyDescent="0.2">
      <c r="E230" s="271"/>
    </row>
    <row r="231" spans="5:5" x14ac:dyDescent="0.2">
      <c r="E231" s="271"/>
    </row>
    <row r="232" spans="5:5" x14ac:dyDescent="0.2">
      <c r="E232" s="271"/>
    </row>
    <row r="233" spans="5:5" x14ac:dyDescent="0.2">
      <c r="E233" s="271"/>
    </row>
    <row r="234" spans="5:5" x14ac:dyDescent="0.2">
      <c r="E234" s="271"/>
    </row>
    <row r="235" spans="5:5" x14ac:dyDescent="0.2">
      <c r="E235" s="271"/>
    </row>
    <row r="236" spans="5:5" x14ac:dyDescent="0.2">
      <c r="E236" s="271"/>
    </row>
    <row r="237" spans="5:5" x14ac:dyDescent="0.2">
      <c r="E237" s="271"/>
    </row>
    <row r="238" spans="5:5" x14ac:dyDescent="0.2">
      <c r="E238" s="271"/>
    </row>
    <row r="239" spans="5:5" x14ac:dyDescent="0.2">
      <c r="E239" s="271"/>
    </row>
    <row r="240" spans="5:5" x14ac:dyDescent="0.2">
      <c r="E240" s="271"/>
    </row>
    <row r="241" spans="5:5" x14ac:dyDescent="0.2">
      <c r="E241" s="271"/>
    </row>
    <row r="242" spans="5:5" x14ac:dyDescent="0.2">
      <c r="E242" s="271"/>
    </row>
    <row r="243" spans="5:5" x14ac:dyDescent="0.2">
      <c r="E243" s="271"/>
    </row>
    <row r="244" spans="5:5" x14ac:dyDescent="0.2">
      <c r="E244" s="271"/>
    </row>
    <row r="245" spans="5:5" x14ac:dyDescent="0.2">
      <c r="E245" s="271"/>
    </row>
    <row r="246" spans="5:5" x14ac:dyDescent="0.2">
      <c r="E246" s="271"/>
    </row>
    <row r="247" spans="5:5" x14ac:dyDescent="0.2">
      <c r="E247" s="271"/>
    </row>
    <row r="248" spans="5:5" x14ac:dyDescent="0.2">
      <c r="E248" s="271"/>
    </row>
    <row r="249" spans="5:5" x14ac:dyDescent="0.2">
      <c r="E249" s="271"/>
    </row>
    <row r="250" spans="5:5" x14ac:dyDescent="0.2">
      <c r="E250" s="271"/>
    </row>
    <row r="251" spans="5:5" x14ac:dyDescent="0.2">
      <c r="E251" s="271"/>
    </row>
    <row r="252" spans="5:5" x14ac:dyDescent="0.2">
      <c r="E252" s="271"/>
    </row>
    <row r="253" spans="5:5" x14ac:dyDescent="0.2">
      <c r="E253" s="271"/>
    </row>
    <row r="254" spans="5:5" x14ac:dyDescent="0.2">
      <c r="E254" s="271"/>
    </row>
    <row r="255" spans="5:5" x14ac:dyDescent="0.2">
      <c r="E255" s="271"/>
    </row>
    <row r="256" spans="5:5" x14ac:dyDescent="0.2">
      <c r="E256" s="271"/>
    </row>
    <row r="257" spans="5:5" x14ac:dyDescent="0.2">
      <c r="E257" s="271"/>
    </row>
    <row r="258" spans="5:5" x14ac:dyDescent="0.2">
      <c r="E258" s="271"/>
    </row>
    <row r="259" spans="5:5" x14ac:dyDescent="0.2">
      <c r="E259" s="271"/>
    </row>
    <row r="260" spans="5:5" x14ac:dyDescent="0.2">
      <c r="E260" s="271"/>
    </row>
    <row r="261" spans="5:5" x14ac:dyDescent="0.2">
      <c r="E261" s="271"/>
    </row>
    <row r="262" spans="5:5" x14ac:dyDescent="0.2">
      <c r="E262" s="271"/>
    </row>
    <row r="263" spans="5:5" x14ac:dyDescent="0.2">
      <c r="E263" s="271"/>
    </row>
    <row r="264" spans="5:5" x14ac:dyDescent="0.2">
      <c r="E264" s="271"/>
    </row>
    <row r="265" spans="5:5" x14ac:dyDescent="0.2">
      <c r="E265" s="271"/>
    </row>
    <row r="266" spans="5:5" x14ac:dyDescent="0.2">
      <c r="E266" s="271"/>
    </row>
    <row r="267" spans="5:5" x14ac:dyDescent="0.2">
      <c r="E267" s="271"/>
    </row>
    <row r="268" spans="5:5" x14ac:dyDescent="0.2">
      <c r="E268" s="271"/>
    </row>
    <row r="269" spans="5:5" x14ac:dyDescent="0.2">
      <c r="E269" s="271"/>
    </row>
    <row r="270" spans="5:5" x14ac:dyDescent="0.2">
      <c r="E270" s="271"/>
    </row>
    <row r="271" spans="5:5" x14ac:dyDescent="0.2">
      <c r="E271" s="271"/>
    </row>
    <row r="272" spans="5:5" x14ac:dyDescent="0.2">
      <c r="E272" s="271"/>
    </row>
    <row r="273" spans="5:5" x14ac:dyDescent="0.2">
      <c r="E273" s="271"/>
    </row>
    <row r="274" spans="5:5" x14ac:dyDescent="0.2">
      <c r="E274" s="271"/>
    </row>
    <row r="275" spans="5:5" x14ac:dyDescent="0.2">
      <c r="E275" s="271"/>
    </row>
    <row r="276" spans="5:5" x14ac:dyDescent="0.2">
      <c r="E276" s="271"/>
    </row>
    <row r="277" spans="5:5" x14ac:dyDescent="0.2">
      <c r="E277" s="271"/>
    </row>
    <row r="278" spans="5:5" x14ac:dyDescent="0.2">
      <c r="E278" s="271"/>
    </row>
    <row r="279" spans="5:5" x14ac:dyDescent="0.2">
      <c r="E279" s="271"/>
    </row>
    <row r="280" spans="5:5" x14ac:dyDescent="0.2">
      <c r="E280" s="271"/>
    </row>
    <row r="281" spans="5:5" x14ac:dyDescent="0.2">
      <c r="E281" s="271"/>
    </row>
    <row r="282" spans="5:5" x14ac:dyDescent="0.2">
      <c r="E282" s="271"/>
    </row>
    <row r="283" spans="5:5" x14ac:dyDescent="0.2">
      <c r="E283" s="271"/>
    </row>
    <row r="284" spans="5:5" x14ac:dyDescent="0.2">
      <c r="E284" s="271"/>
    </row>
    <row r="285" spans="5:5" x14ac:dyDescent="0.2">
      <c r="E285" s="271"/>
    </row>
    <row r="286" spans="5:5" x14ac:dyDescent="0.2">
      <c r="E286" s="271"/>
    </row>
    <row r="287" spans="5:5" x14ac:dyDescent="0.2">
      <c r="E287" s="271"/>
    </row>
    <row r="288" spans="5:5" x14ac:dyDescent="0.2">
      <c r="E288" s="271"/>
    </row>
    <row r="289" spans="5:5" x14ac:dyDescent="0.2">
      <c r="E289" s="271"/>
    </row>
    <row r="290" spans="5:5" x14ac:dyDescent="0.2">
      <c r="E290" s="271"/>
    </row>
    <row r="291" spans="5:5" x14ac:dyDescent="0.2">
      <c r="E291" s="271"/>
    </row>
    <row r="292" spans="5:5" x14ac:dyDescent="0.2">
      <c r="E292" s="271"/>
    </row>
    <row r="293" spans="5:5" x14ac:dyDescent="0.2">
      <c r="E293" s="271"/>
    </row>
    <row r="294" spans="5:5" x14ac:dyDescent="0.2">
      <c r="E294" s="271"/>
    </row>
    <row r="295" spans="5:5" x14ac:dyDescent="0.2">
      <c r="E295" s="271"/>
    </row>
    <row r="296" spans="5:5" x14ac:dyDescent="0.2">
      <c r="E296" s="271"/>
    </row>
    <row r="297" spans="5:5" x14ac:dyDescent="0.2">
      <c r="E297" s="271"/>
    </row>
    <row r="298" spans="5:5" x14ac:dyDescent="0.2">
      <c r="E298" s="271"/>
    </row>
    <row r="299" spans="5:5" x14ac:dyDescent="0.2">
      <c r="E299" s="271"/>
    </row>
    <row r="300" spans="5:5" x14ac:dyDescent="0.2">
      <c r="E300" s="271"/>
    </row>
    <row r="301" spans="5:5" x14ac:dyDescent="0.2">
      <c r="E301" s="271"/>
    </row>
    <row r="302" spans="5:5" x14ac:dyDescent="0.2">
      <c r="E302" s="271"/>
    </row>
    <row r="303" spans="5:5" x14ac:dyDescent="0.2">
      <c r="E303" s="271"/>
    </row>
    <row r="304" spans="5:5" x14ac:dyDescent="0.2">
      <c r="E304" s="271"/>
    </row>
    <row r="305" spans="5:5" x14ac:dyDescent="0.2">
      <c r="E305" s="271"/>
    </row>
    <row r="306" spans="5:5" x14ac:dyDescent="0.2">
      <c r="E306" s="271"/>
    </row>
    <row r="307" spans="5:5" x14ac:dyDescent="0.2">
      <c r="E307" s="271"/>
    </row>
    <row r="308" spans="5:5" x14ac:dyDescent="0.2">
      <c r="E308" s="271"/>
    </row>
    <row r="309" spans="5:5" x14ac:dyDescent="0.2">
      <c r="E309" s="271"/>
    </row>
    <row r="310" spans="5:5" x14ac:dyDescent="0.2">
      <c r="E310" s="271"/>
    </row>
    <row r="311" spans="5:5" x14ac:dyDescent="0.2">
      <c r="E311" s="271"/>
    </row>
    <row r="312" spans="5:5" x14ac:dyDescent="0.2">
      <c r="E312" s="271"/>
    </row>
    <row r="313" spans="5:5" x14ac:dyDescent="0.2">
      <c r="E313" s="271"/>
    </row>
    <row r="314" spans="5:5" x14ac:dyDescent="0.2">
      <c r="E314" s="271"/>
    </row>
    <row r="315" spans="5:5" x14ac:dyDescent="0.2">
      <c r="E315" s="271"/>
    </row>
    <row r="316" spans="5:5" x14ac:dyDescent="0.2">
      <c r="E316" s="271"/>
    </row>
    <row r="317" spans="5:5" x14ac:dyDescent="0.2">
      <c r="E317" s="271"/>
    </row>
    <row r="318" spans="5:5" x14ac:dyDescent="0.2">
      <c r="E318" s="271"/>
    </row>
    <row r="319" spans="5:5" x14ac:dyDescent="0.2">
      <c r="E319" s="271"/>
    </row>
    <row r="320" spans="5:5" x14ac:dyDescent="0.2">
      <c r="E320" s="271"/>
    </row>
    <row r="321" spans="5:5" x14ac:dyDescent="0.2">
      <c r="E321" s="271"/>
    </row>
    <row r="322" spans="5:5" x14ac:dyDescent="0.2">
      <c r="E322" s="271"/>
    </row>
    <row r="323" spans="5:5" x14ac:dyDescent="0.2">
      <c r="E323" s="271"/>
    </row>
    <row r="324" spans="5:5" x14ac:dyDescent="0.2">
      <c r="E324" s="271"/>
    </row>
    <row r="325" spans="5:5" x14ac:dyDescent="0.2">
      <c r="E325" s="271"/>
    </row>
    <row r="326" spans="5:5" x14ac:dyDescent="0.2">
      <c r="E326" s="271"/>
    </row>
    <row r="327" spans="5:5" x14ac:dyDescent="0.2">
      <c r="E327" s="271"/>
    </row>
    <row r="328" spans="5:5" x14ac:dyDescent="0.2">
      <c r="E328" s="271"/>
    </row>
    <row r="329" spans="5:5" x14ac:dyDescent="0.2">
      <c r="E329" s="271"/>
    </row>
    <row r="330" spans="5:5" x14ac:dyDescent="0.2">
      <c r="E330" s="271"/>
    </row>
    <row r="331" spans="5:5" x14ac:dyDescent="0.2">
      <c r="E331" s="271"/>
    </row>
    <row r="332" spans="5:5" x14ac:dyDescent="0.2">
      <c r="E332" s="271"/>
    </row>
    <row r="333" spans="5:5" x14ac:dyDescent="0.2">
      <c r="E333" s="271"/>
    </row>
    <row r="334" spans="5:5" x14ac:dyDescent="0.2">
      <c r="E334" s="271"/>
    </row>
    <row r="335" spans="5:5" x14ac:dyDescent="0.2">
      <c r="E335" s="271"/>
    </row>
    <row r="336" spans="5:5" x14ac:dyDescent="0.2">
      <c r="E336" s="271"/>
    </row>
    <row r="337" spans="5:5" x14ac:dyDescent="0.2">
      <c r="E337" s="271"/>
    </row>
    <row r="338" spans="5:5" x14ac:dyDescent="0.2">
      <c r="E338" s="271"/>
    </row>
    <row r="339" spans="5:5" x14ac:dyDescent="0.2">
      <c r="E339" s="271"/>
    </row>
    <row r="340" spans="5:5" x14ac:dyDescent="0.2">
      <c r="E340" s="271"/>
    </row>
    <row r="341" spans="5:5" x14ac:dyDescent="0.2">
      <c r="E341" s="271"/>
    </row>
    <row r="342" spans="5:5" x14ac:dyDescent="0.2">
      <c r="E342" s="271"/>
    </row>
    <row r="343" spans="5:5" x14ac:dyDescent="0.2">
      <c r="E343" s="271"/>
    </row>
    <row r="344" spans="5:5" x14ac:dyDescent="0.2">
      <c r="E344" s="271"/>
    </row>
    <row r="345" spans="5:5" x14ac:dyDescent="0.2">
      <c r="E345" s="271"/>
    </row>
    <row r="346" spans="5:5" x14ac:dyDescent="0.2">
      <c r="E346" s="271"/>
    </row>
    <row r="347" spans="5:5" x14ac:dyDescent="0.2">
      <c r="E347" s="271"/>
    </row>
    <row r="348" spans="5:5" x14ac:dyDescent="0.2">
      <c r="E348" s="271"/>
    </row>
    <row r="349" spans="5:5" x14ac:dyDescent="0.2">
      <c r="E349" s="271"/>
    </row>
    <row r="350" spans="5:5" x14ac:dyDescent="0.2">
      <c r="E350" s="271"/>
    </row>
    <row r="351" spans="5:5" x14ac:dyDescent="0.2">
      <c r="E351" s="271"/>
    </row>
    <row r="352" spans="5:5" x14ac:dyDescent="0.2">
      <c r="E352" s="271"/>
    </row>
    <row r="353" spans="5:5" x14ac:dyDescent="0.2">
      <c r="E353" s="271"/>
    </row>
    <row r="354" spans="5:5" x14ac:dyDescent="0.2">
      <c r="E354" s="271"/>
    </row>
    <row r="355" spans="5:5" x14ac:dyDescent="0.2">
      <c r="E355" s="271"/>
    </row>
    <row r="356" spans="5:5" x14ac:dyDescent="0.2">
      <c r="E356" s="271"/>
    </row>
    <row r="357" spans="5:5" x14ac:dyDescent="0.2">
      <c r="E357" s="271"/>
    </row>
    <row r="358" spans="5:5" x14ac:dyDescent="0.2">
      <c r="E358" s="271"/>
    </row>
    <row r="359" spans="5:5" x14ac:dyDescent="0.2">
      <c r="E359" s="271"/>
    </row>
    <row r="360" spans="5:5" x14ac:dyDescent="0.2">
      <c r="E360" s="271"/>
    </row>
    <row r="361" spans="5:5" x14ac:dyDescent="0.2">
      <c r="E361" s="271"/>
    </row>
    <row r="362" spans="5:5" x14ac:dyDescent="0.2">
      <c r="E362" s="271"/>
    </row>
    <row r="363" spans="5:5" x14ac:dyDescent="0.2">
      <c r="E363" s="271"/>
    </row>
    <row r="364" spans="5:5" x14ac:dyDescent="0.2">
      <c r="E364" s="271"/>
    </row>
    <row r="365" spans="5:5" x14ac:dyDescent="0.2">
      <c r="E365" s="271"/>
    </row>
    <row r="366" spans="5:5" x14ac:dyDescent="0.2">
      <c r="E366" s="271"/>
    </row>
    <row r="367" spans="5:5" x14ac:dyDescent="0.2">
      <c r="E367" s="271"/>
    </row>
    <row r="368" spans="5:5" x14ac:dyDescent="0.2">
      <c r="E368" s="271"/>
    </row>
    <row r="369" spans="5:5" x14ac:dyDescent="0.2">
      <c r="E369" s="271"/>
    </row>
    <row r="370" spans="5:5" x14ac:dyDescent="0.2">
      <c r="E370" s="271"/>
    </row>
    <row r="371" spans="5:5" x14ac:dyDescent="0.2">
      <c r="E371" s="271"/>
    </row>
    <row r="372" spans="5:5" x14ac:dyDescent="0.2">
      <c r="E372" s="271"/>
    </row>
    <row r="373" spans="5:5" x14ac:dyDescent="0.2">
      <c r="E373" s="271"/>
    </row>
    <row r="374" spans="5:5" x14ac:dyDescent="0.2">
      <c r="E374" s="271"/>
    </row>
    <row r="375" spans="5:5" x14ac:dyDescent="0.2">
      <c r="E375" s="271"/>
    </row>
    <row r="376" spans="5:5" x14ac:dyDescent="0.2">
      <c r="E376" s="271"/>
    </row>
    <row r="377" spans="5:5" x14ac:dyDescent="0.2">
      <c r="E377" s="271"/>
    </row>
    <row r="378" spans="5:5" x14ac:dyDescent="0.2">
      <c r="E378" s="271"/>
    </row>
    <row r="379" spans="5:5" x14ac:dyDescent="0.2">
      <c r="E379" s="271"/>
    </row>
    <row r="380" spans="5:5" x14ac:dyDescent="0.2">
      <c r="E380" s="271"/>
    </row>
    <row r="381" spans="5:5" x14ac:dyDescent="0.2">
      <c r="E381" s="271"/>
    </row>
    <row r="382" spans="5:5" x14ac:dyDescent="0.2">
      <c r="E382" s="271"/>
    </row>
    <row r="383" spans="5:5" x14ac:dyDescent="0.2">
      <c r="E383" s="271"/>
    </row>
    <row r="384" spans="5:5" x14ac:dyDescent="0.2">
      <c r="E384" s="271"/>
    </row>
    <row r="385" spans="5:5" x14ac:dyDescent="0.2">
      <c r="E385" s="271"/>
    </row>
    <row r="386" spans="5:5" x14ac:dyDescent="0.2">
      <c r="E386" s="271"/>
    </row>
    <row r="387" spans="5:5" x14ac:dyDescent="0.2">
      <c r="E387" s="271"/>
    </row>
    <row r="388" spans="5:5" x14ac:dyDescent="0.2">
      <c r="E388" s="271"/>
    </row>
    <row r="389" spans="5:5" x14ac:dyDescent="0.2">
      <c r="E389" s="271"/>
    </row>
    <row r="390" spans="5:5" x14ac:dyDescent="0.2">
      <c r="E390" s="271"/>
    </row>
    <row r="391" spans="5:5" x14ac:dyDescent="0.2">
      <c r="E391" s="271"/>
    </row>
    <row r="392" spans="5:5" x14ac:dyDescent="0.2">
      <c r="E392" s="271"/>
    </row>
    <row r="393" spans="5:5" x14ac:dyDescent="0.2">
      <c r="E393" s="271"/>
    </row>
    <row r="394" spans="5:5" x14ac:dyDescent="0.2">
      <c r="E394" s="271"/>
    </row>
    <row r="395" spans="5:5" x14ac:dyDescent="0.2">
      <c r="E395" s="271"/>
    </row>
    <row r="396" spans="5:5" x14ac:dyDescent="0.2">
      <c r="E396" s="271"/>
    </row>
    <row r="397" spans="5:5" x14ac:dyDescent="0.2">
      <c r="E397" s="271"/>
    </row>
    <row r="398" spans="5:5" x14ac:dyDescent="0.2">
      <c r="E398" s="271"/>
    </row>
    <row r="399" spans="5:5" x14ac:dyDescent="0.2">
      <c r="E399" s="271"/>
    </row>
    <row r="400" spans="5:5" x14ac:dyDescent="0.2">
      <c r="E400" s="271"/>
    </row>
    <row r="401" spans="5:5" x14ac:dyDescent="0.2">
      <c r="E401" s="271"/>
    </row>
    <row r="402" spans="5:5" x14ac:dyDescent="0.2">
      <c r="E402" s="271"/>
    </row>
    <row r="403" spans="5:5" x14ac:dyDescent="0.2">
      <c r="E403" s="271"/>
    </row>
    <row r="404" spans="5:5" x14ac:dyDescent="0.2">
      <c r="E404" s="271"/>
    </row>
    <row r="405" spans="5:5" x14ac:dyDescent="0.2">
      <c r="E405" s="271"/>
    </row>
    <row r="406" spans="5:5" x14ac:dyDescent="0.2">
      <c r="E406" s="271"/>
    </row>
    <row r="407" spans="5:5" x14ac:dyDescent="0.2">
      <c r="E407" s="271"/>
    </row>
    <row r="408" spans="5:5" x14ac:dyDescent="0.2">
      <c r="E408" s="271"/>
    </row>
    <row r="409" spans="5:5" x14ac:dyDescent="0.2">
      <c r="E409" s="271"/>
    </row>
    <row r="410" spans="5:5" x14ac:dyDescent="0.2">
      <c r="E410" s="271"/>
    </row>
    <row r="411" spans="5:5" x14ac:dyDescent="0.2">
      <c r="E411" s="271"/>
    </row>
    <row r="412" spans="5:5" x14ac:dyDescent="0.2">
      <c r="E412" s="271"/>
    </row>
    <row r="413" spans="5:5" x14ac:dyDescent="0.2">
      <c r="E413" s="271"/>
    </row>
    <row r="414" spans="5:5" x14ac:dyDescent="0.2">
      <c r="E414" s="271"/>
    </row>
    <row r="415" spans="5:5" x14ac:dyDescent="0.2">
      <c r="E415" s="271"/>
    </row>
    <row r="416" spans="5:5" x14ac:dyDescent="0.2">
      <c r="E416" s="271"/>
    </row>
    <row r="417" spans="5:5" x14ac:dyDescent="0.2">
      <c r="E417" s="271"/>
    </row>
    <row r="418" spans="5:5" x14ac:dyDescent="0.2">
      <c r="E418" s="271"/>
    </row>
    <row r="419" spans="5:5" x14ac:dyDescent="0.2">
      <c r="E419" s="271"/>
    </row>
    <row r="420" spans="5:5" x14ac:dyDescent="0.2">
      <c r="E420" s="271"/>
    </row>
    <row r="421" spans="5:5" x14ac:dyDescent="0.2">
      <c r="E421" s="271"/>
    </row>
    <row r="422" spans="5:5" x14ac:dyDescent="0.2">
      <c r="E422" s="271"/>
    </row>
    <row r="423" spans="5:5" x14ac:dyDescent="0.2">
      <c r="E423" s="271"/>
    </row>
    <row r="424" spans="5:5" x14ac:dyDescent="0.2">
      <c r="E424" s="271"/>
    </row>
    <row r="425" spans="5:5" x14ac:dyDescent="0.2">
      <c r="E425" s="271"/>
    </row>
    <row r="426" spans="5:5" x14ac:dyDescent="0.2">
      <c r="E426" s="271"/>
    </row>
    <row r="427" spans="5:5" x14ac:dyDescent="0.2">
      <c r="E427" s="271"/>
    </row>
    <row r="428" spans="5:5" x14ac:dyDescent="0.2">
      <c r="E428" s="271"/>
    </row>
    <row r="429" spans="5:5" x14ac:dyDescent="0.2">
      <c r="E429" s="271"/>
    </row>
    <row r="430" spans="5:5" x14ac:dyDescent="0.2">
      <c r="E430" s="271"/>
    </row>
    <row r="431" spans="5:5" x14ac:dyDescent="0.2">
      <c r="E431" s="271"/>
    </row>
    <row r="432" spans="5:5" x14ac:dyDescent="0.2">
      <c r="E432" s="271"/>
    </row>
    <row r="433" spans="5:7" x14ac:dyDescent="0.2">
      <c r="E433" s="271"/>
    </row>
    <row r="434" spans="5:7" x14ac:dyDescent="0.2">
      <c r="E434" s="271"/>
    </row>
    <row r="435" spans="5:7" x14ac:dyDescent="0.2">
      <c r="E435" s="271"/>
    </row>
    <row r="436" spans="5:7" x14ac:dyDescent="0.2">
      <c r="E436" s="271"/>
    </row>
    <row r="437" spans="5:7" x14ac:dyDescent="0.2">
      <c r="E437" s="271"/>
    </row>
    <row r="438" spans="5:7" x14ac:dyDescent="0.2">
      <c r="E438" s="271"/>
    </row>
    <row r="439" spans="5:7" x14ac:dyDescent="0.2">
      <c r="E439" s="271"/>
    </row>
    <row r="440" spans="5:7" x14ac:dyDescent="0.2">
      <c r="E440" s="271"/>
    </row>
    <row r="441" spans="5:7" x14ac:dyDescent="0.2">
      <c r="E441" s="271"/>
    </row>
    <row r="442" spans="5:7" x14ac:dyDescent="0.2">
      <c r="E442" s="271"/>
    </row>
    <row r="443" spans="5:7" x14ac:dyDescent="0.2">
      <c r="E443" s="271"/>
    </row>
    <row r="444" spans="5:7" x14ac:dyDescent="0.2">
      <c r="E444" s="271"/>
    </row>
    <row r="445" spans="5:7" x14ac:dyDescent="0.2">
      <c r="E445" s="271"/>
    </row>
    <row r="446" spans="5:7" x14ac:dyDescent="0.2">
      <c r="E446" s="271"/>
      <c r="F446" s="271"/>
      <c r="G446" s="271"/>
    </row>
    <row r="447" spans="5:7" x14ac:dyDescent="0.2">
      <c r="E447" s="271"/>
      <c r="F447" s="271"/>
      <c r="G447" s="271"/>
    </row>
    <row r="448" spans="5:7" x14ac:dyDescent="0.2">
      <c r="E448" s="271"/>
      <c r="F448" s="271"/>
      <c r="G448" s="271"/>
    </row>
    <row r="449" spans="5:7" x14ac:dyDescent="0.2">
      <c r="E449" s="271"/>
      <c r="F449" s="271"/>
      <c r="G449" s="271"/>
    </row>
    <row r="450" spans="5:7" x14ac:dyDescent="0.2">
      <c r="E450" s="271"/>
      <c r="F450" s="271"/>
      <c r="G450" s="271"/>
    </row>
    <row r="451" spans="5:7" x14ac:dyDescent="0.2">
      <c r="E451" s="271"/>
      <c r="F451" s="271"/>
      <c r="G451" s="271"/>
    </row>
    <row r="452" spans="5:7" x14ac:dyDescent="0.2">
      <c r="E452" s="271"/>
      <c r="F452" s="271"/>
      <c r="G452" s="271"/>
    </row>
    <row r="453" spans="5:7" x14ac:dyDescent="0.2">
      <c r="E453" s="271"/>
      <c r="F453" s="271"/>
      <c r="G453" s="271"/>
    </row>
    <row r="454" spans="5:7" x14ac:dyDescent="0.2">
      <c r="E454" s="271"/>
      <c r="F454" s="271"/>
      <c r="G454" s="271"/>
    </row>
  </sheetData>
  <pageMargins left="0.28000000000000003" right="0.28000000000000003" top="0.52" bottom="0.5" header="0.5" footer="0.5"/>
  <pageSetup scale="52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B4" sqref="B4:S52"/>
    </sheetView>
  </sheetViews>
  <sheetFormatPr defaultRowHeight="12.75" x14ac:dyDescent="0.2"/>
  <cols>
    <col min="1" max="1" width="4" customWidth="1"/>
    <col min="2" max="2" width="12.28515625" customWidth="1"/>
    <col min="3" max="3" width="11.5703125" customWidth="1"/>
    <col min="4" max="6" width="12.28515625" customWidth="1"/>
    <col min="7" max="9" width="0" hidden="1" customWidth="1"/>
    <col min="11" max="14" width="10.28515625" customWidth="1"/>
    <col min="16" max="18" width="13.140625" customWidth="1"/>
    <col min="19" max="19" width="11.7109375" bestFit="1" customWidth="1"/>
  </cols>
  <sheetData>
    <row r="2" spans="2:20" ht="20.25" x14ac:dyDescent="0.2">
      <c r="B2" s="120" t="s">
        <v>164</v>
      </c>
    </row>
    <row r="5" spans="2:20" ht="15.75" x14ac:dyDescent="0.25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5" thickBot="1" x14ac:dyDescent="0.25">
      <c r="S6" s="198">
        <f ca="1">+IRR(S8:S38)</f>
        <v>9.4384407478364407E-2</v>
      </c>
    </row>
    <row r="7" spans="2:20" ht="13.5" thickBot="1" x14ac:dyDescent="0.25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23.802856024886598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5" thickBot="1" x14ac:dyDescent="0.25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-51303.195981119461</v>
      </c>
    </row>
    <row r="9" spans="2:20" x14ac:dyDescent="0.2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342.02130654079645</v>
      </c>
      <c r="M9" s="133">
        <f ca="1">IF(SUMMARY!$D$21*12&gt;=K9,-PPMT(SUMMARY!$D$22/12,K9,SUMMARY!$D$21*12,SUMMARY!$D$20),0)</f>
        <v>87.099181319530643</v>
      </c>
      <c r="N9" s="160">
        <f t="shared" ref="N9:N72" ca="1" si="0">+M9+L9</f>
        <v>429.1204878603271</v>
      </c>
      <c r="P9" s="159">
        <v>1</v>
      </c>
      <c r="Q9" s="194">
        <f ca="1">IF(SUMMARY!$D$21&gt;=K9,(SUMMARY!$D$24+SUMMARY!$I$17)*12*SUMMARY!$D$6,0)</f>
        <v>8598.0845589079854</v>
      </c>
      <c r="R9" s="194">
        <f>IF(SUMMARY!$D$21&gt;=K9,SUMMARY!$D$28*12*SUMMARY!$D$6,0)+IF(P9=SUMMARY!$D$21,SUMMARY!$D$29*SUMMARY!$D$15,0)</f>
        <v>13917.567610984453</v>
      </c>
      <c r="S9" s="195">
        <f t="shared" ref="S9:S38" ca="1" si="1">+R9-Q9</f>
        <v>5319.4830520764681</v>
      </c>
    </row>
    <row r="10" spans="2:20" x14ac:dyDescent="0.2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341.44064533199958</v>
      </c>
      <c r="M10" s="133">
        <f ca="1">IF(SUMMARY!$D$21*12&gt;=K10,-PPMT(SUMMARY!$D$22/12,K10,SUMMARY!$D$21*12,SUMMARY!$D$20),0)</f>
        <v>87.679842528327526</v>
      </c>
      <c r="N10" s="160">
        <f t="shared" ca="1" si="0"/>
        <v>429.1204878603271</v>
      </c>
      <c r="P10" s="159">
        <v>2</v>
      </c>
      <c r="Q10" s="194">
        <f ca="1">IF(SUMMARY!$D$21&gt;=K10,(SUMMARY!$D$24+SUMMARY!$I$17)*12*SUMMARY!$D$6,0)</f>
        <v>8598.0845589079854</v>
      </c>
      <c r="R10" s="194">
        <f>IF(SUMMARY!$D$21&gt;=K10,SUMMARY!$D$28*12*SUMMARY!$D$6,0)+IF(P10=SUMMARY!$D$21,SUMMARY!$D$29*SUMMARY!$D$15,0)</f>
        <v>13917.567610984453</v>
      </c>
      <c r="S10" s="195">
        <f t="shared" ca="1" si="1"/>
        <v>5319.4830520764681</v>
      </c>
    </row>
    <row r="11" spans="2:20" ht="13.5" thickBot="1" x14ac:dyDescent="0.25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340.85611304847731</v>
      </c>
      <c r="M11" s="133">
        <f ca="1">IF(SUMMARY!$D$21*12&gt;=K11,-PPMT(SUMMARY!$D$22/12,K11,SUMMARY!$D$21*12,SUMMARY!$D$20),0)</f>
        <v>88.26437481184972</v>
      </c>
      <c r="N11" s="160">
        <f t="shared" ca="1" si="0"/>
        <v>429.12048786032705</v>
      </c>
      <c r="P11" s="159">
        <v>3</v>
      </c>
      <c r="Q11" s="194">
        <f ca="1">IF(SUMMARY!$D$21&gt;=K11,(SUMMARY!$D$24+SUMMARY!$I$17)*12*SUMMARY!$D$6,0)</f>
        <v>8598.0845589079854</v>
      </c>
      <c r="R11" s="194">
        <f>IF(SUMMARY!$D$21&gt;=K11,SUMMARY!$D$28*12*SUMMARY!$D$6,0)+IF(P11=SUMMARY!$D$21,SUMMARY!$D$29*SUMMARY!$D$15,0)</f>
        <v>13917.567610984453</v>
      </c>
      <c r="S11" s="195">
        <f t="shared" ca="1" si="1"/>
        <v>5319.4830520764681</v>
      </c>
      <c r="T11" s="152"/>
    </row>
    <row r="12" spans="2:20" x14ac:dyDescent="0.2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340.26768388306499</v>
      </c>
      <c r="M12" s="133">
        <f ca="1">IF(SUMMARY!$D$21*12&gt;=K12,-PPMT(SUMMARY!$D$22/12,K12,SUMMARY!$D$21*12,SUMMARY!$D$20),0)</f>
        <v>88.852803977262042</v>
      </c>
      <c r="N12" s="160">
        <f t="shared" ca="1" si="0"/>
        <v>429.12048786032705</v>
      </c>
      <c r="P12" s="159">
        <v>4</v>
      </c>
      <c r="Q12" s="194">
        <f ca="1">IF(SUMMARY!$D$21&gt;=K12,(SUMMARY!$D$24+SUMMARY!$I$17)*12*SUMMARY!$D$6,0)</f>
        <v>8598.0845589079854</v>
      </c>
      <c r="R12" s="194">
        <f>IF(SUMMARY!$D$21&gt;=K12,SUMMARY!$D$28*12*SUMMARY!$D$6,0)+IF(P12=SUMMARY!$D$21,SUMMARY!$D$29*SUMMARY!$D$15,0)</f>
        <v>13917.567610984453</v>
      </c>
      <c r="S12" s="195">
        <f t="shared" ca="1" si="1"/>
        <v>5319.4830520764681</v>
      </c>
    </row>
    <row r="13" spans="2:20" x14ac:dyDescent="0.2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94.44719106867511</v>
      </c>
      <c r="E13" s="181">
        <f ca="1">+D13+$F$7</f>
        <v>118.2500470935617</v>
      </c>
      <c r="F13" s="182">
        <f>+$F$7</f>
        <v>23.802856024886598</v>
      </c>
      <c r="G13" s="153"/>
      <c r="K13" s="159">
        <v>5</v>
      </c>
      <c r="L13" s="133">
        <f ca="1">-IF(SUMMARY!$D$21*12&gt;=K13,IPMT(SUMMARY!$D$22/12,K13,SUMMARY!$D$21*12,SUMMARY!$D$20),0)</f>
        <v>339.67533185654992</v>
      </c>
      <c r="M13" s="133">
        <f ca="1">IF(SUMMARY!$D$21*12&gt;=K13,-PPMT(SUMMARY!$D$22/12,K13,SUMMARY!$D$21*12,SUMMARY!$D$20),0)</f>
        <v>89.445156003777115</v>
      </c>
      <c r="N13" s="160">
        <f t="shared" ca="1" si="0"/>
        <v>429.12048786032705</v>
      </c>
      <c r="P13" s="159">
        <v>5</v>
      </c>
      <c r="Q13" s="194">
        <f ca="1">IF(SUMMARY!$D$21&gt;=K13,(SUMMARY!$D$24+SUMMARY!$I$17)*12*SUMMARY!$D$6,0)</f>
        <v>8598.0845589079854</v>
      </c>
      <c r="R13" s="194">
        <f>IF(SUMMARY!$D$21&gt;=K13,SUMMARY!$D$28*12*SUMMARY!$D$6,0)+IF(P13=SUMMARY!$D$21,SUMMARY!$D$29*SUMMARY!$D$15,0)</f>
        <v>13917.567610984453</v>
      </c>
      <c r="S13" s="195">
        <f t="shared" ca="1" si="1"/>
        <v>5319.4830520764681</v>
      </c>
      <c r="T13" s="179"/>
    </row>
    <row r="14" spans="2:20" x14ac:dyDescent="0.2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78.705992557229266</v>
      </c>
      <c r="E14" s="181">
        <f t="shared" ref="E14:E28" ca="1" si="2">+D14+$F$7</f>
        <v>102.50884858211586</v>
      </c>
      <c r="F14" s="182">
        <f t="shared" ref="F14:F28" si="3">+$F$7</f>
        <v>23.802856024886598</v>
      </c>
      <c r="G14" s="153"/>
      <c r="K14" s="159">
        <v>6</v>
      </c>
      <c r="L14" s="133">
        <f ca="1">-IF(SUMMARY!$D$21*12&gt;=K14,IPMT(SUMMARY!$D$22/12,K14,SUMMARY!$D$21*12,SUMMARY!$D$20),0)</f>
        <v>339.07903081652472</v>
      </c>
      <c r="M14" s="133">
        <f ca="1">IF(SUMMARY!$D$21*12&gt;=K14,-PPMT(SUMMARY!$D$22/12,K14,SUMMARY!$D$21*12,SUMMARY!$D$20),0)</f>
        <v>90.041457043802282</v>
      </c>
      <c r="N14" s="160">
        <f t="shared" ca="1" si="0"/>
        <v>429.12048786032699</v>
      </c>
      <c r="P14" s="159">
        <v>6</v>
      </c>
      <c r="Q14" s="194">
        <f ca="1">IF(SUMMARY!$D$21&gt;=K14,(SUMMARY!$D$24+SUMMARY!$I$17)*12*SUMMARY!$D$6,0)</f>
        <v>8598.0845589079854</v>
      </c>
      <c r="R14" s="194">
        <f>IF(SUMMARY!$D$21&gt;=K14,SUMMARY!$D$28*12*SUMMARY!$D$6,0)+IF(P14=SUMMARY!$D$21,SUMMARY!$D$29*SUMMARY!$D$15,0)</f>
        <v>13917.567610984453</v>
      </c>
      <c r="S14" s="195">
        <f t="shared" ca="1" si="1"/>
        <v>5319.4830520764681</v>
      </c>
      <c r="T14" s="179"/>
    </row>
    <row r="15" spans="2:20" x14ac:dyDescent="0.2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67.462279334767928</v>
      </c>
      <c r="E15" s="181">
        <f t="shared" ca="1" si="2"/>
        <v>91.265135359654522</v>
      </c>
      <c r="F15" s="182">
        <f t="shared" si="3"/>
        <v>23.802856024886598</v>
      </c>
      <c r="G15" s="153"/>
      <c r="K15" s="159">
        <v>7</v>
      </c>
      <c r="L15" s="133">
        <f ca="1">-IF(SUMMARY!$D$21*12&gt;=K15,IPMT(SUMMARY!$D$22/12,K15,SUMMARY!$D$21*12,SUMMARY!$D$20),0)</f>
        <v>338.47875443623275</v>
      </c>
      <c r="M15" s="133">
        <f ca="1">IF(SUMMARY!$D$21*12&gt;=K15,-PPMT(SUMMARY!$D$22/12,K15,SUMMARY!$D$21*12,SUMMARY!$D$20),0)</f>
        <v>90.641733424094298</v>
      </c>
      <c r="N15" s="160">
        <f t="shared" ca="1" si="0"/>
        <v>429.12048786032705</v>
      </c>
      <c r="P15" s="159">
        <v>7</v>
      </c>
      <c r="Q15" s="194">
        <f ca="1">IF(SUMMARY!$D$21&gt;=K15,(SUMMARY!$D$24+SUMMARY!$I$17)*12*SUMMARY!$D$6,0)</f>
        <v>8598.0845589079854</v>
      </c>
      <c r="R15" s="194">
        <f>IF(SUMMARY!$D$21&gt;=K15,SUMMARY!$D$28*12*SUMMARY!$D$6,0)+IF(P15=SUMMARY!$D$21,SUMMARY!$D$29*SUMMARY!$D$15,0)</f>
        <v>13917.567610984453</v>
      </c>
      <c r="S15" s="195">
        <f t="shared" ca="1" si="1"/>
        <v>5319.4830520764681</v>
      </c>
      <c r="T15" s="179"/>
    </row>
    <row r="16" spans="2:20" x14ac:dyDescent="0.2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59.029494417921946</v>
      </c>
      <c r="E16" s="181">
        <f t="shared" ca="1" si="2"/>
        <v>82.832350442808547</v>
      </c>
      <c r="F16" s="182">
        <f t="shared" si="3"/>
        <v>23.802856024886598</v>
      </c>
      <c r="G16" s="153"/>
      <c r="K16" s="159">
        <v>8</v>
      </c>
      <c r="L16" s="133">
        <f ca="1">-IF(SUMMARY!$D$21*12&gt;=K16,IPMT(SUMMARY!$D$22/12,K16,SUMMARY!$D$21*12,SUMMARY!$D$20),0)</f>
        <v>337.87447621340544</v>
      </c>
      <c r="M16" s="133">
        <f ca="1">IF(SUMMARY!$D$21*12&gt;=K16,-PPMT(SUMMARY!$D$22/12,K16,SUMMARY!$D$21*12,SUMMARY!$D$20),0)</f>
        <v>91.246011646921616</v>
      </c>
      <c r="N16" s="160">
        <f t="shared" ca="1" si="0"/>
        <v>429.12048786032705</v>
      </c>
      <c r="P16" s="159">
        <v>8</v>
      </c>
      <c r="Q16" s="194">
        <f ca="1">IF(SUMMARY!$D$21&gt;=K16,(SUMMARY!$D$24+SUMMARY!$I$17)*12*SUMMARY!$D$6,0)</f>
        <v>8598.0845589079854</v>
      </c>
      <c r="R16" s="194">
        <f>IF(SUMMARY!$D$21&gt;=K16,SUMMARY!$D$28*12*SUMMARY!$D$6,0)+IF(P16=SUMMARY!$D$21,SUMMARY!$D$29*SUMMARY!$D$15,0)</f>
        <v>13917.567610984453</v>
      </c>
      <c r="S16" s="195">
        <f t="shared" ca="1" si="1"/>
        <v>5319.4830520764681</v>
      </c>
      <c r="T16" s="179"/>
    </row>
    <row r="17" spans="2:20" x14ac:dyDescent="0.2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52.470661704819506</v>
      </c>
      <c r="E17" s="181">
        <f t="shared" ca="1" si="2"/>
        <v>76.2735177297061</v>
      </c>
      <c r="F17" s="182">
        <f t="shared" si="3"/>
        <v>23.802856024886598</v>
      </c>
      <c r="G17" s="153"/>
      <c r="K17" s="159">
        <v>9</v>
      </c>
      <c r="L17" s="133">
        <f ca="1">-IF(SUMMARY!$D$21*12&gt;=K17,IPMT(SUMMARY!$D$22/12,K17,SUMMARY!$D$21*12,SUMMARY!$D$20),0)</f>
        <v>337.26616946909257</v>
      </c>
      <c r="M17" s="133">
        <f ca="1">IF(SUMMARY!$D$21*12&gt;=K17,-PPMT(SUMMARY!$D$22/12,K17,SUMMARY!$D$21*12,SUMMARY!$D$20),0)</f>
        <v>91.854318391234429</v>
      </c>
      <c r="N17" s="160">
        <f t="shared" ca="1" si="0"/>
        <v>429.12048786032699</v>
      </c>
      <c r="P17" s="159">
        <v>9</v>
      </c>
      <c r="Q17" s="194">
        <f ca="1">IF(SUMMARY!$D$21&gt;=K17,(SUMMARY!$D$24+SUMMARY!$I$17)*12*SUMMARY!$D$6,0)</f>
        <v>8598.0845589079854</v>
      </c>
      <c r="R17" s="194">
        <f>IF(SUMMARY!$D$21&gt;=K17,SUMMARY!$D$28*12*SUMMARY!$D$6,0)+IF(P17=SUMMARY!$D$21,SUMMARY!$D$29*SUMMARY!$D$15,0)</f>
        <v>13917.567610984453</v>
      </c>
      <c r="S17" s="195">
        <f t="shared" ca="1" si="1"/>
        <v>5319.4830520764681</v>
      </c>
      <c r="T17" s="179"/>
    </row>
    <row r="18" spans="2:20" x14ac:dyDescent="0.2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47.223595534337555</v>
      </c>
      <c r="E18" s="181">
        <f t="shared" ca="1" si="2"/>
        <v>71.026451559224157</v>
      </c>
      <c r="F18" s="182">
        <f t="shared" si="3"/>
        <v>23.802856024886598</v>
      </c>
      <c r="G18" s="153"/>
      <c r="K18" s="159">
        <v>10</v>
      </c>
      <c r="L18" s="133">
        <f ca="1">-IF(SUMMARY!$D$21*12&gt;=K18,IPMT(SUMMARY!$D$22/12,K18,SUMMARY!$D$21*12,SUMMARY!$D$20),0)</f>
        <v>336.65380734648437</v>
      </c>
      <c r="M18" s="133">
        <f ca="1">IF(SUMMARY!$D$21*12&gt;=K18,-PPMT(SUMMARY!$D$22/12,K18,SUMMARY!$D$21*12,SUMMARY!$D$20),0)</f>
        <v>92.466680513842661</v>
      </c>
      <c r="N18" s="160">
        <f t="shared" ca="1" si="0"/>
        <v>429.12048786032705</v>
      </c>
      <c r="P18" s="159">
        <v>10</v>
      </c>
      <c r="Q18" s="194">
        <f ca="1">IF(SUMMARY!$D$21&gt;=K18,(SUMMARY!$D$24+SUMMARY!$I$17)*12*SUMMARY!$D$6,0)</f>
        <v>8598.0845589079854</v>
      </c>
      <c r="R18" s="194">
        <f>IF(SUMMARY!$D$21&gt;=K18,SUMMARY!$D$28*12*SUMMARY!$D$6,0)+IF(P18=SUMMARY!$D$21,SUMMARY!$D$29*SUMMARY!$D$15,0)</f>
        <v>13917.567610984453</v>
      </c>
      <c r="S18" s="195">
        <f t="shared" ca="1" si="1"/>
        <v>5319.4830520764681</v>
      </c>
      <c r="T18" s="179"/>
    </row>
    <row r="19" spans="2:20" x14ac:dyDescent="0.2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42.93054139485232</v>
      </c>
      <c r="E19" s="181">
        <f t="shared" ca="1" si="2"/>
        <v>66.733397419738921</v>
      </c>
      <c r="F19" s="182">
        <f t="shared" si="3"/>
        <v>23.802856024886598</v>
      </c>
      <c r="G19" s="153"/>
      <c r="K19" s="159">
        <v>11</v>
      </c>
      <c r="L19" s="133">
        <f ca="1">-IF(SUMMARY!$D$21*12&gt;=K19,IPMT(SUMMARY!$D$22/12,K19,SUMMARY!$D$21*12,SUMMARY!$D$20),0)</f>
        <v>336.03736280972544</v>
      </c>
      <c r="M19" s="133">
        <f ca="1">IF(SUMMARY!$D$21*12&gt;=K19,-PPMT(SUMMARY!$D$22/12,K19,SUMMARY!$D$21*12,SUMMARY!$D$20),0)</f>
        <v>93.083125050601595</v>
      </c>
      <c r="N19" s="160">
        <f t="shared" ca="1" si="0"/>
        <v>429.12048786032705</v>
      </c>
      <c r="P19" s="159">
        <v>11</v>
      </c>
      <c r="Q19" s="194">
        <f ca="1">IF(SUMMARY!$D$21&gt;=K19,(SUMMARY!$D$24+SUMMARY!$I$17)*12*SUMMARY!$D$6,0)</f>
        <v>8598.0845589079854</v>
      </c>
      <c r="R19" s="194">
        <f>IF(SUMMARY!$D$21&gt;=K19,SUMMARY!$D$28*12*SUMMARY!$D$6,0)+IF(P19=SUMMARY!$D$21,SUMMARY!$D$29*SUMMARY!$D$15,0)</f>
        <v>13917.567610984453</v>
      </c>
      <c r="S19" s="195">
        <f t="shared" ca="1" si="1"/>
        <v>5319.4830520764681</v>
      </c>
      <c r="T19" s="179"/>
    </row>
    <row r="20" spans="2:20" x14ac:dyDescent="0.2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39.352996278614633</v>
      </c>
      <c r="E20" s="181">
        <f t="shared" ca="1" si="2"/>
        <v>63.155852303501234</v>
      </c>
      <c r="F20" s="182">
        <f t="shared" si="3"/>
        <v>23.802856024886598</v>
      </c>
      <c r="G20" s="153"/>
      <c r="K20" s="159">
        <v>12</v>
      </c>
      <c r="L20" s="133">
        <f ca="1">-IF(SUMMARY!$D$21*12&gt;=K20,IPMT(SUMMARY!$D$22/12,K20,SUMMARY!$D$21*12,SUMMARY!$D$20),0)</f>
        <v>335.41680864272143</v>
      </c>
      <c r="M20" s="133">
        <f ca="1">IF(SUMMARY!$D$21*12&gt;=K20,-PPMT(SUMMARY!$D$22/12,K20,SUMMARY!$D$21*12,SUMMARY!$D$20),0)</f>
        <v>93.703679217605611</v>
      </c>
      <c r="N20" s="160">
        <f t="shared" ca="1" si="0"/>
        <v>429.12048786032705</v>
      </c>
      <c r="P20" s="159">
        <v>12</v>
      </c>
      <c r="Q20" s="194">
        <f ca="1">IF(SUMMARY!$D$21&gt;=K20,(SUMMARY!$D$24+SUMMARY!$I$17)*12*SUMMARY!$D$6,0)</f>
        <v>8598.0845589079854</v>
      </c>
      <c r="R20" s="194">
        <f>IF(SUMMARY!$D$21&gt;=K20,SUMMARY!$D$28*12*SUMMARY!$D$6,0)+IF(P20=SUMMARY!$D$21,SUMMARY!$D$29*SUMMARY!$D$15,0)</f>
        <v>13917.567610984453</v>
      </c>
      <c r="S20" s="195">
        <f t="shared" ca="1" si="1"/>
        <v>5319.4830520764681</v>
      </c>
      <c r="T20" s="179"/>
    </row>
    <row r="21" spans="2:20" x14ac:dyDescent="0.2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36.325842718721198</v>
      </c>
      <c r="E21" s="181">
        <f t="shared" ca="1" si="2"/>
        <v>60.128698743607799</v>
      </c>
      <c r="F21" s="182">
        <f t="shared" si="3"/>
        <v>23.802856024886598</v>
      </c>
      <c r="G21" s="153"/>
      <c r="K21" s="159">
        <v>13</v>
      </c>
      <c r="L21" s="133">
        <f ca="1">-IF(SUMMARY!$D$21*12&gt;=K21,IPMT(SUMMARY!$D$22/12,K21,SUMMARY!$D$21*12,SUMMARY!$D$20),0)</f>
        <v>334.79211744793741</v>
      </c>
      <c r="M21" s="133">
        <f ca="1">IF(SUMMARY!$D$21*12&gt;=K21,-PPMT(SUMMARY!$D$22/12,K21,SUMMARY!$D$21*12,SUMMARY!$D$20),0)</f>
        <v>94.328370412389631</v>
      </c>
      <c r="N21" s="160">
        <f t="shared" ca="1" si="0"/>
        <v>429.12048786032705</v>
      </c>
      <c r="P21" s="159">
        <v>13</v>
      </c>
      <c r="Q21" s="194">
        <f ca="1">IF(SUMMARY!$D$21&gt;=K21,(SUMMARY!$D$24+SUMMARY!$I$17)*12*SUMMARY!$D$6,0)</f>
        <v>8598.0845589079854</v>
      </c>
      <c r="R21" s="194">
        <f>IF(SUMMARY!$D$21&gt;=K21,SUMMARY!$D$28*12*SUMMARY!$D$6,0)+IF(P21=SUMMARY!$D$21,SUMMARY!$D$29*SUMMARY!$D$15,0)</f>
        <v>13917.567610984453</v>
      </c>
      <c r="S21" s="195">
        <f t="shared" ca="1" si="1"/>
        <v>5319.4830520764681</v>
      </c>
      <c r="T21" s="179"/>
    </row>
    <row r="22" spans="2:20" x14ac:dyDescent="0.2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33.731139667383964</v>
      </c>
      <c r="E22" s="181">
        <f t="shared" ca="1" si="2"/>
        <v>57.533995692270565</v>
      </c>
      <c r="F22" s="182">
        <f t="shared" si="3"/>
        <v>23.802856024886598</v>
      </c>
      <c r="G22" s="153"/>
      <c r="K22" s="159">
        <v>14</v>
      </c>
      <c r="L22" s="133">
        <f ca="1">-IF(SUMMARY!$D$21*12&gt;=K22,IPMT(SUMMARY!$D$22/12,K22,SUMMARY!$D$21*12,SUMMARY!$D$20),0)</f>
        <v>334.16326164518813</v>
      </c>
      <c r="M22" s="133">
        <f ca="1">IF(SUMMARY!$D$21*12&gt;=K22,-PPMT(SUMMARY!$D$22/12,K22,SUMMARY!$D$21*12,SUMMARY!$D$20),0)</f>
        <v>94.957226215138931</v>
      </c>
      <c r="N22" s="160">
        <f t="shared" ca="1" si="0"/>
        <v>429.12048786032705</v>
      </c>
      <c r="P22" s="159">
        <v>14</v>
      </c>
      <c r="Q22" s="194">
        <f ca="1">IF(SUMMARY!$D$21&gt;=K22,(SUMMARY!$D$24+SUMMARY!$I$17)*12*SUMMARY!$D$6,0)</f>
        <v>8598.0845589079854</v>
      </c>
      <c r="R22" s="194">
        <f>IF(SUMMARY!$D$21&gt;=K22,SUMMARY!$D$28*12*SUMMARY!$D$6,0)+IF(P22=SUMMARY!$D$21,SUMMARY!$D$29*SUMMARY!$D$15,0)</f>
        <v>13917.567610984453</v>
      </c>
      <c r="S22" s="195">
        <f t="shared" ca="1" si="1"/>
        <v>5319.4830520764681</v>
      </c>
      <c r="T22" s="179"/>
    </row>
    <row r="23" spans="2:20" x14ac:dyDescent="0.2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31.482397022891703</v>
      </c>
      <c r="E23" s="181">
        <f t="shared" ca="1" si="2"/>
        <v>55.285253047778298</v>
      </c>
      <c r="F23" s="182">
        <f t="shared" si="3"/>
        <v>23.802856024886598</v>
      </c>
      <c r="G23" s="153"/>
      <c r="K23" s="159">
        <v>15</v>
      </c>
      <c r="L23" s="133">
        <f ca="1">-IF(SUMMARY!$D$21*12&gt;=K23,IPMT(SUMMARY!$D$22/12,K23,SUMMARY!$D$21*12,SUMMARY!$D$20),0)</f>
        <v>333.53021347042056</v>
      </c>
      <c r="M23" s="133">
        <f ca="1">IF(SUMMARY!$D$21*12&gt;=K23,-PPMT(SUMMARY!$D$22/12,K23,SUMMARY!$D$21*12,SUMMARY!$D$20),0)</f>
        <v>95.590274389906511</v>
      </c>
      <c r="N23" s="160">
        <f t="shared" ca="1" si="0"/>
        <v>429.1204878603271</v>
      </c>
      <c r="P23" s="159">
        <v>15</v>
      </c>
      <c r="Q23" s="194">
        <f ca="1">IF(SUMMARY!$D$21&gt;=K23,(SUMMARY!$D$24+SUMMARY!$I$17)*12*SUMMARY!$D$6,0)</f>
        <v>8598.0845589079854</v>
      </c>
      <c r="R23" s="194">
        <f>IF(SUMMARY!$D$21&gt;=K23,SUMMARY!$D$28*12*SUMMARY!$D$6,0)+IF(P23=SUMMARY!$D$21,SUMMARY!$D$29*SUMMARY!$D$15,0)</f>
        <v>13917.567610984453</v>
      </c>
      <c r="S23" s="195">
        <f t="shared" ca="1" si="1"/>
        <v>5319.4830520764681</v>
      </c>
      <c r="T23" s="179"/>
    </row>
    <row r="24" spans="2:20" x14ac:dyDescent="0.2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23.611797767168778</v>
      </c>
      <c r="E24" s="181">
        <f t="shared" ca="1" si="2"/>
        <v>47.414653792055375</v>
      </c>
      <c r="F24" s="182">
        <f t="shared" si="3"/>
        <v>23.802856024886598</v>
      </c>
      <c r="G24" s="153"/>
      <c r="K24" s="159">
        <v>16</v>
      </c>
      <c r="L24" s="133">
        <f ca="1">-IF(SUMMARY!$D$21*12&gt;=K24,IPMT(SUMMARY!$D$22/12,K24,SUMMARY!$D$21*12,SUMMARY!$D$20),0)</f>
        <v>332.89294497448782</v>
      </c>
      <c r="M24" s="133">
        <f ca="1">IF(SUMMARY!$D$21*12&gt;=K24,-PPMT(SUMMARY!$D$22/12,K24,SUMMARY!$D$21*12,SUMMARY!$D$20),0)</f>
        <v>96.227542885839227</v>
      </c>
      <c r="N24" s="160">
        <f t="shared" ca="1" si="0"/>
        <v>429.12048786032705</v>
      </c>
      <c r="P24" s="159">
        <v>16</v>
      </c>
      <c r="Q24" s="194">
        <f ca="1">IF(SUMMARY!$D$21&gt;=K24,(SUMMARY!$D$24+SUMMARY!$I$17)*12*SUMMARY!$D$6,0)</f>
        <v>8598.0845589079854</v>
      </c>
      <c r="R24" s="194">
        <f>IF(SUMMARY!$D$21&gt;=K24,SUMMARY!$D$28*12*SUMMARY!$D$6,0)+IF(P24=SUMMARY!$D$21,SUMMARY!$D$29*SUMMARY!$D$15,0)</f>
        <v>13917.567610984453</v>
      </c>
      <c r="S24" s="195">
        <f t="shared" ca="1" si="1"/>
        <v>5319.4830520764681</v>
      </c>
      <c r="T24" s="179"/>
    </row>
    <row r="25" spans="2:20" x14ac:dyDescent="0.2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18.889438213735023</v>
      </c>
      <c r="E25" s="181">
        <f t="shared" ca="1" si="2"/>
        <v>42.692294238621621</v>
      </c>
      <c r="F25" s="183">
        <f t="shared" si="3"/>
        <v>23.802856024886598</v>
      </c>
      <c r="K25" s="159">
        <v>17</v>
      </c>
      <c r="L25" s="133">
        <f ca="1">-IF(SUMMARY!$D$21*12&gt;=K25,IPMT(SUMMARY!$D$22/12,K25,SUMMARY!$D$21*12,SUMMARY!$D$20),0)</f>
        <v>332.25142802191556</v>
      </c>
      <c r="M25" s="133">
        <f ca="1">IF(SUMMARY!$D$21*12&gt;=K25,-PPMT(SUMMARY!$D$22/12,K25,SUMMARY!$D$21*12,SUMMARY!$D$20),0)</f>
        <v>96.869059838411474</v>
      </c>
      <c r="N25" s="160">
        <f t="shared" ca="1" si="0"/>
        <v>429.12048786032705</v>
      </c>
      <c r="P25" s="159">
        <v>17</v>
      </c>
      <c r="Q25" s="194">
        <f ca="1">IF(SUMMARY!$D$21&gt;=K25,(SUMMARY!$D$24+SUMMARY!$I$17)*12*SUMMARY!$D$6,0)</f>
        <v>8598.0845589079854</v>
      </c>
      <c r="R25" s="194">
        <f>IF(SUMMARY!$D$21&gt;=K25,SUMMARY!$D$28*12*SUMMARY!$D$6,0)+IF(P25=SUMMARY!$D$21,SUMMARY!$D$29*SUMMARY!$D$15,0)</f>
        <v>13917.567610984453</v>
      </c>
      <c r="S25" s="195">
        <f t="shared" ca="1" si="1"/>
        <v>5319.4830520764681</v>
      </c>
      <c r="T25" s="179"/>
    </row>
    <row r="26" spans="2:20" x14ac:dyDescent="0.2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15.741198511445852</v>
      </c>
      <c r="E26" s="181">
        <f t="shared" ca="1" si="2"/>
        <v>39.544054536332453</v>
      </c>
      <c r="F26" s="183">
        <f t="shared" si="3"/>
        <v>23.802856024886598</v>
      </c>
      <c r="K26" s="159">
        <v>18</v>
      </c>
      <c r="L26" s="133">
        <f ca="1">-IF(SUMMARY!$D$21*12&gt;=K26,IPMT(SUMMARY!$D$22/12,K26,SUMMARY!$D$21*12,SUMMARY!$D$20),0)</f>
        <v>331.60563428965952</v>
      </c>
      <c r="M26" s="133">
        <f ca="1">IF(SUMMARY!$D$21*12&gt;=K26,-PPMT(SUMMARY!$D$22/12,K26,SUMMARY!$D$21*12,SUMMARY!$D$20),0)</f>
        <v>97.514853570667555</v>
      </c>
      <c r="N26" s="160">
        <f t="shared" ca="1" si="0"/>
        <v>429.1204878603271</v>
      </c>
      <c r="P26" s="159">
        <v>18</v>
      </c>
      <c r="Q26" s="194">
        <f ca="1">IF(SUMMARY!$D$21&gt;=K26,(SUMMARY!$D$24+SUMMARY!$I$17)*12*SUMMARY!$D$6,0)</f>
        <v>8598.0845589079854</v>
      </c>
      <c r="R26" s="194">
        <f>IF(SUMMARY!$D$21&gt;=K26,SUMMARY!$D$28*12*SUMMARY!$D$6,0)+IF(P26=SUMMARY!$D$21,SUMMARY!$D$29*SUMMARY!$D$15,0)</f>
        <v>13917.567610984453</v>
      </c>
      <c r="S26" s="195">
        <f t="shared" ca="1" si="1"/>
        <v>5319.4830520764681</v>
      </c>
      <c r="T26" s="179"/>
    </row>
    <row r="27" spans="2:20" x14ac:dyDescent="0.2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13.492455866953588</v>
      </c>
      <c r="E27" s="181">
        <f t="shared" ca="1" si="2"/>
        <v>37.295311891840186</v>
      </c>
      <c r="F27" s="183">
        <f t="shared" si="3"/>
        <v>23.802856024886598</v>
      </c>
      <c r="K27" s="159">
        <v>19</v>
      </c>
      <c r="L27" s="133">
        <f ca="1">-IF(SUMMARY!$D$21*12&gt;=K27,IPMT(SUMMARY!$D$22/12,K27,SUMMARY!$D$21*12,SUMMARY!$D$20),0)</f>
        <v>330.95553526585508</v>
      </c>
      <c r="M27" s="133">
        <f ca="1">IF(SUMMARY!$D$21*12&gt;=K27,-PPMT(SUMMARY!$D$22/12,K27,SUMMARY!$D$21*12,SUMMARY!$D$20),0)</f>
        <v>98.164952594471998</v>
      </c>
      <c r="N27" s="160">
        <f t="shared" ca="1" si="0"/>
        <v>429.1204878603271</v>
      </c>
      <c r="P27" s="159">
        <v>19</v>
      </c>
      <c r="Q27" s="194">
        <f ca="1">IF(SUMMARY!$D$21&gt;=K27,(SUMMARY!$D$24+SUMMARY!$I$17)*12*SUMMARY!$D$6,0)</f>
        <v>8598.0845589079854</v>
      </c>
      <c r="R27" s="194">
        <f>IF(SUMMARY!$D$21&gt;=K27,SUMMARY!$D$28*12*SUMMARY!$D$6,0)+IF(P27=SUMMARY!$D$21,SUMMARY!$D$29*SUMMARY!$D$15,0)</f>
        <v>13917.567610984453</v>
      </c>
      <c r="S27" s="195">
        <f t="shared" ca="1" si="1"/>
        <v>5319.4830520764681</v>
      </c>
      <c r="T27" s="179"/>
    </row>
    <row r="28" spans="2:20" ht="13.5" thickBot="1" x14ac:dyDescent="0.25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11.805898883584389</v>
      </c>
      <c r="E28" s="158">
        <f t="shared" ca="1" si="2"/>
        <v>35.608754908470985</v>
      </c>
      <c r="F28" s="178">
        <f t="shared" si="3"/>
        <v>23.802856024886598</v>
      </c>
      <c r="K28" s="159">
        <v>20</v>
      </c>
      <c r="L28" s="133">
        <f ca="1">-IF(SUMMARY!$D$21*12&gt;=K28,IPMT(SUMMARY!$D$22/12,K28,SUMMARY!$D$21*12,SUMMARY!$D$20),0)</f>
        <v>330.30110224855855</v>
      </c>
      <c r="M28" s="133">
        <f ca="1">IF(SUMMARY!$D$21*12&gt;=K28,-PPMT(SUMMARY!$D$22/12,K28,SUMMARY!$D$21*12,SUMMARY!$D$20),0)</f>
        <v>98.819385611768482</v>
      </c>
      <c r="N28" s="160">
        <f t="shared" ca="1" si="0"/>
        <v>429.12048786032705</v>
      </c>
      <c r="P28" s="159">
        <v>20</v>
      </c>
      <c r="Q28" s="194">
        <f ca="1">IF(SUMMARY!$D$21&gt;=K28,(SUMMARY!$D$24+SUMMARY!$I$17)*12*SUMMARY!$D$6,0)</f>
        <v>8598.0845589079854</v>
      </c>
      <c r="R28" s="194">
        <f ca="1">IF(SUMMARY!$D$21&gt;=K28,SUMMARY!$D$28*12*SUMMARY!$D$6,0)+IF(P28=SUMMARY!$D$21,SUMMARY!$D$29*SUMMARY!$D$15,0)</f>
        <v>39569.165601544184</v>
      </c>
      <c r="S28" s="195">
        <f t="shared" ca="1" si="1"/>
        <v>30971.0810426362</v>
      </c>
      <c r="T28" s="179"/>
    </row>
    <row r="29" spans="2:20" x14ac:dyDescent="0.2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329.64230634448012</v>
      </c>
      <c r="M29" s="133">
        <f ca="1">IF(SUMMARY!$D$21*12&gt;=K29,-PPMT(SUMMARY!$D$22/12,K29,SUMMARY!$D$21*12,SUMMARY!$D$20),0)</f>
        <v>99.478181515846956</v>
      </c>
      <c r="N29" s="160">
        <f t="shared" ca="1" si="0"/>
        <v>429.1204878603271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328.97911846770779</v>
      </c>
      <c r="M30" s="133">
        <f ca="1">IF(SUMMARY!$D$21*12&gt;=K30,-PPMT(SUMMARY!$D$22/12,K30,SUMMARY!$D$21*12,SUMMARY!$D$20),0)</f>
        <v>100.14136939261925</v>
      </c>
      <c r="N30" s="160">
        <f t="shared" ca="1" si="0"/>
        <v>429.12048786032705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328.31150933842366</v>
      </c>
      <c r="M31" s="133">
        <f ca="1">IF(SUMMARY!$D$21*12&gt;=K31,-PPMT(SUMMARY!$D$22/12,K31,SUMMARY!$D$21*12,SUMMARY!$D$20),0)</f>
        <v>100.80897852190338</v>
      </c>
      <c r="N31" s="160">
        <f t="shared" ca="1" si="0"/>
        <v>429.12048786032705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327.639449481611</v>
      </c>
      <c r="M32" s="133">
        <f ca="1">IF(SUMMARY!$D$21*12&gt;=K32,-PPMT(SUMMARY!$D$22/12,K32,SUMMARY!$D$21*12,SUMMARY!$D$20),0)</f>
        <v>101.48103837871606</v>
      </c>
      <c r="N32" s="160">
        <f t="shared" ca="1" si="0"/>
        <v>429.12048786032705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326.96290922575287</v>
      </c>
      <c r="M33" s="133">
        <f ca="1">IF(SUMMARY!$D$21*12&gt;=K33,-PPMT(SUMMARY!$D$22/12,K33,SUMMARY!$D$21*12,SUMMARY!$D$20),0)</f>
        <v>102.15757863457418</v>
      </c>
      <c r="N33" s="160">
        <f t="shared" ca="1" si="0"/>
        <v>429.12048786032705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326.28185870152242</v>
      </c>
      <c r="M34" s="133">
        <f ca="1">IF(SUMMARY!$D$21*12&gt;=K34,-PPMT(SUMMARY!$D$22/12,K34,SUMMARY!$D$21*12,SUMMARY!$D$20),0)</f>
        <v>102.83862915880466</v>
      </c>
      <c r="N34" s="160">
        <f t="shared" ca="1" si="0"/>
        <v>429.1204878603271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325.59626784046367</v>
      </c>
      <c r="M35" s="133">
        <f ca="1">IF(SUMMARY!$D$21*12&gt;=K35,-PPMT(SUMMARY!$D$22/12,K35,SUMMARY!$D$21*12,SUMMARY!$D$20),0)</f>
        <v>103.52422001986338</v>
      </c>
      <c r="N35" s="160">
        <f t="shared" ca="1" si="0"/>
        <v>429.12048786032705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324.90610637366456</v>
      </c>
      <c r="M36" s="133">
        <f ca="1">IF(SUMMARY!$D$21*12&gt;=K36,-PPMT(SUMMARY!$D$22/12,K36,SUMMARY!$D$21*12,SUMMARY!$D$20),0)</f>
        <v>104.21438148666246</v>
      </c>
      <c r="N36" s="160">
        <f t="shared" ca="1" si="0"/>
        <v>429.12048786032699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324.21134383042016</v>
      </c>
      <c r="M37" s="133">
        <f ca="1">IF(SUMMARY!$D$21*12&gt;=K37,-PPMT(SUMMARY!$D$22/12,K37,SUMMARY!$D$21*12,SUMMARY!$D$20),0)</f>
        <v>104.90914402990687</v>
      </c>
      <c r="N37" s="160">
        <f t="shared" ca="1" si="0"/>
        <v>429.12048786032705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5" thickBot="1" x14ac:dyDescent="0.25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323.51194953688747</v>
      </c>
      <c r="M38" s="133">
        <f ca="1">IF(SUMMARY!$D$21*12&gt;=K38,-PPMT(SUMMARY!$D$22/12,K38,SUMMARY!$D$21*12,SUMMARY!$D$20),0)</f>
        <v>105.60853832343959</v>
      </c>
      <c r="N38" s="160">
        <f t="shared" ca="1" si="0"/>
        <v>429.12048786032705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322.8078926147312</v>
      </c>
      <c r="M39" s="133">
        <f ca="1">IF(SUMMARY!$D$21*12&gt;=K39,-PPMT(SUMMARY!$D$22/12,K39,SUMMARY!$D$21*12,SUMMARY!$D$20),0)</f>
        <v>106.31259524559586</v>
      </c>
      <c r="N39" s="160">
        <f t="shared" ca="1" si="0"/>
        <v>429.12048786032705</v>
      </c>
      <c r="P39" s="199"/>
      <c r="Q39" s="200"/>
      <c r="R39" s="200"/>
      <c r="S39" s="200"/>
      <c r="T39" s="179"/>
    </row>
    <row r="40" spans="2:20" x14ac:dyDescent="0.2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322.09914197976059</v>
      </c>
      <c r="M40" s="133">
        <f ca="1">IF(SUMMARY!$D$21*12&gt;=K40,-PPMT(SUMMARY!$D$22/12,K40,SUMMARY!$D$21*12,SUMMARY!$D$20),0)</f>
        <v>107.02134588056649</v>
      </c>
      <c r="N40" s="160">
        <f t="shared" ca="1" si="0"/>
        <v>429.1204878603271</v>
      </c>
      <c r="P40" s="199"/>
      <c r="Q40" s="200"/>
      <c r="R40" s="200"/>
      <c r="S40" s="200"/>
      <c r="T40" s="179"/>
    </row>
    <row r="41" spans="2:20" x14ac:dyDescent="0.2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321.38566634055678</v>
      </c>
      <c r="M41" s="133">
        <f ca="1">IF(SUMMARY!$D$21*12&gt;=K41,-PPMT(SUMMARY!$D$22/12,K41,SUMMARY!$D$21*12,SUMMARY!$D$20),0)</f>
        <v>107.73482151977029</v>
      </c>
      <c r="N41" s="160">
        <f t="shared" ca="1" si="0"/>
        <v>429.1204878603271</v>
      </c>
      <c r="P41" s="199"/>
      <c r="Q41" s="200"/>
      <c r="R41" s="200"/>
      <c r="S41" s="200"/>
      <c r="T41" s="179"/>
    </row>
    <row r="42" spans="2:20" x14ac:dyDescent="0.2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320.66743419709167</v>
      </c>
      <c r="M42" s="133">
        <f ca="1">IF(SUMMARY!$D$21*12&gt;=K42,-PPMT(SUMMARY!$D$22/12,K42,SUMMARY!$D$21*12,SUMMARY!$D$20),0)</f>
        <v>108.45305366323539</v>
      </c>
      <c r="N42" s="160">
        <f t="shared" ca="1" si="0"/>
        <v>429.12048786032705</v>
      </c>
      <c r="P42" s="199"/>
      <c r="Q42" s="200"/>
      <c r="R42" s="200"/>
      <c r="S42" s="200"/>
      <c r="T42" s="179"/>
    </row>
    <row r="43" spans="2:20" x14ac:dyDescent="0.2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319.94441383933673</v>
      </c>
      <c r="M43" s="133">
        <f ca="1">IF(SUMMARY!$D$21*12&gt;=K43,-PPMT(SUMMARY!$D$22/12,K43,SUMMARY!$D$21*12,SUMMARY!$D$20),0)</f>
        <v>109.17607402099031</v>
      </c>
      <c r="N43" s="160">
        <f t="shared" ca="1" si="0"/>
        <v>429.12048786032705</v>
      </c>
      <c r="P43" s="199"/>
      <c r="Q43" s="200"/>
      <c r="R43" s="200"/>
      <c r="S43" s="200"/>
      <c r="T43" s="179"/>
    </row>
    <row r="44" spans="2:20" ht="13.5" thickBot="1" x14ac:dyDescent="0.25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319.21657334586348</v>
      </c>
      <c r="M44" s="133">
        <f ca="1">IF(SUMMARY!$D$21*12&gt;=K44,-PPMT(SUMMARY!$D$22/12,K44,SUMMARY!$D$21*12,SUMMARY!$D$20),0)</f>
        <v>109.90391451446357</v>
      </c>
      <c r="N44" s="160">
        <f t="shared" ca="1" si="0"/>
        <v>429.12048786032705</v>
      </c>
      <c r="P44" s="199"/>
      <c r="Q44" s="200"/>
      <c r="R44" s="200"/>
      <c r="S44" s="200"/>
      <c r="T44" s="179"/>
    </row>
    <row r="45" spans="2:20" x14ac:dyDescent="0.2">
      <c r="K45" s="159">
        <v>37</v>
      </c>
      <c r="L45" s="133">
        <f ca="1">-IF(SUMMARY!$D$21*12&gt;=K45,IPMT(SUMMARY!$D$22/12,K45,SUMMARY!$D$21*12,SUMMARY!$D$20),0)</f>
        <v>318.4838805824337</v>
      </c>
      <c r="M45" s="133">
        <f ca="1">IF(SUMMARY!$D$21*12&gt;=K45,-PPMT(SUMMARY!$D$22/12,K45,SUMMARY!$D$21*12,SUMMARY!$D$20),0)</f>
        <v>110.63660727789333</v>
      </c>
      <c r="N45" s="160">
        <f t="shared" ca="1" si="0"/>
        <v>429.12048786032705</v>
      </c>
      <c r="P45" s="199"/>
      <c r="Q45" s="200"/>
      <c r="R45" s="200"/>
      <c r="S45" s="200"/>
      <c r="T45" s="179"/>
    </row>
    <row r="46" spans="2:20" x14ac:dyDescent="0.2">
      <c r="K46" s="159">
        <v>38</v>
      </c>
      <c r="L46" s="133">
        <f ca="1">-IF(SUMMARY!$D$21*12&gt;=K46,IPMT(SUMMARY!$D$22/12,K46,SUMMARY!$D$21*12,SUMMARY!$D$20),0)</f>
        <v>317.74630320058111</v>
      </c>
      <c r="M46" s="133">
        <f ca="1">IF(SUMMARY!$D$21*12&gt;=K46,-PPMT(SUMMARY!$D$22/12,K46,SUMMARY!$D$21*12,SUMMARY!$D$20),0)</f>
        <v>111.37418465974596</v>
      </c>
      <c r="N46" s="160">
        <f t="shared" ca="1" si="0"/>
        <v>429.1204878603271</v>
      </c>
      <c r="P46" s="199"/>
      <c r="Q46" s="200"/>
      <c r="R46" s="200"/>
      <c r="S46" s="200"/>
      <c r="T46" s="179"/>
    </row>
    <row r="47" spans="2:20" x14ac:dyDescent="0.2">
      <c r="K47" s="159">
        <v>39</v>
      </c>
      <c r="L47" s="133">
        <f ca="1">-IF(SUMMARY!$D$21*12&gt;=K47,IPMT(SUMMARY!$D$22/12,K47,SUMMARY!$D$21*12,SUMMARY!$D$20),0)</f>
        <v>317.00380863618278</v>
      </c>
      <c r="M47" s="133">
        <f ca="1">IF(SUMMARY!$D$21*12&gt;=K47,-PPMT(SUMMARY!$D$22/12,K47,SUMMARY!$D$21*12,SUMMARY!$D$20),0)</f>
        <v>112.11667922414425</v>
      </c>
      <c r="N47" s="160">
        <f t="shared" ca="1" si="0"/>
        <v>429.12048786032705</v>
      </c>
      <c r="P47" s="199"/>
      <c r="Q47" s="200"/>
      <c r="R47" s="200"/>
      <c r="S47" s="200"/>
      <c r="T47" s="179"/>
    </row>
    <row r="48" spans="2:20" x14ac:dyDescent="0.2">
      <c r="K48" s="159">
        <v>40</v>
      </c>
      <c r="L48" s="133">
        <f ca="1">-IF(SUMMARY!$D$21*12&gt;=K48,IPMT(SUMMARY!$D$22/12,K48,SUMMARY!$D$21*12,SUMMARY!$D$20),0)</f>
        <v>316.25636410802184</v>
      </c>
      <c r="M48" s="133">
        <f ca="1">IF(SUMMARY!$D$21*12&gt;=K48,-PPMT(SUMMARY!$D$22/12,K48,SUMMARY!$D$21*12,SUMMARY!$D$20),0)</f>
        <v>112.86412375230522</v>
      </c>
      <c r="N48" s="160">
        <f t="shared" ca="1" si="0"/>
        <v>429.12048786032705</v>
      </c>
      <c r="P48" s="199"/>
      <c r="Q48" s="200"/>
      <c r="R48" s="200"/>
      <c r="S48" s="200"/>
      <c r="T48" s="179"/>
    </row>
    <row r="49" spans="11:20" x14ac:dyDescent="0.2">
      <c r="K49" s="159">
        <v>41</v>
      </c>
      <c r="L49" s="133">
        <f ca="1">-IF(SUMMARY!$D$21*12&gt;=K49,IPMT(SUMMARY!$D$22/12,K49,SUMMARY!$D$21*12,SUMMARY!$D$20),0)</f>
        <v>315.50393661633979</v>
      </c>
      <c r="M49" s="133">
        <f ca="1">IF(SUMMARY!$D$21*12&gt;=K49,-PPMT(SUMMARY!$D$22/12,K49,SUMMARY!$D$21*12,SUMMARY!$D$20),0)</f>
        <v>113.61655124398727</v>
      </c>
      <c r="N49" s="160">
        <f t="shared" ca="1" si="0"/>
        <v>429.12048786032705</v>
      </c>
      <c r="P49" s="199"/>
      <c r="Q49" s="200"/>
      <c r="R49" s="200"/>
      <c r="S49" s="200"/>
      <c r="T49" s="179"/>
    </row>
    <row r="50" spans="11:20" x14ac:dyDescent="0.2">
      <c r="K50" s="159">
        <v>42</v>
      </c>
      <c r="L50" s="133">
        <f ca="1">-IF(SUMMARY!$D$21*12&gt;=K50,IPMT(SUMMARY!$D$22/12,K50,SUMMARY!$D$21*12,SUMMARY!$D$20),0)</f>
        <v>314.74649294137987</v>
      </c>
      <c r="M50" s="133">
        <f ca="1">IF(SUMMARY!$D$21*12&gt;=K50,-PPMT(SUMMARY!$D$22/12,K50,SUMMARY!$D$21*12,SUMMARY!$D$20),0)</f>
        <v>114.37399491894718</v>
      </c>
      <c r="N50" s="160">
        <f t="shared" ca="1" si="0"/>
        <v>429.12048786032705</v>
      </c>
      <c r="P50" s="199"/>
      <c r="Q50" s="200"/>
      <c r="R50" s="200"/>
      <c r="S50" s="200"/>
      <c r="T50" s="179"/>
    </row>
    <row r="51" spans="11:20" x14ac:dyDescent="0.2">
      <c r="K51" s="159">
        <v>43</v>
      </c>
      <c r="L51" s="133">
        <f ca="1">-IF(SUMMARY!$D$21*12&gt;=K51,IPMT(SUMMARY!$D$22/12,K51,SUMMARY!$D$21*12,SUMMARY!$D$20),0)</f>
        <v>313.98399964192021</v>
      </c>
      <c r="M51" s="133">
        <f ca="1">IF(SUMMARY!$D$21*12&gt;=K51,-PPMT(SUMMARY!$D$22/12,K51,SUMMARY!$D$21*12,SUMMARY!$D$20),0)</f>
        <v>115.13648821840683</v>
      </c>
      <c r="N51" s="160">
        <f t="shared" ca="1" si="0"/>
        <v>429.12048786032705</v>
      </c>
      <c r="P51" s="199"/>
      <c r="Q51" s="200"/>
      <c r="R51" s="200"/>
      <c r="S51" s="200"/>
      <c r="T51" s="179"/>
    </row>
    <row r="52" spans="11:20" x14ac:dyDescent="0.2">
      <c r="K52" s="159">
        <v>44</v>
      </c>
      <c r="L52" s="133">
        <f ca="1">-IF(SUMMARY!$D$21*12&gt;=K52,IPMT(SUMMARY!$D$22/12,K52,SUMMARY!$D$21*12,SUMMARY!$D$20),0)</f>
        <v>313.21642305379748</v>
      </c>
      <c r="M52" s="133">
        <f ca="1">IF(SUMMARY!$D$21*12&gt;=K52,-PPMT(SUMMARY!$D$22/12,K52,SUMMARY!$D$21*12,SUMMARY!$D$20),0)</f>
        <v>115.90406480652953</v>
      </c>
      <c r="N52" s="160">
        <f t="shared" ca="1" si="0"/>
        <v>429.12048786032699</v>
      </c>
      <c r="P52" s="199"/>
      <c r="Q52" s="200"/>
      <c r="R52" s="200"/>
      <c r="S52" s="200"/>
      <c r="T52" s="179"/>
    </row>
    <row r="53" spans="11:20" x14ac:dyDescent="0.2">
      <c r="K53" s="159">
        <v>45</v>
      </c>
      <c r="L53" s="133">
        <f ca="1">-IF(SUMMARY!$D$21*12&gt;=K53,IPMT(SUMMARY!$D$22/12,K53,SUMMARY!$D$21*12,SUMMARY!$D$20),0)</f>
        <v>312.44372928842063</v>
      </c>
      <c r="M53" s="133">
        <f ca="1">IF(SUMMARY!$D$21*12&gt;=K53,-PPMT(SUMMARY!$D$22/12,K53,SUMMARY!$D$21*12,SUMMARY!$D$20),0)</f>
        <v>116.67675857190638</v>
      </c>
      <c r="N53" s="160">
        <f t="shared" ca="1" si="0"/>
        <v>429.12048786032699</v>
      </c>
      <c r="P53" s="199"/>
      <c r="Q53" s="200"/>
      <c r="R53" s="200"/>
      <c r="S53" s="200"/>
      <c r="T53" s="179"/>
    </row>
    <row r="54" spans="11:20" x14ac:dyDescent="0.2">
      <c r="K54" s="159">
        <v>46</v>
      </c>
      <c r="L54" s="133">
        <f ca="1">-IF(SUMMARY!$D$21*12&gt;=K54,IPMT(SUMMARY!$D$22/12,K54,SUMMARY!$D$21*12,SUMMARY!$D$20),0)</f>
        <v>311.66588423127462</v>
      </c>
      <c r="M54" s="133">
        <f ca="1">IF(SUMMARY!$D$21*12&gt;=K54,-PPMT(SUMMARY!$D$22/12,K54,SUMMARY!$D$21*12,SUMMARY!$D$20),0)</f>
        <v>117.45460362905244</v>
      </c>
      <c r="N54" s="160">
        <f t="shared" ca="1" si="0"/>
        <v>429.12048786032705</v>
      </c>
      <c r="P54" s="199"/>
      <c r="Q54" s="200"/>
      <c r="R54" s="200"/>
      <c r="S54" s="200"/>
      <c r="T54" s="179"/>
    </row>
    <row r="55" spans="11:20" x14ac:dyDescent="0.2">
      <c r="K55" s="159">
        <v>47</v>
      </c>
      <c r="L55" s="133">
        <f ca="1">-IF(SUMMARY!$D$21*12&gt;=K55,IPMT(SUMMARY!$D$22/12,K55,SUMMARY!$D$21*12,SUMMARY!$D$20),0)</f>
        <v>310.88285354041426</v>
      </c>
      <c r="M55" s="133">
        <f ca="1">IF(SUMMARY!$D$21*12&gt;=K55,-PPMT(SUMMARY!$D$22/12,K55,SUMMARY!$D$21*12,SUMMARY!$D$20),0)</f>
        <v>118.23763431991281</v>
      </c>
      <c r="N55" s="160">
        <f t="shared" ca="1" si="0"/>
        <v>429.1204878603271</v>
      </c>
      <c r="P55" s="199"/>
      <c r="Q55" s="200"/>
      <c r="R55" s="200"/>
      <c r="S55" s="200"/>
      <c r="T55" s="179"/>
    </row>
    <row r="56" spans="11:20" x14ac:dyDescent="0.2">
      <c r="K56" s="159">
        <v>48</v>
      </c>
      <c r="L56" s="133">
        <f ca="1">-IF(SUMMARY!$D$21*12&gt;=K56,IPMT(SUMMARY!$D$22/12,K56,SUMMARY!$D$21*12,SUMMARY!$D$20),0)</f>
        <v>310.09460264494817</v>
      </c>
      <c r="M56" s="133">
        <f ca="1">IF(SUMMARY!$D$21*12&gt;=K56,-PPMT(SUMMARY!$D$22/12,K56,SUMMARY!$D$21*12,SUMMARY!$D$20),0)</f>
        <v>119.02588521537888</v>
      </c>
      <c r="N56" s="160">
        <f t="shared" ca="1" si="0"/>
        <v>429.12048786032705</v>
      </c>
      <c r="P56" s="199"/>
      <c r="Q56" s="200"/>
      <c r="R56" s="200"/>
      <c r="S56" s="200"/>
      <c r="T56" s="179"/>
    </row>
    <row r="57" spans="11:20" x14ac:dyDescent="0.2">
      <c r="K57" s="159">
        <v>49</v>
      </c>
      <c r="L57" s="133">
        <f ca="1">-IF(SUMMARY!$D$21*12&gt;=K57,IPMT(SUMMARY!$D$22/12,K57,SUMMARY!$D$21*12,SUMMARY!$D$20),0)</f>
        <v>309.30109674351235</v>
      </c>
      <c r="M57" s="133">
        <f ca="1">IF(SUMMARY!$D$21*12&gt;=K57,-PPMT(SUMMARY!$D$22/12,K57,SUMMARY!$D$21*12,SUMMARY!$D$20),0)</f>
        <v>119.81939111681474</v>
      </c>
      <c r="N57" s="160">
        <f t="shared" ca="1" si="0"/>
        <v>429.1204878603271</v>
      </c>
      <c r="P57" s="199"/>
      <c r="Q57" s="200"/>
      <c r="R57" s="200"/>
      <c r="S57" s="200"/>
      <c r="T57" s="179"/>
    </row>
    <row r="58" spans="11:20" x14ac:dyDescent="0.2">
      <c r="K58" s="159">
        <v>50</v>
      </c>
      <c r="L58" s="133">
        <f ca="1">-IF(SUMMARY!$D$21*12&gt;=K58,IPMT(SUMMARY!$D$22/12,K58,SUMMARY!$D$21*12,SUMMARY!$D$20),0)</f>
        <v>308.50230080273354</v>
      </c>
      <c r="M58" s="133">
        <f ca="1">IF(SUMMARY!$D$21*12&gt;=K58,-PPMT(SUMMARY!$D$22/12,K58,SUMMARY!$D$21*12,SUMMARY!$D$20),0)</f>
        <v>120.61818705759349</v>
      </c>
      <c r="N58" s="160">
        <f t="shared" ca="1" si="0"/>
        <v>429.12048786032705</v>
      </c>
      <c r="P58" s="199"/>
      <c r="Q58" s="200"/>
      <c r="R58" s="200"/>
      <c r="S58" s="200"/>
      <c r="T58" s="179"/>
    </row>
    <row r="59" spans="11:20" x14ac:dyDescent="0.2">
      <c r="K59" s="159">
        <v>51</v>
      </c>
      <c r="L59" s="133">
        <f ca="1">-IF(SUMMARY!$D$21*12&gt;=K59,IPMT(SUMMARY!$D$22/12,K59,SUMMARY!$D$21*12,SUMMARY!$D$20),0)</f>
        <v>307.69817955568294</v>
      </c>
      <c r="M59" s="133">
        <f ca="1">IF(SUMMARY!$D$21*12&gt;=K59,-PPMT(SUMMARY!$D$22/12,K59,SUMMARY!$D$21*12,SUMMARY!$D$20),0)</f>
        <v>121.42230830464413</v>
      </c>
      <c r="N59" s="160">
        <f t="shared" ca="1" si="0"/>
        <v>429.1204878603271</v>
      </c>
      <c r="P59" s="199"/>
      <c r="Q59" s="200"/>
      <c r="R59" s="200"/>
      <c r="S59" s="200"/>
      <c r="T59" s="179"/>
    </row>
    <row r="60" spans="11:20" x14ac:dyDescent="0.2">
      <c r="K60" s="159">
        <v>52</v>
      </c>
      <c r="L60" s="133">
        <f ca="1">-IF(SUMMARY!$D$21*12&gt;=K60,IPMT(SUMMARY!$D$22/12,K60,SUMMARY!$D$21*12,SUMMARY!$D$20),0)</f>
        <v>306.88869750031864</v>
      </c>
      <c r="M60" s="133">
        <f ca="1">IF(SUMMARY!$D$21*12&gt;=K60,-PPMT(SUMMARY!$D$22/12,K60,SUMMARY!$D$21*12,SUMMARY!$D$20),0)</f>
        <v>122.23179036000842</v>
      </c>
      <c r="N60" s="160">
        <f t="shared" ca="1" si="0"/>
        <v>429.12048786032705</v>
      </c>
      <c r="P60" s="199"/>
      <c r="Q60" s="200"/>
      <c r="R60" s="200"/>
      <c r="S60" s="200"/>
    </row>
    <row r="61" spans="11:20" x14ac:dyDescent="0.2">
      <c r="K61" s="159">
        <v>53</v>
      </c>
      <c r="L61" s="133">
        <f ca="1">-IF(SUMMARY!$D$21*12&gt;=K61,IPMT(SUMMARY!$D$22/12,K61,SUMMARY!$D$21*12,SUMMARY!$D$20),0)</f>
        <v>306.07381889791861</v>
      </c>
      <c r="M61" s="133">
        <f ca="1">IF(SUMMARY!$D$21*12&gt;=K61,-PPMT(SUMMARY!$D$22/12,K61,SUMMARY!$D$21*12,SUMMARY!$D$20),0)</f>
        <v>123.04666896240848</v>
      </c>
      <c r="N61" s="160">
        <f t="shared" ca="1" si="0"/>
        <v>429.1204878603271</v>
      </c>
      <c r="P61" s="199"/>
      <c r="Q61" s="200"/>
      <c r="R61" s="200"/>
      <c r="S61" s="200"/>
    </row>
    <row r="62" spans="11:20" x14ac:dyDescent="0.2">
      <c r="K62" s="159">
        <v>54</v>
      </c>
      <c r="L62" s="133">
        <f ca="1">-IF(SUMMARY!$D$21*12&gt;=K62,IPMT(SUMMARY!$D$22/12,K62,SUMMARY!$D$21*12,SUMMARY!$D$20),0)</f>
        <v>305.25350777150254</v>
      </c>
      <c r="M62" s="133">
        <f ca="1">IF(SUMMARY!$D$21*12&gt;=K62,-PPMT(SUMMARY!$D$22/12,K62,SUMMARY!$D$21*12,SUMMARY!$D$20),0)</f>
        <v>123.86698008882455</v>
      </c>
      <c r="N62" s="160">
        <f t="shared" ca="1" si="0"/>
        <v>429.1204878603271</v>
      </c>
      <c r="P62" s="199"/>
      <c r="Q62" s="200"/>
      <c r="R62" s="200"/>
      <c r="S62" s="200"/>
    </row>
    <row r="63" spans="11:20" x14ac:dyDescent="0.2">
      <c r="K63" s="159">
        <v>55</v>
      </c>
      <c r="L63" s="133">
        <f ca="1">-IF(SUMMARY!$D$21*12&gt;=K63,IPMT(SUMMARY!$D$22/12,K63,SUMMARY!$D$21*12,SUMMARY!$D$20),0)</f>
        <v>304.42772790424368</v>
      </c>
      <c r="M63" s="133">
        <f ca="1">IF(SUMMARY!$D$21*12&gt;=K63,-PPMT(SUMMARY!$D$22/12,K63,SUMMARY!$D$21*12,SUMMARY!$D$20),0)</f>
        <v>124.69275995608335</v>
      </c>
      <c r="N63" s="160">
        <f t="shared" ca="1" si="0"/>
        <v>429.12048786032705</v>
      </c>
      <c r="P63" s="199"/>
      <c r="Q63" s="200"/>
      <c r="R63" s="200"/>
      <c r="S63" s="200"/>
    </row>
    <row r="64" spans="11:20" x14ac:dyDescent="0.2">
      <c r="K64" s="159">
        <v>56</v>
      </c>
      <c r="L64" s="133">
        <f ca="1">-IF(SUMMARY!$D$21*12&gt;=K64,IPMT(SUMMARY!$D$22/12,K64,SUMMARY!$D$21*12,SUMMARY!$D$20),0)</f>
        <v>303.5964428378698</v>
      </c>
      <c r="M64" s="133">
        <f ca="1">IF(SUMMARY!$D$21*12&gt;=K64,-PPMT(SUMMARY!$D$22/12,K64,SUMMARY!$D$21*12,SUMMARY!$D$20),0)</f>
        <v>125.52404502245724</v>
      </c>
      <c r="N64" s="160">
        <f t="shared" ca="1" si="0"/>
        <v>429.12048786032705</v>
      </c>
      <c r="P64" s="199"/>
      <c r="Q64" s="200"/>
      <c r="R64" s="200"/>
      <c r="S64" s="200"/>
    </row>
    <row r="65" spans="11:19" x14ac:dyDescent="0.2">
      <c r="K65" s="159">
        <v>57</v>
      </c>
      <c r="L65" s="133">
        <f ca="1">-IF(SUMMARY!$D$21*12&gt;=K65,IPMT(SUMMARY!$D$22/12,K65,SUMMARY!$D$21*12,SUMMARY!$D$20),0)</f>
        <v>302.75961587105343</v>
      </c>
      <c r="M65" s="133">
        <f ca="1">IF(SUMMARY!$D$21*12&gt;=K65,-PPMT(SUMMARY!$D$22/12,K65,SUMMARY!$D$21*12,SUMMARY!$D$20),0)</f>
        <v>126.36087198927363</v>
      </c>
      <c r="N65" s="160">
        <f t="shared" ca="1" si="0"/>
        <v>429.12048786032705</v>
      </c>
      <c r="P65" s="199"/>
      <c r="Q65" s="200"/>
      <c r="R65" s="200"/>
      <c r="S65" s="200"/>
    </row>
    <row r="66" spans="11:19" x14ac:dyDescent="0.2">
      <c r="K66" s="159">
        <v>58</v>
      </c>
      <c r="L66" s="133">
        <f ca="1">-IF(SUMMARY!$D$21*12&gt;=K66,IPMT(SUMMARY!$D$22/12,K66,SUMMARY!$D$21*12,SUMMARY!$D$20),0)</f>
        <v>301.91721005779164</v>
      </c>
      <c r="M66" s="133">
        <f ca="1">IF(SUMMARY!$D$21*12&gt;=K66,-PPMT(SUMMARY!$D$22/12,K66,SUMMARY!$D$21*12,SUMMARY!$D$20),0)</f>
        <v>127.20327780253544</v>
      </c>
      <c r="N66" s="160">
        <f t="shared" ca="1" si="0"/>
        <v>429.1204878603271</v>
      </c>
      <c r="P66" s="199"/>
      <c r="Q66" s="200"/>
      <c r="R66" s="200"/>
      <c r="S66" s="200"/>
    </row>
    <row r="67" spans="11:19" x14ac:dyDescent="0.2">
      <c r="K67" s="159">
        <v>59</v>
      </c>
      <c r="L67" s="133">
        <f ca="1">-IF(SUMMARY!$D$21*12&gt;=K67,IPMT(SUMMARY!$D$22/12,K67,SUMMARY!$D$21*12,SUMMARY!$D$20),0)</f>
        <v>301.06918820577471</v>
      </c>
      <c r="M67" s="133">
        <f ca="1">IF(SUMMARY!$D$21*12&gt;=K67,-PPMT(SUMMARY!$D$22/12,K67,SUMMARY!$D$21*12,SUMMARY!$D$20),0)</f>
        <v>128.05129965455239</v>
      </c>
      <c r="N67" s="160">
        <f t="shared" ca="1" si="0"/>
        <v>429.1204878603271</v>
      </c>
      <c r="P67" s="199"/>
      <c r="Q67" s="200"/>
      <c r="R67" s="200"/>
      <c r="S67" s="200"/>
    </row>
    <row r="68" spans="11:19" x14ac:dyDescent="0.2">
      <c r="K68" s="159">
        <v>60</v>
      </c>
      <c r="L68" s="133">
        <f ca="1">-IF(SUMMARY!$D$21*12&gt;=K68,IPMT(SUMMARY!$D$22/12,K68,SUMMARY!$D$21*12,SUMMARY!$D$20),0)</f>
        <v>300.21551287474432</v>
      </c>
      <c r="M68" s="133">
        <f ca="1">IF(SUMMARY!$D$21*12&gt;=K68,-PPMT(SUMMARY!$D$22/12,K68,SUMMARY!$D$21*12,SUMMARY!$D$20),0)</f>
        <v>128.9049749855827</v>
      </c>
      <c r="N68" s="160">
        <f t="shared" ca="1" si="0"/>
        <v>429.12048786032699</v>
      </c>
      <c r="P68" s="199"/>
      <c r="Q68" s="200"/>
      <c r="R68" s="200"/>
      <c r="S68" s="200"/>
    </row>
    <row r="69" spans="11:19" x14ac:dyDescent="0.2">
      <c r="K69" s="159">
        <v>61</v>
      </c>
      <c r="L69" s="133">
        <f ca="1">-IF(SUMMARY!$D$21*12&gt;=K69,IPMT(SUMMARY!$D$22/12,K69,SUMMARY!$D$21*12,SUMMARY!$D$20),0)</f>
        <v>299.35614637484042</v>
      </c>
      <c r="M69" s="133">
        <f ca="1">IF(SUMMARY!$D$21*12&gt;=K69,-PPMT(SUMMARY!$D$22/12,K69,SUMMARY!$D$21*12,SUMMARY!$D$20),0)</f>
        <v>129.76434148548663</v>
      </c>
      <c r="N69" s="160">
        <f t="shared" ca="1" si="0"/>
        <v>429.12048786032705</v>
      </c>
      <c r="P69" s="199"/>
      <c r="Q69" s="200"/>
      <c r="R69" s="200"/>
      <c r="S69" s="200"/>
    </row>
    <row r="70" spans="11:19" x14ac:dyDescent="0.2">
      <c r="K70" s="159">
        <v>62</v>
      </c>
      <c r="L70" s="133">
        <f ca="1">-IF(SUMMARY!$D$21*12&gt;=K70,IPMT(SUMMARY!$D$22/12,K70,SUMMARY!$D$21*12,SUMMARY!$D$20),0)</f>
        <v>298.4910507649372</v>
      </c>
      <c r="M70" s="133">
        <f ca="1">IF(SUMMARY!$D$21*12&gt;=K70,-PPMT(SUMMARY!$D$22/12,K70,SUMMARY!$D$21*12,SUMMARY!$D$20),0)</f>
        <v>130.62943709538985</v>
      </c>
      <c r="N70" s="160">
        <f t="shared" ca="1" si="0"/>
        <v>429.12048786032705</v>
      </c>
      <c r="P70" s="199"/>
      <c r="Q70" s="200"/>
      <c r="R70" s="200"/>
      <c r="S70" s="200"/>
    </row>
    <row r="71" spans="11:19" x14ac:dyDescent="0.2">
      <c r="K71" s="159">
        <v>63</v>
      </c>
      <c r="L71" s="133">
        <f ca="1">-IF(SUMMARY!$D$21*12&gt;=K71,IPMT(SUMMARY!$D$22/12,K71,SUMMARY!$D$21*12,SUMMARY!$D$20),0)</f>
        <v>297.62018785096797</v>
      </c>
      <c r="M71" s="133">
        <f ca="1">IF(SUMMARY!$D$21*12&gt;=K71,-PPMT(SUMMARY!$D$22/12,K71,SUMMARY!$D$21*12,SUMMARY!$D$20),0)</f>
        <v>131.50030000935911</v>
      </c>
      <c r="N71" s="160">
        <f t="shared" ca="1" si="0"/>
        <v>429.1204878603271</v>
      </c>
      <c r="P71" s="199"/>
      <c r="Q71" s="200"/>
      <c r="R71" s="200"/>
      <c r="S71" s="200"/>
    </row>
    <row r="72" spans="11:19" x14ac:dyDescent="0.2">
      <c r="K72" s="159">
        <v>64</v>
      </c>
      <c r="L72" s="133">
        <f ca="1">-IF(SUMMARY!$D$21*12&gt;=K72,IPMT(SUMMARY!$D$22/12,K72,SUMMARY!$D$21*12,SUMMARY!$D$20),0)</f>
        <v>296.74351918423889</v>
      </c>
      <c r="M72" s="133">
        <f ca="1">IF(SUMMARY!$D$21*12&gt;=K72,-PPMT(SUMMARY!$D$22/12,K72,SUMMARY!$D$21*12,SUMMARY!$D$20),0)</f>
        <v>132.37696867608815</v>
      </c>
      <c r="N72" s="160">
        <f t="shared" ca="1" si="0"/>
        <v>429.12048786032705</v>
      </c>
      <c r="P72" s="199"/>
      <c r="Q72" s="200"/>
      <c r="R72" s="200"/>
      <c r="S72" s="200"/>
    </row>
    <row r="73" spans="11:19" x14ac:dyDescent="0.2">
      <c r="K73" s="159">
        <v>65</v>
      </c>
      <c r="L73" s="133">
        <f ca="1">-IF(SUMMARY!$D$21*12&gt;=K73,IPMT(SUMMARY!$D$22/12,K73,SUMMARY!$D$21*12,SUMMARY!$D$20),0)</f>
        <v>295.86100605973166</v>
      </c>
      <c r="M73" s="133">
        <f ca="1">IF(SUMMARY!$D$21*12&gt;=K73,-PPMT(SUMMARY!$D$22/12,K73,SUMMARY!$D$21*12,SUMMARY!$D$20),0)</f>
        <v>133.25948180059541</v>
      </c>
      <c r="N73" s="160">
        <f t="shared" ref="N73:N136" ca="1" si="5">+M73+L73</f>
        <v>429.1204878603271</v>
      </c>
      <c r="P73" s="199"/>
      <c r="Q73" s="200"/>
      <c r="R73" s="200"/>
      <c r="S73" s="200"/>
    </row>
    <row r="74" spans="11:19" x14ac:dyDescent="0.2">
      <c r="K74" s="159">
        <v>66</v>
      </c>
      <c r="L74" s="133">
        <f ca="1">-IF(SUMMARY!$D$21*12&gt;=K74,IPMT(SUMMARY!$D$22/12,K74,SUMMARY!$D$21*12,SUMMARY!$D$20),0)</f>
        <v>294.97260951439432</v>
      </c>
      <c r="M74" s="133">
        <f ca="1">IF(SUMMARY!$D$21*12&gt;=K74,-PPMT(SUMMARY!$D$22/12,K74,SUMMARY!$D$21*12,SUMMARY!$D$20),0)</f>
        <v>134.14787834593272</v>
      </c>
      <c r="N74" s="160">
        <f t="shared" ca="1" si="5"/>
        <v>429.12048786032705</v>
      </c>
      <c r="P74" s="199"/>
      <c r="Q74" s="200"/>
      <c r="R74" s="200"/>
      <c r="S74" s="200"/>
    </row>
    <row r="75" spans="11:19" x14ac:dyDescent="0.2">
      <c r="K75" s="159">
        <v>67</v>
      </c>
      <c r="L75" s="133">
        <f ca="1">-IF(SUMMARY!$D$21*12&gt;=K75,IPMT(SUMMARY!$D$22/12,K75,SUMMARY!$D$21*12,SUMMARY!$D$20),0)</f>
        <v>294.07829032542145</v>
      </c>
      <c r="M75" s="133">
        <f ca="1">IF(SUMMARY!$D$21*12&gt;=K75,-PPMT(SUMMARY!$D$22/12,K75,SUMMARY!$D$21*12,SUMMARY!$D$20),0)</f>
        <v>135.0421975349056</v>
      </c>
      <c r="N75" s="160">
        <f t="shared" ca="1" si="5"/>
        <v>429.12048786032705</v>
      </c>
      <c r="P75" s="199"/>
      <c r="Q75" s="200"/>
      <c r="R75" s="200"/>
      <c r="S75" s="200"/>
    </row>
    <row r="76" spans="11:19" x14ac:dyDescent="0.2">
      <c r="K76" s="159">
        <v>68</v>
      </c>
      <c r="L76" s="133">
        <f ca="1">-IF(SUMMARY!$D$21*12&gt;=K76,IPMT(SUMMARY!$D$22/12,K76,SUMMARY!$D$21*12,SUMMARY!$D$20),0)</f>
        <v>293.17800900852205</v>
      </c>
      <c r="M76" s="133">
        <f ca="1">IF(SUMMARY!$D$21*12&gt;=K76,-PPMT(SUMMARY!$D$22/12,K76,SUMMARY!$D$21*12,SUMMARY!$D$20),0)</f>
        <v>135.94247885180496</v>
      </c>
      <c r="N76" s="160">
        <f t="shared" ca="1" si="5"/>
        <v>429.12048786032699</v>
      </c>
      <c r="P76" s="199"/>
      <c r="Q76" s="200"/>
      <c r="R76" s="200"/>
      <c r="S76" s="200"/>
    </row>
    <row r="77" spans="11:19" x14ac:dyDescent="0.2">
      <c r="K77" s="159">
        <v>69</v>
      </c>
      <c r="L77" s="133">
        <f ca="1">-IF(SUMMARY!$D$21*12&gt;=K77,IPMT(SUMMARY!$D$22/12,K77,SUMMARY!$D$21*12,SUMMARY!$D$20),0)</f>
        <v>292.27172581617668</v>
      </c>
      <c r="M77" s="133">
        <f ca="1">IF(SUMMARY!$D$21*12&gt;=K77,-PPMT(SUMMARY!$D$22/12,K77,SUMMARY!$D$21*12,SUMMARY!$D$20),0)</f>
        <v>136.84876204415033</v>
      </c>
      <c r="N77" s="160">
        <f t="shared" ca="1" si="5"/>
        <v>429.12048786032699</v>
      </c>
      <c r="P77" s="199"/>
      <c r="Q77" s="200"/>
      <c r="R77" s="200"/>
      <c r="S77" s="200"/>
    </row>
    <row r="78" spans="11:19" x14ac:dyDescent="0.2">
      <c r="K78" s="159">
        <v>70</v>
      </c>
      <c r="L78" s="133">
        <f ca="1">-IF(SUMMARY!$D$21*12&gt;=K78,IPMT(SUMMARY!$D$22/12,K78,SUMMARY!$D$21*12,SUMMARY!$D$20),0)</f>
        <v>291.35940073588239</v>
      </c>
      <c r="M78" s="133">
        <f ca="1">IF(SUMMARY!$D$21*12&gt;=K78,-PPMT(SUMMARY!$D$22/12,K78,SUMMARY!$D$21*12,SUMMARY!$D$20),0)</f>
        <v>137.76108712444469</v>
      </c>
      <c r="N78" s="160">
        <f t="shared" ca="1" si="5"/>
        <v>429.1204878603271</v>
      </c>
      <c r="P78" s="199"/>
      <c r="Q78" s="200"/>
      <c r="R78" s="200"/>
      <c r="S78" s="200"/>
    </row>
    <row r="79" spans="11:19" x14ac:dyDescent="0.2">
      <c r="K79" s="159">
        <v>71</v>
      </c>
      <c r="L79" s="133">
        <f ca="1">-IF(SUMMARY!$D$21*12&gt;=K79,IPMT(SUMMARY!$D$22/12,K79,SUMMARY!$D$21*12,SUMMARY!$D$20),0)</f>
        <v>290.44099348838608</v>
      </c>
      <c r="M79" s="133">
        <f ca="1">IF(SUMMARY!$D$21*12&gt;=K79,-PPMT(SUMMARY!$D$22/12,K79,SUMMARY!$D$21*12,SUMMARY!$D$20),0)</f>
        <v>138.67949437194096</v>
      </c>
      <c r="N79" s="160">
        <f t="shared" ca="1" si="5"/>
        <v>429.12048786032705</v>
      </c>
      <c r="P79" s="199"/>
      <c r="Q79" s="200"/>
      <c r="R79" s="200"/>
      <c r="S79" s="200"/>
    </row>
    <row r="80" spans="11:19" x14ac:dyDescent="0.2">
      <c r="K80" s="159">
        <v>72</v>
      </c>
      <c r="L80" s="133">
        <f ca="1">-IF(SUMMARY!$D$21*12&gt;=K80,IPMT(SUMMARY!$D$22/12,K80,SUMMARY!$D$21*12,SUMMARY!$D$20),0)</f>
        <v>289.51646352590643</v>
      </c>
      <c r="M80" s="133">
        <f ca="1">IF(SUMMARY!$D$21*12&gt;=K80,-PPMT(SUMMARY!$D$22/12,K80,SUMMARY!$D$21*12,SUMMARY!$D$20),0)</f>
        <v>139.60402433442059</v>
      </c>
      <c r="N80" s="160">
        <f t="shared" ca="1" si="5"/>
        <v>429.12048786032699</v>
      </c>
      <c r="P80" s="199"/>
      <c r="Q80" s="200"/>
      <c r="R80" s="200"/>
      <c r="S80" s="200"/>
    </row>
    <row r="81" spans="11:19" x14ac:dyDescent="0.2">
      <c r="K81" s="159">
        <v>73</v>
      </c>
      <c r="L81" s="133">
        <f ca="1">-IF(SUMMARY!$D$21*12&gt;=K81,IPMT(SUMMARY!$D$22/12,K81,SUMMARY!$D$21*12,SUMMARY!$D$20),0)</f>
        <v>288.58577003034367</v>
      </c>
      <c r="M81" s="133">
        <f ca="1">IF(SUMMARY!$D$21*12&gt;=K81,-PPMT(SUMMARY!$D$22/12,K81,SUMMARY!$D$21*12,SUMMARY!$D$20),0)</f>
        <v>140.53471782998338</v>
      </c>
      <c r="N81" s="160">
        <f t="shared" ca="1" si="5"/>
        <v>429.12048786032705</v>
      </c>
      <c r="P81" s="199"/>
      <c r="Q81" s="200"/>
      <c r="R81" s="200"/>
      <c r="S81" s="200"/>
    </row>
    <row r="82" spans="11:19" x14ac:dyDescent="0.2">
      <c r="K82" s="159">
        <v>74</v>
      </c>
      <c r="L82" s="133">
        <f ca="1">-IF(SUMMARY!$D$21*12&gt;=K82,IPMT(SUMMARY!$D$22/12,K82,SUMMARY!$D$21*12,SUMMARY!$D$20),0)</f>
        <v>287.64887191147716</v>
      </c>
      <c r="M82" s="133">
        <f ca="1">IF(SUMMARY!$D$21*12&gt;=K82,-PPMT(SUMMARY!$D$22/12,K82,SUMMARY!$D$21*12,SUMMARY!$D$20),0)</f>
        <v>141.47161594884994</v>
      </c>
      <c r="N82" s="160">
        <f t="shared" ca="1" si="5"/>
        <v>429.1204878603271</v>
      </c>
      <c r="P82" s="199"/>
      <c r="Q82" s="200"/>
      <c r="R82" s="200"/>
      <c r="S82" s="200"/>
    </row>
    <row r="83" spans="11:19" x14ac:dyDescent="0.2">
      <c r="K83" s="159">
        <v>75</v>
      </c>
      <c r="L83" s="133">
        <f ca="1">-IF(SUMMARY!$D$21*12&gt;=K83,IPMT(SUMMARY!$D$22/12,K83,SUMMARY!$D$21*12,SUMMARY!$D$20),0)</f>
        <v>286.70572780515147</v>
      </c>
      <c r="M83" s="133">
        <f ca="1">IF(SUMMARY!$D$21*12&gt;=K83,-PPMT(SUMMARY!$D$22/12,K83,SUMMARY!$D$21*12,SUMMARY!$D$20),0)</f>
        <v>142.41476005517561</v>
      </c>
      <c r="N83" s="160">
        <f t="shared" ca="1" si="5"/>
        <v>429.1204878603271</v>
      </c>
      <c r="P83" s="199"/>
      <c r="Q83" s="200"/>
      <c r="R83" s="200"/>
      <c r="S83" s="200"/>
    </row>
    <row r="84" spans="11:19" x14ac:dyDescent="0.2">
      <c r="K84" s="159">
        <v>76</v>
      </c>
      <c r="L84" s="133">
        <f ca="1">-IF(SUMMARY!$D$21*12&gt;=K84,IPMT(SUMMARY!$D$22/12,K84,SUMMARY!$D$21*12,SUMMARY!$D$20),0)</f>
        <v>285.75629607145027</v>
      </c>
      <c r="M84" s="133">
        <f ca="1">IF(SUMMARY!$D$21*12&gt;=K84,-PPMT(SUMMARY!$D$22/12,K84,SUMMARY!$D$21*12,SUMMARY!$D$20),0)</f>
        <v>143.36419178887678</v>
      </c>
      <c r="N84" s="160">
        <f t="shared" ca="1" si="5"/>
        <v>429.12048786032705</v>
      </c>
      <c r="P84" s="199"/>
      <c r="Q84" s="200"/>
      <c r="R84" s="200"/>
      <c r="S84" s="200"/>
    </row>
    <row r="85" spans="11:19" x14ac:dyDescent="0.2">
      <c r="K85" s="159">
        <v>77</v>
      </c>
      <c r="L85" s="133">
        <f ca="1">-IF(SUMMARY!$D$21*12&gt;=K85,IPMT(SUMMARY!$D$22/12,K85,SUMMARY!$D$21*12,SUMMARY!$D$20),0)</f>
        <v>284.80053479285777</v>
      </c>
      <c r="M85" s="133">
        <f ca="1">IF(SUMMARY!$D$21*12&gt;=K85,-PPMT(SUMMARY!$D$22/12,K85,SUMMARY!$D$21*12,SUMMARY!$D$20),0)</f>
        <v>144.31995306746927</v>
      </c>
      <c r="N85" s="160">
        <f t="shared" ca="1" si="5"/>
        <v>429.12048786032705</v>
      </c>
      <c r="P85" s="199"/>
      <c r="Q85" s="200"/>
      <c r="R85" s="200"/>
      <c r="S85" s="200"/>
    </row>
    <row r="86" spans="11:19" x14ac:dyDescent="0.2">
      <c r="K86" s="159">
        <v>78</v>
      </c>
      <c r="L86" s="133">
        <f ca="1">-IF(SUMMARY!$D$21*12&gt;=K86,IPMT(SUMMARY!$D$22/12,K86,SUMMARY!$D$21*12,SUMMARY!$D$20),0)</f>
        <v>283.83840177240791</v>
      </c>
      <c r="M86" s="133">
        <f ca="1">IF(SUMMARY!$D$21*12&gt;=K86,-PPMT(SUMMARY!$D$22/12,K86,SUMMARY!$D$21*12,SUMMARY!$D$20),0)</f>
        <v>145.28208608791911</v>
      </c>
      <c r="N86" s="160">
        <f t="shared" ca="1" si="5"/>
        <v>429.12048786032699</v>
      </c>
      <c r="P86" s="199"/>
      <c r="Q86" s="200"/>
      <c r="R86" s="200"/>
      <c r="S86" s="200"/>
    </row>
    <row r="87" spans="11:19" x14ac:dyDescent="0.2">
      <c r="K87" s="159">
        <v>79</v>
      </c>
      <c r="L87" s="133">
        <f ca="1">-IF(SUMMARY!$D$21*12&gt;=K87,IPMT(SUMMARY!$D$22/12,K87,SUMMARY!$D$21*12,SUMMARY!$D$20),0)</f>
        <v>282.86985453182177</v>
      </c>
      <c r="M87" s="133">
        <f ca="1">IF(SUMMARY!$D$21*12&gt;=K87,-PPMT(SUMMARY!$D$22/12,K87,SUMMARY!$D$21*12,SUMMARY!$D$20),0)</f>
        <v>146.25063332850522</v>
      </c>
      <c r="N87" s="160">
        <f t="shared" ca="1" si="5"/>
        <v>429.12048786032699</v>
      </c>
      <c r="P87" s="199"/>
      <c r="Q87" s="200"/>
      <c r="R87" s="200"/>
      <c r="S87" s="200"/>
    </row>
    <row r="88" spans="11:19" x14ac:dyDescent="0.2">
      <c r="K88" s="159">
        <v>80</v>
      </c>
      <c r="L88" s="133">
        <f ca="1">-IF(SUMMARY!$D$21*12&gt;=K88,IPMT(SUMMARY!$D$22/12,K88,SUMMARY!$D$21*12,SUMMARY!$D$20),0)</f>
        <v>281.89485030963181</v>
      </c>
      <c r="M88" s="133">
        <f ca="1">IF(SUMMARY!$D$21*12&gt;=K88,-PPMT(SUMMARY!$D$22/12,K88,SUMMARY!$D$21*12,SUMMARY!$D$20),0)</f>
        <v>147.22563755069527</v>
      </c>
      <c r="N88" s="160">
        <f t="shared" ca="1" si="5"/>
        <v>429.1204878603271</v>
      </c>
      <c r="P88" s="199"/>
      <c r="Q88" s="200"/>
      <c r="R88" s="200"/>
      <c r="S88" s="200"/>
    </row>
    <row r="89" spans="11:19" x14ac:dyDescent="0.2">
      <c r="K89" s="159">
        <v>81</v>
      </c>
      <c r="L89" s="133">
        <f ca="1">-IF(SUMMARY!$D$21*12&gt;=K89,IPMT(SUMMARY!$D$22/12,K89,SUMMARY!$D$21*12,SUMMARY!$D$20),0)</f>
        <v>280.91334605929381</v>
      </c>
      <c r="M89" s="133">
        <f ca="1">IF(SUMMARY!$D$21*12&gt;=K89,-PPMT(SUMMARY!$D$22/12,K89,SUMMARY!$D$21*12,SUMMARY!$D$20),0)</f>
        <v>148.20714180103323</v>
      </c>
      <c r="N89" s="160">
        <f t="shared" ca="1" si="5"/>
        <v>429.12048786032705</v>
      </c>
      <c r="P89" s="199"/>
      <c r="Q89" s="200"/>
      <c r="R89" s="200"/>
      <c r="S89" s="200"/>
    </row>
    <row r="90" spans="11:19" x14ac:dyDescent="0.2">
      <c r="K90" s="159">
        <v>82</v>
      </c>
      <c r="L90" s="133">
        <f ca="1">-IF(SUMMARY!$D$21*12&gt;=K90,IPMT(SUMMARY!$D$22/12,K90,SUMMARY!$D$21*12,SUMMARY!$D$20),0)</f>
        <v>279.92529844728699</v>
      </c>
      <c r="M90" s="133">
        <f ca="1">IF(SUMMARY!$D$21*12&gt;=K90,-PPMT(SUMMARY!$D$22/12,K90,SUMMARY!$D$21*12,SUMMARY!$D$20),0)</f>
        <v>149.19518941304008</v>
      </c>
      <c r="N90" s="160">
        <f t="shared" ca="1" si="5"/>
        <v>429.1204878603271</v>
      </c>
      <c r="P90" s="199"/>
      <c r="Q90" s="200"/>
      <c r="R90" s="200"/>
      <c r="S90" s="200"/>
    </row>
    <row r="91" spans="11:19" x14ac:dyDescent="0.2">
      <c r="K91" s="159">
        <v>83</v>
      </c>
      <c r="L91" s="133">
        <f ca="1">-IF(SUMMARY!$D$21*12&gt;=K91,IPMT(SUMMARY!$D$22/12,K91,SUMMARY!$D$21*12,SUMMARY!$D$20),0)</f>
        <v>278.93066385120005</v>
      </c>
      <c r="M91" s="133">
        <f ca="1">IF(SUMMARY!$D$21*12&gt;=K91,-PPMT(SUMMARY!$D$22/12,K91,SUMMARY!$D$21*12,SUMMARY!$D$20),0)</f>
        <v>150.18982400912702</v>
      </c>
      <c r="N91" s="160">
        <f t="shared" ca="1" si="5"/>
        <v>429.1204878603271</v>
      </c>
      <c r="P91" s="199"/>
      <c r="Q91" s="200"/>
      <c r="R91" s="200"/>
      <c r="S91" s="200"/>
    </row>
    <row r="92" spans="11:19" x14ac:dyDescent="0.2">
      <c r="K92" s="159">
        <v>84</v>
      </c>
      <c r="L92" s="133">
        <f ca="1">-IF(SUMMARY!$D$21*12&gt;=K92,IPMT(SUMMARY!$D$22/12,K92,SUMMARY!$D$21*12,SUMMARY!$D$20),0)</f>
        <v>277.92939835780589</v>
      </c>
      <c r="M92" s="133">
        <f ca="1">IF(SUMMARY!$D$21*12&gt;=K92,-PPMT(SUMMARY!$D$22/12,K92,SUMMARY!$D$21*12,SUMMARY!$D$20),0)</f>
        <v>151.19108950252118</v>
      </c>
      <c r="N92" s="160">
        <f t="shared" ca="1" si="5"/>
        <v>429.1204878603271</v>
      </c>
      <c r="P92" s="199"/>
      <c r="Q92" s="200"/>
      <c r="R92" s="200"/>
      <c r="S92" s="200"/>
    </row>
    <row r="93" spans="11:19" x14ac:dyDescent="0.2">
      <c r="K93" s="159">
        <v>85</v>
      </c>
      <c r="L93" s="133">
        <f ca="1">-IF(SUMMARY!$D$21*12&gt;=K93,IPMT(SUMMARY!$D$22/12,K93,SUMMARY!$D$21*12,SUMMARY!$D$20),0)</f>
        <v>276.92145776112238</v>
      </c>
      <c r="M93" s="133">
        <f ca="1">IF(SUMMARY!$D$21*12&gt;=K93,-PPMT(SUMMARY!$D$22/12,K93,SUMMARY!$D$21*12,SUMMARY!$D$20),0)</f>
        <v>152.19903009920472</v>
      </c>
      <c r="N93" s="160">
        <f t="shared" ca="1" si="5"/>
        <v>429.1204878603271</v>
      </c>
      <c r="P93" s="199"/>
      <c r="Q93" s="200"/>
      <c r="R93" s="200"/>
      <c r="S93" s="200"/>
    </row>
    <row r="94" spans="11:19" x14ac:dyDescent="0.2">
      <c r="K94" s="159">
        <v>86</v>
      </c>
      <c r="L94" s="133">
        <f ca="1">-IF(SUMMARY!$D$21*12&gt;=K94,IPMT(SUMMARY!$D$22/12,K94,SUMMARY!$D$21*12,SUMMARY!$D$20),0)</f>
        <v>275.90679756046097</v>
      </c>
      <c r="M94" s="133">
        <f ca="1">IF(SUMMARY!$D$21*12&gt;=K94,-PPMT(SUMMARY!$D$22/12,K94,SUMMARY!$D$21*12,SUMMARY!$D$20),0)</f>
        <v>153.21369029986607</v>
      </c>
      <c r="N94" s="160">
        <f t="shared" ca="1" si="5"/>
        <v>429.12048786032705</v>
      </c>
      <c r="P94" s="199"/>
      <c r="Q94" s="200"/>
      <c r="R94" s="200"/>
      <c r="S94" s="200"/>
    </row>
    <row r="95" spans="11:19" x14ac:dyDescent="0.2">
      <c r="K95" s="159">
        <v>87</v>
      </c>
      <c r="L95" s="133">
        <f ca="1">-IF(SUMMARY!$D$21*12&gt;=K95,IPMT(SUMMARY!$D$22/12,K95,SUMMARY!$D$21*12,SUMMARY!$D$20),0)</f>
        <v>274.88537295846186</v>
      </c>
      <c r="M95" s="133">
        <f ca="1">IF(SUMMARY!$D$21*12&gt;=K95,-PPMT(SUMMARY!$D$22/12,K95,SUMMARY!$D$21*12,SUMMARY!$D$20),0)</f>
        <v>154.23511490186516</v>
      </c>
      <c r="N95" s="160">
        <f t="shared" ca="1" si="5"/>
        <v>429.12048786032699</v>
      </c>
      <c r="P95" s="199"/>
      <c r="Q95" s="200"/>
      <c r="R95" s="200"/>
      <c r="S95" s="200"/>
    </row>
    <row r="96" spans="11:19" x14ac:dyDescent="0.2">
      <c r="K96" s="159">
        <v>88</v>
      </c>
      <c r="L96" s="133">
        <f ca="1">-IF(SUMMARY!$D$21*12&gt;=K96,IPMT(SUMMARY!$D$22/12,K96,SUMMARY!$D$21*12,SUMMARY!$D$20),0)</f>
        <v>273.85713885911611</v>
      </c>
      <c r="M96" s="133">
        <f ca="1">IF(SUMMARY!$D$21*12&gt;=K96,-PPMT(SUMMARY!$D$22/12,K96,SUMMARY!$D$21*12,SUMMARY!$D$20),0)</f>
        <v>155.26334900121094</v>
      </c>
      <c r="N96" s="160">
        <f t="shared" ca="1" si="5"/>
        <v>429.12048786032705</v>
      </c>
      <c r="P96" s="199"/>
      <c r="Q96" s="200"/>
      <c r="R96" s="200"/>
      <c r="S96" s="200"/>
    </row>
    <row r="97" spans="11:19" x14ac:dyDescent="0.2">
      <c r="K97" s="159">
        <v>89</v>
      </c>
      <c r="L97" s="133">
        <f ca="1">-IF(SUMMARY!$D$21*12&gt;=K97,IPMT(SUMMARY!$D$22/12,K97,SUMMARY!$D$21*12,SUMMARY!$D$20),0)</f>
        <v>272.82204986577472</v>
      </c>
      <c r="M97" s="133">
        <f ca="1">IF(SUMMARY!$D$21*12&gt;=K97,-PPMT(SUMMARY!$D$22/12,K97,SUMMARY!$D$21*12,SUMMARY!$D$20),0)</f>
        <v>156.29843799455233</v>
      </c>
      <c r="N97" s="160">
        <f t="shared" ca="1" si="5"/>
        <v>429.12048786032705</v>
      </c>
      <c r="P97" s="199"/>
      <c r="Q97" s="200"/>
      <c r="R97" s="200"/>
      <c r="S97" s="200"/>
    </row>
    <row r="98" spans="11:19" x14ac:dyDescent="0.2">
      <c r="K98" s="159">
        <v>90</v>
      </c>
      <c r="L98" s="133">
        <f ca="1">-IF(SUMMARY!$D$21*12&gt;=K98,IPMT(SUMMARY!$D$22/12,K98,SUMMARY!$D$21*12,SUMMARY!$D$20),0)</f>
        <v>271.78006027914432</v>
      </c>
      <c r="M98" s="133">
        <f ca="1">IF(SUMMARY!$D$21*12&gt;=K98,-PPMT(SUMMARY!$D$22/12,K98,SUMMARY!$D$21*12,SUMMARY!$D$20),0)</f>
        <v>157.34042758118267</v>
      </c>
      <c r="N98" s="160">
        <f t="shared" ca="1" si="5"/>
        <v>429.12048786032699</v>
      </c>
      <c r="P98" s="199"/>
      <c r="Q98" s="200"/>
      <c r="R98" s="200"/>
      <c r="S98" s="200"/>
    </row>
    <row r="99" spans="11:19" x14ac:dyDescent="0.2">
      <c r="K99" s="159">
        <v>91</v>
      </c>
      <c r="L99" s="133">
        <f ca="1">-IF(SUMMARY!$D$21*12&gt;=K99,IPMT(SUMMARY!$D$22/12,K99,SUMMARY!$D$21*12,SUMMARY!$D$20),0)</f>
        <v>270.73112409526982</v>
      </c>
      <c r="M99" s="133">
        <f ca="1">IF(SUMMARY!$D$21*12&gt;=K99,-PPMT(SUMMARY!$D$22/12,K99,SUMMARY!$D$21*12,SUMMARY!$D$20),0)</f>
        <v>158.38936376505723</v>
      </c>
      <c r="N99" s="160">
        <f t="shared" ca="1" si="5"/>
        <v>429.12048786032705</v>
      </c>
      <c r="P99" s="199"/>
      <c r="Q99" s="200"/>
      <c r="R99" s="200"/>
      <c r="S99" s="200"/>
    </row>
    <row r="100" spans="11:19" x14ac:dyDescent="0.2">
      <c r="K100" s="159">
        <v>92</v>
      </c>
      <c r="L100" s="133">
        <f ca="1">-IF(SUMMARY!$D$21*12&gt;=K100,IPMT(SUMMARY!$D$22/12,K100,SUMMARY!$D$21*12,SUMMARY!$D$20),0)</f>
        <v>269.67519500350278</v>
      </c>
      <c r="M100" s="133">
        <f ca="1">IF(SUMMARY!$D$21*12&gt;=K100,-PPMT(SUMMARY!$D$22/12,K100,SUMMARY!$D$21*12,SUMMARY!$D$20),0)</f>
        <v>159.4452928568243</v>
      </c>
      <c r="N100" s="160">
        <f t="shared" ca="1" si="5"/>
        <v>429.1204878603271</v>
      </c>
      <c r="P100" s="199"/>
      <c r="Q100" s="200"/>
      <c r="R100" s="200"/>
      <c r="S100" s="200"/>
    </row>
    <row r="101" spans="11:19" x14ac:dyDescent="0.2">
      <c r="K101" s="159">
        <v>93</v>
      </c>
      <c r="L101" s="133">
        <f ca="1">-IF(SUMMARY!$D$21*12&gt;=K101,IPMT(SUMMARY!$D$22/12,K101,SUMMARY!$D$21*12,SUMMARY!$D$20),0)</f>
        <v>268.6122263844573</v>
      </c>
      <c r="M101" s="133">
        <f ca="1">IF(SUMMARY!$D$21*12&gt;=K101,-PPMT(SUMMARY!$D$22/12,K101,SUMMARY!$D$21*12,SUMMARY!$D$20),0)</f>
        <v>160.5082614758698</v>
      </c>
      <c r="N101" s="160">
        <f t="shared" ca="1" si="5"/>
        <v>429.1204878603271</v>
      </c>
      <c r="P101" s="199"/>
      <c r="Q101" s="200"/>
      <c r="R101" s="200"/>
      <c r="S101" s="200"/>
    </row>
    <row r="102" spans="11:19" x14ac:dyDescent="0.2">
      <c r="K102" s="159">
        <v>94</v>
      </c>
      <c r="L102" s="133">
        <f ca="1">-IF(SUMMARY!$D$21*12&gt;=K102,IPMT(SUMMARY!$D$22/12,K102,SUMMARY!$D$21*12,SUMMARY!$D$20),0)</f>
        <v>267.54217130795155</v>
      </c>
      <c r="M102" s="133">
        <f ca="1">IF(SUMMARY!$D$21*12&gt;=K102,-PPMT(SUMMARY!$D$22/12,K102,SUMMARY!$D$21*12,SUMMARY!$D$20),0)</f>
        <v>161.57831655237558</v>
      </c>
      <c r="N102" s="160">
        <f t="shared" ca="1" si="5"/>
        <v>429.1204878603271</v>
      </c>
      <c r="P102" s="199"/>
      <c r="Q102" s="200"/>
      <c r="R102" s="200"/>
      <c r="S102" s="200"/>
    </row>
    <row r="103" spans="11:19" x14ac:dyDescent="0.2">
      <c r="K103" s="159">
        <v>95</v>
      </c>
      <c r="L103" s="133">
        <f ca="1">-IF(SUMMARY!$D$21*12&gt;=K103,IPMT(SUMMARY!$D$22/12,K103,SUMMARY!$D$21*12,SUMMARY!$D$20),0)</f>
        <v>266.46498253093563</v>
      </c>
      <c r="M103" s="133">
        <f ca="1">IF(SUMMARY!$D$21*12&gt;=K103,-PPMT(SUMMARY!$D$22/12,K103,SUMMARY!$D$21*12,SUMMARY!$D$20),0)</f>
        <v>162.65550532939142</v>
      </c>
      <c r="N103" s="160">
        <f t="shared" ca="1" si="5"/>
        <v>429.12048786032705</v>
      </c>
      <c r="P103" s="199"/>
      <c r="Q103" s="200"/>
      <c r="R103" s="200"/>
      <c r="S103" s="200"/>
    </row>
    <row r="104" spans="11:19" x14ac:dyDescent="0.2">
      <c r="K104" s="159">
        <v>96</v>
      </c>
      <c r="L104" s="133">
        <f ca="1">-IF(SUMMARY!$D$21*12&gt;=K104,IPMT(SUMMARY!$D$22/12,K104,SUMMARY!$D$21*12,SUMMARY!$D$20),0)</f>
        <v>265.38061249540641</v>
      </c>
      <c r="M104" s="133">
        <f ca="1">IF(SUMMARY!$D$21*12&gt;=K104,-PPMT(SUMMARY!$D$22/12,K104,SUMMARY!$D$21*12,SUMMARY!$D$20),0)</f>
        <v>163.73987536492072</v>
      </c>
      <c r="N104" s="160">
        <f t="shared" ca="1" si="5"/>
        <v>429.1204878603271</v>
      </c>
      <c r="P104" s="199"/>
      <c r="Q104" s="200"/>
      <c r="R104" s="200"/>
      <c r="S104" s="200"/>
    </row>
    <row r="105" spans="11:19" x14ac:dyDescent="0.2">
      <c r="K105" s="159">
        <v>97</v>
      </c>
      <c r="L105" s="133">
        <f ca="1">-IF(SUMMARY!$D$21*12&gt;=K105,IPMT(SUMMARY!$D$22/12,K105,SUMMARY!$D$21*12,SUMMARY!$D$20),0)</f>
        <v>264.28901332630693</v>
      </c>
      <c r="M105" s="133">
        <f ca="1">IF(SUMMARY!$D$21*12&gt;=K105,-PPMT(SUMMARY!$D$22/12,K105,SUMMARY!$D$21*12,SUMMARY!$D$20),0)</f>
        <v>164.83147453402017</v>
      </c>
      <c r="N105" s="160">
        <f t="shared" ca="1" si="5"/>
        <v>429.1204878603271</v>
      </c>
      <c r="P105" s="199"/>
      <c r="Q105" s="200"/>
      <c r="R105" s="200"/>
      <c r="S105" s="200"/>
    </row>
    <row r="106" spans="11:19" x14ac:dyDescent="0.2">
      <c r="K106" s="159">
        <v>98</v>
      </c>
      <c r="L106" s="133">
        <f ca="1">-IF(SUMMARY!$D$21*12&gt;=K106,IPMT(SUMMARY!$D$22/12,K106,SUMMARY!$D$21*12,SUMMARY!$D$20),0)</f>
        <v>263.1901368294134</v>
      </c>
      <c r="M106" s="133">
        <f ca="1">IF(SUMMARY!$D$21*12&gt;=K106,-PPMT(SUMMARY!$D$22/12,K106,SUMMARY!$D$21*12,SUMMARY!$D$20),0)</f>
        <v>165.93035103091361</v>
      </c>
      <c r="N106" s="160">
        <f t="shared" ca="1" si="5"/>
        <v>429.12048786032699</v>
      </c>
      <c r="P106" s="199"/>
      <c r="Q106" s="200"/>
      <c r="R106" s="200"/>
      <c r="S106" s="200"/>
    </row>
    <row r="107" spans="11:19" x14ac:dyDescent="0.2">
      <c r="K107" s="159">
        <v>99</v>
      </c>
      <c r="L107" s="133">
        <f ca="1">-IF(SUMMARY!$D$21*12&gt;=K107,IPMT(SUMMARY!$D$22/12,K107,SUMMARY!$D$21*12,SUMMARY!$D$20),0)</f>
        <v>262.08393448920731</v>
      </c>
      <c r="M107" s="133">
        <f ca="1">IF(SUMMARY!$D$21*12&gt;=K107,-PPMT(SUMMARY!$D$22/12,K107,SUMMARY!$D$21*12,SUMMARY!$D$20),0)</f>
        <v>167.03655337111974</v>
      </c>
      <c r="N107" s="160">
        <f t="shared" ca="1" si="5"/>
        <v>429.12048786032705</v>
      </c>
      <c r="P107" s="199"/>
      <c r="Q107" s="200"/>
      <c r="R107" s="200"/>
      <c r="S107" s="200"/>
    </row>
    <row r="108" spans="11:19" x14ac:dyDescent="0.2">
      <c r="K108" s="159">
        <v>100</v>
      </c>
      <c r="L108" s="133">
        <f ca="1">-IF(SUMMARY!$D$21*12&gt;=K108,IPMT(SUMMARY!$D$22/12,K108,SUMMARY!$D$21*12,SUMMARY!$D$20),0)</f>
        <v>260.97035746673311</v>
      </c>
      <c r="M108" s="133">
        <f ca="1">IF(SUMMARY!$D$21*12&gt;=K108,-PPMT(SUMMARY!$D$22/12,K108,SUMMARY!$D$21*12,SUMMARY!$D$20),0)</f>
        <v>168.15013039359386</v>
      </c>
      <c r="N108" s="160">
        <f t="shared" ca="1" si="5"/>
        <v>429.12048786032699</v>
      </c>
      <c r="P108" s="199"/>
      <c r="Q108" s="200"/>
      <c r="R108" s="200"/>
      <c r="S108" s="200"/>
    </row>
    <row r="109" spans="11:19" x14ac:dyDescent="0.2">
      <c r="K109" s="159">
        <v>101</v>
      </c>
      <c r="L109" s="133">
        <f ca="1">-IF(SUMMARY!$D$21*12&gt;=K109,IPMT(SUMMARY!$D$22/12,K109,SUMMARY!$D$21*12,SUMMARY!$D$20),0)</f>
        <v>259.84935659744258</v>
      </c>
      <c r="M109" s="133">
        <f ca="1">IF(SUMMARY!$D$21*12&gt;=K109,-PPMT(SUMMARY!$D$22/12,K109,SUMMARY!$D$21*12,SUMMARY!$D$20),0)</f>
        <v>169.2711312628845</v>
      </c>
      <c r="N109" s="160">
        <f t="shared" ca="1" si="5"/>
        <v>429.1204878603271</v>
      </c>
      <c r="P109" s="199"/>
      <c r="Q109" s="200"/>
      <c r="R109" s="200"/>
      <c r="S109" s="200"/>
    </row>
    <row r="110" spans="11:19" x14ac:dyDescent="0.2">
      <c r="K110" s="159">
        <v>102</v>
      </c>
      <c r="L110" s="133">
        <f ca="1">-IF(SUMMARY!$D$21*12&gt;=K110,IPMT(SUMMARY!$D$22/12,K110,SUMMARY!$D$21*12,SUMMARY!$D$20),0)</f>
        <v>258.72088238902336</v>
      </c>
      <c r="M110" s="133">
        <f ca="1">IF(SUMMARY!$D$21*12&gt;=K110,-PPMT(SUMMARY!$D$22/12,K110,SUMMARY!$D$21*12,SUMMARY!$D$20),0)</f>
        <v>170.39960547130374</v>
      </c>
      <c r="N110" s="160">
        <f t="shared" ca="1" si="5"/>
        <v>429.1204878603271</v>
      </c>
      <c r="P110" s="199"/>
      <c r="Q110" s="200"/>
      <c r="R110" s="200"/>
      <c r="S110" s="200"/>
    </row>
    <row r="111" spans="11:19" x14ac:dyDescent="0.2">
      <c r="K111" s="159">
        <v>103</v>
      </c>
      <c r="L111" s="133">
        <f ca="1">-IF(SUMMARY!$D$21*12&gt;=K111,IPMT(SUMMARY!$D$22/12,K111,SUMMARY!$D$21*12,SUMMARY!$D$20),0)</f>
        <v>257.58488501921465</v>
      </c>
      <c r="M111" s="133">
        <f ca="1">IF(SUMMARY!$D$21*12&gt;=K111,-PPMT(SUMMARY!$D$22/12,K111,SUMMARY!$D$21*12,SUMMARY!$D$20),0)</f>
        <v>171.53560284111242</v>
      </c>
      <c r="N111" s="160">
        <f t="shared" ca="1" si="5"/>
        <v>429.1204878603271</v>
      </c>
      <c r="P111" s="199"/>
      <c r="Q111" s="200"/>
      <c r="R111" s="200"/>
      <c r="S111" s="200"/>
    </row>
    <row r="112" spans="11:19" x14ac:dyDescent="0.2">
      <c r="K112" s="159">
        <v>104</v>
      </c>
      <c r="L112" s="133">
        <f ca="1">-IF(SUMMARY!$D$21*12&gt;=K112,IPMT(SUMMARY!$D$22/12,K112,SUMMARY!$D$21*12,SUMMARY!$D$20),0)</f>
        <v>256.44131433360724</v>
      </c>
      <c r="M112" s="133">
        <f ca="1">IF(SUMMARY!$D$21*12&gt;=K112,-PPMT(SUMMARY!$D$22/12,K112,SUMMARY!$D$21*12,SUMMARY!$D$20),0)</f>
        <v>172.67917352671984</v>
      </c>
      <c r="N112" s="160">
        <f t="shared" ca="1" si="5"/>
        <v>429.1204878603271</v>
      </c>
      <c r="P112" s="199"/>
      <c r="Q112" s="200"/>
      <c r="R112" s="200"/>
      <c r="S112" s="200"/>
    </row>
    <row r="113" spans="11:19" x14ac:dyDescent="0.2">
      <c r="K113" s="159">
        <v>105</v>
      </c>
      <c r="L113" s="133">
        <f ca="1">-IF(SUMMARY!$D$21*12&gt;=K113,IPMT(SUMMARY!$D$22/12,K113,SUMMARY!$D$21*12,SUMMARY!$D$20),0)</f>
        <v>255.2901198434291</v>
      </c>
      <c r="M113" s="133">
        <f ca="1">IF(SUMMARY!$D$21*12&gt;=K113,-PPMT(SUMMARY!$D$22/12,K113,SUMMARY!$D$21*12,SUMMARY!$D$20),0)</f>
        <v>173.83036801689795</v>
      </c>
      <c r="N113" s="160">
        <f t="shared" ca="1" si="5"/>
        <v>429.12048786032705</v>
      </c>
      <c r="P113" s="199"/>
      <c r="Q113" s="200"/>
      <c r="R113" s="200"/>
      <c r="S113" s="200"/>
    </row>
    <row r="114" spans="11:19" x14ac:dyDescent="0.2">
      <c r="K114" s="159">
        <v>106</v>
      </c>
      <c r="L114" s="133">
        <f ca="1">-IF(SUMMARY!$D$21*12&gt;=K114,IPMT(SUMMARY!$D$22/12,K114,SUMMARY!$D$21*12,SUMMARY!$D$20),0)</f>
        <v>254.13125072331644</v>
      </c>
      <c r="M114" s="133">
        <f ca="1">IF(SUMMARY!$D$21*12&gt;=K114,-PPMT(SUMMARY!$D$22/12,K114,SUMMARY!$D$21*12,SUMMARY!$D$20),0)</f>
        <v>174.9892371370106</v>
      </c>
      <c r="N114" s="160">
        <f t="shared" ca="1" si="5"/>
        <v>429.12048786032705</v>
      </c>
      <c r="P114" s="199"/>
      <c r="Q114" s="200"/>
      <c r="R114" s="200"/>
      <c r="S114" s="200"/>
    </row>
    <row r="115" spans="11:19" x14ac:dyDescent="0.2">
      <c r="K115" s="159">
        <v>107</v>
      </c>
      <c r="L115" s="133">
        <f ca="1">-IF(SUMMARY!$D$21*12&gt;=K115,IPMT(SUMMARY!$D$22/12,K115,SUMMARY!$D$21*12,SUMMARY!$D$20),0)</f>
        <v>252.96465580906968</v>
      </c>
      <c r="M115" s="133">
        <f ca="1">IF(SUMMARY!$D$21*12&gt;=K115,-PPMT(SUMMARY!$D$22/12,K115,SUMMARY!$D$21*12,SUMMARY!$D$20),0)</f>
        <v>176.15583205125733</v>
      </c>
      <c r="N115" s="160">
        <f t="shared" ca="1" si="5"/>
        <v>429.12048786032699</v>
      </c>
      <c r="P115" s="199"/>
      <c r="Q115" s="200"/>
      <c r="R115" s="200"/>
      <c r="S115" s="200"/>
    </row>
    <row r="116" spans="11:19" x14ac:dyDescent="0.2">
      <c r="K116" s="159">
        <v>108</v>
      </c>
      <c r="L116" s="133">
        <f ca="1">-IF(SUMMARY!$D$21*12&gt;=K116,IPMT(SUMMARY!$D$22/12,K116,SUMMARY!$D$21*12,SUMMARY!$D$20),0)</f>
        <v>251.7902835953947</v>
      </c>
      <c r="M116" s="133">
        <f ca="1">IF(SUMMARY!$D$21*12&gt;=K116,-PPMT(SUMMARY!$D$22/12,K116,SUMMARY!$D$21*12,SUMMARY!$D$20),0)</f>
        <v>177.33020426493238</v>
      </c>
      <c r="N116" s="160">
        <f t="shared" ca="1" si="5"/>
        <v>429.1204878603271</v>
      </c>
      <c r="P116" s="199"/>
      <c r="Q116" s="200"/>
      <c r="R116" s="200"/>
      <c r="S116" s="200"/>
    </row>
    <row r="117" spans="11:19" x14ac:dyDescent="0.2">
      <c r="K117" s="159">
        <v>109</v>
      </c>
      <c r="L117" s="133">
        <f ca="1">-IF(SUMMARY!$D$21*12&gt;=K117,IPMT(SUMMARY!$D$22/12,K117,SUMMARY!$D$21*12,SUMMARY!$D$20),0)</f>
        <v>250.60808223362844</v>
      </c>
      <c r="M117" s="133">
        <f ca="1">IF(SUMMARY!$D$21*12&gt;=K117,-PPMT(SUMMARY!$D$22/12,K117,SUMMARY!$D$21*12,SUMMARY!$D$20),0)</f>
        <v>178.51240562669864</v>
      </c>
      <c r="N117" s="160">
        <f t="shared" ca="1" si="5"/>
        <v>429.1204878603271</v>
      </c>
      <c r="P117" s="199"/>
      <c r="Q117" s="200"/>
      <c r="R117" s="200"/>
      <c r="S117" s="200"/>
    </row>
    <row r="118" spans="11:19" x14ac:dyDescent="0.2">
      <c r="K118" s="159">
        <v>110</v>
      </c>
      <c r="L118" s="133">
        <f ca="1">-IF(SUMMARY!$D$21*12&gt;=K118,IPMT(SUMMARY!$D$22/12,K118,SUMMARY!$D$21*12,SUMMARY!$D$20),0)</f>
        <v>249.41799952945053</v>
      </c>
      <c r="M118" s="133">
        <f ca="1">IF(SUMMARY!$D$21*12&gt;=K118,-PPMT(SUMMARY!$D$22/12,K118,SUMMARY!$D$21*12,SUMMARY!$D$20),0)</f>
        <v>179.70248833087661</v>
      </c>
      <c r="N118" s="160">
        <f t="shared" ca="1" si="5"/>
        <v>429.1204878603271</v>
      </c>
      <c r="P118" s="199"/>
      <c r="Q118" s="200"/>
      <c r="R118" s="200"/>
      <c r="S118" s="200"/>
    </row>
    <row r="119" spans="11:19" x14ac:dyDescent="0.2">
      <c r="K119" s="159">
        <v>111</v>
      </c>
      <c r="L119" s="133">
        <f ca="1">-IF(SUMMARY!$D$21*12&gt;=K119,IPMT(SUMMARY!$D$22/12,K119,SUMMARY!$D$21*12,SUMMARY!$D$20),0)</f>
        <v>248.21998294057798</v>
      </c>
      <c r="M119" s="133">
        <f ca="1">IF(SUMMARY!$D$21*12&gt;=K119,-PPMT(SUMMARY!$D$22/12,K119,SUMMARY!$D$21*12,SUMMARY!$D$20),0)</f>
        <v>180.9005049197491</v>
      </c>
      <c r="N119" s="160">
        <f t="shared" ca="1" si="5"/>
        <v>429.1204878603271</v>
      </c>
      <c r="P119" s="199"/>
      <c r="Q119" s="200"/>
      <c r="R119" s="200"/>
      <c r="S119" s="200"/>
    </row>
    <row r="120" spans="11:19" x14ac:dyDescent="0.2">
      <c r="K120" s="159">
        <v>112</v>
      </c>
      <c r="L120" s="133">
        <f ca="1">-IF(SUMMARY!$D$21*12&gt;=K120,IPMT(SUMMARY!$D$22/12,K120,SUMMARY!$D$21*12,SUMMARY!$D$20),0)</f>
        <v>247.0139795744463</v>
      </c>
      <c r="M120" s="133">
        <f ca="1">IF(SUMMARY!$D$21*12&gt;=K120,-PPMT(SUMMARY!$D$22/12,K120,SUMMARY!$D$21*12,SUMMARY!$D$20),0)</f>
        <v>182.10650828588075</v>
      </c>
      <c r="N120" s="160">
        <f t="shared" ca="1" si="5"/>
        <v>429.12048786032705</v>
      </c>
      <c r="P120" s="199"/>
      <c r="Q120" s="200"/>
      <c r="R120" s="200"/>
      <c r="S120" s="200"/>
    </row>
    <row r="121" spans="11:19" x14ac:dyDescent="0.2">
      <c r="K121" s="159">
        <v>113</v>
      </c>
      <c r="L121" s="133">
        <f ca="1">-IF(SUMMARY!$D$21*12&gt;=K121,IPMT(SUMMARY!$D$22/12,K121,SUMMARY!$D$21*12,SUMMARY!$D$20),0)</f>
        <v>245.79993618587378</v>
      </c>
      <c r="M121" s="133">
        <f ca="1">IF(SUMMARY!$D$21*12&gt;=K121,-PPMT(SUMMARY!$D$22/12,K121,SUMMARY!$D$21*12,SUMMARY!$D$20),0)</f>
        <v>183.32055167445333</v>
      </c>
      <c r="N121" s="160">
        <f t="shared" ca="1" si="5"/>
        <v>429.1204878603271</v>
      </c>
      <c r="P121" s="199"/>
      <c r="Q121" s="200"/>
      <c r="R121" s="200"/>
      <c r="S121" s="200"/>
    </row>
    <row r="122" spans="11:19" x14ac:dyDescent="0.2">
      <c r="K122" s="159">
        <v>114</v>
      </c>
      <c r="L122" s="133">
        <f ca="1">-IF(SUMMARY!$D$21*12&gt;=K122,IPMT(SUMMARY!$D$22/12,K122,SUMMARY!$D$21*12,SUMMARY!$D$20),0)</f>
        <v>244.57779917471075</v>
      </c>
      <c r="M122" s="133">
        <f ca="1">IF(SUMMARY!$D$21*12&gt;=K122,-PPMT(SUMMARY!$D$22/12,K122,SUMMARY!$D$21*12,SUMMARY!$D$20),0)</f>
        <v>184.54268868561633</v>
      </c>
      <c r="N122" s="160">
        <f t="shared" ca="1" si="5"/>
        <v>429.1204878603271</v>
      </c>
      <c r="P122" s="199"/>
      <c r="Q122" s="200"/>
      <c r="R122" s="200"/>
      <c r="S122" s="200"/>
    </row>
    <row r="123" spans="11:19" x14ac:dyDescent="0.2">
      <c r="K123" s="159">
        <v>115</v>
      </c>
      <c r="L123" s="133">
        <f ca="1">-IF(SUMMARY!$D$21*12&gt;=K123,IPMT(SUMMARY!$D$22/12,K123,SUMMARY!$D$21*12,SUMMARY!$D$20),0)</f>
        <v>243.34751458347324</v>
      </c>
      <c r="M123" s="133">
        <f ca="1">IF(SUMMARY!$D$21*12&gt;=K123,-PPMT(SUMMARY!$D$22/12,K123,SUMMARY!$D$21*12,SUMMARY!$D$20),0)</f>
        <v>185.77297327685378</v>
      </c>
      <c r="N123" s="160">
        <f t="shared" ca="1" si="5"/>
        <v>429.12048786032699</v>
      </c>
      <c r="P123" s="199"/>
      <c r="Q123" s="200"/>
      <c r="R123" s="200"/>
      <c r="S123" s="200"/>
    </row>
    <row r="124" spans="11:19" x14ac:dyDescent="0.2">
      <c r="K124" s="159">
        <v>116</v>
      </c>
      <c r="L124" s="133">
        <f ca="1">-IF(SUMMARY!$D$21*12&gt;=K124,IPMT(SUMMARY!$D$22/12,K124,SUMMARY!$D$21*12,SUMMARY!$D$20),0)</f>
        <v>242.10902809496093</v>
      </c>
      <c r="M124" s="133">
        <f ca="1">IF(SUMMARY!$D$21*12&gt;=K124,-PPMT(SUMMARY!$D$22/12,K124,SUMMARY!$D$21*12,SUMMARY!$D$20),0)</f>
        <v>187.01145976536611</v>
      </c>
      <c r="N124" s="160">
        <f t="shared" ca="1" si="5"/>
        <v>429.12048786032705</v>
      </c>
      <c r="P124" s="199"/>
      <c r="Q124" s="200"/>
      <c r="R124" s="200"/>
      <c r="S124" s="200"/>
    </row>
    <row r="125" spans="11:19" x14ac:dyDescent="0.2">
      <c r="K125" s="159">
        <v>117</v>
      </c>
      <c r="L125" s="133">
        <f ca="1">-IF(SUMMARY!$D$21*12&gt;=K125,IPMT(SUMMARY!$D$22/12,K125,SUMMARY!$D$21*12,SUMMARY!$D$20),0)</f>
        <v>240.86228502985847</v>
      </c>
      <c r="M125" s="133">
        <f ca="1">IF(SUMMARY!$D$21*12&gt;=K125,-PPMT(SUMMARY!$D$22/12,K125,SUMMARY!$D$21*12,SUMMARY!$D$20),0)</f>
        <v>188.2582028304686</v>
      </c>
      <c r="N125" s="160">
        <f t="shared" ca="1" si="5"/>
        <v>429.1204878603271</v>
      </c>
      <c r="P125" s="199"/>
      <c r="Q125" s="200"/>
      <c r="R125" s="200"/>
      <c r="S125" s="200"/>
    </row>
    <row r="126" spans="11:19" x14ac:dyDescent="0.2">
      <c r="K126" s="159">
        <v>118</v>
      </c>
      <c r="L126" s="133">
        <f ca="1">-IF(SUMMARY!$D$21*12&gt;=K126,IPMT(SUMMARY!$D$22/12,K126,SUMMARY!$D$21*12,SUMMARY!$D$20),0)</f>
        <v>239.60723034432198</v>
      </c>
      <c r="M126" s="133">
        <f ca="1">IF(SUMMARY!$D$21*12&gt;=K126,-PPMT(SUMMARY!$D$22/12,K126,SUMMARY!$D$21*12,SUMMARY!$D$20),0)</f>
        <v>189.51325751600504</v>
      </c>
      <c r="N126" s="160">
        <f t="shared" ca="1" si="5"/>
        <v>429.12048786032699</v>
      </c>
      <c r="P126" s="199"/>
      <c r="Q126" s="200"/>
      <c r="R126" s="200"/>
      <c r="S126" s="200"/>
    </row>
    <row r="127" spans="11:19" x14ac:dyDescent="0.2">
      <c r="K127" s="159">
        <v>119</v>
      </c>
      <c r="L127" s="133">
        <f ca="1">-IF(SUMMARY!$D$21*12&gt;=K127,IPMT(SUMMARY!$D$22/12,K127,SUMMARY!$D$21*12,SUMMARY!$D$20),0)</f>
        <v>238.34380862754864</v>
      </c>
      <c r="M127" s="133">
        <f ca="1">IF(SUMMARY!$D$21*12&gt;=K127,-PPMT(SUMMARY!$D$22/12,K127,SUMMARY!$D$21*12,SUMMARY!$D$20),0)</f>
        <v>190.77667923277841</v>
      </c>
      <c r="N127" s="160">
        <f t="shared" ca="1" si="5"/>
        <v>429.12048786032705</v>
      </c>
      <c r="P127" s="199"/>
      <c r="Q127" s="200"/>
      <c r="R127" s="200"/>
      <c r="S127" s="200"/>
    </row>
    <row r="128" spans="11:19" x14ac:dyDescent="0.2">
      <c r="K128" s="159">
        <v>120</v>
      </c>
      <c r="L128" s="133">
        <f ca="1">-IF(SUMMARY!$D$21*12&gt;=K128,IPMT(SUMMARY!$D$22/12,K128,SUMMARY!$D$21*12,SUMMARY!$D$20),0)</f>
        <v>237.07196409933013</v>
      </c>
      <c r="M128" s="133">
        <f ca="1">IF(SUMMARY!$D$21*12&gt;=K128,-PPMT(SUMMARY!$D$22/12,K128,SUMMARY!$D$21*12,SUMMARY!$D$20),0)</f>
        <v>192.04852376099691</v>
      </c>
      <c r="N128" s="160">
        <f t="shared" ca="1" si="5"/>
        <v>429.12048786032705</v>
      </c>
      <c r="P128" s="199"/>
      <c r="Q128" s="200"/>
      <c r="R128" s="200"/>
      <c r="S128" s="200"/>
    </row>
    <row r="129" spans="11:19" x14ac:dyDescent="0.2">
      <c r="K129" s="159">
        <v>121</v>
      </c>
      <c r="L129" s="133">
        <f ca="1">-IF(SUMMARY!$D$21*12&gt;=K129,IPMT(SUMMARY!$D$22/12,K129,SUMMARY!$D$21*12,SUMMARY!$D$20),0)</f>
        <v>235.79164060759015</v>
      </c>
      <c r="M129" s="133">
        <f ca="1">IF(SUMMARY!$D$21*12&gt;=K129,-PPMT(SUMMARY!$D$22/12,K129,SUMMARY!$D$21*12,SUMMARY!$D$20),0)</f>
        <v>193.32884725273689</v>
      </c>
      <c r="N129" s="160">
        <f t="shared" ca="1" si="5"/>
        <v>429.12048786032705</v>
      </c>
      <c r="P129" s="199"/>
      <c r="Q129" s="200"/>
      <c r="R129" s="200"/>
      <c r="S129" s="200"/>
    </row>
    <row r="130" spans="11:19" x14ac:dyDescent="0.2">
      <c r="K130" s="159">
        <v>122</v>
      </c>
      <c r="L130" s="133">
        <f ca="1">-IF(SUMMARY!$D$21*12&gt;=K130,IPMT(SUMMARY!$D$22/12,K130,SUMMARY!$D$21*12,SUMMARY!$D$20),0)</f>
        <v>234.50278162590524</v>
      </c>
      <c r="M130" s="133">
        <f ca="1">IF(SUMMARY!$D$21*12&gt;=K130,-PPMT(SUMMARY!$D$22/12,K130,SUMMARY!$D$21*12,SUMMARY!$D$20),0)</f>
        <v>194.61770623442183</v>
      </c>
      <c r="N130" s="160">
        <f t="shared" ca="1" si="5"/>
        <v>429.1204878603271</v>
      </c>
      <c r="P130" s="199"/>
      <c r="Q130" s="200"/>
      <c r="R130" s="200"/>
      <c r="S130" s="200"/>
    </row>
    <row r="131" spans="11:19" x14ac:dyDescent="0.2">
      <c r="K131" s="159">
        <v>123</v>
      </c>
      <c r="L131" s="133">
        <f ca="1">-IF(SUMMARY!$D$21*12&gt;=K131,IPMT(SUMMARY!$D$22/12,K131,SUMMARY!$D$21*12,SUMMARY!$D$20),0)</f>
        <v>233.20533025100912</v>
      </c>
      <c r="M131" s="133">
        <f ca="1">IF(SUMMARY!$D$21*12&gt;=K131,-PPMT(SUMMARY!$D$22/12,K131,SUMMARY!$D$21*12,SUMMARY!$D$20),0)</f>
        <v>195.91515760931796</v>
      </c>
      <c r="N131" s="160">
        <f t="shared" ca="1" si="5"/>
        <v>429.1204878603271</v>
      </c>
      <c r="P131" s="199"/>
      <c r="Q131" s="200"/>
      <c r="R131" s="200"/>
      <c r="S131" s="200"/>
    </row>
    <row r="132" spans="11:19" x14ac:dyDescent="0.2">
      <c r="K132" s="159">
        <v>124</v>
      </c>
      <c r="L132" s="133">
        <f ca="1">-IF(SUMMARY!$D$21*12&gt;=K132,IPMT(SUMMARY!$D$22/12,K132,SUMMARY!$D$21*12,SUMMARY!$D$20),0)</f>
        <v>231.8992292002803</v>
      </c>
      <c r="M132" s="133">
        <f ca="1">IF(SUMMARY!$D$21*12&gt;=K132,-PPMT(SUMMARY!$D$22/12,K132,SUMMARY!$D$21*12,SUMMARY!$D$20),0)</f>
        <v>197.22125866004674</v>
      </c>
      <c r="N132" s="160">
        <f t="shared" ca="1" si="5"/>
        <v>429.12048786032705</v>
      </c>
      <c r="P132" s="199"/>
      <c r="Q132" s="200"/>
      <c r="R132" s="200"/>
      <c r="S132" s="200"/>
    </row>
    <row r="133" spans="11:19" x14ac:dyDescent="0.2">
      <c r="K133" s="159">
        <v>125</v>
      </c>
      <c r="L133" s="133">
        <f ca="1">-IF(SUMMARY!$D$21*12&gt;=K133,IPMT(SUMMARY!$D$22/12,K133,SUMMARY!$D$21*12,SUMMARY!$D$20),0)</f>
        <v>230.5844208092133</v>
      </c>
      <c r="M133" s="133">
        <f ca="1">IF(SUMMARY!$D$21*12&gt;=K133,-PPMT(SUMMARY!$D$22/12,K133,SUMMARY!$D$21*12,SUMMARY!$D$20),0)</f>
        <v>198.53606705111375</v>
      </c>
      <c r="N133" s="160">
        <f t="shared" ca="1" si="5"/>
        <v>429.12048786032705</v>
      </c>
      <c r="P133" s="199"/>
      <c r="Q133" s="200"/>
      <c r="R133" s="200"/>
      <c r="S133" s="200"/>
    </row>
    <row r="134" spans="11:19" x14ac:dyDescent="0.2">
      <c r="K134" s="159">
        <v>126</v>
      </c>
      <c r="L134" s="133">
        <f ca="1">-IF(SUMMARY!$D$21*12&gt;=K134,IPMT(SUMMARY!$D$22/12,K134,SUMMARY!$D$21*12,SUMMARY!$D$20),0)</f>
        <v>229.26084702887255</v>
      </c>
      <c r="M134" s="133">
        <f ca="1">IF(SUMMARY!$D$21*12&gt;=K134,-PPMT(SUMMARY!$D$22/12,K134,SUMMARY!$D$21*12,SUMMARY!$D$20),0)</f>
        <v>199.8596408314545</v>
      </c>
      <c r="N134" s="160">
        <f t="shared" ca="1" si="5"/>
        <v>429.12048786032705</v>
      </c>
      <c r="P134" s="199"/>
      <c r="Q134" s="200"/>
      <c r="R134" s="200"/>
      <c r="S134" s="200"/>
    </row>
    <row r="135" spans="11:19" x14ac:dyDescent="0.2">
      <c r="K135" s="159">
        <v>127</v>
      </c>
      <c r="L135" s="133">
        <f ca="1">-IF(SUMMARY!$D$21*12&gt;=K135,IPMT(SUMMARY!$D$22/12,K135,SUMMARY!$D$21*12,SUMMARY!$D$20),0)</f>
        <v>227.92844942332954</v>
      </c>
      <c r="M135" s="133">
        <f ca="1">IF(SUMMARY!$D$21*12&gt;=K135,-PPMT(SUMMARY!$D$22/12,K135,SUMMARY!$D$21*12,SUMMARY!$D$20),0)</f>
        <v>201.19203843699751</v>
      </c>
      <c r="N135" s="160">
        <f t="shared" ca="1" si="5"/>
        <v>429.12048786032705</v>
      </c>
      <c r="P135" s="199"/>
      <c r="Q135" s="200"/>
      <c r="R135" s="200"/>
      <c r="S135" s="200"/>
    </row>
    <row r="136" spans="11:19" x14ac:dyDescent="0.2">
      <c r="K136" s="159">
        <v>128</v>
      </c>
      <c r="L136" s="133">
        <f ca="1">-IF(SUMMARY!$D$21*12&gt;=K136,IPMT(SUMMARY!$D$22/12,K136,SUMMARY!$D$21*12,SUMMARY!$D$20),0)</f>
        <v>226.58716916708292</v>
      </c>
      <c r="M136" s="133">
        <f ca="1">IF(SUMMARY!$D$21*12&gt;=K136,-PPMT(SUMMARY!$D$22/12,K136,SUMMARY!$D$21*12,SUMMARY!$D$20),0)</f>
        <v>202.53331869324418</v>
      </c>
      <c r="N136" s="160">
        <f t="shared" ca="1" si="5"/>
        <v>429.1204878603271</v>
      </c>
      <c r="P136" s="199"/>
      <c r="Q136" s="200"/>
      <c r="R136" s="200"/>
      <c r="S136" s="200"/>
    </row>
    <row r="137" spans="11:19" x14ac:dyDescent="0.2">
      <c r="K137" s="159">
        <v>129</v>
      </c>
      <c r="L137" s="133">
        <f ca="1">-IF(SUMMARY!$D$21*12&gt;=K137,IPMT(SUMMARY!$D$22/12,K137,SUMMARY!$D$21*12,SUMMARY!$D$20),0)</f>
        <v>225.23694704246122</v>
      </c>
      <c r="M137" s="133">
        <f ca="1">IF(SUMMARY!$D$21*12&gt;=K137,-PPMT(SUMMARY!$D$22/12,K137,SUMMARY!$D$21*12,SUMMARY!$D$20),0)</f>
        <v>203.88354081786579</v>
      </c>
      <c r="N137" s="160">
        <f t="shared" ref="N137:N200" ca="1" si="6">+M137+L137</f>
        <v>429.12048786032699</v>
      </c>
      <c r="P137" s="199"/>
      <c r="Q137" s="200"/>
      <c r="R137" s="200"/>
      <c r="S137" s="200"/>
    </row>
    <row r="138" spans="11:19" x14ac:dyDescent="0.2">
      <c r="K138" s="159">
        <v>130</v>
      </c>
      <c r="L138" s="133">
        <f ca="1">-IF(SUMMARY!$D$21*12&gt;=K138,IPMT(SUMMARY!$D$22/12,K138,SUMMARY!$D$21*12,SUMMARY!$D$20),0)</f>
        <v>223.87772343700885</v>
      </c>
      <c r="M138" s="133">
        <f ca="1">IF(SUMMARY!$D$21*12&gt;=K138,-PPMT(SUMMARY!$D$22/12,K138,SUMMARY!$D$21*12,SUMMARY!$D$20),0)</f>
        <v>205.24276442331822</v>
      </c>
      <c r="N138" s="160">
        <f t="shared" ca="1" si="6"/>
        <v>429.1204878603271</v>
      </c>
      <c r="P138" s="199"/>
      <c r="Q138" s="200"/>
      <c r="R138" s="200"/>
      <c r="S138" s="200"/>
    </row>
    <row r="139" spans="11:19" x14ac:dyDescent="0.2">
      <c r="K139" s="159">
        <v>131</v>
      </c>
      <c r="L139" s="133">
        <f ca="1">-IF(SUMMARY!$D$21*12&gt;=K139,IPMT(SUMMARY!$D$22/12,K139,SUMMARY!$D$21*12,SUMMARY!$D$20),0)</f>
        <v>222.50943834085334</v>
      </c>
      <c r="M139" s="133">
        <f ca="1">IF(SUMMARY!$D$21*12&gt;=K139,-PPMT(SUMMARY!$D$22/12,K139,SUMMARY!$D$21*12,SUMMARY!$D$20),0)</f>
        <v>206.61104951947368</v>
      </c>
      <c r="N139" s="160">
        <f t="shared" ca="1" si="6"/>
        <v>429.12048786032699</v>
      </c>
      <c r="P139" s="199"/>
      <c r="Q139" s="200"/>
      <c r="R139" s="200"/>
      <c r="S139" s="200"/>
    </row>
    <row r="140" spans="11:19" x14ac:dyDescent="0.2">
      <c r="K140" s="159">
        <v>132</v>
      </c>
      <c r="L140" s="133">
        <f ca="1">-IF(SUMMARY!$D$21*12&gt;=K140,IPMT(SUMMARY!$D$22/12,K140,SUMMARY!$D$21*12,SUMMARY!$D$20),0)</f>
        <v>221.13203134405686</v>
      </c>
      <c r="M140" s="133">
        <f ca="1">IF(SUMMARY!$D$21*12&gt;=K140,-PPMT(SUMMARY!$D$22/12,K140,SUMMARY!$D$21*12,SUMMARY!$D$20),0)</f>
        <v>207.98845651627016</v>
      </c>
      <c r="N140" s="160">
        <f t="shared" ca="1" si="6"/>
        <v>429.12048786032699</v>
      </c>
      <c r="P140" s="199"/>
      <c r="Q140" s="200"/>
      <c r="R140" s="200"/>
      <c r="S140" s="200"/>
    </row>
    <row r="141" spans="11:19" x14ac:dyDescent="0.2">
      <c r="K141" s="159">
        <v>133</v>
      </c>
      <c r="L141" s="133">
        <f ca="1">-IF(SUMMARY!$D$21*12&gt;=K141,IPMT(SUMMARY!$D$22/12,K141,SUMMARY!$D$21*12,SUMMARY!$D$20),0)</f>
        <v>219.74544163394842</v>
      </c>
      <c r="M141" s="133">
        <f ca="1">IF(SUMMARY!$D$21*12&gt;=K141,-PPMT(SUMMARY!$D$22/12,K141,SUMMARY!$D$21*12,SUMMARY!$D$20),0)</f>
        <v>209.37504622637863</v>
      </c>
      <c r="N141" s="160">
        <f t="shared" ca="1" si="6"/>
        <v>429.12048786032705</v>
      </c>
      <c r="P141" s="199"/>
      <c r="Q141" s="200"/>
      <c r="R141" s="200"/>
      <c r="S141" s="200"/>
    </row>
    <row r="142" spans="11:19" x14ac:dyDescent="0.2">
      <c r="K142" s="159">
        <v>134</v>
      </c>
      <c r="L142" s="133">
        <f ca="1">-IF(SUMMARY!$D$21*12&gt;=K142,IPMT(SUMMARY!$D$22/12,K142,SUMMARY!$D$21*12,SUMMARY!$D$20),0)</f>
        <v>218.34960799243919</v>
      </c>
      <c r="M142" s="133">
        <f ca="1">IF(SUMMARY!$D$21*12&gt;=K142,-PPMT(SUMMARY!$D$22/12,K142,SUMMARY!$D$21*12,SUMMARY!$D$20),0)</f>
        <v>210.77087986788783</v>
      </c>
      <c r="N142" s="160">
        <f t="shared" ca="1" si="6"/>
        <v>429.12048786032699</v>
      </c>
      <c r="P142" s="199"/>
      <c r="Q142" s="200"/>
      <c r="R142" s="200"/>
      <c r="S142" s="200"/>
    </row>
    <row r="143" spans="11:19" x14ac:dyDescent="0.2">
      <c r="K143" s="159">
        <v>135</v>
      </c>
      <c r="L143" s="133">
        <f ca="1">-IF(SUMMARY!$D$21*12&gt;=K143,IPMT(SUMMARY!$D$22/12,K143,SUMMARY!$D$21*12,SUMMARY!$D$20),0)</f>
        <v>216.94446879331994</v>
      </c>
      <c r="M143" s="133">
        <f ca="1">IF(SUMMARY!$D$21*12&gt;=K143,-PPMT(SUMMARY!$D$22/12,K143,SUMMARY!$D$21*12,SUMMARY!$D$20),0)</f>
        <v>212.1760190670071</v>
      </c>
      <c r="N143" s="160">
        <f t="shared" ca="1" si="6"/>
        <v>429.12048786032705</v>
      </c>
      <c r="P143" s="199"/>
      <c r="Q143" s="200"/>
      <c r="R143" s="200"/>
      <c r="S143" s="200"/>
    </row>
    <row r="144" spans="11:19" x14ac:dyDescent="0.2">
      <c r="K144" s="159">
        <v>136</v>
      </c>
      <c r="L144" s="133">
        <f ca="1">-IF(SUMMARY!$D$21*12&gt;=K144,IPMT(SUMMARY!$D$22/12,K144,SUMMARY!$D$21*12,SUMMARY!$D$20),0)</f>
        <v>215.52996199953989</v>
      </c>
      <c r="M144" s="133">
        <f ca="1">IF(SUMMARY!$D$21*12&gt;=K144,-PPMT(SUMMARY!$D$22/12,K144,SUMMARY!$D$21*12,SUMMARY!$D$20),0)</f>
        <v>213.59052586078712</v>
      </c>
      <c r="N144" s="160">
        <f t="shared" ca="1" si="6"/>
        <v>429.12048786032699</v>
      </c>
      <c r="P144" s="199"/>
      <c r="Q144" s="200"/>
      <c r="R144" s="200"/>
      <c r="S144" s="200"/>
    </row>
    <row r="145" spans="11:19" x14ac:dyDescent="0.2">
      <c r="K145" s="159">
        <v>137</v>
      </c>
      <c r="L145" s="133">
        <f ca="1">-IF(SUMMARY!$D$21*12&gt;=K145,IPMT(SUMMARY!$D$22/12,K145,SUMMARY!$D$21*12,SUMMARY!$D$20),0)</f>
        <v>214.10602516046802</v>
      </c>
      <c r="M145" s="133">
        <f ca="1">IF(SUMMARY!$D$21*12&gt;=K145,-PPMT(SUMMARY!$D$22/12,K145,SUMMARY!$D$21*12,SUMMARY!$D$20),0)</f>
        <v>215.01446269985908</v>
      </c>
      <c r="N145" s="160">
        <f t="shared" ca="1" si="6"/>
        <v>429.1204878603271</v>
      </c>
      <c r="P145" s="199"/>
      <c r="Q145" s="200"/>
      <c r="R145" s="200"/>
      <c r="S145" s="200"/>
    </row>
    <row r="146" spans="11:19" x14ac:dyDescent="0.2">
      <c r="K146" s="159">
        <v>138</v>
      </c>
      <c r="L146" s="133">
        <f ca="1">-IF(SUMMARY!$D$21*12&gt;=K146,IPMT(SUMMARY!$D$22/12,K146,SUMMARY!$D$21*12,SUMMARY!$D$20),0)</f>
        <v>212.67259540913562</v>
      </c>
      <c r="M146" s="133">
        <f ca="1">IF(SUMMARY!$D$21*12&gt;=K146,-PPMT(SUMMARY!$D$22/12,K146,SUMMARY!$D$21*12,SUMMARY!$D$20),0)</f>
        <v>216.44789245119148</v>
      </c>
      <c r="N146" s="160">
        <f t="shared" ca="1" si="6"/>
        <v>429.1204878603271</v>
      </c>
      <c r="P146" s="199"/>
      <c r="Q146" s="200"/>
      <c r="R146" s="200"/>
      <c r="S146" s="200"/>
    </row>
    <row r="147" spans="11:19" x14ac:dyDescent="0.2">
      <c r="K147" s="159">
        <v>139</v>
      </c>
      <c r="L147" s="133">
        <f ca="1">-IF(SUMMARY!$D$21*12&gt;=K147,IPMT(SUMMARY!$D$22/12,K147,SUMMARY!$D$21*12,SUMMARY!$D$20),0)</f>
        <v>211.22960945946099</v>
      </c>
      <c r="M147" s="133">
        <f ca="1">IF(SUMMARY!$D$21*12&gt;=K147,-PPMT(SUMMARY!$D$22/12,K147,SUMMARY!$D$21*12,SUMMARY!$D$20),0)</f>
        <v>217.89087840086609</v>
      </c>
      <c r="N147" s="160">
        <f t="shared" ca="1" si="6"/>
        <v>429.1204878603271</v>
      </c>
      <c r="P147" s="199"/>
      <c r="Q147" s="200"/>
      <c r="R147" s="200"/>
      <c r="S147" s="200"/>
    </row>
    <row r="148" spans="11:19" x14ac:dyDescent="0.2">
      <c r="K148" s="159">
        <v>140</v>
      </c>
      <c r="L148" s="133">
        <f ca="1">-IF(SUMMARY!$D$21*12&gt;=K148,IPMT(SUMMARY!$D$22/12,K148,SUMMARY!$D$21*12,SUMMARY!$D$20),0)</f>
        <v>209.77700360345523</v>
      </c>
      <c r="M148" s="133">
        <f ca="1">IF(SUMMARY!$D$21*12&gt;=K148,-PPMT(SUMMARY!$D$22/12,K148,SUMMARY!$D$21*12,SUMMARY!$D$20),0)</f>
        <v>219.34348425687182</v>
      </c>
      <c r="N148" s="160">
        <f t="shared" ca="1" si="6"/>
        <v>429.12048786032705</v>
      </c>
      <c r="P148" s="199"/>
      <c r="Q148" s="200"/>
      <c r="R148" s="200"/>
      <c r="S148" s="200"/>
    </row>
    <row r="149" spans="11:19" x14ac:dyDescent="0.2">
      <c r="K149" s="159">
        <v>141</v>
      </c>
      <c r="L149" s="133">
        <f ca="1">-IF(SUMMARY!$D$21*12&gt;=K149,IPMT(SUMMARY!$D$22/12,K149,SUMMARY!$D$21*12,SUMMARY!$D$20),0)</f>
        <v>208.31471370840939</v>
      </c>
      <c r="M149" s="133">
        <f ca="1">IF(SUMMARY!$D$21*12&gt;=K149,-PPMT(SUMMARY!$D$22/12,K149,SUMMARY!$D$21*12,SUMMARY!$D$20),0)</f>
        <v>220.80577415191763</v>
      </c>
      <c r="N149" s="160">
        <f t="shared" ca="1" si="6"/>
        <v>429.12048786032699</v>
      </c>
      <c r="P149" s="199"/>
      <c r="Q149" s="200"/>
      <c r="R149" s="200"/>
      <c r="S149" s="200"/>
    </row>
    <row r="150" spans="11:19" x14ac:dyDescent="0.2">
      <c r="K150" s="159">
        <v>142</v>
      </c>
      <c r="L150" s="133">
        <f ca="1">-IF(SUMMARY!$D$21*12&gt;=K150,IPMT(SUMMARY!$D$22/12,K150,SUMMARY!$D$21*12,SUMMARY!$D$20),0)</f>
        <v>206.84267521406332</v>
      </c>
      <c r="M150" s="133">
        <f ca="1">IF(SUMMARY!$D$21*12&gt;=K150,-PPMT(SUMMARY!$D$22/12,K150,SUMMARY!$D$21*12,SUMMARY!$D$20),0)</f>
        <v>222.27781264626373</v>
      </c>
      <c r="N150" s="160">
        <f t="shared" ca="1" si="6"/>
        <v>429.12048786032705</v>
      </c>
      <c r="P150" s="199"/>
      <c r="Q150" s="200"/>
      <c r="R150" s="200"/>
      <c r="S150" s="200"/>
    </row>
    <row r="151" spans="11:19" x14ac:dyDescent="0.2">
      <c r="K151" s="159">
        <v>143</v>
      </c>
      <c r="L151" s="133">
        <f ca="1">-IF(SUMMARY!$D$21*12&gt;=K151,IPMT(SUMMARY!$D$22/12,K151,SUMMARY!$D$21*12,SUMMARY!$D$20),0)</f>
        <v>205.36082312975489</v>
      </c>
      <c r="M151" s="133">
        <f ca="1">IF(SUMMARY!$D$21*12&gt;=K151,-PPMT(SUMMARY!$D$22/12,K151,SUMMARY!$D$21*12,SUMMARY!$D$20),0)</f>
        <v>223.75966473057218</v>
      </c>
      <c r="N151" s="160">
        <f t="shared" ca="1" si="6"/>
        <v>429.1204878603271</v>
      </c>
      <c r="P151" s="199"/>
      <c r="Q151" s="200"/>
      <c r="R151" s="200"/>
      <c r="S151" s="200"/>
    </row>
    <row r="152" spans="11:19" x14ac:dyDescent="0.2">
      <c r="K152" s="159">
        <v>144</v>
      </c>
      <c r="L152" s="133">
        <f ca="1">-IF(SUMMARY!$D$21*12&gt;=K152,IPMT(SUMMARY!$D$22/12,K152,SUMMARY!$D$21*12,SUMMARY!$D$20),0)</f>
        <v>203.86909203155102</v>
      </c>
      <c r="M152" s="133">
        <f ca="1">IF(SUMMARY!$D$21*12&gt;=K152,-PPMT(SUMMARY!$D$22/12,K152,SUMMARY!$D$21*12,SUMMARY!$D$20),0)</f>
        <v>225.25139582877603</v>
      </c>
      <c r="N152" s="160">
        <f t="shared" ca="1" si="6"/>
        <v>429.12048786032705</v>
      </c>
      <c r="P152" s="199"/>
      <c r="Q152" s="200"/>
      <c r="R152" s="200"/>
      <c r="S152" s="200"/>
    </row>
    <row r="153" spans="11:19" x14ac:dyDescent="0.2">
      <c r="K153" s="159">
        <v>145</v>
      </c>
      <c r="L153" s="133">
        <f ca="1">-IF(SUMMARY!$D$21*12&gt;=K153,IPMT(SUMMARY!$D$22/12,K153,SUMMARY!$D$21*12,SUMMARY!$D$20),0)</f>
        <v>202.36741605935921</v>
      </c>
      <c r="M153" s="133">
        <f ca="1">IF(SUMMARY!$D$21*12&gt;=K153,-PPMT(SUMMARY!$D$22/12,K153,SUMMARY!$D$21*12,SUMMARY!$D$20),0)</f>
        <v>226.75307180096786</v>
      </c>
      <c r="N153" s="160">
        <f t="shared" ca="1" si="6"/>
        <v>429.1204878603271</v>
      </c>
      <c r="P153" s="199"/>
      <c r="Q153" s="200"/>
      <c r="R153" s="200"/>
      <c r="S153" s="200"/>
    </row>
    <row r="154" spans="11:19" x14ac:dyDescent="0.2">
      <c r="K154" s="159">
        <v>146</v>
      </c>
      <c r="L154" s="133">
        <f ca="1">-IF(SUMMARY!$D$21*12&gt;=K154,IPMT(SUMMARY!$D$22/12,K154,SUMMARY!$D$21*12,SUMMARY!$D$20),0)</f>
        <v>200.85572891401944</v>
      </c>
      <c r="M154" s="133">
        <f ca="1">IF(SUMMARY!$D$21*12&gt;=K154,-PPMT(SUMMARY!$D$22/12,K154,SUMMARY!$D$21*12,SUMMARY!$D$20),0)</f>
        <v>228.26475894630761</v>
      </c>
      <c r="N154" s="160">
        <f t="shared" ca="1" si="6"/>
        <v>429.12048786032705</v>
      </c>
      <c r="P154" s="199"/>
      <c r="Q154" s="200"/>
      <c r="R154" s="200"/>
      <c r="S154" s="200"/>
    </row>
    <row r="155" spans="11:19" x14ac:dyDescent="0.2">
      <c r="K155" s="159">
        <v>147</v>
      </c>
      <c r="L155" s="133">
        <f ca="1">-IF(SUMMARY!$D$21*12&gt;=K155,IPMT(SUMMARY!$D$22/12,K155,SUMMARY!$D$21*12,SUMMARY!$D$20),0)</f>
        <v>199.3339638543774</v>
      </c>
      <c r="M155" s="133">
        <f ca="1">IF(SUMMARY!$D$21*12&gt;=K155,-PPMT(SUMMARY!$D$22/12,K155,SUMMARY!$D$21*12,SUMMARY!$D$20),0)</f>
        <v>229.78652400594967</v>
      </c>
      <c r="N155" s="160">
        <f t="shared" ca="1" si="6"/>
        <v>429.1204878603271</v>
      </c>
      <c r="P155" s="199"/>
      <c r="Q155" s="200"/>
      <c r="R155" s="200"/>
      <c r="S155" s="200"/>
    </row>
    <row r="156" spans="11:19" x14ac:dyDescent="0.2">
      <c r="K156" s="159">
        <v>148</v>
      </c>
      <c r="L156" s="133">
        <f ca="1">-IF(SUMMARY!$D$21*12&gt;=K156,IPMT(SUMMARY!$D$22/12,K156,SUMMARY!$D$21*12,SUMMARY!$D$20),0)</f>
        <v>197.80205369433773</v>
      </c>
      <c r="M156" s="133">
        <f ca="1">IF(SUMMARY!$D$21*12&gt;=K156,-PPMT(SUMMARY!$D$22/12,K156,SUMMARY!$D$21*12,SUMMARY!$D$20),0)</f>
        <v>231.31843416598937</v>
      </c>
      <c r="N156" s="160">
        <f t="shared" ca="1" si="6"/>
        <v>429.1204878603271</v>
      </c>
      <c r="P156" s="199"/>
      <c r="Q156" s="200"/>
      <c r="R156" s="200"/>
      <c r="S156" s="200"/>
    </row>
    <row r="157" spans="11:19" x14ac:dyDescent="0.2">
      <c r="K157" s="159">
        <v>149</v>
      </c>
      <c r="L157" s="133">
        <f ca="1">-IF(SUMMARY!$D$21*12&gt;=K157,IPMT(SUMMARY!$D$22/12,K157,SUMMARY!$D$21*12,SUMMARY!$D$20),0)</f>
        <v>196.25993079989777</v>
      </c>
      <c r="M157" s="133">
        <f ca="1">IF(SUMMARY!$D$21*12&gt;=K157,-PPMT(SUMMARY!$D$22/12,K157,SUMMARY!$D$21*12,SUMMARY!$D$20),0)</f>
        <v>232.86055706042924</v>
      </c>
      <c r="N157" s="160">
        <f t="shared" ca="1" si="6"/>
        <v>429.12048786032699</v>
      </c>
      <c r="P157" s="199"/>
      <c r="Q157" s="200"/>
      <c r="R157" s="200"/>
      <c r="S157" s="200"/>
    </row>
    <row r="158" spans="11:19" x14ac:dyDescent="0.2">
      <c r="K158" s="159">
        <v>150</v>
      </c>
      <c r="L158" s="133">
        <f ca="1">-IF(SUMMARY!$D$21*12&gt;=K158,IPMT(SUMMARY!$D$22/12,K158,SUMMARY!$D$21*12,SUMMARY!$D$20),0)</f>
        <v>194.70752708616158</v>
      </c>
      <c r="M158" s="133">
        <f ca="1">IF(SUMMARY!$D$21*12&gt;=K158,-PPMT(SUMMARY!$D$22/12,K158,SUMMARY!$D$21*12,SUMMARY!$D$20),0)</f>
        <v>234.41296077416553</v>
      </c>
      <c r="N158" s="160">
        <f t="shared" ca="1" si="6"/>
        <v>429.1204878603271</v>
      </c>
      <c r="P158" s="199"/>
      <c r="Q158" s="200"/>
      <c r="R158" s="200"/>
      <c r="S158" s="200"/>
    </row>
    <row r="159" spans="11:19" x14ac:dyDescent="0.2">
      <c r="K159" s="159">
        <v>151</v>
      </c>
      <c r="L159" s="133">
        <f ca="1">-IF(SUMMARY!$D$21*12&gt;=K159,IPMT(SUMMARY!$D$22/12,K159,SUMMARY!$D$21*12,SUMMARY!$D$20),0)</f>
        <v>193.14477401433379</v>
      </c>
      <c r="M159" s="133">
        <f ca="1">IF(SUMMARY!$D$21*12&gt;=K159,-PPMT(SUMMARY!$D$22/12,K159,SUMMARY!$D$21*12,SUMMARY!$D$20),0)</f>
        <v>235.97571384599323</v>
      </c>
      <c r="N159" s="160">
        <f t="shared" ca="1" si="6"/>
        <v>429.12048786032699</v>
      </c>
      <c r="P159" s="199"/>
      <c r="Q159" s="200"/>
      <c r="R159" s="200"/>
      <c r="S159" s="200"/>
    </row>
    <row r="160" spans="11:19" x14ac:dyDescent="0.2">
      <c r="K160" s="159">
        <v>152</v>
      </c>
      <c r="L160" s="133">
        <f ca="1">-IF(SUMMARY!$D$21*12&gt;=K160,IPMT(SUMMARY!$D$22/12,K160,SUMMARY!$D$21*12,SUMMARY!$D$20),0)</f>
        <v>191.57160258869388</v>
      </c>
      <c r="M160" s="133">
        <f ca="1">IF(SUMMARY!$D$21*12&gt;=K160,-PPMT(SUMMARY!$D$22/12,K160,SUMMARY!$D$21*12,SUMMARY!$D$20),0)</f>
        <v>237.5488852716332</v>
      </c>
      <c r="N160" s="160">
        <f t="shared" ca="1" si="6"/>
        <v>429.1204878603271</v>
      </c>
      <c r="P160" s="199"/>
      <c r="Q160" s="200"/>
      <c r="R160" s="200"/>
      <c r="S160" s="200"/>
    </row>
    <row r="161" spans="11:19" x14ac:dyDescent="0.2">
      <c r="K161" s="159">
        <v>153</v>
      </c>
      <c r="L161" s="133">
        <f ca="1">-IF(SUMMARY!$D$21*12&gt;=K161,IPMT(SUMMARY!$D$22/12,K161,SUMMARY!$D$21*12,SUMMARY!$D$20),0)</f>
        <v>189.98794335354961</v>
      </c>
      <c r="M161" s="133">
        <f ca="1">IF(SUMMARY!$D$21*12&gt;=K161,-PPMT(SUMMARY!$D$22/12,K161,SUMMARY!$D$21*12,SUMMARY!$D$20),0)</f>
        <v>239.13254450677741</v>
      </c>
      <c r="N161" s="160">
        <f t="shared" ca="1" si="6"/>
        <v>429.12048786032699</v>
      </c>
      <c r="P161" s="199"/>
      <c r="Q161" s="200"/>
      <c r="R161" s="200"/>
      <c r="S161" s="200"/>
    </row>
    <row r="162" spans="11:19" x14ac:dyDescent="0.2">
      <c r="K162" s="159">
        <v>154</v>
      </c>
      <c r="L162" s="133">
        <f ca="1">-IF(SUMMARY!$D$21*12&gt;=K162,IPMT(SUMMARY!$D$22/12,K162,SUMMARY!$D$21*12,SUMMARY!$D$20),0)</f>
        <v>188.39372639017108</v>
      </c>
      <c r="M162" s="133">
        <f ca="1">IF(SUMMARY!$D$21*12&gt;=K162,-PPMT(SUMMARY!$D$22/12,K162,SUMMARY!$D$21*12,SUMMARY!$D$20),0)</f>
        <v>240.72676147015596</v>
      </c>
      <c r="N162" s="160">
        <f t="shared" ca="1" si="6"/>
        <v>429.12048786032705</v>
      </c>
      <c r="P162" s="199"/>
      <c r="Q162" s="200"/>
      <c r="R162" s="200"/>
      <c r="S162" s="200"/>
    </row>
    <row r="163" spans="11:19" x14ac:dyDescent="0.2">
      <c r="K163" s="159">
        <v>155</v>
      </c>
      <c r="L163" s="133">
        <f ca="1">-IF(SUMMARY!$D$21*12&gt;=K163,IPMT(SUMMARY!$D$22/12,K163,SUMMARY!$D$21*12,SUMMARY!$D$20),0)</f>
        <v>186.78888131370343</v>
      </c>
      <c r="M163" s="133">
        <f ca="1">IF(SUMMARY!$D$21*12&gt;=K163,-PPMT(SUMMARY!$D$22/12,K163,SUMMARY!$D$21*12,SUMMARY!$D$20),0)</f>
        <v>242.33160654662362</v>
      </c>
      <c r="N163" s="160">
        <f t="shared" ca="1" si="6"/>
        <v>429.12048786032705</v>
      </c>
      <c r="P163" s="199"/>
      <c r="Q163" s="200"/>
      <c r="R163" s="200"/>
      <c r="S163" s="200"/>
    </row>
    <row r="164" spans="11:19" x14ac:dyDescent="0.2">
      <c r="K164" s="159">
        <v>156</v>
      </c>
      <c r="L164" s="133">
        <f ca="1">-IF(SUMMARY!$D$21*12&gt;=K164,IPMT(SUMMARY!$D$22/12,K164,SUMMARY!$D$21*12,SUMMARY!$D$20),0)</f>
        <v>185.17333727005925</v>
      </c>
      <c r="M164" s="133">
        <f ca="1">IF(SUMMARY!$D$21*12&gt;=K164,-PPMT(SUMMARY!$D$22/12,K164,SUMMARY!$D$21*12,SUMMARY!$D$20),0)</f>
        <v>243.94715059026777</v>
      </c>
      <c r="N164" s="160">
        <f t="shared" ca="1" si="6"/>
        <v>429.12048786032699</v>
      </c>
      <c r="P164" s="199"/>
      <c r="Q164" s="200"/>
      <c r="R164" s="200"/>
      <c r="S164" s="200"/>
    </row>
    <row r="165" spans="11:19" x14ac:dyDescent="0.2">
      <c r="K165" s="159">
        <v>157</v>
      </c>
      <c r="L165" s="133">
        <f ca="1">-IF(SUMMARY!$D$21*12&gt;=K165,IPMT(SUMMARY!$D$22/12,K165,SUMMARY!$D$21*12,SUMMARY!$D$20),0)</f>
        <v>183.54702293279081</v>
      </c>
      <c r="M165" s="133">
        <f ca="1">IF(SUMMARY!$D$21*12&gt;=K165,-PPMT(SUMMARY!$D$22/12,K165,SUMMARY!$D$21*12,SUMMARY!$D$20),0)</f>
        <v>245.57346492753624</v>
      </c>
      <c r="N165" s="160">
        <f t="shared" ca="1" si="6"/>
        <v>429.12048786032705</v>
      </c>
      <c r="P165" s="199"/>
      <c r="Q165" s="200"/>
      <c r="R165" s="200"/>
      <c r="S165" s="200"/>
    </row>
    <row r="166" spans="11:19" x14ac:dyDescent="0.2">
      <c r="K166" s="159">
        <v>158</v>
      </c>
      <c r="L166" s="133">
        <f ca="1">-IF(SUMMARY!$D$21*12&gt;=K166,IPMT(SUMMARY!$D$22/12,K166,SUMMARY!$D$21*12,SUMMARY!$D$20),0)</f>
        <v>181.90986649994056</v>
      </c>
      <c r="M166" s="133">
        <f ca="1">IF(SUMMARY!$D$21*12&gt;=K166,-PPMT(SUMMARY!$D$22/12,K166,SUMMARY!$D$21*12,SUMMARY!$D$20),0)</f>
        <v>247.21062136038648</v>
      </c>
      <c r="N166" s="160">
        <f t="shared" ca="1" si="6"/>
        <v>429.12048786032705</v>
      </c>
      <c r="P166" s="199"/>
      <c r="Q166" s="200"/>
      <c r="R166" s="200"/>
      <c r="S166" s="200"/>
    </row>
    <row r="167" spans="11:19" x14ac:dyDescent="0.2">
      <c r="K167" s="159">
        <v>159</v>
      </c>
      <c r="L167" s="133">
        <f ca="1">-IF(SUMMARY!$D$21*12&gt;=K167,IPMT(SUMMARY!$D$22/12,K167,SUMMARY!$D$21*12,SUMMARY!$D$20),0)</f>
        <v>180.26179569087134</v>
      </c>
      <c r="M167" s="133">
        <f ca="1">IF(SUMMARY!$D$21*12&gt;=K167,-PPMT(SUMMARY!$D$22/12,K167,SUMMARY!$D$21*12,SUMMARY!$D$20),0)</f>
        <v>248.85869216945571</v>
      </c>
      <c r="N167" s="160">
        <f t="shared" ca="1" si="6"/>
        <v>429.12048786032705</v>
      </c>
      <c r="P167" s="199"/>
      <c r="Q167" s="200"/>
      <c r="R167" s="200"/>
      <c r="S167" s="200"/>
    </row>
    <row r="168" spans="11:19" x14ac:dyDescent="0.2">
      <c r="K168" s="159">
        <v>160</v>
      </c>
      <c r="L168" s="133">
        <f ca="1">-IF(SUMMARY!$D$21*12&gt;=K168,IPMT(SUMMARY!$D$22/12,K168,SUMMARY!$D$21*12,SUMMARY!$D$20),0)</f>
        <v>178.60273774307493</v>
      </c>
      <c r="M168" s="133">
        <f ca="1">IF(SUMMARY!$D$21*12&gt;=K168,-PPMT(SUMMARY!$D$22/12,K168,SUMMARY!$D$21*12,SUMMARY!$D$20),0)</f>
        <v>250.51775011725212</v>
      </c>
      <c r="N168" s="160">
        <f t="shared" ca="1" si="6"/>
        <v>429.12048786032705</v>
      </c>
      <c r="P168" s="199"/>
      <c r="Q168" s="200"/>
      <c r="R168" s="200"/>
      <c r="S168" s="200"/>
    </row>
    <row r="169" spans="11:19" x14ac:dyDescent="0.2">
      <c r="K169" s="159">
        <v>161</v>
      </c>
      <c r="L169" s="133">
        <f ca="1">-IF(SUMMARY!$D$21*12&gt;=K169,IPMT(SUMMARY!$D$22/12,K169,SUMMARY!$D$21*12,SUMMARY!$D$20),0)</f>
        <v>176.93261940895991</v>
      </c>
      <c r="M169" s="133">
        <f ca="1">IF(SUMMARY!$D$21*12&gt;=K169,-PPMT(SUMMARY!$D$22/12,K169,SUMMARY!$D$21*12,SUMMARY!$D$20),0)</f>
        <v>252.18786845136711</v>
      </c>
      <c r="N169" s="160">
        <f t="shared" ca="1" si="6"/>
        <v>429.12048786032699</v>
      </c>
      <c r="P169" s="199"/>
      <c r="Q169" s="200"/>
      <c r="R169" s="200"/>
      <c r="S169" s="200"/>
    </row>
    <row r="170" spans="11:19" x14ac:dyDescent="0.2">
      <c r="K170" s="159">
        <v>162</v>
      </c>
      <c r="L170" s="133">
        <f ca="1">-IF(SUMMARY!$D$21*12&gt;=K170,IPMT(SUMMARY!$D$22/12,K170,SUMMARY!$D$21*12,SUMMARY!$D$20),0)</f>
        <v>175.2513669526175</v>
      </c>
      <c r="M170" s="133">
        <f ca="1">IF(SUMMARY!$D$21*12&gt;=K170,-PPMT(SUMMARY!$D$22/12,K170,SUMMARY!$D$21*12,SUMMARY!$D$20),0)</f>
        <v>253.86912090770954</v>
      </c>
      <c r="N170" s="160">
        <f t="shared" ca="1" si="6"/>
        <v>429.12048786032705</v>
      </c>
      <c r="P170" s="199"/>
      <c r="Q170" s="200"/>
      <c r="R170" s="200"/>
      <c r="S170" s="200"/>
    </row>
    <row r="171" spans="11:19" x14ac:dyDescent="0.2">
      <c r="K171" s="159">
        <v>163</v>
      </c>
      <c r="L171" s="133">
        <f ca="1">-IF(SUMMARY!$D$21*12&gt;=K171,IPMT(SUMMARY!$D$22/12,K171,SUMMARY!$D$21*12,SUMMARY!$D$20),0)</f>
        <v>173.5589061465661</v>
      </c>
      <c r="M171" s="133">
        <f ca="1">IF(SUMMARY!$D$21*12&gt;=K171,-PPMT(SUMMARY!$D$22/12,K171,SUMMARY!$D$21*12,SUMMARY!$D$20),0)</f>
        <v>255.56158171376097</v>
      </c>
      <c r="N171" s="160">
        <f t="shared" ca="1" si="6"/>
        <v>429.1204878603271</v>
      </c>
      <c r="P171" s="199"/>
      <c r="Q171" s="200"/>
      <c r="R171" s="200"/>
      <c r="S171" s="200"/>
    </row>
    <row r="172" spans="11:19" x14ac:dyDescent="0.2">
      <c r="K172" s="159">
        <v>164</v>
      </c>
      <c r="L172" s="133">
        <f ca="1">-IF(SUMMARY!$D$21*12&gt;=K172,IPMT(SUMMARY!$D$22/12,K172,SUMMARY!$D$21*12,SUMMARY!$D$20),0)</f>
        <v>171.85516226847437</v>
      </c>
      <c r="M172" s="133">
        <f ca="1">IF(SUMMARY!$D$21*12&gt;=K172,-PPMT(SUMMARY!$D$22/12,K172,SUMMARY!$D$21*12,SUMMARY!$D$20),0)</f>
        <v>257.26532559185273</v>
      </c>
      <c r="N172" s="160">
        <f t="shared" ca="1" si="6"/>
        <v>429.1204878603271</v>
      </c>
      <c r="P172" s="199"/>
      <c r="Q172" s="200"/>
      <c r="R172" s="200"/>
      <c r="S172" s="200"/>
    </row>
    <row r="173" spans="11:19" x14ac:dyDescent="0.2">
      <c r="K173" s="159">
        <v>165</v>
      </c>
      <c r="L173" s="133">
        <f ca="1">-IF(SUMMARY!$D$21*12&gt;=K173,IPMT(SUMMARY!$D$22/12,K173,SUMMARY!$D$21*12,SUMMARY!$D$20),0)</f>
        <v>170.140060097862</v>
      </c>
      <c r="M173" s="133">
        <f ca="1">IF(SUMMARY!$D$21*12&gt;=K173,-PPMT(SUMMARY!$D$22/12,K173,SUMMARY!$D$21*12,SUMMARY!$D$20),0)</f>
        <v>258.98042776246501</v>
      </c>
      <c r="N173" s="160">
        <f t="shared" ca="1" si="6"/>
        <v>429.12048786032699</v>
      </c>
      <c r="P173" s="199"/>
      <c r="Q173" s="200"/>
      <c r="R173" s="200"/>
      <c r="S173" s="200"/>
    </row>
    <row r="174" spans="11:19" x14ac:dyDescent="0.2">
      <c r="K174" s="159">
        <v>166</v>
      </c>
      <c r="L174" s="133">
        <f ca="1">-IF(SUMMARY!$D$21*12&gt;=K174,IPMT(SUMMARY!$D$22/12,K174,SUMMARY!$D$21*12,SUMMARY!$D$20),0)</f>
        <v>168.41352391277889</v>
      </c>
      <c r="M174" s="133">
        <f ca="1">IF(SUMMARY!$D$21*12&gt;=K174,-PPMT(SUMMARY!$D$22/12,K174,SUMMARY!$D$21*12,SUMMARY!$D$20),0)</f>
        <v>260.70696394754816</v>
      </c>
      <c r="N174" s="160">
        <f t="shared" ca="1" si="6"/>
        <v>429.12048786032705</v>
      </c>
      <c r="P174" s="199"/>
      <c r="Q174" s="200"/>
      <c r="R174" s="200"/>
      <c r="S174" s="200"/>
    </row>
    <row r="175" spans="11:19" x14ac:dyDescent="0.2">
      <c r="K175" s="159">
        <v>167</v>
      </c>
      <c r="L175" s="133">
        <f ca="1">-IF(SUMMARY!$D$21*12&gt;=K175,IPMT(SUMMARY!$D$22/12,K175,SUMMARY!$D$21*12,SUMMARY!$D$20),0)</f>
        <v>166.67547748646192</v>
      </c>
      <c r="M175" s="133">
        <f ca="1">IF(SUMMARY!$D$21*12&gt;=K175,-PPMT(SUMMARY!$D$22/12,K175,SUMMARY!$D$21*12,SUMMARY!$D$20),0)</f>
        <v>262.44501037386516</v>
      </c>
      <c r="N175" s="160">
        <f t="shared" ca="1" si="6"/>
        <v>429.1204878603271</v>
      </c>
      <c r="P175" s="199"/>
      <c r="Q175" s="200"/>
      <c r="R175" s="200"/>
      <c r="S175" s="200"/>
    </row>
    <row r="176" spans="11:19" x14ac:dyDescent="0.2">
      <c r="K176" s="159">
        <v>168</v>
      </c>
      <c r="L176" s="133">
        <f ca="1">-IF(SUMMARY!$D$21*12&gt;=K176,IPMT(SUMMARY!$D$22/12,K176,SUMMARY!$D$21*12,SUMMARY!$D$20),0)</f>
        <v>164.92584408396951</v>
      </c>
      <c r="M176" s="133">
        <f ca="1">IF(SUMMARY!$D$21*12&gt;=K176,-PPMT(SUMMARY!$D$22/12,K176,SUMMARY!$D$21*12,SUMMARY!$D$20),0)</f>
        <v>264.19464377635757</v>
      </c>
      <c r="N176" s="160">
        <f t="shared" ca="1" si="6"/>
        <v>429.1204878603271</v>
      </c>
      <c r="P176" s="199"/>
      <c r="Q176" s="200"/>
      <c r="R176" s="200"/>
      <c r="S176" s="200"/>
    </row>
    <row r="177" spans="11:19" x14ac:dyDescent="0.2">
      <c r="K177" s="159">
        <v>169</v>
      </c>
      <c r="L177" s="133">
        <f ca="1">-IF(SUMMARY!$D$21*12&gt;=K177,IPMT(SUMMARY!$D$22/12,K177,SUMMARY!$D$21*12,SUMMARY!$D$20),0)</f>
        <v>163.16454645879375</v>
      </c>
      <c r="M177" s="133">
        <f ca="1">IF(SUMMARY!$D$21*12&gt;=K177,-PPMT(SUMMARY!$D$22/12,K177,SUMMARY!$D$21*12,SUMMARY!$D$20),0)</f>
        <v>265.95594140153332</v>
      </c>
      <c r="N177" s="160">
        <f t="shared" ca="1" si="6"/>
        <v>429.1204878603271</v>
      </c>
      <c r="P177" s="199"/>
      <c r="Q177" s="200"/>
      <c r="R177" s="200"/>
      <c r="S177" s="200"/>
    </row>
    <row r="178" spans="11:19" x14ac:dyDescent="0.2">
      <c r="K178" s="159">
        <v>170</v>
      </c>
      <c r="L178" s="133">
        <f ca="1">-IF(SUMMARY!$D$21*12&gt;=K178,IPMT(SUMMARY!$D$22/12,K178,SUMMARY!$D$21*12,SUMMARY!$D$20),0)</f>
        <v>161.3915068494502</v>
      </c>
      <c r="M178" s="133">
        <f ca="1">IF(SUMMARY!$D$21*12&gt;=K178,-PPMT(SUMMARY!$D$22/12,K178,SUMMARY!$D$21*12,SUMMARY!$D$20),0)</f>
        <v>267.72898101087685</v>
      </c>
      <c r="N178" s="160">
        <f t="shared" ca="1" si="6"/>
        <v>429.12048786032705</v>
      </c>
      <c r="P178" s="199"/>
      <c r="Q178" s="200"/>
      <c r="R178" s="200"/>
      <c r="S178" s="200"/>
    </row>
    <row r="179" spans="11:19" x14ac:dyDescent="0.2">
      <c r="K179" s="159">
        <v>171</v>
      </c>
      <c r="L179" s="133">
        <f ca="1">-IF(SUMMARY!$D$21*12&gt;=K179,IPMT(SUMMARY!$D$22/12,K179,SUMMARY!$D$21*12,SUMMARY!$D$20),0)</f>
        <v>159.60664697604437</v>
      </c>
      <c r="M179" s="133">
        <f ca="1">IF(SUMMARY!$D$21*12&gt;=K179,-PPMT(SUMMARY!$D$22/12,K179,SUMMARY!$D$21*12,SUMMARY!$D$20),0)</f>
        <v>269.51384088428273</v>
      </c>
      <c r="N179" s="160">
        <f t="shared" ca="1" si="6"/>
        <v>429.1204878603271</v>
      </c>
      <c r="P179" s="199"/>
      <c r="Q179" s="200"/>
      <c r="R179" s="200"/>
      <c r="S179" s="200"/>
    </row>
    <row r="180" spans="11:19" x14ac:dyDescent="0.2">
      <c r="K180" s="159">
        <v>172</v>
      </c>
      <c r="L180" s="133">
        <f ca="1">-IF(SUMMARY!$D$21*12&gt;=K180,IPMT(SUMMARY!$D$22/12,K180,SUMMARY!$D$21*12,SUMMARY!$D$20),0)</f>
        <v>157.80988803681581</v>
      </c>
      <c r="M180" s="133">
        <f ca="1">IF(SUMMARY!$D$21*12&gt;=K180,-PPMT(SUMMARY!$D$22/12,K180,SUMMARY!$D$21*12,SUMMARY!$D$20),0)</f>
        <v>271.31059982351127</v>
      </c>
      <c r="N180" s="160">
        <f t="shared" ca="1" si="6"/>
        <v>429.1204878603271</v>
      </c>
      <c r="P180" s="199"/>
      <c r="Q180" s="200"/>
      <c r="R180" s="200"/>
      <c r="S180" s="200"/>
    </row>
    <row r="181" spans="11:19" x14ac:dyDescent="0.2">
      <c r="K181" s="159">
        <v>173</v>
      </c>
      <c r="L181" s="133">
        <f ca="1">-IF(SUMMARY!$D$21*12&gt;=K181,IPMT(SUMMARY!$D$22/12,K181,SUMMARY!$D$21*12,SUMMARY!$D$20),0)</f>
        <v>156.00115070465907</v>
      </c>
      <c r="M181" s="133">
        <f ca="1">IF(SUMMARY!$D$21*12&gt;=K181,-PPMT(SUMMARY!$D$22/12,K181,SUMMARY!$D$21*12,SUMMARY!$D$20),0)</f>
        <v>273.11933715566801</v>
      </c>
      <c r="N181" s="160">
        <f t="shared" ca="1" si="6"/>
        <v>429.1204878603271</v>
      </c>
      <c r="P181" s="199"/>
      <c r="Q181" s="200"/>
      <c r="R181" s="200"/>
      <c r="S181" s="200"/>
    </row>
    <row r="182" spans="11:19" x14ac:dyDescent="0.2">
      <c r="K182" s="159">
        <v>174</v>
      </c>
      <c r="L182" s="133">
        <f ca="1">-IF(SUMMARY!$D$21*12&gt;=K182,IPMT(SUMMARY!$D$22/12,K182,SUMMARY!$D$21*12,SUMMARY!$D$20),0)</f>
        <v>154.18035512362127</v>
      </c>
      <c r="M182" s="133">
        <f ca="1">IF(SUMMARY!$D$21*12&gt;=K182,-PPMT(SUMMARY!$D$22/12,K182,SUMMARY!$D$21*12,SUMMARY!$D$20),0)</f>
        <v>274.94013273670578</v>
      </c>
      <c r="N182" s="160">
        <f t="shared" ca="1" si="6"/>
        <v>429.12048786032705</v>
      </c>
      <c r="P182" s="199"/>
      <c r="Q182" s="200"/>
      <c r="R182" s="200"/>
      <c r="S182" s="200"/>
    </row>
    <row r="183" spans="11:19" x14ac:dyDescent="0.2">
      <c r="K183" s="159">
        <v>175</v>
      </c>
      <c r="L183" s="133">
        <f ca="1">-IF(SUMMARY!$D$21*12&gt;=K183,IPMT(SUMMARY!$D$22/12,K183,SUMMARY!$D$21*12,SUMMARY!$D$20),0)</f>
        <v>152.34742090537657</v>
      </c>
      <c r="M183" s="133">
        <f ca="1">IF(SUMMARY!$D$21*12&gt;=K183,-PPMT(SUMMARY!$D$22/12,K183,SUMMARY!$D$21*12,SUMMARY!$D$20),0)</f>
        <v>276.77306695495042</v>
      </c>
      <c r="N183" s="160">
        <f t="shared" ca="1" si="6"/>
        <v>429.12048786032699</v>
      </c>
      <c r="P183" s="199"/>
      <c r="Q183" s="200"/>
      <c r="R183" s="200"/>
      <c r="S183" s="200"/>
    </row>
    <row r="184" spans="11:19" x14ac:dyDescent="0.2">
      <c r="K184" s="159">
        <v>176</v>
      </c>
      <c r="L184" s="133">
        <f ca="1">-IF(SUMMARY!$D$21*12&gt;=K184,IPMT(SUMMARY!$D$22/12,K184,SUMMARY!$D$21*12,SUMMARY!$D$20),0)</f>
        <v>150.50226712567692</v>
      </c>
      <c r="M184" s="133">
        <f ca="1">IF(SUMMARY!$D$21*12&gt;=K184,-PPMT(SUMMARY!$D$22/12,K184,SUMMARY!$D$21*12,SUMMARY!$D$20),0)</f>
        <v>278.61822073465015</v>
      </c>
      <c r="N184" s="160">
        <f t="shared" ca="1" si="6"/>
        <v>429.1204878603271</v>
      </c>
      <c r="P184" s="199"/>
      <c r="Q184" s="200"/>
      <c r="R184" s="200"/>
      <c r="S184" s="200"/>
    </row>
    <row r="185" spans="11:19" x14ac:dyDescent="0.2">
      <c r="K185" s="159">
        <v>177</v>
      </c>
      <c r="L185" s="133">
        <f ca="1">-IF(SUMMARY!$D$21*12&gt;=K185,IPMT(SUMMARY!$D$22/12,K185,SUMMARY!$D$21*12,SUMMARY!$D$20),0)</f>
        <v>148.64481232077924</v>
      </c>
      <c r="M185" s="133">
        <f ca="1">IF(SUMMARY!$D$21*12&gt;=K185,-PPMT(SUMMARY!$D$22/12,K185,SUMMARY!$D$21*12,SUMMARY!$D$20),0)</f>
        <v>280.47567553954781</v>
      </c>
      <c r="N185" s="160">
        <f t="shared" ca="1" si="6"/>
        <v>429.12048786032705</v>
      </c>
      <c r="P185" s="199"/>
      <c r="Q185" s="200"/>
      <c r="R185" s="200"/>
      <c r="S185" s="200"/>
    </row>
    <row r="186" spans="11:19" x14ac:dyDescent="0.2">
      <c r="K186" s="159">
        <v>178</v>
      </c>
      <c r="L186" s="133">
        <f ca="1">-IF(SUMMARY!$D$21*12&gt;=K186,IPMT(SUMMARY!$D$22/12,K186,SUMMARY!$D$21*12,SUMMARY!$D$20),0)</f>
        <v>146.77497448384892</v>
      </c>
      <c r="M186" s="133">
        <f ca="1">IF(SUMMARY!$D$21*12&gt;=K186,-PPMT(SUMMARY!$D$22/12,K186,SUMMARY!$D$21*12,SUMMARY!$D$20),0)</f>
        <v>282.3455133764781</v>
      </c>
      <c r="N186" s="160">
        <f t="shared" ca="1" si="6"/>
        <v>429.12048786032699</v>
      </c>
      <c r="P186" s="199"/>
      <c r="Q186" s="200"/>
      <c r="R186" s="200"/>
      <c r="S186" s="200"/>
    </row>
    <row r="187" spans="11:19" x14ac:dyDescent="0.2">
      <c r="K187" s="159">
        <v>179</v>
      </c>
      <c r="L187" s="133">
        <f ca="1">-IF(SUMMARY!$D$21*12&gt;=K187,IPMT(SUMMARY!$D$22/12,K187,SUMMARY!$D$21*12,SUMMARY!$D$20),0)</f>
        <v>144.89267106133906</v>
      </c>
      <c r="M187" s="133">
        <f ca="1">IF(SUMMARY!$D$21*12&gt;=K187,-PPMT(SUMMARY!$D$22/12,K187,SUMMARY!$D$21*12,SUMMARY!$D$20),0)</f>
        <v>284.22781679898799</v>
      </c>
      <c r="N187" s="160">
        <f t="shared" ca="1" si="6"/>
        <v>429.12048786032705</v>
      </c>
      <c r="P187" s="199"/>
      <c r="Q187" s="200"/>
      <c r="R187" s="200"/>
      <c r="S187" s="200"/>
    </row>
    <row r="188" spans="11:19" x14ac:dyDescent="0.2">
      <c r="K188" s="159">
        <v>180</v>
      </c>
      <c r="L188" s="133">
        <f ca="1">-IF(SUMMARY!$D$21*12&gt;=K188,IPMT(SUMMARY!$D$22/12,K188,SUMMARY!$D$21*12,SUMMARY!$D$20),0)</f>
        <v>142.99781894934583</v>
      </c>
      <c r="M188" s="133">
        <f ca="1">IF(SUMMARY!$D$21*12&gt;=K188,-PPMT(SUMMARY!$D$22/12,K188,SUMMARY!$D$21*12,SUMMARY!$D$20),0)</f>
        <v>286.12266891098125</v>
      </c>
      <c r="N188" s="160">
        <f t="shared" ca="1" si="6"/>
        <v>429.1204878603271</v>
      </c>
      <c r="P188" s="199"/>
      <c r="Q188" s="200"/>
      <c r="R188" s="200"/>
      <c r="S188" s="200"/>
    </row>
    <row r="189" spans="11:19" x14ac:dyDescent="0.2">
      <c r="K189" s="159">
        <v>181</v>
      </c>
      <c r="L189" s="133">
        <f ca="1">-IF(SUMMARY!$D$21*12&gt;=K189,IPMT(SUMMARY!$D$22/12,K189,SUMMARY!$D$21*12,SUMMARY!$D$20),0)</f>
        <v>141.09033448993927</v>
      </c>
      <c r="M189" s="133">
        <f ca="1">IF(SUMMARY!$D$21*12&gt;=K189,-PPMT(SUMMARY!$D$22/12,K189,SUMMARY!$D$21*12,SUMMARY!$D$20),0)</f>
        <v>288.03015337038778</v>
      </c>
      <c r="N189" s="160">
        <f t="shared" ca="1" si="6"/>
        <v>429.12048786032705</v>
      </c>
      <c r="P189" s="199"/>
      <c r="Q189" s="200"/>
      <c r="R189" s="200"/>
      <c r="S189" s="200"/>
    </row>
    <row r="190" spans="11:19" x14ac:dyDescent="0.2">
      <c r="K190" s="159">
        <v>182</v>
      </c>
      <c r="L190" s="133">
        <f ca="1">-IF(SUMMARY!$D$21*12&gt;=K190,IPMT(SUMMARY!$D$22/12,K190,SUMMARY!$D$21*12,SUMMARY!$D$20),0)</f>
        <v>139.17013346747001</v>
      </c>
      <c r="M190" s="133">
        <f ca="1">IF(SUMMARY!$D$21*12&gt;=K190,-PPMT(SUMMARY!$D$22/12,K190,SUMMARY!$D$21*12,SUMMARY!$D$20),0)</f>
        <v>289.95035439285704</v>
      </c>
      <c r="N190" s="160">
        <f t="shared" ca="1" si="6"/>
        <v>429.12048786032705</v>
      </c>
      <c r="P190" s="199"/>
      <c r="Q190" s="200"/>
      <c r="R190" s="200"/>
      <c r="S190" s="200"/>
    </row>
    <row r="191" spans="11:19" x14ac:dyDescent="0.2">
      <c r="K191" s="159">
        <v>183</v>
      </c>
      <c r="L191" s="133">
        <f ca="1">-IF(SUMMARY!$D$21*12&gt;=K191,IPMT(SUMMARY!$D$22/12,K191,SUMMARY!$D$21*12,SUMMARY!$D$20),0)</f>
        <v>137.23713110485099</v>
      </c>
      <c r="M191" s="133">
        <f ca="1">IF(SUMMARY!$D$21*12&gt;=K191,-PPMT(SUMMARY!$D$22/12,K191,SUMMARY!$D$21*12,SUMMARY!$D$20),0)</f>
        <v>291.88335675547609</v>
      </c>
      <c r="N191" s="160">
        <f t="shared" ca="1" si="6"/>
        <v>429.1204878603271</v>
      </c>
      <c r="P191" s="199"/>
      <c r="Q191" s="200"/>
      <c r="R191" s="200"/>
      <c r="S191" s="200"/>
    </row>
    <row r="192" spans="11:19" x14ac:dyDescent="0.2">
      <c r="K192" s="159">
        <v>184</v>
      </c>
      <c r="L192" s="133">
        <f ca="1">-IF(SUMMARY!$D$21*12&gt;=K192,IPMT(SUMMARY!$D$22/12,K192,SUMMARY!$D$21*12,SUMMARY!$D$20),0)</f>
        <v>135.29124205981446</v>
      </c>
      <c r="M192" s="133">
        <f ca="1">IF(SUMMARY!$D$21*12&gt;=K192,-PPMT(SUMMARY!$D$22/12,K192,SUMMARY!$D$21*12,SUMMARY!$D$20),0)</f>
        <v>293.82924580051252</v>
      </c>
      <c r="N192" s="160">
        <f t="shared" ca="1" si="6"/>
        <v>429.12048786032699</v>
      </c>
      <c r="P192" s="199"/>
      <c r="Q192" s="200"/>
      <c r="R192" s="200"/>
      <c r="S192" s="200"/>
    </row>
    <row r="193" spans="11:19" x14ac:dyDescent="0.2">
      <c r="K193" s="159">
        <v>185</v>
      </c>
      <c r="L193" s="133">
        <f ca="1">-IF(SUMMARY!$D$21*12&gt;=K193,IPMT(SUMMARY!$D$22/12,K193,SUMMARY!$D$21*12,SUMMARY!$D$20),0)</f>
        <v>133.33238042114436</v>
      </c>
      <c r="M193" s="133">
        <f ca="1">IF(SUMMARY!$D$21*12&gt;=K193,-PPMT(SUMMARY!$D$22/12,K193,SUMMARY!$D$21*12,SUMMARY!$D$20),0)</f>
        <v>295.78810743918268</v>
      </c>
      <c r="N193" s="160">
        <f t="shared" ca="1" si="6"/>
        <v>429.12048786032705</v>
      </c>
      <c r="P193" s="199"/>
      <c r="Q193" s="200"/>
      <c r="R193" s="200"/>
      <c r="S193" s="200"/>
    </row>
    <row r="194" spans="11:19" x14ac:dyDescent="0.2">
      <c r="K194" s="159">
        <v>186</v>
      </c>
      <c r="L194" s="133">
        <f ca="1">-IF(SUMMARY!$D$21*12&gt;=K194,IPMT(SUMMARY!$D$22/12,K194,SUMMARY!$D$21*12,SUMMARY!$D$20),0)</f>
        <v>131.36045970488314</v>
      </c>
      <c r="M194" s="133">
        <f ca="1">IF(SUMMARY!$D$21*12&gt;=K194,-PPMT(SUMMARY!$D$22/12,K194,SUMMARY!$D$21*12,SUMMARY!$D$20),0)</f>
        <v>297.76002815544388</v>
      </c>
      <c r="N194" s="160">
        <f t="shared" ca="1" si="6"/>
        <v>429.12048786032699</v>
      </c>
      <c r="P194" s="199"/>
      <c r="Q194" s="200"/>
      <c r="R194" s="200"/>
      <c r="S194" s="200"/>
    </row>
    <row r="195" spans="11:19" x14ac:dyDescent="0.2">
      <c r="K195" s="159">
        <v>187</v>
      </c>
      <c r="L195" s="133">
        <f ca="1">-IF(SUMMARY!$D$21*12&gt;=K195,IPMT(SUMMARY!$D$22/12,K195,SUMMARY!$D$21*12,SUMMARY!$D$20),0)</f>
        <v>129.37539285051352</v>
      </c>
      <c r="M195" s="133">
        <f ca="1">IF(SUMMARY!$D$21*12&gt;=K195,-PPMT(SUMMARY!$D$22/12,K195,SUMMARY!$D$21*12,SUMMARY!$D$20),0)</f>
        <v>299.74509500981355</v>
      </c>
      <c r="N195" s="160">
        <f t="shared" ca="1" si="6"/>
        <v>429.1204878603271</v>
      </c>
      <c r="P195" s="199"/>
      <c r="Q195" s="200"/>
      <c r="R195" s="200"/>
      <c r="S195" s="200"/>
    </row>
    <row r="196" spans="11:19" x14ac:dyDescent="0.2">
      <c r="K196" s="159">
        <v>188</v>
      </c>
      <c r="L196" s="133">
        <f ca="1">-IF(SUMMARY!$D$21*12&gt;=K196,IPMT(SUMMARY!$D$22/12,K196,SUMMARY!$D$21*12,SUMMARY!$D$20),0)</f>
        <v>127.37709221711478</v>
      </c>
      <c r="M196" s="133">
        <f ca="1">IF(SUMMARY!$D$21*12&gt;=K196,-PPMT(SUMMARY!$D$22/12,K196,SUMMARY!$D$21*12,SUMMARY!$D$20),0)</f>
        <v>301.7433956432123</v>
      </c>
      <c r="N196" s="160">
        <f t="shared" ca="1" si="6"/>
        <v>429.1204878603271</v>
      </c>
      <c r="P196" s="199"/>
      <c r="Q196" s="200"/>
      <c r="R196" s="200"/>
      <c r="S196" s="200"/>
    </row>
    <row r="197" spans="11:19" x14ac:dyDescent="0.2">
      <c r="K197" s="159">
        <v>189</v>
      </c>
      <c r="L197" s="133">
        <f ca="1">-IF(SUMMARY!$D$21*12&gt;=K197,IPMT(SUMMARY!$D$22/12,K197,SUMMARY!$D$21*12,SUMMARY!$D$20),0)</f>
        <v>125.36546957949335</v>
      </c>
      <c r="M197" s="133">
        <f ca="1">IF(SUMMARY!$D$21*12&gt;=K197,-PPMT(SUMMARY!$D$22/12,K197,SUMMARY!$D$21*12,SUMMARY!$D$20),0)</f>
        <v>303.75501828083367</v>
      </c>
      <c r="N197" s="160">
        <f t="shared" ca="1" si="6"/>
        <v>429.12048786032699</v>
      </c>
      <c r="P197" s="199"/>
      <c r="Q197" s="200"/>
      <c r="R197" s="200"/>
      <c r="S197" s="200"/>
    </row>
    <row r="198" spans="11:19" x14ac:dyDescent="0.2">
      <c r="K198" s="159">
        <v>190</v>
      </c>
      <c r="L198" s="133">
        <f ca="1">-IF(SUMMARY!$D$21*12&gt;=K198,IPMT(SUMMARY!$D$22/12,K198,SUMMARY!$D$21*12,SUMMARY!$D$20),0)</f>
        <v>123.34043612428779</v>
      </c>
      <c r="M198" s="133">
        <f ca="1">IF(SUMMARY!$D$21*12&gt;=K198,-PPMT(SUMMARY!$D$22/12,K198,SUMMARY!$D$21*12,SUMMARY!$D$20),0)</f>
        <v>305.78005173603924</v>
      </c>
      <c r="N198" s="160">
        <f t="shared" ca="1" si="6"/>
        <v>429.12048786032705</v>
      </c>
      <c r="P198" s="199"/>
      <c r="Q198" s="200"/>
      <c r="R198" s="200"/>
      <c r="S198" s="200"/>
    </row>
    <row r="199" spans="11:19" x14ac:dyDescent="0.2">
      <c r="K199" s="159">
        <v>191</v>
      </c>
      <c r="L199" s="133">
        <f ca="1">-IF(SUMMARY!$D$21*12&gt;=K199,IPMT(SUMMARY!$D$22/12,K199,SUMMARY!$D$21*12,SUMMARY!$D$20),0)</f>
        <v>121.30190244604754</v>
      </c>
      <c r="M199" s="133">
        <f ca="1">IF(SUMMARY!$D$21*12&gt;=K199,-PPMT(SUMMARY!$D$22/12,K199,SUMMARY!$D$21*12,SUMMARY!$D$20),0)</f>
        <v>307.81858541427948</v>
      </c>
      <c r="N199" s="160">
        <f t="shared" ca="1" si="6"/>
        <v>429.12048786032699</v>
      </c>
      <c r="P199" s="199"/>
      <c r="Q199" s="200"/>
      <c r="R199" s="200"/>
      <c r="S199" s="200"/>
    </row>
    <row r="200" spans="11:19" x14ac:dyDescent="0.2">
      <c r="K200" s="159">
        <v>192</v>
      </c>
      <c r="L200" s="133">
        <f ca="1">-IF(SUMMARY!$D$21*12&gt;=K200,IPMT(SUMMARY!$D$22/12,K200,SUMMARY!$D$21*12,SUMMARY!$D$20),0)</f>
        <v>119.24977854328569</v>
      </c>
      <c r="M200" s="133">
        <f ca="1">IF(SUMMARY!$D$21*12&gt;=K200,-PPMT(SUMMARY!$D$22/12,K200,SUMMARY!$D$21*12,SUMMARY!$D$20),0)</f>
        <v>309.87070931704136</v>
      </c>
      <c r="N200" s="160">
        <f t="shared" ca="1" si="6"/>
        <v>429.12048786032705</v>
      </c>
      <c r="P200" s="199"/>
      <c r="Q200" s="200"/>
      <c r="R200" s="200"/>
      <c r="S200" s="200"/>
    </row>
    <row r="201" spans="11:19" x14ac:dyDescent="0.2">
      <c r="K201" s="159">
        <v>193</v>
      </c>
      <c r="L201" s="133">
        <f ca="1">-IF(SUMMARY!$D$21*12&gt;=K201,IPMT(SUMMARY!$D$22/12,K201,SUMMARY!$D$21*12,SUMMARY!$D$20),0)</f>
        <v>117.18397381450538</v>
      </c>
      <c r="M201" s="133">
        <f ca="1">IF(SUMMARY!$D$21*12&gt;=K201,-PPMT(SUMMARY!$D$22/12,K201,SUMMARY!$D$21*12,SUMMARY!$D$20),0)</f>
        <v>311.93651404582164</v>
      </c>
      <c r="N201" s="160">
        <f t="shared" ref="N201:N264" ca="1" si="7">+M201+L201</f>
        <v>429.12048786032699</v>
      </c>
      <c r="P201" s="199"/>
      <c r="Q201" s="200"/>
      <c r="R201" s="200"/>
      <c r="S201" s="200"/>
    </row>
    <row r="202" spans="11:19" x14ac:dyDescent="0.2">
      <c r="K202" s="159">
        <v>194</v>
      </c>
      <c r="L202" s="133">
        <f ca="1">-IF(SUMMARY!$D$21*12&gt;=K202,IPMT(SUMMARY!$D$22/12,K202,SUMMARY!$D$21*12,SUMMARY!$D$20),0)</f>
        <v>115.10439705419992</v>
      </c>
      <c r="M202" s="133">
        <f ca="1">IF(SUMMARY!$D$21*12&gt;=K202,-PPMT(SUMMARY!$D$22/12,K202,SUMMARY!$D$21*12,SUMMARY!$D$20),0)</f>
        <v>314.01609080612712</v>
      </c>
      <c r="N202" s="160">
        <f t="shared" ca="1" si="7"/>
        <v>429.12048786032705</v>
      </c>
      <c r="P202" s="199"/>
      <c r="Q202" s="200"/>
      <c r="R202" s="200"/>
      <c r="S202" s="200"/>
    </row>
    <row r="203" spans="11:19" x14ac:dyDescent="0.2">
      <c r="K203" s="159">
        <v>195</v>
      </c>
      <c r="L203" s="133">
        <f ca="1">-IF(SUMMARY!$D$21*12&gt;=K203,IPMT(SUMMARY!$D$22/12,K203,SUMMARY!$D$21*12,SUMMARY!$D$20),0)</f>
        <v>113.01095644882575</v>
      </c>
      <c r="M203" s="133">
        <f ca="1">IF(SUMMARY!$D$21*12&gt;=K203,-PPMT(SUMMARY!$D$22/12,K203,SUMMARY!$D$21*12,SUMMARY!$D$20),0)</f>
        <v>316.10953141150128</v>
      </c>
      <c r="N203" s="160">
        <f t="shared" ca="1" si="7"/>
        <v>429.12048786032705</v>
      </c>
      <c r="P203" s="199"/>
      <c r="Q203" s="200"/>
      <c r="R203" s="200"/>
      <c r="S203" s="200"/>
    </row>
    <row r="204" spans="11:19" x14ac:dyDescent="0.2">
      <c r="K204" s="159">
        <v>196</v>
      </c>
      <c r="L204" s="133">
        <f ca="1">-IF(SUMMARY!$D$21*12&gt;=K204,IPMT(SUMMARY!$D$22/12,K204,SUMMARY!$D$21*12,SUMMARY!$D$20),0)</f>
        <v>110.90355957274906</v>
      </c>
      <c r="M204" s="133">
        <f ca="1">IF(SUMMARY!$D$21*12&gt;=K204,-PPMT(SUMMARY!$D$22/12,K204,SUMMARY!$D$21*12,SUMMARY!$D$20),0)</f>
        <v>318.21692828757796</v>
      </c>
      <c r="N204" s="160">
        <f t="shared" ca="1" si="7"/>
        <v>429.12048786032699</v>
      </c>
      <c r="P204" s="199"/>
      <c r="Q204" s="200"/>
      <c r="R204" s="200"/>
      <c r="S204" s="200"/>
    </row>
    <row r="205" spans="11:19" x14ac:dyDescent="0.2">
      <c r="K205" s="159">
        <v>197</v>
      </c>
      <c r="L205" s="133">
        <f ca="1">-IF(SUMMARY!$D$21*12&gt;=K205,IPMT(SUMMARY!$D$22/12,K205,SUMMARY!$D$21*12,SUMMARY!$D$20),0)</f>
        <v>108.78211338416521</v>
      </c>
      <c r="M205" s="133">
        <f ca="1">IF(SUMMARY!$D$21*12&gt;=K205,-PPMT(SUMMARY!$D$22/12,K205,SUMMARY!$D$21*12,SUMMARY!$D$20),0)</f>
        <v>320.33837447616179</v>
      </c>
      <c r="N205" s="160">
        <f t="shared" ca="1" si="7"/>
        <v>429.12048786032699</v>
      </c>
      <c r="P205" s="199"/>
      <c r="Q205" s="200"/>
      <c r="R205" s="200"/>
      <c r="S205" s="200"/>
    </row>
    <row r="206" spans="11:19" x14ac:dyDescent="0.2">
      <c r="K206" s="159">
        <v>198</v>
      </c>
      <c r="L206" s="133">
        <f ca="1">-IF(SUMMARY!$D$21*12&gt;=K206,IPMT(SUMMARY!$D$22/12,K206,SUMMARY!$D$21*12,SUMMARY!$D$20),0)</f>
        <v>106.64652422099081</v>
      </c>
      <c r="M206" s="133">
        <f ca="1">IF(SUMMARY!$D$21*12&gt;=K206,-PPMT(SUMMARY!$D$22/12,K206,SUMMARY!$D$21*12,SUMMARY!$D$20),0)</f>
        <v>322.47396363933626</v>
      </c>
      <c r="N206" s="160">
        <f t="shared" ca="1" si="7"/>
        <v>429.1204878603271</v>
      </c>
      <c r="P206" s="199"/>
      <c r="Q206" s="200"/>
      <c r="R206" s="200"/>
      <c r="S206" s="200"/>
    </row>
    <row r="207" spans="11:19" x14ac:dyDescent="0.2">
      <c r="K207" s="159">
        <v>199</v>
      </c>
      <c r="L207" s="133">
        <f ca="1">-IF(SUMMARY!$D$21*12&gt;=K207,IPMT(SUMMARY!$D$22/12,K207,SUMMARY!$D$21*12,SUMMARY!$D$20),0)</f>
        <v>104.49669779672857</v>
      </c>
      <c r="M207" s="133">
        <f ca="1">IF(SUMMARY!$D$21*12&gt;=K207,-PPMT(SUMMARY!$D$22/12,K207,SUMMARY!$D$21*12,SUMMARY!$D$20),0)</f>
        <v>324.62379006359851</v>
      </c>
      <c r="N207" s="160">
        <f t="shared" ca="1" si="7"/>
        <v>429.1204878603271</v>
      </c>
      <c r="P207" s="199"/>
      <c r="Q207" s="200"/>
      <c r="R207" s="200"/>
      <c r="S207" s="200"/>
    </row>
    <row r="208" spans="11:19" x14ac:dyDescent="0.2">
      <c r="K208" s="159">
        <v>200</v>
      </c>
      <c r="L208" s="133">
        <f ca="1">-IF(SUMMARY!$D$21*12&gt;=K208,IPMT(SUMMARY!$D$22/12,K208,SUMMARY!$D$21*12,SUMMARY!$D$20),0)</f>
        <v>102.33253919630459</v>
      </c>
      <c r="M208" s="133">
        <f ca="1">IF(SUMMARY!$D$21*12&gt;=K208,-PPMT(SUMMARY!$D$22/12,K208,SUMMARY!$D$21*12,SUMMARY!$D$20),0)</f>
        <v>326.78794866402245</v>
      </c>
      <c r="N208" s="160">
        <f t="shared" ca="1" si="7"/>
        <v>429.12048786032705</v>
      </c>
      <c r="P208" s="199"/>
      <c r="Q208" s="200"/>
      <c r="R208" s="200"/>
      <c r="S208" s="200"/>
    </row>
    <row r="209" spans="11:19" x14ac:dyDescent="0.2">
      <c r="K209" s="159">
        <v>201</v>
      </c>
      <c r="L209" s="133">
        <f ca="1">-IF(SUMMARY!$D$21*12&gt;=K209,IPMT(SUMMARY!$D$22/12,K209,SUMMARY!$D$21*12,SUMMARY!$D$20),0)</f>
        <v>100.15395287187775</v>
      </c>
      <c r="M209" s="133">
        <f ca="1">IF(SUMMARY!$D$21*12&gt;=K209,-PPMT(SUMMARY!$D$22/12,K209,SUMMARY!$D$21*12,SUMMARY!$D$20),0)</f>
        <v>328.96653498844927</v>
      </c>
      <c r="N209" s="160">
        <f t="shared" ca="1" si="7"/>
        <v>429.12048786032699</v>
      </c>
      <c r="P209" s="199"/>
      <c r="Q209" s="200"/>
      <c r="R209" s="200"/>
      <c r="S209" s="200"/>
    </row>
    <row r="210" spans="11:19" x14ac:dyDescent="0.2">
      <c r="K210" s="159">
        <v>202</v>
      </c>
      <c r="L210" s="133">
        <f ca="1">-IF(SUMMARY!$D$21*12&gt;=K210,IPMT(SUMMARY!$D$22/12,K210,SUMMARY!$D$21*12,SUMMARY!$D$20),0)</f>
        <v>97.960842638621401</v>
      </c>
      <c r="M210" s="133">
        <f ca="1">IF(SUMMARY!$D$21*12&gt;=K210,-PPMT(SUMMARY!$D$22/12,K210,SUMMARY!$D$21*12,SUMMARY!$D$20),0)</f>
        <v>331.15964522170566</v>
      </c>
      <c r="N210" s="160">
        <f t="shared" ca="1" si="7"/>
        <v>429.12048786032705</v>
      </c>
      <c r="P210" s="199"/>
      <c r="Q210" s="200"/>
      <c r="R210" s="200"/>
      <c r="S210" s="200"/>
    </row>
    <row r="211" spans="11:19" x14ac:dyDescent="0.2">
      <c r="K211" s="159">
        <v>203</v>
      </c>
      <c r="L211" s="133">
        <f ca="1">-IF(SUMMARY!$D$21*12&gt;=K211,IPMT(SUMMARY!$D$22/12,K211,SUMMARY!$D$21*12,SUMMARY!$D$20),0)</f>
        <v>95.753111670476727</v>
      </c>
      <c r="M211" s="133">
        <f ca="1">IF(SUMMARY!$D$21*12&gt;=K211,-PPMT(SUMMARY!$D$22/12,K211,SUMMARY!$D$21*12,SUMMARY!$D$20),0)</f>
        <v>333.36737618985035</v>
      </c>
      <c r="N211" s="160">
        <f t="shared" ca="1" si="7"/>
        <v>429.1204878603271</v>
      </c>
      <c r="P211" s="199"/>
      <c r="Q211" s="200"/>
      <c r="R211" s="200"/>
      <c r="S211" s="200"/>
    </row>
    <row r="212" spans="11:19" x14ac:dyDescent="0.2">
      <c r="K212" s="159">
        <v>204</v>
      </c>
      <c r="L212" s="133">
        <f ca="1">-IF(SUMMARY!$D$21*12&gt;=K212,IPMT(SUMMARY!$D$22/12,K212,SUMMARY!$D$21*12,SUMMARY!$D$20),0)</f>
        <v>93.530662495877721</v>
      </c>
      <c r="M212" s="133">
        <f ca="1">IF(SUMMARY!$D$21*12&gt;=K212,-PPMT(SUMMARY!$D$22/12,K212,SUMMARY!$D$21*12,SUMMARY!$D$20),0)</f>
        <v>335.58982536444933</v>
      </c>
      <c r="N212" s="160">
        <f t="shared" ca="1" si="7"/>
        <v>429.12048786032705</v>
      </c>
      <c r="P212" s="199"/>
      <c r="Q212" s="200"/>
      <c r="R212" s="200"/>
      <c r="S212" s="200"/>
    </row>
    <row r="213" spans="11:19" x14ac:dyDescent="0.2">
      <c r="K213" s="159">
        <v>205</v>
      </c>
      <c r="L213" s="133">
        <f ca="1">-IF(SUMMARY!$D$21*12&gt;=K213,IPMT(SUMMARY!$D$22/12,K213,SUMMARY!$D$21*12,SUMMARY!$D$20),0)</f>
        <v>91.293396993448042</v>
      </c>
      <c r="M213" s="133">
        <f ca="1">IF(SUMMARY!$D$21*12&gt;=K213,-PPMT(SUMMARY!$D$22/12,K213,SUMMARY!$D$21*12,SUMMARY!$D$20),0)</f>
        <v>337.82709086687902</v>
      </c>
      <c r="N213" s="160">
        <f t="shared" ca="1" si="7"/>
        <v>429.12048786032705</v>
      </c>
      <c r="P213" s="199"/>
      <c r="Q213" s="200"/>
      <c r="R213" s="200"/>
      <c r="S213" s="200"/>
    </row>
    <row r="214" spans="11:19" x14ac:dyDescent="0.2">
      <c r="K214" s="159">
        <v>206</v>
      </c>
      <c r="L214" s="133">
        <f ca="1">-IF(SUMMARY!$D$21*12&gt;=K214,IPMT(SUMMARY!$D$22/12,K214,SUMMARY!$D$21*12,SUMMARY!$D$20),0)</f>
        <v>89.041216387668868</v>
      </c>
      <c r="M214" s="133">
        <f ca="1">IF(SUMMARY!$D$21*12&gt;=K214,-PPMT(SUMMARY!$D$22/12,K214,SUMMARY!$D$21*12,SUMMARY!$D$20),0)</f>
        <v>340.07927147265821</v>
      </c>
      <c r="N214" s="160">
        <f t="shared" ca="1" si="7"/>
        <v>429.1204878603271</v>
      </c>
      <c r="P214" s="199"/>
      <c r="Q214" s="200"/>
      <c r="R214" s="200"/>
      <c r="S214" s="200"/>
    </row>
    <row r="215" spans="11:19" x14ac:dyDescent="0.2">
      <c r="K215" s="159">
        <v>207</v>
      </c>
      <c r="L215" s="133">
        <f ca="1">-IF(SUMMARY!$D$21*12&gt;=K215,IPMT(SUMMARY!$D$22/12,K215,SUMMARY!$D$21*12,SUMMARY!$D$20),0)</f>
        <v>86.774021244517797</v>
      </c>
      <c r="M215" s="133">
        <f ca="1">IF(SUMMARY!$D$21*12&gt;=K215,-PPMT(SUMMARY!$D$22/12,K215,SUMMARY!$D$21*12,SUMMARY!$D$20),0)</f>
        <v>342.34646661580928</v>
      </c>
      <c r="N215" s="160">
        <f t="shared" ca="1" si="7"/>
        <v>429.1204878603271</v>
      </c>
      <c r="P215" s="199"/>
      <c r="Q215" s="200"/>
      <c r="R215" s="200"/>
      <c r="S215" s="200"/>
    </row>
    <row r="216" spans="11:19" x14ac:dyDescent="0.2">
      <c r="K216" s="159">
        <v>208</v>
      </c>
      <c r="L216" s="133">
        <f ca="1">-IF(SUMMARY!$D$21*12&gt;=K216,IPMT(SUMMARY!$D$22/12,K216,SUMMARY!$D$21*12,SUMMARY!$D$20),0)</f>
        <v>84.491711467079071</v>
      </c>
      <c r="M216" s="133">
        <f ca="1">IF(SUMMARY!$D$21*12&gt;=K216,-PPMT(SUMMARY!$D$22/12,K216,SUMMARY!$D$21*12,SUMMARY!$D$20),0)</f>
        <v>344.62877639324796</v>
      </c>
      <c r="N216" s="160">
        <f t="shared" ca="1" si="7"/>
        <v>429.12048786032705</v>
      </c>
      <c r="P216" s="199"/>
      <c r="Q216" s="200"/>
      <c r="R216" s="200"/>
      <c r="S216" s="200"/>
    </row>
    <row r="217" spans="11:19" x14ac:dyDescent="0.2">
      <c r="K217" s="159">
        <v>209</v>
      </c>
      <c r="L217" s="133">
        <f ca="1">-IF(SUMMARY!$D$21*12&gt;=K217,IPMT(SUMMARY!$D$22/12,K217,SUMMARY!$D$21*12,SUMMARY!$D$20),0)</f>
        <v>82.194186291124083</v>
      </c>
      <c r="M217" s="133">
        <f ca="1">IF(SUMMARY!$D$21*12&gt;=K217,-PPMT(SUMMARY!$D$22/12,K217,SUMMARY!$D$21*12,SUMMARY!$D$20),0)</f>
        <v>346.92630156920296</v>
      </c>
      <c r="N217" s="160">
        <f t="shared" ca="1" si="7"/>
        <v>429.12048786032705</v>
      </c>
      <c r="P217" s="199"/>
      <c r="Q217" s="200"/>
      <c r="R217" s="200"/>
      <c r="S217" s="200"/>
    </row>
    <row r="218" spans="11:19" x14ac:dyDescent="0.2">
      <c r="K218" s="159">
        <v>210</v>
      </c>
      <c r="L218" s="133">
        <f ca="1">-IF(SUMMARY!$D$21*12&gt;=K218,IPMT(SUMMARY!$D$22/12,K218,SUMMARY!$D$21*12,SUMMARY!$D$20),0)</f>
        <v>79.881344280662731</v>
      </c>
      <c r="M218" s="133">
        <f ca="1">IF(SUMMARY!$D$21*12&gt;=K218,-PPMT(SUMMARY!$D$22/12,K218,SUMMARY!$D$21*12,SUMMARY!$D$20),0)</f>
        <v>349.2391435796643</v>
      </c>
      <c r="N218" s="160">
        <f t="shared" ca="1" si="7"/>
        <v>429.12048786032705</v>
      </c>
      <c r="P218" s="199"/>
      <c r="Q218" s="200"/>
      <c r="R218" s="200"/>
      <c r="S218" s="200"/>
    </row>
    <row r="219" spans="11:19" x14ac:dyDescent="0.2">
      <c r="K219" s="159">
        <v>211</v>
      </c>
      <c r="L219" s="133">
        <f ca="1">-IF(SUMMARY!$D$21*12&gt;=K219,IPMT(SUMMARY!$D$22/12,K219,SUMMARY!$D$21*12,SUMMARY!$D$20),0)</f>
        <v>77.553083323464975</v>
      </c>
      <c r="M219" s="133">
        <f ca="1">IF(SUMMARY!$D$21*12&gt;=K219,-PPMT(SUMMARY!$D$22/12,K219,SUMMARY!$D$21*12,SUMMARY!$D$20),0)</f>
        <v>351.56740453686206</v>
      </c>
      <c r="N219" s="160">
        <f t="shared" ca="1" si="7"/>
        <v>429.12048786032705</v>
      </c>
      <c r="P219" s="199"/>
      <c r="Q219" s="200"/>
      <c r="R219" s="200"/>
      <c r="S219" s="200"/>
    </row>
    <row r="220" spans="11:19" x14ac:dyDescent="0.2">
      <c r="K220" s="159">
        <v>212</v>
      </c>
      <c r="L220" s="133">
        <f ca="1">-IF(SUMMARY!$D$21*12&gt;=K220,IPMT(SUMMARY!$D$22/12,K220,SUMMARY!$D$21*12,SUMMARY!$D$20),0)</f>
        <v>75.209300626552562</v>
      </c>
      <c r="M220" s="133">
        <f ca="1">IF(SUMMARY!$D$21*12&gt;=K220,-PPMT(SUMMARY!$D$22/12,K220,SUMMARY!$D$21*12,SUMMARY!$D$20),0)</f>
        <v>353.91118723377451</v>
      </c>
      <c r="N220" s="160">
        <f t="shared" ca="1" si="7"/>
        <v>429.1204878603271</v>
      </c>
      <c r="P220" s="199"/>
      <c r="Q220" s="200"/>
      <c r="R220" s="200"/>
      <c r="S220" s="200"/>
    </row>
    <row r="221" spans="11:19" x14ac:dyDescent="0.2">
      <c r="K221" s="159">
        <v>213</v>
      </c>
      <c r="L221" s="133">
        <f ca="1">-IF(SUMMARY!$D$21*12&gt;=K221,IPMT(SUMMARY!$D$22/12,K221,SUMMARY!$D$21*12,SUMMARY!$D$20),0)</f>
        <v>72.849892711660729</v>
      </c>
      <c r="M221" s="133">
        <f ca="1">IF(SUMMARY!$D$21*12&gt;=K221,-PPMT(SUMMARY!$D$22/12,K221,SUMMARY!$D$21*12,SUMMARY!$D$20),0)</f>
        <v>356.27059514866636</v>
      </c>
      <c r="N221" s="160">
        <f t="shared" ca="1" si="7"/>
        <v>429.1204878603271</v>
      </c>
      <c r="P221" s="199"/>
      <c r="Q221" s="200"/>
      <c r="R221" s="200"/>
      <c r="S221" s="200"/>
    </row>
    <row r="222" spans="11:19" x14ac:dyDescent="0.2">
      <c r="K222" s="159">
        <v>214</v>
      </c>
      <c r="L222" s="133">
        <f ca="1">-IF(SUMMARY!$D$21*12&gt;=K222,IPMT(SUMMARY!$D$22/12,K222,SUMMARY!$D$21*12,SUMMARY!$D$20),0)</f>
        <v>70.474755410669616</v>
      </c>
      <c r="M222" s="133">
        <f ca="1">IF(SUMMARY!$D$21*12&gt;=K222,-PPMT(SUMMARY!$D$22/12,K222,SUMMARY!$D$21*12,SUMMARY!$D$20),0)</f>
        <v>358.64573244965743</v>
      </c>
      <c r="N222" s="160">
        <f t="shared" ca="1" si="7"/>
        <v>429.12048786032705</v>
      </c>
      <c r="P222" s="199"/>
      <c r="Q222" s="200"/>
      <c r="R222" s="200"/>
      <c r="S222" s="200"/>
    </row>
    <row r="223" spans="11:19" x14ac:dyDescent="0.2">
      <c r="K223" s="159">
        <v>215</v>
      </c>
      <c r="L223" s="133">
        <f ca="1">-IF(SUMMARY!$D$21*12&gt;=K223,IPMT(SUMMARY!$D$22/12,K223,SUMMARY!$D$21*12,SUMMARY!$D$20),0)</f>
        <v>68.083783861005244</v>
      </c>
      <c r="M223" s="133">
        <f ca="1">IF(SUMMARY!$D$21*12&gt;=K223,-PPMT(SUMMARY!$D$22/12,K223,SUMMARY!$D$21*12,SUMMARY!$D$20),0)</f>
        <v>361.03670399932184</v>
      </c>
      <c r="N223" s="160">
        <f t="shared" ca="1" si="7"/>
        <v>429.1204878603271</v>
      </c>
      <c r="P223" s="199"/>
      <c r="Q223" s="200"/>
      <c r="R223" s="200"/>
      <c r="S223" s="200"/>
    </row>
    <row r="224" spans="11:19" x14ac:dyDescent="0.2">
      <c r="K224" s="159">
        <v>216</v>
      </c>
      <c r="L224" s="133">
        <f ca="1">-IF(SUMMARY!$D$21*12&gt;=K224,IPMT(SUMMARY!$D$22/12,K224,SUMMARY!$D$21*12,SUMMARY!$D$20),0)</f>
        <v>65.676872501009768</v>
      </c>
      <c r="M224" s="133">
        <f ca="1">IF(SUMMARY!$D$21*12&gt;=K224,-PPMT(SUMMARY!$D$22/12,K224,SUMMARY!$D$21*12,SUMMARY!$D$20),0)</f>
        <v>363.44361535931733</v>
      </c>
      <c r="N224" s="160">
        <f t="shared" ca="1" si="7"/>
        <v>429.1204878603271</v>
      </c>
      <c r="P224" s="199"/>
      <c r="Q224" s="200"/>
      <c r="R224" s="200"/>
      <c r="S224" s="200"/>
    </row>
    <row r="225" spans="11:19" x14ac:dyDescent="0.2">
      <c r="K225" s="159">
        <v>217</v>
      </c>
      <c r="L225" s="133">
        <f ca="1">-IF(SUMMARY!$D$21*12&gt;=K225,IPMT(SUMMARY!$D$22/12,K225,SUMMARY!$D$21*12,SUMMARY!$D$20),0)</f>
        <v>63.253915065280978</v>
      </c>
      <c r="M225" s="133">
        <f ca="1">IF(SUMMARY!$D$21*12&gt;=K225,-PPMT(SUMMARY!$D$22/12,K225,SUMMARY!$D$21*12,SUMMARY!$D$20),0)</f>
        <v>365.86657279504607</v>
      </c>
      <c r="N225" s="160">
        <f t="shared" ca="1" si="7"/>
        <v>429.12048786032705</v>
      </c>
      <c r="P225" s="199"/>
      <c r="Q225" s="200"/>
      <c r="R225" s="200"/>
      <c r="S225" s="200"/>
    </row>
    <row r="226" spans="11:19" x14ac:dyDescent="0.2">
      <c r="K226" s="159">
        <v>218</v>
      </c>
      <c r="L226" s="133">
        <f ca="1">-IF(SUMMARY!$D$21*12&gt;=K226,IPMT(SUMMARY!$D$22/12,K226,SUMMARY!$D$21*12,SUMMARY!$D$20),0)</f>
        <v>60.814804579980667</v>
      </c>
      <c r="M226" s="133">
        <f ca="1">IF(SUMMARY!$D$21*12&gt;=K226,-PPMT(SUMMARY!$D$22/12,K226,SUMMARY!$D$21*12,SUMMARY!$D$20),0)</f>
        <v>368.30568328034639</v>
      </c>
      <c r="N226" s="160">
        <f t="shared" ca="1" si="7"/>
        <v>429.12048786032705</v>
      </c>
      <c r="P226" s="199"/>
      <c r="Q226" s="200"/>
      <c r="R226" s="200"/>
      <c r="S226" s="200"/>
    </row>
    <row r="227" spans="11:19" x14ac:dyDescent="0.2">
      <c r="K227" s="159">
        <v>219</v>
      </c>
      <c r="L227" s="133">
        <f ca="1">-IF(SUMMARY!$D$21*12&gt;=K227,IPMT(SUMMARY!$D$22/12,K227,SUMMARY!$D$21*12,SUMMARY!$D$20),0)</f>
        <v>58.359433358111701</v>
      </c>
      <c r="M227" s="133">
        <f ca="1">IF(SUMMARY!$D$21*12&gt;=K227,-PPMT(SUMMARY!$D$22/12,K227,SUMMARY!$D$21*12,SUMMARY!$D$20),0)</f>
        <v>370.76105450221536</v>
      </c>
      <c r="N227" s="160">
        <f t="shared" ca="1" si="7"/>
        <v>429.12048786032705</v>
      </c>
      <c r="P227" s="199"/>
      <c r="Q227" s="200"/>
      <c r="R227" s="200"/>
      <c r="S227" s="200"/>
    </row>
    <row r="228" spans="11:19" x14ac:dyDescent="0.2">
      <c r="K228" s="159">
        <v>220</v>
      </c>
      <c r="L228" s="133">
        <f ca="1">-IF(SUMMARY!$D$21*12&gt;=K228,IPMT(SUMMARY!$D$22/12,K228,SUMMARY!$D$21*12,SUMMARY!$D$20),0)</f>
        <v>55.88769299476359</v>
      </c>
      <c r="M228" s="133">
        <f ca="1">IF(SUMMARY!$D$21*12&gt;=K228,-PPMT(SUMMARY!$D$22/12,K228,SUMMARY!$D$21*12,SUMMARY!$D$20),0)</f>
        <v>373.23279486556351</v>
      </c>
      <c r="N228" s="160">
        <f t="shared" ca="1" si="7"/>
        <v>429.1204878603271</v>
      </c>
      <c r="P228" s="199"/>
      <c r="Q228" s="200"/>
      <c r="R228" s="200"/>
      <c r="S228" s="200"/>
    </row>
    <row r="229" spans="11:19" x14ac:dyDescent="0.2">
      <c r="K229" s="159">
        <v>221</v>
      </c>
      <c r="L229" s="133">
        <f ca="1">-IF(SUMMARY!$D$21*12&gt;=K229,IPMT(SUMMARY!$D$22/12,K229,SUMMARY!$D$21*12,SUMMARY!$D$20),0)</f>
        <v>53.399474362326501</v>
      </c>
      <c r="M229" s="133">
        <f ca="1">IF(SUMMARY!$D$21*12&gt;=K229,-PPMT(SUMMARY!$D$22/12,K229,SUMMARY!$D$21*12,SUMMARY!$D$20),0)</f>
        <v>375.72101349800056</v>
      </c>
      <c r="N229" s="160">
        <f t="shared" ca="1" si="7"/>
        <v>429.12048786032705</v>
      </c>
      <c r="P229" s="199"/>
      <c r="Q229" s="200"/>
      <c r="R229" s="200"/>
      <c r="S229" s="200"/>
    </row>
    <row r="230" spans="11:19" x14ac:dyDescent="0.2">
      <c r="K230" s="159">
        <v>222</v>
      </c>
      <c r="L230" s="133">
        <f ca="1">-IF(SUMMARY!$D$21*12&gt;=K230,IPMT(SUMMARY!$D$22/12,K230,SUMMARY!$D$21*12,SUMMARY!$D$20),0)</f>
        <v>50.89466760567317</v>
      </c>
      <c r="M230" s="133">
        <f ca="1">IF(SUMMARY!$D$21*12&gt;=K230,-PPMT(SUMMARY!$D$22/12,K230,SUMMARY!$D$21*12,SUMMARY!$D$20),0)</f>
        <v>378.22582025465385</v>
      </c>
      <c r="N230" s="160">
        <f t="shared" ca="1" si="7"/>
        <v>429.12048786032705</v>
      </c>
      <c r="P230" s="199"/>
      <c r="Q230" s="200"/>
      <c r="R230" s="200"/>
      <c r="S230" s="200"/>
    </row>
    <row r="231" spans="11:19" x14ac:dyDescent="0.2">
      <c r="K231" s="159">
        <v>223</v>
      </c>
      <c r="L231" s="133">
        <f ca="1">-IF(SUMMARY!$D$21*12&gt;=K231,IPMT(SUMMARY!$D$22/12,K231,SUMMARY!$D$21*12,SUMMARY!$D$20),0)</f>
        <v>48.373162137308803</v>
      </c>
      <c r="M231" s="133">
        <f ca="1">IF(SUMMARY!$D$21*12&gt;=K231,-PPMT(SUMMARY!$D$22/12,K231,SUMMARY!$D$21*12,SUMMARY!$D$20),0)</f>
        <v>380.74732572301826</v>
      </c>
      <c r="N231" s="160">
        <f t="shared" ca="1" si="7"/>
        <v>429.12048786032705</v>
      </c>
      <c r="P231" s="199"/>
      <c r="Q231" s="200"/>
      <c r="R231" s="200"/>
      <c r="S231" s="200"/>
    </row>
    <row r="232" spans="11:19" x14ac:dyDescent="0.2">
      <c r="K232" s="159">
        <v>224</v>
      </c>
      <c r="L232" s="133">
        <f ca="1">-IF(SUMMARY!$D$21*12&gt;=K232,IPMT(SUMMARY!$D$22/12,K232,SUMMARY!$D$21*12,SUMMARY!$D$20),0)</f>
        <v>45.834846632488684</v>
      </c>
      <c r="M232" s="133">
        <f ca="1">IF(SUMMARY!$D$21*12&gt;=K232,-PPMT(SUMMARY!$D$22/12,K232,SUMMARY!$D$21*12,SUMMARY!$D$20),0)</f>
        <v>383.28564122783837</v>
      </c>
      <c r="N232" s="160">
        <f t="shared" ca="1" si="7"/>
        <v>429.12048786032705</v>
      </c>
      <c r="P232" s="199"/>
      <c r="Q232" s="200"/>
      <c r="R232" s="200"/>
      <c r="S232" s="200"/>
    </row>
    <row r="233" spans="11:19" x14ac:dyDescent="0.2">
      <c r="K233" s="159">
        <v>225</v>
      </c>
      <c r="L233" s="133">
        <f ca="1">-IF(SUMMARY!$D$21*12&gt;=K233,IPMT(SUMMARY!$D$22/12,K233,SUMMARY!$D$21*12,SUMMARY!$D$20),0)</f>
        <v>43.279609024303099</v>
      </c>
      <c r="M233" s="133">
        <f ca="1">IF(SUMMARY!$D$21*12&gt;=K233,-PPMT(SUMMARY!$D$22/12,K233,SUMMARY!$D$21*12,SUMMARY!$D$20),0)</f>
        <v>385.84087883602399</v>
      </c>
      <c r="N233" s="160">
        <f t="shared" ca="1" si="7"/>
        <v>429.1204878603271</v>
      </c>
      <c r="P233" s="199"/>
      <c r="Q233" s="200"/>
      <c r="R233" s="200"/>
      <c r="S233" s="200"/>
    </row>
    <row r="234" spans="11:19" x14ac:dyDescent="0.2">
      <c r="K234" s="159">
        <v>226</v>
      </c>
      <c r="L234" s="133">
        <f ca="1">-IF(SUMMARY!$D$21*12&gt;=K234,IPMT(SUMMARY!$D$22/12,K234,SUMMARY!$D$21*12,SUMMARY!$D$20),0)</f>
        <v>40.707336498729596</v>
      </c>
      <c r="M234" s="133">
        <f ca="1">IF(SUMMARY!$D$21*12&gt;=K234,-PPMT(SUMMARY!$D$22/12,K234,SUMMARY!$D$21*12,SUMMARY!$D$20),0)</f>
        <v>388.41315136159744</v>
      </c>
      <c r="N234" s="160">
        <f t="shared" ca="1" si="7"/>
        <v>429.12048786032705</v>
      </c>
      <c r="P234" s="199"/>
      <c r="Q234" s="200"/>
      <c r="R234" s="200"/>
      <c r="S234" s="200"/>
    </row>
    <row r="235" spans="11:19" x14ac:dyDescent="0.2">
      <c r="K235" s="159">
        <v>227</v>
      </c>
      <c r="L235" s="133">
        <f ca="1">-IF(SUMMARY!$D$21*12&gt;=K235,IPMT(SUMMARY!$D$22/12,K235,SUMMARY!$D$21*12,SUMMARY!$D$20),0)</f>
        <v>38.117915489652283</v>
      </c>
      <c r="M235" s="133">
        <f ca="1">IF(SUMMARY!$D$21*12&gt;=K235,-PPMT(SUMMARY!$D$22/12,K235,SUMMARY!$D$21*12,SUMMARY!$D$20),0)</f>
        <v>391.00257237067478</v>
      </c>
      <c r="N235" s="160">
        <f t="shared" ca="1" si="7"/>
        <v>429.12048786032705</v>
      </c>
      <c r="P235" s="199"/>
      <c r="Q235" s="200"/>
      <c r="R235" s="200"/>
      <c r="S235" s="200"/>
    </row>
    <row r="236" spans="11:19" x14ac:dyDescent="0.2">
      <c r="K236" s="159">
        <v>228</v>
      </c>
      <c r="L236" s="133">
        <f ca="1">-IF(SUMMARY!$D$21*12&gt;=K236,IPMT(SUMMARY!$D$22/12,K236,SUMMARY!$D$21*12,SUMMARY!$D$20),0)</f>
        <v>35.511231673847782</v>
      </c>
      <c r="M236" s="133">
        <f ca="1">IF(SUMMARY!$D$21*12&gt;=K236,-PPMT(SUMMARY!$D$22/12,K236,SUMMARY!$D$21*12,SUMMARY!$D$20),0)</f>
        <v>393.60925618647929</v>
      </c>
      <c r="N236" s="160">
        <f t="shared" ca="1" si="7"/>
        <v>429.12048786032705</v>
      </c>
      <c r="P236" s="199"/>
      <c r="Q236" s="200"/>
      <c r="R236" s="200"/>
      <c r="S236" s="200"/>
    </row>
    <row r="237" spans="11:19" x14ac:dyDescent="0.2">
      <c r="K237" s="159">
        <v>229</v>
      </c>
      <c r="L237" s="133">
        <f ca="1">-IF(SUMMARY!$D$21*12&gt;=K237,IPMT(SUMMARY!$D$22/12,K237,SUMMARY!$D$21*12,SUMMARY!$D$20),0)</f>
        <v>32.887169965937922</v>
      </c>
      <c r="M237" s="133">
        <f ca="1">IF(SUMMARY!$D$21*12&gt;=K237,-PPMT(SUMMARY!$D$22/12,K237,SUMMARY!$D$21*12,SUMMARY!$D$20),0)</f>
        <v>396.23331789438919</v>
      </c>
      <c r="N237" s="160">
        <f t="shared" ca="1" si="7"/>
        <v>429.1204878603271</v>
      </c>
      <c r="P237" s="199"/>
      <c r="Q237" s="200"/>
      <c r="R237" s="200"/>
      <c r="S237" s="200"/>
    </row>
    <row r="238" spans="11:19" x14ac:dyDescent="0.2">
      <c r="K238" s="159">
        <v>230</v>
      </c>
      <c r="L238" s="133">
        <f ca="1">-IF(SUMMARY!$D$21*12&gt;=K238,IPMT(SUMMARY!$D$22/12,K238,SUMMARY!$D$21*12,SUMMARY!$D$20),0)</f>
        <v>30.245614513308659</v>
      </c>
      <c r="M238" s="133">
        <f ca="1">IF(SUMMARY!$D$21*12&gt;=K238,-PPMT(SUMMARY!$D$22/12,K238,SUMMARY!$D$21*12,SUMMARY!$D$20),0)</f>
        <v>398.87487334701837</v>
      </c>
      <c r="N238" s="160">
        <f t="shared" ca="1" si="7"/>
        <v>429.12048786032705</v>
      </c>
      <c r="P238" s="199"/>
      <c r="Q238" s="200"/>
      <c r="R238" s="200"/>
      <c r="S238" s="200"/>
    </row>
    <row r="239" spans="11:19" x14ac:dyDescent="0.2">
      <c r="K239" s="159">
        <v>231</v>
      </c>
      <c r="L239" s="133">
        <f ca="1">-IF(SUMMARY!$D$21*12&gt;=K239,IPMT(SUMMARY!$D$22/12,K239,SUMMARY!$D$21*12,SUMMARY!$D$20),0)</f>
        <v>27.586448690995205</v>
      </c>
      <c r="M239" s="133">
        <f ca="1">IF(SUMMARY!$D$21*12&gt;=K239,-PPMT(SUMMARY!$D$22/12,K239,SUMMARY!$D$21*12,SUMMARY!$D$20),0)</f>
        <v>401.53403916933183</v>
      </c>
      <c r="N239" s="160">
        <f t="shared" ca="1" si="7"/>
        <v>429.12048786032705</v>
      </c>
      <c r="P239" s="199"/>
      <c r="Q239" s="200"/>
      <c r="R239" s="200"/>
      <c r="S239" s="200"/>
    </row>
    <row r="240" spans="11:19" x14ac:dyDescent="0.2">
      <c r="K240" s="159">
        <v>232</v>
      </c>
      <c r="L240" s="133">
        <f ca="1">-IF(SUMMARY!$D$21*12&gt;=K240,IPMT(SUMMARY!$D$22/12,K240,SUMMARY!$D$21*12,SUMMARY!$D$20),0)</f>
        <v>24.909555096532994</v>
      </c>
      <c r="M240" s="133">
        <f ca="1">IF(SUMMARY!$D$21*12&gt;=K240,-PPMT(SUMMARY!$D$22/12,K240,SUMMARY!$D$21*12,SUMMARY!$D$20),0)</f>
        <v>404.21093276379406</v>
      </c>
      <c r="N240" s="160">
        <f t="shared" ca="1" si="7"/>
        <v>429.12048786032705</v>
      </c>
      <c r="P240" s="199"/>
      <c r="Q240" s="200"/>
      <c r="R240" s="200"/>
      <c r="S240" s="200"/>
    </row>
    <row r="241" spans="11:19" x14ac:dyDescent="0.2">
      <c r="K241" s="159">
        <v>233</v>
      </c>
      <c r="L241" s="133">
        <f ca="1">-IF(SUMMARY!$D$21*12&gt;=K241,IPMT(SUMMARY!$D$22/12,K241,SUMMARY!$D$21*12,SUMMARY!$D$20),0)</f>
        <v>22.214815544774364</v>
      </c>
      <c r="M241" s="133">
        <f ca="1">IF(SUMMARY!$D$21*12&gt;=K241,-PPMT(SUMMARY!$D$22/12,K241,SUMMARY!$D$21*12,SUMMARY!$D$20),0)</f>
        <v>406.90567231555269</v>
      </c>
      <c r="N241" s="160">
        <f t="shared" ca="1" si="7"/>
        <v>429.12048786032705</v>
      </c>
      <c r="P241" s="199"/>
      <c r="Q241" s="200"/>
      <c r="R241" s="200"/>
      <c r="S241" s="200"/>
    </row>
    <row r="242" spans="11:19" x14ac:dyDescent="0.2">
      <c r="K242" s="159">
        <v>234</v>
      </c>
      <c r="L242" s="133">
        <f ca="1">-IF(SUMMARY!$D$21*12&gt;=K242,IPMT(SUMMARY!$D$22/12,K242,SUMMARY!$D$21*12,SUMMARY!$D$20),0)</f>
        <v>19.502111062670682</v>
      </c>
      <c r="M242" s="133">
        <f ca="1">IF(SUMMARY!$D$21*12&gt;=K242,-PPMT(SUMMARY!$D$22/12,K242,SUMMARY!$D$21*12,SUMMARY!$D$20),0)</f>
        <v>409.61837679765642</v>
      </c>
      <c r="N242" s="160">
        <f t="shared" ca="1" si="7"/>
        <v>429.1204878603271</v>
      </c>
      <c r="P242" s="199"/>
      <c r="Q242" s="200"/>
      <c r="R242" s="200"/>
      <c r="S242" s="200"/>
    </row>
    <row r="243" spans="11:19" x14ac:dyDescent="0.2">
      <c r="K243" s="159">
        <v>235</v>
      </c>
      <c r="L243" s="133">
        <f ca="1">-IF(SUMMARY!$D$21*12&gt;=K243,IPMT(SUMMARY!$D$22/12,K243,SUMMARY!$D$21*12,SUMMARY!$D$20),0)</f>
        <v>16.771321884019638</v>
      </c>
      <c r="M243" s="133">
        <f ca="1">IF(SUMMARY!$D$21*12&gt;=K243,-PPMT(SUMMARY!$D$22/12,K243,SUMMARY!$D$21*12,SUMMARY!$D$20),0)</f>
        <v>412.34916597630746</v>
      </c>
      <c r="N243" s="160">
        <f t="shared" ca="1" si="7"/>
        <v>429.1204878603271</v>
      </c>
      <c r="P243" s="199"/>
      <c r="Q243" s="200"/>
      <c r="R243" s="200"/>
      <c r="S243" s="200"/>
    </row>
    <row r="244" spans="11:19" x14ac:dyDescent="0.2">
      <c r="K244" s="159">
        <v>236</v>
      </c>
      <c r="L244" s="133">
        <f ca="1">-IF(SUMMARY!$D$21*12&gt;=K244,IPMT(SUMMARY!$D$22/12,K244,SUMMARY!$D$21*12,SUMMARY!$D$20),0)</f>
        <v>14.022327444177588</v>
      </c>
      <c r="M244" s="133">
        <f ca="1">IF(SUMMARY!$D$21*12&gt;=K244,-PPMT(SUMMARY!$D$22/12,K244,SUMMARY!$D$21*12,SUMMARY!$D$20),0)</f>
        <v>415.09816041614948</v>
      </c>
      <c r="N244" s="160">
        <f t="shared" ca="1" si="7"/>
        <v>429.12048786032705</v>
      </c>
      <c r="P244" s="199"/>
      <c r="Q244" s="200"/>
      <c r="R244" s="200"/>
      <c r="S244" s="200"/>
    </row>
    <row r="245" spans="11:19" x14ac:dyDescent="0.2">
      <c r="K245" s="159">
        <v>237</v>
      </c>
      <c r="L245" s="133">
        <f ca="1">-IF(SUMMARY!$D$21*12&gt;=K245,IPMT(SUMMARY!$D$22/12,K245,SUMMARY!$D$21*12,SUMMARY!$D$20),0)</f>
        <v>11.255006374736592</v>
      </c>
      <c r="M245" s="133">
        <f ca="1">IF(SUMMARY!$D$21*12&gt;=K245,-PPMT(SUMMARY!$D$22/12,K245,SUMMARY!$D$21*12,SUMMARY!$D$20),0)</f>
        <v>417.86548148559052</v>
      </c>
      <c r="N245" s="160">
        <f t="shared" ca="1" si="7"/>
        <v>429.1204878603271</v>
      </c>
      <c r="P245" s="199"/>
      <c r="Q245" s="200"/>
      <c r="R245" s="200"/>
      <c r="S245" s="200"/>
    </row>
    <row r="246" spans="11:19" x14ac:dyDescent="0.2">
      <c r="K246" s="159">
        <v>238</v>
      </c>
      <c r="L246" s="133">
        <f ca="1">-IF(SUMMARY!$D$21*12&gt;=K246,IPMT(SUMMARY!$D$22/12,K246,SUMMARY!$D$21*12,SUMMARY!$D$20),0)</f>
        <v>8.4692364981659889</v>
      </c>
      <c r="M246" s="133">
        <f ca="1">IF(SUMMARY!$D$21*12&gt;=K246,-PPMT(SUMMARY!$D$22/12,K246,SUMMARY!$D$21*12,SUMMARY!$D$20),0)</f>
        <v>420.65125136216108</v>
      </c>
      <c r="N246" s="160">
        <f t="shared" ca="1" si="7"/>
        <v>429.12048786032705</v>
      </c>
      <c r="P246" s="199"/>
      <c r="Q246" s="200"/>
      <c r="R246" s="200"/>
      <c r="S246" s="200"/>
    </row>
    <row r="247" spans="11:19" x14ac:dyDescent="0.2">
      <c r="K247" s="159">
        <v>239</v>
      </c>
      <c r="L247" s="133">
        <f ca="1">-IF(SUMMARY!$D$21*12&gt;=K247,IPMT(SUMMARY!$D$22/12,K247,SUMMARY!$D$21*12,SUMMARY!$D$20),0)</f>
        <v>5.6648948224182467</v>
      </c>
      <c r="M247" s="133">
        <f ca="1">IF(SUMMARY!$D$21*12&gt;=K247,-PPMT(SUMMARY!$D$22/12,K247,SUMMARY!$D$21*12,SUMMARY!$D$20),0)</f>
        <v>423.45559303790878</v>
      </c>
      <c r="N247" s="160">
        <f t="shared" ca="1" si="7"/>
        <v>429.12048786032705</v>
      </c>
      <c r="P247" s="199"/>
      <c r="Q247" s="200"/>
      <c r="R247" s="200"/>
      <c r="S247" s="200"/>
    </row>
    <row r="248" spans="11:19" x14ac:dyDescent="0.2">
      <c r="K248" s="159">
        <v>240</v>
      </c>
      <c r="L248" s="133">
        <f ca="1">-IF(SUMMARY!$D$21*12&gt;=K248,IPMT(SUMMARY!$D$22/12,K248,SUMMARY!$D$21*12,SUMMARY!$D$20),0)</f>
        <v>2.8418575354988547</v>
      </c>
      <c r="M248" s="133">
        <f ca="1">IF(SUMMARY!$D$21*12&gt;=K248,-PPMT(SUMMARY!$D$22/12,K248,SUMMARY!$D$21*12,SUMMARY!$D$20),0)</f>
        <v>426.27863032482821</v>
      </c>
      <c r="N248" s="160">
        <f t="shared" ca="1" si="7"/>
        <v>429.12048786032705</v>
      </c>
      <c r="P248" s="199"/>
      <c r="Q248" s="200"/>
      <c r="R248" s="200"/>
      <c r="S248" s="200"/>
    </row>
    <row r="249" spans="11:19" x14ac:dyDescent="0.2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5" thickBot="1" x14ac:dyDescent="0.25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2.75" x14ac:dyDescent="0.2"/>
  <cols>
    <col min="1" max="1" width="30.5703125" customWidth="1"/>
    <col min="2" max="3" width="15.85546875" customWidth="1"/>
    <col min="4" max="4" width="18.42578125" customWidth="1"/>
    <col min="5" max="5" width="17.140625" bestFit="1" customWidth="1"/>
    <col min="6" max="6" width="16.85546875" customWidth="1"/>
  </cols>
  <sheetData>
    <row r="2" spans="2:7" ht="20.25" x14ac:dyDescent="0.2">
      <c r="B2" s="366" t="s">
        <v>144</v>
      </c>
      <c r="C2" s="366"/>
      <c r="D2" s="366"/>
      <c r="E2" s="366"/>
    </row>
    <row r="5" spans="2:7" x14ac:dyDescent="0.2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5" thickBot="1" x14ac:dyDescent="0.25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5" thickBot="1" x14ac:dyDescent="0.25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5" thickBot="1" x14ac:dyDescent="0.25"/>
    <row r="19" spans="2:6" x14ac:dyDescent="0.2">
      <c r="D19" s="5" t="s">
        <v>338</v>
      </c>
      <c r="E19" s="308">
        <v>13500000</v>
      </c>
    </row>
    <row r="20" spans="2:6" x14ac:dyDescent="0.2">
      <c r="D20" s="6" t="s">
        <v>339</v>
      </c>
      <c r="E20" s="309">
        <v>450000</v>
      </c>
    </row>
    <row r="21" spans="2:6" ht="13.5" thickBot="1" x14ac:dyDescent="0.25">
      <c r="D21" s="8" t="s">
        <v>340</v>
      </c>
      <c r="E21" s="310">
        <v>62000</v>
      </c>
      <c r="F21" s="1"/>
    </row>
    <row r="22" spans="2:6" ht="13.5" thickBot="1" x14ac:dyDescent="0.25">
      <c r="D22" s="236" t="s">
        <v>341</v>
      </c>
      <c r="E22" s="310">
        <f>+SUM(E19:E21)</f>
        <v>14012000</v>
      </c>
      <c r="F22" s="1"/>
    </row>
    <row r="23" spans="2:6" x14ac:dyDescent="0.2">
      <c r="D23" s="1"/>
      <c r="E23" s="1"/>
      <c r="F23" s="1"/>
    </row>
    <row r="24" spans="2:6" x14ac:dyDescent="0.2"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zoomScale="75" zoomScaleNormal="80" workbookViewId="0">
      <selection activeCell="E6" sqref="E6"/>
    </sheetView>
  </sheetViews>
  <sheetFormatPr defaultRowHeight="12.75" x14ac:dyDescent="0.2"/>
  <cols>
    <col min="1" max="1" width="18.28515625" customWidth="1"/>
    <col min="2" max="4" width="11.28515625" bestFit="1" customWidth="1"/>
    <col min="5" max="8" width="10.28515625" bestFit="1" customWidth="1"/>
    <col min="9" max="11" width="11.28515625" bestFit="1" customWidth="1"/>
    <col min="13" max="13" width="3" customWidth="1"/>
    <col min="14" max="14" width="20.85546875" customWidth="1"/>
    <col min="16" max="16" width="10.85546875" bestFit="1" customWidth="1"/>
  </cols>
  <sheetData>
    <row r="1" spans="1:17" ht="20.25" x14ac:dyDescent="0.2">
      <c r="A1" s="120" t="s">
        <v>186</v>
      </c>
    </row>
    <row r="2" spans="1:17" ht="13.5" thickBot="1" x14ac:dyDescent="0.25"/>
    <row r="3" spans="1:17" x14ac:dyDescent="0.2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5" thickBot="1" x14ac:dyDescent="0.25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5" thickBot="1" x14ac:dyDescent="0.25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5" thickBot="1" x14ac:dyDescent="0.25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">
      <c r="A10" s="92"/>
      <c r="B10" s="58"/>
      <c r="C10" s="58"/>
      <c r="D10" s="58"/>
      <c r="E10" s="58"/>
    </row>
    <row r="11" spans="1:17" ht="13.5" hidden="1" thickBot="1" x14ac:dyDescent="0.25">
      <c r="A11" s="92"/>
      <c r="B11" s="58"/>
      <c r="C11" s="57"/>
      <c r="D11" s="57"/>
      <c r="E11" s="57"/>
      <c r="F11" s="57"/>
      <c r="G11" s="57"/>
      <c r="H11" s="57"/>
    </row>
    <row r="12" spans="1:17" x14ac:dyDescent="0.2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5" thickBot="1" x14ac:dyDescent="0.25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">
      <c r="A26" s="90"/>
      <c r="B26" s="1"/>
      <c r="C26" s="1"/>
      <c r="D26" s="1"/>
      <c r="E26" s="1"/>
      <c r="F26" s="1"/>
      <c r="G26" s="1"/>
      <c r="H26" s="1"/>
    </row>
    <row r="27" spans="1:16" hidden="1" x14ac:dyDescent="0.2">
      <c r="A27" s="90"/>
      <c r="B27" s="1"/>
      <c r="C27" s="1"/>
      <c r="D27" s="1"/>
      <c r="E27" s="1"/>
      <c r="F27" s="1"/>
      <c r="G27" s="1"/>
      <c r="H27" s="1"/>
    </row>
    <row r="28" spans="1:16" hidden="1" x14ac:dyDescent="0.2">
      <c r="A28" s="92"/>
    </row>
    <row r="29" spans="1:16" hidden="1" x14ac:dyDescent="0.2">
      <c r="A29" s="90"/>
    </row>
    <row r="30" spans="1:16" x14ac:dyDescent="0.2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5" thickBot="1" x14ac:dyDescent="0.25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">
      <c r="A32" s="90"/>
    </row>
    <row r="33" spans="1:17" x14ac:dyDescent="0.2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5" thickBot="1" x14ac:dyDescent="0.25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">
      <c r="A35" s="90"/>
    </row>
    <row r="36" spans="1:17" ht="13.5" thickBot="1" x14ac:dyDescent="0.25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">
      <c r="A37" s="90"/>
    </row>
    <row r="38" spans="1:17" ht="13.5" thickBot="1" x14ac:dyDescent="0.25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">
      <c r="A39" s="90"/>
    </row>
    <row r="40" spans="1:17" x14ac:dyDescent="0.2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5" thickBot="1" x14ac:dyDescent="0.25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5" hidden="1" thickBot="1" x14ac:dyDescent="0.25">
      <c r="A46" s="90"/>
      <c r="N46" s="223"/>
      <c r="O46" s="224"/>
      <c r="P46" s="227"/>
    </row>
    <row r="47" spans="1:17" x14ac:dyDescent="0.2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5" thickBot="1" x14ac:dyDescent="0.25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">
      <c r="A49" s="90"/>
    </row>
    <row r="50" spans="1:17" x14ac:dyDescent="0.2">
      <c r="A50" s="90"/>
      <c r="N50" s="219" t="s">
        <v>227</v>
      </c>
      <c r="P50" s="237">
        <v>0.6</v>
      </c>
    </row>
    <row r="51" spans="1:17" x14ac:dyDescent="0.2">
      <c r="A51" s="90"/>
      <c r="N51" s="219" t="s">
        <v>231</v>
      </c>
      <c r="P51" s="238">
        <v>1.1000000000000001</v>
      </c>
    </row>
    <row r="52" spans="1:17" ht="13.5" thickBot="1" x14ac:dyDescent="0.25">
      <c r="A52" s="90"/>
    </row>
    <row r="53" spans="1:17" x14ac:dyDescent="0.2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5" thickBot="1" x14ac:dyDescent="0.25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5" thickBot="1" x14ac:dyDescent="0.25">
      <c r="A55" s="90"/>
    </row>
    <row r="56" spans="1:17" x14ac:dyDescent="0.2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5" thickBot="1" x14ac:dyDescent="0.25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5" thickBot="1" x14ac:dyDescent="0.25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5" thickBot="1" x14ac:dyDescent="0.25"/>
    <row r="64" spans="1:17" x14ac:dyDescent="0.2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">
      <c r="A65" s="6"/>
      <c r="B65" s="224" t="s">
        <v>257</v>
      </c>
      <c r="C65" s="224" t="s">
        <v>258</v>
      </c>
      <c r="D65" s="265">
        <v>3.5</v>
      </c>
    </row>
    <row r="66" spans="1:7" x14ac:dyDescent="0.2">
      <c r="A66" s="6"/>
      <c r="B66" s="7"/>
      <c r="C66" s="224" t="s">
        <v>259</v>
      </c>
      <c r="D66" s="265">
        <f>D65/(1000/D64)</f>
        <v>0.26808510638297872</v>
      </c>
    </row>
    <row r="67" spans="1:7" x14ac:dyDescent="0.2">
      <c r="A67" s="6"/>
      <c r="B67" s="7"/>
      <c r="C67" s="7"/>
      <c r="D67" s="81"/>
    </row>
    <row r="68" spans="1:7" x14ac:dyDescent="0.2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">
      <c r="A69" s="223"/>
      <c r="B69" s="224" t="s">
        <v>257</v>
      </c>
      <c r="C69" s="224" t="s">
        <v>258</v>
      </c>
      <c r="D69" s="265">
        <v>1.6</v>
      </c>
    </row>
    <row r="70" spans="1:7" x14ac:dyDescent="0.2">
      <c r="A70" s="6"/>
      <c r="B70" s="7"/>
      <c r="C70" s="224" t="s">
        <v>259</v>
      </c>
      <c r="D70" s="265">
        <f>D69/(1000/D68)</f>
        <v>0.26961702127659576</v>
      </c>
    </row>
    <row r="71" spans="1:7" x14ac:dyDescent="0.2">
      <c r="A71" s="6"/>
      <c r="B71" s="7"/>
      <c r="C71" s="7"/>
      <c r="D71" s="81"/>
    </row>
    <row r="72" spans="1:7" ht="13.5" thickBot="1" x14ac:dyDescent="0.25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5" thickBot="1" x14ac:dyDescent="0.25"/>
    <row r="74" spans="1:7" x14ac:dyDescent="0.2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5" thickBot="1" x14ac:dyDescent="0.25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59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sqref="A1:C51"/>
    </sheetView>
  </sheetViews>
  <sheetFormatPr defaultRowHeight="12.75" x14ac:dyDescent="0.2"/>
  <cols>
    <col min="2" max="2" width="6" customWidth="1"/>
    <col min="3" max="3" width="107" customWidth="1"/>
    <col min="4" max="4" width="9.85546875" customWidth="1"/>
  </cols>
  <sheetData>
    <row r="3" spans="1:3" x14ac:dyDescent="0.2">
      <c r="A3" s="57" t="s">
        <v>282</v>
      </c>
    </row>
    <row r="4" spans="1:3" x14ac:dyDescent="0.2">
      <c r="A4">
        <v>1</v>
      </c>
      <c r="B4" t="s">
        <v>300</v>
      </c>
    </row>
    <row r="5" spans="1:3" x14ac:dyDescent="0.2">
      <c r="A5">
        <f>A4+1</f>
        <v>2</v>
      </c>
      <c r="B5" t="s">
        <v>283</v>
      </c>
    </row>
    <row r="6" spans="1:3" x14ac:dyDescent="0.2">
      <c r="A6">
        <f>A5+1</f>
        <v>3</v>
      </c>
      <c r="B6" t="s">
        <v>284</v>
      </c>
    </row>
    <row r="7" spans="1:3" x14ac:dyDescent="0.2">
      <c r="A7">
        <f>A6+1</f>
        <v>4</v>
      </c>
      <c r="B7" t="s">
        <v>285</v>
      </c>
    </row>
    <row r="8" spans="1:3" x14ac:dyDescent="0.2">
      <c r="A8">
        <f>A7+1</f>
        <v>5</v>
      </c>
      <c r="B8" t="s">
        <v>286</v>
      </c>
    </row>
    <row r="9" spans="1:3" x14ac:dyDescent="0.2">
      <c r="A9">
        <f>A8+1</f>
        <v>6</v>
      </c>
      <c r="B9" t="s">
        <v>287</v>
      </c>
    </row>
    <row r="10" spans="1:3" x14ac:dyDescent="0.2">
      <c r="C10" t="s">
        <v>288</v>
      </c>
    </row>
    <row r="11" spans="1:3" x14ac:dyDescent="0.2">
      <c r="C11" t="s">
        <v>289</v>
      </c>
    </row>
    <row r="12" spans="1:3" x14ac:dyDescent="0.2">
      <c r="C12" t="s">
        <v>290</v>
      </c>
    </row>
    <row r="15" spans="1:3" x14ac:dyDescent="0.2">
      <c r="A15">
        <f>A9+1</f>
        <v>7</v>
      </c>
      <c r="B15" t="s">
        <v>291</v>
      </c>
    </row>
    <row r="16" spans="1:3" x14ac:dyDescent="0.2">
      <c r="C16" t="s">
        <v>292</v>
      </c>
    </row>
    <row r="17" spans="1:3" x14ac:dyDescent="0.2">
      <c r="C17" t="s">
        <v>293</v>
      </c>
    </row>
    <row r="18" spans="1:3" x14ac:dyDescent="0.2">
      <c r="C18" t="s">
        <v>294</v>
      </c>
    </row>
    <row r="19" spans="1:3" x14ac:dyDescent="0.2">
      <c r="C19" t="s">
        <v>295</v>
      </c>
    </row>
    <row r="21" spans="1:3" x14ac:dyDescent="0.2">
      <c r="A21">
        <f>A15+1</f>
        <v>8</v>
      </c>
      <c r="B21" t="s">
        <v>296</v>
      </c>
    </row>
    <row r="22" spans="1:3" x14ac:dyDescent="0.2">
      <c r="A22">
        <f>A21+1</f>
        <v>9</v>
      </c>
      <c r="B22" t="s">
        <v>301</v>
      </c>
    </row>
    <row r="23" spans="1:3" x14ac:dyDescent="0.2">
      <c r="A23">
        <f>A22+1</f>
        <v>10</v>
      </c>
    </row>
    <row r="24" spans="1:3" x14ac:dyDescent="0.2">
      <c r="A24">
        <f>A23+1</f>
        <v>11</v>
      </c>
    </row>
    <row r="25" spans="1:3" x14ac:dyDescent="0.2">
      <c r="A25">
        <f>A24+1</f>
        <v>12</v>
      </c>
    </row>
    <row r="27" spans="1:3" x14ac:dyDescent="0.2">
      <c r="A27" s="57" t="s">
        <v>302</v>
      </c>
    </row>
    <row r="28" spans="1:3" x14ac:dyDescent="0.2">
      <c r="A28">
        <v>1</v>
      </c>
      <c r="B28" t="s">
        <v>303</v>
      </c>
    </row>
    <row r="29" spans="1:3" x14ac:dyDescent="0.2">
      <c r="A29">
        <f>A28+1</f>
        <v>2</v>
      </c>
      <c r="B29" t="s">
        <v>304</v>
      </c>
    </row>
    <row r="30" spans="1:3" x14ac:dyDescent="0.2">
      <c r="A30">
        <f t="shared" ref="A30:A50" si="0">A29+1</f>
        <v>3</v>
      </c>
      <c r="B30" t="s">
        <v>305</v>
      </c>
    </row>
    <row r="31" spans="1:3" x14ac:dyDescent="0.2">
      <c r="A31">
        <f t="shared" si="0"/>
        <v>4</v>
      </c>
      <c r="B31" t="s">
        <v>306</v>
      </c>
    </row>
    <row r="32" spans="1:3" x14ac:dyDescent="0.2">
      <c r="A32">
        <f t="shared" si="0"/>
        <v>5</v>
      </c>
      <c r="B32" t="s">
        <v>307</v>
      </c>
    </row>
    <row r="33" spans="1:2" x14ac:dyDescent="0.2">
      <c r="A33">
        <f t="shared" si="0"/>
        <v>6</v>
      </c>
      <c r="B33" t="s">
        <v>308</v>
      </c>
    </row>
    <row r="34" spans="1:2" x14ac:dyDescent="0.2">
      <c r="A34">
        <f t="shared" si="0"/>
        <v>7</v>
      </c>
      <c r="B34" t="s">
        <v>309</v>
      </c>
    </row>
    <row r="35" spans="1:2" x14ac:dyDescent="0.2">
      <c r="A35">
        <f t="shared" si="0"/>
        <v>8</v>
      </c>
      <c r="B35" t="s">
        <v>319</v>
      </c>
    </row>
    <row r="36" spans="1:2" x14ac:dyDescent="0.2">
      <c r="A36">
        <f t="shared" si="0"/>
        <v>9</v>
      </c>
      <c r="B36" t="s">
        <v>310</v>
      </c>
    </row>
    <row r="37" spans="1:2" x14ac:dyDescent="0.2">
      <c r="A37">
        <f t="shared" si="0"/>
        <v>10</v>
      </c>
      <c r="B37" t="s">
        <v>311</v>
      </c>
    </row>
    <row r="38" spans="1:2" x14ac:dyDescent="0.2">
      <c r="A38">
        <f t="shared" si="0"/>
        <v>11</v>
      </c>
      <c r="B38" t="s">
        <v>312</v>
      </c>
    </row>
    <row r="39" spans="1:2" x14ac:dyDescent="0.2">
      <c r="A39">
        <f t="shared" si="0"/>
        <v>12</v>
      </c>
      <c r="B39" t="s">
        <v>313</v>
      </c>
    </row>
    <row r="40" spans="1:2" x14ac:dyDescent="0.2">
      <c r="A40">
        <f t="shared" si="0"/>
        <v>13</v>
      </c>
      <c r="B40" t="s">
        <v>314</v>
      </c>
    </row>
    <row r="41" spans="1:2" x14ac:dyDescent="0.2">
      <c r="A41">
        <f t="shared" si="0"/>
        <v>14</v>
      </c>
      <c r="B41" t="s">
        <v>315</v>
      </c>
    </row>
    <row r="42" spans="1:2" x14ac:dyDescent="0.2">
      <c r="A42">
        <f t="shared" si="0"/>
        <v>15</v>
      </c>
      <c r="B42" t="s">
        <v>316</v>
      </c>
    </row>
    <row r="43" spans="1:2" x14ac:dyDescent="0.2">
      <c r="A43">
        <f t="shared" si="0"/>
        <v>16</v>
      </c>
      <c r="B43" t="s">
        <v>317</v>
      </c>
    </row>
    <row r="44" spans="1:2" x14ac:dyDescent="0.2">
      <c r="A44">
        <f t="shared" si="0"/>
        <v>17</v>
      </c>
      <c r="B44" t="s">
        <v>318</v>
      </c>
    </row>
    <row r="45" spans="1:2" x14ac:dyDescent="0.2">
      <c r="A45">
        <f t="shared" si="0"/>
        <v>18</v>
      </c>
      <c r="B45" t="s">
        <v>320</v>
      </c>
    </row>
    <row r="46" spans="1:2" x14ac:dyDescent="0.2">
      <c r="A46">
        <f t="shared" si="0"/>
        <v>19</v>
      </c>
      <c r="B46" t="s">
        <v>321</v>
      </c>
    </row>
    <row r="47" spans="1:2" x14ac:dyDescent="0.2">
      <c r="A47">
        <f t="shared" si="0"/>
        <v>20</v>
      </c>
      <c r="B47" t="s">
        <v>322</v>
      </c>
    </row>
    <row r="48" spans="1:2" x14ac:dyDescent="0.2">
      <c r="A48">
        <f t="shared" si="0"/>
        <v>21</v>
      </c>
      <c r="B48" t="s">
        <v>323</v>
      </c>
    </row>
    <row r="49" spans="1:2" x14ac:dyDescent="0.2">
      <c r="A49">
        <f t="shared" si="0"/>
        <v>22</v>
      </c>
      <c r="B49" t="s">
        <v>324</v>
      </c>
    </row>
    <row r="50" spans="1:2" x14ac:dyDescent="0.2">
      <c r="A50">
        <f t="shared" si="0"/>
        <v>23</v>
      </c>
      <c r="B50" t="s">
        <v>325</v>
      </c>
    </row>
    <row r="51" spans="1:2" x14ac:dyDescent="0.2">
      <c r="A51">
        <f>A50+1</f>
        <v>24</v>
      </c>
      <c r="B51" t="s">
        <v>337</v>
      </c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CLARIFICATIONS!Print_Area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Felienne</cp:lastModifiedBy>
  <cp:lastPrinted>2000-01-19T15:05:46Z</cp:lastPrinted>
  <dcterms:created xsi:type="dcterms:W3CDTF">1999-11-18T00:03:45Z</dcterms:created>
  <dcterms:modified xsi:type="dcterms:W3CDTF">2014-09-03T11:25:55Z</dcterms:modified>
</cp:coreProperties>
</file>