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846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</sheets>
  <externalReferences>
    <externalReference r:id="rId13"/>
    <externalReference r:id="rId14"/>
    <externalReference r:id="rId15"/>
    <externalReference r:id="rId16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IS!$A$2:$AG$45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calcMode="manual" fullCalcOnLoad="1" iterate="1"/>
</workbook>
</file>

<file path=xl/calcChain.xml><?xml version="1.0" encoding="utf-8"?>
<calcChain xmlns="http://schemas.openxmlformats.org/spreadsheetml/2006/main">
  <c r="C12" i="2" l="1"/>
  <c r="AA13" i="2"/>
  <c r="U14" i="2"/>
  <c r="V14" i="2"/>
  <c r="W14" i="2"/>
  <c r="X14" i="2"/>
  <c r="Y14" i="2"/>
  <c r="Z14" i="2"/>
  <c r="AA14" i="2"/>
  <c r="AB14" i="2"/>
  <c r="N17" i="2"/>
  <c r="P17" i="2"/>
  <c r="H60" i="2" s="1"/>
  <c r="H18" i="2"/>
  <c r="D8" i="19" s="1"/>
  <c r="E8" i="19" s="1"/>
  <c r="C20" i="2"/>
  <c r="C21" i="2"/>
  <c r="O23" i="2"/>
  <c r="D26" i="2"/>
  <c r="N26" i="2"/>
  <c r="G32" i="2"/>
  <c r="H35" i="2"/>
  <c r="H39" i="2"/>
  <c r="D43" i="2"/>
  <c r="C48" i="2"/>
  <c r="D48" i="2"/>
  <c r="G48" i="2"/>
  <c r="D54" i="2"/>
  <c r="C56" i="2"/>
  <c r="D56" i="2"/>
  <c r="H57" i="2"/>
  <c r="H66" i="2"/>
  <c r="H68" i="2" s="1"/>
  <c r="D23" i="2" s="1"/>
  <c r="A69" i="2"/>
  <c r="A70" i="2"/>
  <c r="A71" i="2"/>
  <c r="A2" i="19"/>
  <c r="F8" i="19"/>
  <c r="G8" i="19" s="1"/>
  <c r="H8" i="19" s="1"/>
  <c r="I8" i="19" s="1"/>
  <c r="J8" i="19"/>
  <c r="K8" i="19" s="1"/>
  <c r="L8" i="19" s="1"/>
  <c r="M8" i="19" s="1"/>
  <c r="N8" i="19" s="1"/>
  <c r="O8" i="19" s="1"/>
  <c r="P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F8" i="6"/>
  <c r="F41" i="6" s="1"/>
  <c r="G8" i="6"/>
  <c r="H8" i="6"/>
  <c r="I8" i="6"/>
  <c r="I41" i="6" s="1"/>
  <c r="J8" i="6"/>
  <c r="K8" i="6"/>
  <c r="L8" i="6"/>
  <c r="M8" i="6"/>
  <c r="N8" i="6"/>
  <c r="N41" i="6" s="1"/>
  <c r="O8" i="6"/>
  <c r="P8" i="6"/>
  <c r="Q8" i="6"/>
  <c r="Q41" i="6" s="1"/>
  <c r="R8" i="6"/>
  <c r="S8" i="6"/>
  <c r="T8" i="6"/>
  <c r="U8" i="6"/>
  <c r="V8" i="6"/>
  <c r="V41" i="6" s="1"/>
  <c r="W8" i="6"/>
  <c r="X8" i="6"/>
  <c r="Y8" i="6"/>
  <c r="Y41" i="6" s="1"/>
  <c r="Z8" i="6"/>
  <c r="AA8" i="6"/>
  <c r="AB8" i="6"/>
  <c r="AC8" i="6"/>
  <c r="AD8" i="6"/>
  <c r="AD41" i="6" s="1"/>
  <c r="AE8" i="6"/>
  <c r="AF8" i="6"/>
  <c r="AN11" i="6"/>
  <c r="AN12" i="6"/>
  <c r="B33" i="6"/>
  <c r="B41" i="6"/>
  <c r="C41" i="6"/>
  <c r="D41" i="6"/>
  <c r="E41" i="6"/>
  <c r="G41" i="6"/>
  <c r="H41" i="6"/>
  <c r="J41" i="6"/>
  <c r="K41" i="6"/>
  <c r="L41" i="6"/>
  <c r="M41" i="6"/>
  <c r="O41" i="6"/>
  <c r="P41" i="6"/>
  <c r="R41" i="6"/>
  <c r="S41" i="6"/>
  <c r="T41" i="6"/>
  <c r="U41" i="6"/>
  <c r="W41" i="6"/>
  <c r="X41" i="6"/>
  <c r="Z41" i="6"/>
  <c r="AA41" i="6"/>
  <c r="AB41" i="6"/>
  <c r="AC41" i="6"/>
  <c r="AE41" i="6"/>
  <c r="AF41" i="6"/>
  <c r="E62" i="6"/>
  <c r="E63" i="6"/>
  <c r="E64" i="6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G13" i="7" s="1"/>
  <c r="E13" i="7"/>
  <c r="E42" i="7" s="1"/>
  <c r="F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E27" i="7"/>
  <c r="G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G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I9" i="26"/>
  <c r="I13" i="26"/>
  <c r="I17" i="26"/>
  <c r="I21" i="26"/>
  <c r="Q25" i="3" s="1"/>
  <c r="I25" i="26"/>
  <c r="E26" i="26"/>
  <c r="I8" i="26" s="1"/>
  <c r="D25" i="3" s="1"/>
  <c r="D30" i="3" s="1"/>
  <c r="I28" i="26"/>
  <c r="X25" i="3" s="1"/>
  <c r="E38" i="26"/>
  <c r="E50" i="26"/>
  <c r="I10" i="26" s="1"/>
  <c r="E62" i="26"/>
  <c r="I11" i="26" s="1"/>
  <c r="E74" i="26"/>
  <c r="I12" i="26" s="1"/>
  <c r="H25" i="3" s="1"/>
  <c r="E86" i="26"/>
  <c r="E98" i="26"/>
  <c r="I14" i="26" s="1"/>
  <c r="E110" i="26"/>
  <c r="I15" i="26" s="1"/>
  <c r="E122" i="26"/>
  <c r="I16" i="26" s="1"/>
  <c r="L25" i="3" s="1"/>
  <c r="L30" i="3" s="1"/>
  <c r="E134" i="26"/>
  <c r="E146" i="26"/>
  <c r="I18" i="26" s="1"/>
  <c r="E158" i="26"/>
  <c r="I19" i="26" s="1"/>
  <c r="E170" i="26"/>
  <c r="I20" i="26" s="1"/>
  <c r="P25" i="3" s="1"/>
  <c r="P30" i="3" s="1"/>
  <c r="E182" i="26"/>
  <c r="E194" i="26"/>
  <c r="I22" i="26" s="1"/>
  <c r="E206" i="26"/>
  <c r="I23" i="26" s="1"/>
  <c r="E218" i="26"/>
  <c r="I24" i="26" s="1"/>
  <c r="T25" i="3" s="1"/>
  <c r="T30" i="3" s="1"/>
  <c r="E230" i="26"/>
  <c r="E242" i="26"/>
  <c r="I26" i="26" s="1"/>
  <c r="I27" i="26" s="1"/>
  <c r="A2" i="18"/>
  <c r="C7" i="18"/>
  <c r="C8" i="18"/>
  <c r="D8" i="18" s="1"/>
  <c r="C15" i="18"/>
  <c r="E15" i="18" s="1"/>
  <c r="D15" i="18"/>
  <c r="D34" i="18" s="1"/>
  <c r="A16" i="18"/>
  <c r="C16" i="18"/>
  <c r="E16" i="18" s="1"/>
  <c r="F16" i="18" s="1"/>
  <c r="C17" i="18"/>
  <c r="E17" i="18"/>
  <c r="F17" i="18" s="1"/>
  <c r="C18" i="18"/>
  <c r="E18" i="18" s="1"/>
  <c r="F18" i="18" s="1"/>
  <c r="C19" i="18"/>
  <c r="E19" i="18"/>
  <c r="F19" i="18" s="1"/>
  <c r="C20" i="18"/>
  <c r="E20" i="18" s="1"/>
  <c r="F20" i="18" s="1"/>
  <c r="C21" i="18"/>
  <c r="E21" i="18" s="1"/>
  <c r="F21" i="18" s="1"/>
  <c r="C22" i="18"/>
  <c r="E22" i="18"/>
  <c r="F22" i="18" s="1"/>
  <c r="C23" i="18"/>
  <c r="E23" i="18"/>
  <c r="F23" i="18" s="1"/>
  <c r="C24" i="18"/>
  <c r="E24" i="18"/>
  <c r="F24" i="18"/>
  <c r="C25" i="18"/>
  <c r="E25" i="18"/>
  <c r="F25" i="18"/>
  <c r="C26" i="18"/>
  <c r="E26" i="18" s="1"/>
  <c r="F26" i="18" s="1"/>
  <c r="C27" i="18"/>
  <c r="E27" i="18"/>
  <c r="F27" i="18" s="1"/>
  <c r="C28" i="18"/>
  <c r="E28" i="18" s="1"/>
  <c r="F28" i="18"/>
  <c r="C29" i="18"/>
  <c r="E29" i="18" s="1"/>
  <c r="F29" i="18" s="1"/>
  <c r="E30" i="18"/>
  <c r="F30" i="18" s="1"/>
  <c r="E31" i="18"/>
  <c r="F31" i="18"/>
  <c r="E32" i="18"/>
  <c r="F32" i="18" s="1"/>
  <c r="E33" i="18"/>
  <c r="F33" i="18" s="1"/>
  <c r="E34" i="18"/>
  <c r="H57" i="18"/>
  <c r="I57" i="18"/>
  <c r="J57" i="18"/>
  <c r="K57" i="18"/>
  <c r="L57" i="18"/>
  <c r="D59" i="18"/>
  <c r="A2" i="4"/>
  <c r="D6" i="4"/>
  <c r="D17" i="4"/>
  <c r="E17" i="4" s="1"/>
  <c r="F17" i="4" s="1"/>
  <c r="G17" i="4"/>
  <c r="H17" i="4" s="1"/>
  <c r="I17" i="4" s="1"/>
  <c r="J17" i="4" s="1"/>
  <c r="K17" i="4" s="1"/>
  <c r="L17" i="4" s="1"/>
  <c r="M17" i="4"/>
  <c r="N17" i="4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/>
  <c r="F20" i="4" s="1"/>
  <c r="G20" i="4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 s="1"/>
  <c r="F21" i="4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/>
  <c r="Y21" i="4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/>
  <c r="H22" i="4" s="1"/>
  <c r="I22" i="4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 s="1"/>
  <c r="G28" i="4" s="1"/>
  <c r="H28" i="4"/>
  <c r="I28" i="4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E7" i="3" s="1"/>
  <c r="F7" i="3"/>
  <c r="G7" i="3"/>
  <c r="D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E19" i="3" s="1"/>
  <c r="P19" i="3"/>
  <c r="S19" i="3"/>
  <c r="T19" i="3"/>
  <c r="U19" i="3"/>
  <c r="D21" i="3"/>
  <c r="F21" i="3"/>
  <c r="E25" i="3"/>
  <c r="F25" i="3"/>
  <c r="G25" i="3"/>
  <c r="G30" i="3" s="1"/>
  <c r="I25" i="3"/>
  <c r="J25" i="3"/>
  <c r="J30" i="3" s="1"/>
  <c r="J34" i="3" s="1"/>
  <c r="K25" i="3"/>
  <c r="K30" i="3" s="1"/>
  <c r="M25" i="3"/>
  <c r="M30" i="3" s="1"/>
  <c r="N25" i="3"/>
  <c r="O25" i="3"/>
  <c r="O30" i="3" s="1"/>
  <c r="R25" i="3"/>
  <c r="S25" i="3"/>
  <c r="S30" i="3" s="1"/>
  <c r="U25" i="3"/>
  <c r="V25" i="3"/>
  <c r="V30" i="3" s="1"/>
  <c r="W25" i="3"/>
  <c r="W30" i="3" s="1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E30" i="3"/>
  <c r="F30" i="3"/>
  <c r="H30" i="3"/>
  <c r="I30" i="3"/>
  <c r="N30" i="3"/>
  <c r="Q30" i="3"/>
  <c r="Q34" i="3" s="1"/>
  <c r="R30" i="3"/>
  <c r="U30" i="3"/>
  <c r="X30" i="3"/>
  <c r="Y30" i="3"/>
  <c r="Z30" i="3"/>
  <c r="AA30" i="3"/>
  <c r="AB30" i="3"/>
  <c r="AC30" i="3"/>
  <c r="AD30" i="3"/>
  <c r="AE30" i="3"/>
  <c r="AF30" i="3"/>
  <c r="AG30" i="3"/>
  <c r="AH30" i="3"/>
  <c r="O34" i="3"/>
  <c r="W34" i="3"/>
  <c r="Z34" i="3"/>
  <c r="AG34" i="3"/>
  <c r="D35" i="3"/>
  <c r="A38" i="3"/>
  <c r="D42" i="3"/>
  <c r="D44" i="3" s="1"/>
  <c r="D34" i="3" s="1"/>
  <c r="E42" i="3"/>
  <c r="E44" i="3" s="1"/>
  <c r="F42" i="3"/>
  <c r="F44" i="3" s="1"/>
  <c r="F34" i="3" s="1"/>
  <c r="G42" i="3"/>
  <c r="H42" i="3"/>
  <c r="I42" i="3"/>
  <c r="I44" i="3" s="1"/>
  <c r="I34" i="3" s="1"/>
  <c r="J42" i="3"/>
  <c r="J44" i="3" s="1"/>
  <c r="K42" i="3"/>
  <c r="L42" i="3"/>
  <c r="L44" i="3" s="1"/>
  <c r="L34" i="3" s="1"/>
  <c r="M42" i="3"/>
  <c r="M44" i="3" s="1"/>
  <c r="N42" i="3"/>
  <c r="O42" i="3"/>
  <c r="P42" i="3"/>
  <c r="Q42" i="3"/>
  <c r="Q44" i="3" s="1"/>
  <c r="R42" i="3"/>
  <c r="S42" i="3"/>
  <c r="T42" i="3"/>
  <c r="T44" i="3" s="1"/>
  <c r="T34" i="3" s="1"/>
  <c r="U42" i="3"/>
  <c r="U44" i="3" s="1"/>
  <c r="V42" i="3"/>
  <c r="V44" i="3" s="1"/>
  <c r="V34" i="3" s="1"/>
  <c r="W42" i="3"/>
  <c r="X42" i="3"/>
  <c r="Y42" i="3"/>
  <c r="Y44" i="3" s="1"/>
  <c r="Y34" i="3" s="1"/>
  <c r="Z42" i="3"/>
  <c r="Z44" i="3" s="1"/>
  <c r="AA42" i="3"/>
  <c r="AB42" i="3"/>
  <c r="AB44" i="3" s="1"/>
  <c r="AB34" i="3" s="1"/>
  <c r="AC42" i="3"/>
  <c r="AD42" i="3"/>
  <c r="AD44" i="3" s="1"/>
  <c r="AD34" i="3" s="1"/>
  <c r="AE42" i="3"/>
  <c r="AF42" i="3"/>
  <c r="AG42" i="3"/>
  <c r="AG44" i="3" s="1"/>
  <c r="AH42" i="3"/>
  <c r="AH44" i="3" s="1"/>
  <c r="G44" i="3"/>
  <c r="G34" i="3" s="1"/>
  <c r="H44" i="3"/>
  <c r="H34" i="3" s="1"/>
  <c r="K44" i="3"/>
  <c r="K34" i="3" s="1"/>
  <c r="N44" i="3"/>
  <c r="N34" i="3" s="1"/>
  <c r="O44" i="3"/>
  <c r="P44" i="3"/>
  <c r="P34" i="3" s="1"/>
  <c r="R44" i="3"/>
  <c r="R34" i="3" s="1"/>
  <c r="S44" i="3"/>
  <c r="S34" i="3" s="1"/>
  <c r="W44" i="3"/>
  <c r="X44" i="3"/>
  <c r="X34" i="3" s="1"/>
  <c r="AA44" i="3"/>
  <c r="AA34" i="3" s="1"/>
  <c r="AC44" i="3"/>
  <c r="AC34" i="3" s="1"/>
  <c r="AE44" i="3"/>
  <c r="AE34" i="3" s="1"/>
  <c r="AF44" i="3"/>
  <c r="AF34" i="3" s="1"/>
  <c r="A2" i="25"/>
  <c r="C6" i="25"/>
  <c r="D6" i="25"/>
  <c r="E6" i="25"/>
  <c r="F6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B13" i="25"/>
  <c r="B18" i="25"/>
  <c r="B21" i="25"/>
  <c r="B27" i="25"/>
  <c r="B37" i="25"/>
  <c r="A41" i="25"/>
  <c r="B43" i="25"/>
  <c r="A48" i="25"/>
  <c r="B50" i="25"/>
  <c r="A55" i="25"/>
  <c r="B57" i="25"/>
  <c r="AG58" i="25"/>
  <c r="A2" i="8"/>
  <c r="B6" i="8"/>
  <c r="C6" i="8"/>
  <c r="D6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D10" i="4" l="1"/>
  <c r="F36" i="3"/>
  <c r="F38" i="3" s="1"/>
  <c r="E11" i="4" s="1"/>
  <c r="Q8" i="19"/>
  <c r="O8" i="25"/>
  <c r="D36" i="3"/>
  <c r="D38" i="3" s="1"/>
  <c r="C11" i="4" s="1"/>
  <c r="G6" i="19"/>
  <c r="G6" i="7"/>
  <c r="F6" i="4"/>
  <c r="H7" i="3"/>
  <c r="H21" i="3"/>
  <c r="G35" i="3"/>
  <c r="E6" i="8"/>
  <c r="G36" i="3"/>
  <c r="G38" i="3" s="1"/>
  <c r="F11" i="4" s="1"/>
  <c r="AH34" i="3"/>
  <c r="Y19" i="3"/>
  <c r="J19" i="3"/>
  <c r="R19" i="3"/>
  <c r="Z19" i="3"/>
  <c r="AH19" i="3"/>
  <c r="F19" i="3"/>
  <c r="N19" i="3"/>
  <c r="V19" i="3"/>
  <c r="AD19" i="3"/>
  <c r="G19" i="3"/>
  <c r="O19" i="3"/>
  <c r="W19" i="3"/>
  <c r="AE19" i="3"/>
  <c r="D19" i="3"/>
  <c r="Q19" i="3"/>
  <c r="AC19" i="3"/>
  <c r="K19" i="3"/>
  <c r="X19" i="3"/>
  <c r="M19" i="3"/>
  <c r="AA19" i="3"/>
  <c r="U34" i="3"/>
  <c r="M34" i="3"/>
  <c r="E34" i="3"/>
  <c r="AG19" i="3"/>
  <c r="L19" i="3"/>
  <c r="F6" i="19"/>
  <c r="F6" i="7"/>
  <c r="E6" i="4"/>
  <c r="E10" i="4" s="1"/>
  <c r="G21" i="3"/>
  <c r="F35" i="3"/>
  <c r="AF19" i="3"/>
  <c r="I19" i="3"/>
  <c r="E6" i="19"/>
  <c r="E6" i="7"/>
  <c r="E35" i="3"/>
  <c r="E21" i="3"/>
  <c r="C34" i="18"/>
  <c r="AB19" i="3"/>
  <c r="H19" i="3"/>
  <c r="D7" i="19"/>
  <c r="D7" i="7"/>
  <c r="C7" i="4"/>
  <c r="E8" i="3"/>
  <c r="B7" i="8"/>
  <c r="C7" i="25"/>
  <c r="F27" i="7"/>
  <c r="F42" i="7"/>
  <c r="D6" i="19"/>
  <c r="C6" i="4"/>
  <c r="D6" i="7"/>
  <c r="F15" i="18"/>
  <c r="A17" i="18"/>
  <c r="G39" i="2"/>
  <c r="B36" i="6"/>
  <c r="H13" i="7"/>
  <c r="D21" i="2"/>
  <c r="C34" i="2"/>
  <c r="D31" i="2"/>
  <c r="D12" i="2"/>
  <c r="D20" i="2"/>
  <c r="O22" i="2"/>
  <c r="D25" i="2"/>
  <c r="O20" i="2"/>
  <c r="O25" i="2"/>
  <c r="D28" i="2"/>
  <c r="D39" i="2"/>
  <c r="D42" i="2"/>
  <c r="D53" i="2"/>
  <c r="D33" i="2"/>
  <c r="D47" i="2"/>
  <c r="D49" i="2"/>
  <c r="O19" i="2"/>
  <c r="O21" i="2"/>
  <c r="D24" i="2"/>
  <c r="D37" i="2"/>
  <c r="D40" i="2"/>
  <c r="D44" i="2"/>
  <c r="D55" i="2"/>
  <c r="O24" i="2"/>
  <c r="D22" i="2"/>
  <c r="D27" i="2"/>
  <c r="D30" i="2"/>
  <c r="D32" i="2"/>
  <c r="D38" i="2"/>
  <c r="D41" i="2"/>
  <c r="D45" i="2"/>
  <c r="H62" i="2"/>
  <c r="D29" i="2"/>
  <c r="E13" i="4" l="1"/>
  <c r="N30" i="2"/>
  <c r="O30" i="2" s="1"/>
  <c r="N32" i="2"/>
  <c r="O32" i="2" s="1"/>
  <c r="C17" i="4"/>
  <c r="C10" i="4"/>
  <c r="C13" i="4" s="1"/>
  <c r="C26" i="4"/>
  <c r="N33" i="2" s="1"/>
  <c r="O33" i="2" s="1"/>
  <c r="S26" i="4"/>
  <c r="O26" i="2"/>
  <c r="B49" i="6"/>
  <c r="C12" i="25"/>
  <c r="A18" i="18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3" i="2"/>
  <c r="F10" i="4"/>
  <c r="F13" i="4" s="1"/>
  <c r="G14" i="7"/>
  <c r="G41" i="7"/>
  <c r="G43" i="7"/>
  <c r="G47" i="7" s="1"/>
  <c r="D14" i="7"/>
  <c r="D41" i="7"/>
  <c r="D13" i="7"/>
  <c r="D43" i="7"/>
  <c r="D47" i="7" s="1"/>
  <c r="F14" i="7"/>
  <c r="F41" i="7"/>
  <c r="F43" i="7"/>
  <c r="F47" i="7" s="1"/>
  <c r="H42" i="7"/>
  <c r="H27" i="7"/>
  <c r="F34" i="18"/>
  <c r="G15" i="18"/>
  <c r="G16" i="4"/>
  <c r="O16" i="4"/>
  <c r="W16" i="4"/>
  <c r="AE16" i="4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J16" i="4"/>
  <c r="R16" i="4"/>
  <c r="Z16" i="4"/>
  <c r="C16" i="4"/>
  <c r="K16" i="4"/>
  <c r="S16" i="4"/>
  <c r="M16" i="4"/>
  <c r="AB16" i="4"/>
  <c r="E16" i="4"/>
  <c r="U16" i="4"/>
  <c r="F16" i="4"/>
  <c r="V16" i="4"/>
  <c r="Y16" i="4"/>
  <c r="L16" i="4"/>
  <c r="AG16" i="4"/>
  <c r="N16" i="4"/>
  <c r="Q16" i="4"/>
  <c r="AC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D16" i="4"/>
  <c r="T16" i="4"/>
  <c r="AA16" i="4"/>
  <c r="I16" i="4"/>
  <c r="D16" i="4"/>
  <c r="D34" i="2"/>
  <c r="E36" i="3"/>
  <c r="E38" i="3" s="1"/>
  <c r="D11" i="4" s="1"/>
  <c r="D13" i="4" s="1"/>
  <c r="E7" i="19"/>
  <c r="D7" i="4"/>
  <c r="C73" i="2" s="1"/>
  <c r="E7" i="7"/>
  <c r="D7" i="25"/>
  <c r="F8" i="3"/>
  <c r="C7" i="8"/>
  <c r="E41" i="7"/>
  <c r="E43" i="7"/>
  <c r="E47" i="7" s="1"/>
  <c r="E14" i="7"/>
  <c r="H6" i="19"/>
  <c r="H6" i="7"/>
  <c r="G6" i="25"/>
  <c r="I7" i="3"/>
  <c r="I21" i="3"/>
  <c r="F6" i="8"/>
  <c r="H35" i="3"/>
  <c r="H36" i="3" s="1"/>
  <c r="H38" i="3" s="1"/>
  <c r="G11" i="4" s="1"/>
  <c r="G6" i="4"/>
  <c r="G10" i="4" s="1"/>
  <c r="R8" i="19"/>
  <c r="P8" i="25"/>
  <c r="F7" i="19" l="1"/>
  <c r="F7" i="7"/>
  <c r="G8" i="3"/>
  <c r="E7" i="25"/>
  <c r="E7" i="4"/>
  <c r="D73" i="2" s="1"/>
  <c r="D7" i="8"/>
  <c r="I6" i="19"/>
  <c r="I6" i="7"/>
  <c r="H6" i="4"/>
  <c r="H10" i="4" s="1"/>
  <c r="I35" i="3"/>
  <c r="I36" i="3" s="1"/>
  <c r="I38" i="3" s="1"/>
  <c r="H11" i="4" s="1"/>
  <c r="H6" i="25"/>
  <c r="J7" i="3"/>
  <c r="J21" i="3" s="1"/>
  <c r="G6" i="8"/>
  <c r="A19" i="18"/>
  <c r="H14" i="7"/>
  <c r="H41" i="7"/>
  <c r="H43" i="7"/>
  <c r="H47" i="7" s="1"/>
  <c r="G13" i="4"/>
  <c r="G16" i="18"/>
  <c r="H16" i="18"/>
  <c r="I13" i="7"/>
  <c r="D42" i="7"/>
  <c r="D27" i="7"/>
  <c r="F28" i="7"/>
  <c r="F33" i="7" s="1"/>
  <c r="F18" i="7"/>
  <c r="E18" i="7"/>
  <c r="E28" i="7"/>
  <c r="E33" i="7" s="1"/>
  <c r="G18" i="7"/>
  <c r="G28" i="7"/>
  <c r="G33" i="7" s="1"/>
  <c r="S8" i="19"/>
  <c r="Q8" i="25"/>
  <c r="N29" i="2"/>
  <c r="O29" i="2" s="1"/>
  <c r="D18" i="7"/>
  <c r="D28" i="7"/>
  <c r="D33" i="7" s="1"/>
  <c r="I27" i="7" l="1"/>
  <c r="I42" i="7"/>
  <c r="I16" i="18"/>
  <c r="J6" i="19"/>
  <c r="J6" i="7"/>
  <c r="K21" i="3"/>
  <c r="I6" i="25"/>
  <c r="K7" i="3"/>
  <c r="H6" i="8"/>
  <c r="J35" i="3"/>
  <c r="J36" i="3" s="1"/>
  <c r="J38" i="3" s="1"/>
  <c r="I11" i="4" s="1"/>
  <c r="I6" i="4"/>
  <c r="I10" i="4" s="1"/>
  <c r="I13" i="4" s="1"/>
  <c r="G7" i="19"/>
  <c r="G7" i="7"/>
  <c r="F7" i="4"/>
  <c r="F7" i="25"/>
  <c r="E7" i="8"/>
  <c r="H8" i="3"/>
  <c r="A20" i="18"/>
  <c r="H13" i="4"/>
  <c r="H17" i="18"/>
  <c r="G17" i="18" s="1"/>
  <c r="T8" i="19"/>
  <c r="R8" i="25"/>
  <c r="H18" i="7"/>
  <c r="H28" i="7"/>
  <c r="H33" i="7" s="1"/>
  <c r="I14" i="7"/>
  <c r="I41" i="7"/>
  <c r="I43" i="7"/>
  <c r="I47" i="7" s="1"/>
  <c r="H18" i="18" l="1"/>
  <c r="A21" i="18"/>
  <c r="I18" i="7"/>
  <c r="I28" i="7"/>
  <c r="I33" i="7" s="1"/>
  <c r="J43" i="7"/>
  <c r="J47" i="7" s="1"/>
  <c r="J14" i="7"/>
  <c r="J41" i="7"/>
  <c r="U8" i="19"/>
  <c r="S8" i="25"/>
  <c r="H7" i="19"/>
  <c r="H7" i="7"/>
  <c r="G7" i="4"/>
  <c r="I8" i="3"/>
  <c r="F7" i="8"/>
  <c r="G7" i="25"/>
  <c r="I17" i="18"/>
  <c r="K6" i="19"/>
  <c r="K6" i="7"/>
  <c r="J6" i="4"/>
  <c r="J10" i="4" s="1"/>
  <c r="J13" i="4" s="1"/>
  <c r="L7" i="3"/>
  <c r="L21" i="3"/>
  <c r="I6" i="8"/>
  <c r="K35" i="3"/>
  <c r="K36" i="3" s="1"/>
  <c r="K38" i="3" s="1"/>
  <c r="J11" i="4" s="1"/>
  <c r="J6" i="25"/>
  <c r="I7" i="19" l="1"/>
  <c r="I7" i="7"/>
  <c r="H7" i="25"/>
  <c r="J8" i="3"/>
  <c r="H7" i="4"/>
  <c r="G7" i="8"/>
  <c r="V8" i="19"/>
  <c r="T8" i="25"/>
  <c r="H21" i="18"/>
  <c r="A22" i="18"/>
  <c r="L6" i="19"/>
  <c r="L6" i="7"/>
  <c r="K6" i="4"/>
  <c r="K10" i="4" s="1"/>
  <c r="K13" i="4" s="1"/>
  <c r="K6" i="25"/>
  <c r="M7" i="3"/>
  <c r="L35" i="3"/>
  <c r="L36" i="3" s="1"/>
  <c r="L38" i="3" s="1"/>
  <c r="K11" i="4" s="1"/>
  <c r="M21" i="3"/>
  <c r="J6" i="8"/>
  <c r="I18" i="18"/>
  <c r="K14" i="7"/>
  <c r="K43" i="7"/>
  <c r="K47" i="7" s="1"/>
  <c r="K41" i="7"/>
  <c r="J18" i="7"/>
  <c r="J28" i="7"/>
  <c r="J33" i="7" s="1"/>
  <c r="G18" i="18"/>
  <c r="K18" i="7" l="1"/>
  <c r="K28" i="7"/>
  <c r="K33" i="7" s="1"/>
  <c r="W8" i="19"/>
  <c r="U8" i="25"/>
  <c r="G19" i="18"/>
  <c r="H19" i="18"/>
  <c r="L14" i="7"/>
  <c r="L43" i="7"/>
  <c r="L47" i="7" s="1"/>
  <c r="L41" i="7"/>
  <c r="J7" i="19"/>
  <c r="J7" i="7"/>
  <c r="I7" i="4"/>
  <c r="I7" i="25"/>
  <c r="H7" i="8"/>
  <c r="K8" i="3"/>
  <c r="A23" i="18"/>
  <c r="H22" i="18"/>
  <c r="M6" i="19"/>
  <c r="M35" i="3"/>
  <c r="M36" i="3" s="1"/>
  <c r="M38" i="3" s="1"/>
  <c r="L11" i="4" s="1"/>
  <c r="M6" i="7"/>
  <c r="L6" i="4"/>
  <c r="L10" i="4" s="1"/>
  <c r="L13" i="4" s="1"/>
  <c r="L6" i="25"/>
  <c r="N7" i="3"/>
  <c r="N21" i="3" s="1"/>
  <c r="K6" i="8"/>
  <c r="K7" i="19" l="1"/>
  <c r="K7" i="7"/>
  <c r="J7" i="25"/>
  <c r="J7" i="4"/>
  <c r="I7" i="8"/>
  <c r="L8" i="3"/>
  <c r="L28" i="7"/>
  <c r="L33" i="7" s="1"/>
  <c r="L18" i="7"/>
  <c r="M41" i="7"/>
  <c r="M43" i="7"/>
  <c r="M47" i="7" s="1"/>
  <c r="M14" i="7"/>
  <c r="I19" i="18"/>
  <c r="X8" i="19"/>
  <c r="V8" i="25"/>
  <c r="H23" i="18"/>
  <c r="A24" i="18"/>
  <c r="H20" i="18"/>
  <c r="N6" i="7"/>
  <c r="N6" i="19"/>
  <c r="M6" i="4"/>
  <c r="M10" i="4" s="1"/>
  <c r="N35" i="3"/>
  <c r="N36" i="3" s="1"/>
  <c r="N38" i="3" s="1"/>
  <c r="M11" i="4" s="1"/>
  <c r="O7" i="3"/>
  <c r="O21" i="3" s="1"/>
  <c r="M6" i="25"/>
  <c r="L6" i="8"/>
  <c r="I20" i="18" l="1"/>
  <c r="I21" i="18" s="1"/>
  <c r="I22" i="18" s="1"/>
  <c r="I23" i="18" s="1"/>
  <c r="Y8" i="19"/>
  <c r="W8" i="25"/>
  <c r="L7" i="19"/>
  <c r="L7" i="7"/>
  <c r="K7" i="4"/>
  <c r="M8" i="3"/>
  <c r="J7" i="8"/>
  <c r="K7" i="25"/>
  <c r="M28" i="7"/>
  <c r="M33" i="7" s="1"/>
  <c r="M18" i="7"/>
  <c r="N41" i="7"/>
  <c r="N43" i="7"/>
  <c r="N47" i="7" s="1"/>
  <c r="N14" i="7"/>
  <c r="G20" i="18"/>
  <c r="G21" i="18" s="1"/>
  <c r="G22" i="18" s="1"/>
  <c r="G23" i="18" s="1"/>
  <c r="G24" i="18" s="1"/>
  <c r="O6" i="19"/>
  <c r="O6" i="7"/>
  <c r="N6" i="4"/>
  <c r="N10" i="4" s="1"/>
  <c r="P7" i="3"/>
  <c r="P21" i="3" s="1"/>
  <c r="N6" i="25"/>
  <c r="M6" i="8"/>
  <c r="O35" i="3"/>
  <c r="O36" i="3" s="1"/>
  <c r="O38" i="3" s="1"/>
  <c r="N11" i="4" s="1"/>
  <c r="M13" i="4"/>
  <c r="H24" i="18"/>
  <c r="I24" i="18"/>
  <c r="A25" i="18"/>
  <c r="M7" i="19" l="1"/>
  <c r="M7" i="7"/>
  <c r="L7" i="4"/>
  <c r="L7" i="25"/>
  <c r="N8" i="3"/>
  <c r="K7" i="8"/>
  <c r="N28" i="7"/>
  <c r="N33" i="7" s="1"/>
  <c r="N18" i="7"/>
  <c r="I25" i="18"/>
  <c r="A26" i="18"/>
  <c r="H25" i="18"/>
  <c r="P6" i="19"/>
  <c r="P6" i="7"/>
  <c r="O6" i="25"/>
  <c r="O6" i="4"/>
  <c r="O10" i="4" s="1"/>
  <c r="O13" i="4" s="1"/>
  <c r="P35" i="3"/>
  <c r="P36" i="3" s="1"/>
  <c r="P38" i="3" s="1"/>
  <c r="O11" i="4" s="1"/>
  <c r="N6" i="8"/>
  <c r="Q7" i="3"/>
  <c r="N13" i="4"/>
  <c r="O14" i="7"/>
  <c r="O43" i="7"/>
  <c r="O47" i="7" s="1"/>
  <c r="O41" i="7"/>
  <c r="Z8" i="19"/>
  <c r="X8" i="25"/>
  <c r="O18" i="7" l="1"/>
  <c r="O28" i="7"/>
  <c r="O33" i="7" s="1"/>
  <c r="P14" i="7"/>
  <c r="P41" i="7"/>
  <c r="P43" i="7"/>
  <c r="P47" i="7" s="1"/>
  <c r="N7" i="19"/>
  <c r="N7" i="7"/>
  <c r="M7" i="4"/>
  <c r="O8" i="3"/>
  <c r="M7" i="25"/>
  <c r="L7" i="8"/>
  <c r="Q6" i="19"/>
  <c r="Q6" i="7"/>
  <c r="Q35" i="3"/>
  <c r="Q36" i="3" s="1"/>
  <c r="Q38" i="3" s="1"/>
  <c r="P11" i="4" s="1"/>
  <c r="P6" i="4"/>
  <c r="P6" i="25"/>
  <c r="R7" i="3"/>
  <c r="R21" i="3" s="1"/>
  <c r="O6" i="8"/>
  <c r="A27" i="18"/>
  <c r="H26" i="18"/>
  <c r="I26" i="18"/>
  <c r="Q21" i="3"/>
  <c r="AA8" i="19"/>
  <c r="Y8" i="25"/>
  <c r="G25" i="18"/>
  <c r="Q14" i="7" l="1"/>
  <c r="Q41" i="7"/>
  <c r="Q43" i="7"/>
  <c r="Q47" i="7" s="1"/>
  <c r="G26" i="18"/>
  <c r="G27" i="18" s="1"/>
  <c r="H27" i="18"/>
  <c r="I27" i="18"/>
  <c r="A28" i="18"/>
  <c r="O7" i="19"/>
  <c r="O7" i="7"/>
  <c r="N7" i="4"/>
  <c r="P8" i="3"/>
  <c r="N7" i="25"/>
  <c r="M7" i="8"/>
  <c r="AB8" i="19"/>
  <c r="Z8" i="25"/>
  <c r="R6" i="19"/>
  <c r="R6" i="7"/>
  <c r="S21" i="3"/>
  <c r="Q6" i="4"/>
  <c r="Q10" i="4" s="1"/>
  <c r="Q13" i="4" s="1"/>
  <c r="Q6" i="25"/>
  <c r="P6" i="8"/>
  <c r="R35" i="3"/>
  <c r="R36" i="3" s="1"/>
  <c r="R38" i="3" s="1"/>
  <c r="Q11" i="4" s="1"/>
  <c r="S7" i="3"/>
  <c r="P18" i="7"/>
  <c r="P28" i="7"/>
  <c r="P33" i="7" s="1"/>
  <c r="P10" i="4"/>
  <c r="P13" i="4" s="1"/>
  <c r="H28" i="18" l="1"/>
  <c r="I28" i="18"/>
  <c r="A29" i="18"/>
  <c r="S6" i="19"/>
  <c r="S6" i="7"/>
  <c r="R6" i="4"/>
  <c r="R10" i="4" s="1"/>
  <c r="R13" i="4" s="1"/>
  <c r="T7" i="3"/>
  <c r="S35" i="3"/>
  <c r="S36" i="3" s="1"/>
  <c r="S38" i="3" s="1"/>
  <c r="R11" i="4" s="1"/>
  <c r="Q6" i="8"/>
  <c r="T21" i="3"/>
  <c r="R6" i="25"/>
  <c r="AC8" i="19"/>
  <c r="AA8" i="25"/>
  <c r="G28" i="18"/>
  <c r="Q18" i="7"/>
  <c r="Q28" i="7"/>
  <c r="Q33" i="7" s="1"/>
  <c r="P7" i="19"/>
  <c r="P7" i="7"/>
  <c r="O7" i="4"/>
  <c r="Q8" i="3"/>
  <c r="N7" i="8"/>
  <c r="O7" i="25"/>
  <c r="R14" i="7"/>
  <c r="R41" i="7"/>
  <c r="R43" i="7"/>
  <c r="R47" i="7" s="1"/>
  <c r="Q7" i="19" l="1"/>
  <c r="Q7" i="7"/>
  <c r="P7" i="25"/>
  <c r="R8" i="3"/>
  <c r="P7" i="4"/>
  <c r="O7" i="8"/>
  <c r="S14" i="7"/>
  <c r="S41" i="7"/>
  <c r="S43" i="7"/>
  <c r="S47" i="7" s="1"/>
  <c r="AD8" i="19"/>
  <c r="AB8" i="25"/>
  <c r="T6" i="19"/>
  <c r="T6" i="7"/>
  <c r="S6" i="4"/>
  <c r="S10" i="4" s="1"/>
  <c r="S6" i="25"/>
  <c r="U7" i="3"/>
  <c r="R6" i="8"/>
  <c r="T35" i="3"/>
  <c r="T36" i="3" s="1"/>
  <c r="T38" i="3" s="1"/>
  <c r="S11" i="4" s="1"/>
  <c r="H29" i="18"/>
  <c r="G29" i="18" s="1"/>
  <c r="I29" i="18"/>
  <c r="A30" i="18"/>
  <c r="R28" i="7"/>
  <c r="R33" i="7" s="1"/>
  <c r="R18" i="7"/>
  <c r="U6" i="19" l="1"/>
  <c r="U6" i="7"/>
  <c r="U35" i="3"/>
  <c r="U36" i="3" s="1"/>
  <c r="U38" i="3" s="1"/>
  <c r="T11" i="4" s="1"/>
  <c r="V7" i="3"/>
  <c r="T6" i="4"/>
  <c r="T10" i="4" s="1"/>
  <c r="T13" i="4" s="1"/>
  <c r="V21" i="3"/>
  <c r="T6" i="25"/>
  <c r="S6" i="8"/>
  <c r="S13" i="4"/>
  <c r="S18" i="7"/>
  <c r="S28" i="7"/>
  <c r="S33" i="7" s="1"/>
  <c r="AE8" i="19"/>
  <c r="AC8" i="25"/>
  <c r="H30" i="18"/>
  <c r="G30" i="18" s="1"/>
  <c r="A31" i="18"/>
  <c r="I30" i="18"/>
  <c r="T14" i="7"/>
  <c r="T41" i="7"/>
  <c r="T43" i="7"/>
  <c r="T47" i="7" s="1"/>
  <c r="R7" i="19"/>
  <c r="R7" i="7"/>
  <c r="Q7" i="4"/>
  <c r="Q7" i="25"/>
  <c r="S8" i="3"/>
  <c r="P7" i="8"/>
  <c r="U21" i="3"/>
  <c r="V6" i="19" l="1"/>
  <c r="V6" i="7"/>
  <c r="U6" i="4"/>
  <c r="U10" i="4" s="1"/>
  <c r="W21" i="3"/>
  <c r="V35" i="3"/>
  <c r="V36" i="3" s="1"/>
  <c r="V38" i="3" s="1"/>
  <c r="U11" i="4" s="1"/>
  <c r="U6" i="25"/>
  <c r="W7" i="3"/>
  <c r="T6" i="8"/>
  <c r="T18" i="7"/>
  <c r="T28" i="7"/>
  <c r="T33" i="7" s="1"/>
  <c r="S7" i="19"/>
  <c r="S7" i="7"/>
  <c r="R7" i="4"/>
  <c r="Q7" i="8"/>
  <c r="T8" i="3"/>
  <c r="R7" i="25"/>
  <c r="AF8" i="19"/>
  <c r="AD8" i="25"/>
  <c r="U41" i="7"/>
  <c r="U43" i="7"/>
  <c r="U47" i="7" s="1"/>
  <c r="U14" i="7"/>
  <c r="I31" i="18"/>
  <c r="A32" i="18"/>
  <c r="H31" i="18"/>
  <c r="G31" i="18" s="1"/>
  <c r="U13" i="4" l="1"/>
  <c r="AG8" i="19"/>
  <c r="AE8" i="25"/>
  <c r="V14" i="7"/>
  <c r="V41" i="7"/>
  <c r="V43" i="7"/>
  <c r="V47" i="7" s="1"/>
  <c r="I32" i="18"/>
  <c r="H32" i="18"/>
  <c r="G32" i="18" s="1"/>
  <c r="A33" i="18"/>
  <c r="T7" i="19"/>
  <c r="T7" i="7"/>
  <c r="S7" i="4"/>
  <c r="U8" i="3"/>
  <c r="R7" i="8"/>
  <c r="S7" i="25"/>
  <c r="W6" i="19"/>
  <c r="W6" i="7"/>
  <c r="V6" i="4"/>
  <c r="V10" i="4" s="1"/>
  <c r="X7" i="3"/>
  <c r="X21" i="3"/>
  <c r="U6" i="8"/>
  <c r="W35" i="3"/>
  <c r="W36" i="3" s="1"/>
  <c r="W38" i="3" s="1"/>
  <c r="V11" i="4" s="1"/>
  <c r="V6" i="25"/>
  <c r="U18" i="7"/>
  <c r="U28" i="7"/>
  <c r="U33" i="7" s="1"/>
  <c r="U7" i="19" l="1"/>
  <c r="U7" i="7"/>
  <c r="T7" i="4"/>
  <c r="T7" i="25"/>
  <c r="V8" i="3"/>
  <c r="S7" i="8"/>
  <c r="V18" i="7"/>
  <c r="V28" i="7"/>
  <c r="V33" i="7" s="1"/>
  <c r="H33" i="18"/>
  <c r="H34" i="18" s="1"/>
  <c r="C46" i="2" s="1"/>
  <c r="I33" i="18"/>
  <c r="X6" i="19"/>
  <c r="X6" i="7"/>
  <c r="W6" i="25"/>
  <c r="Y21" i="3"/>
  <c r="Y7" i="3"/>
  <c r="W6" i="4"/>
  <c r="W10" i="4" s="1"/>
  <c r="X35" i="3"/>
  <c r="X36" i="3" s="1"/>
  <c r="X38" i="3" s="1"/>
  <c r="W11" i="4" s="1"/>
  <c r="V6" i="8"/>
  <c r="V13" i="4"/>
  <c r="W14" i="7"/>
  <c r="W41" i="7"/>
  <c r="W43" i="7"/>
  <c r="W47" i="7" s="1"/>
  <c r="AH8" i="19"/>
  <c r="AG8" i="25" s="1"/>
  <c r="AF8" i="25"/>
  <c r="W28" i="7" l="1"/>
  <c r="W33" i="7" s="1"/>
  <c r="W18" i="7"/>
  <c r="V7" i="19"/>
  <c r="V7" i="7"/>
  <c r="U7" i="4"/>
  <c r="W8" i="3"/>
  <c r="T7" i="8"/>
  <c r="U7" i="25"/>
  <c r="W13" i="4"/>
  <c r="C50" i="2"/>
  <c r="D46" i="2"/>
  <c r="B16" i="7"/>
  <c r="X14" i="7"/>
  <c r="X41" i="7"/>
  <c r="X43" i="7"/>
  <c r="X47" i="7" s="1"/>
  <c r="Y6" i="19"/>
  <c r="Y6" i="7"/>
  <c r="X6" i="4"/>
  <c r="X10" i="4" s="1"/>
  <c r="Y35" i="3"/>
  <c r="Y36" i="3" s="1"/>
  <c r="Y38" i="3" s="1"/>
  <c r="X11" i="4" s="1"/>
  <c r="X6" i="25"/>
  <c r="Z7" i="3"/>
  <c r="W6" i="8"/>
  <c r="G33" i="18"/>
  <c r="Z6" i="19" l="1"/>
  <c r="Z6" i="7"/>
  <c r="Y6" i="4"/>
  <c r="AA7" i="3"/>
  <c r="Z35" i="3"/>
  <c r="Z36" i="3" s="1"/>
  <c r="Z38" i="3" s="1"/>
  <c r="Y11" i="4" s="1"/>
  <c r="Y6" i="25"/>
  <c r="X6" i="8"/>
  <c r="X18" i="7"/>
  <c r="X28" i="7"/>
  <c r="X33" i="7" s="1"/>
  <c r="W7" i="19"/>
  <c r="W7" i="7"/>
  <c r="V7" i="4"/>
  <c r="V7" i="25"/>
  <c r="X8" i="3"/>
  <c r="U7" i="8"/>
  <c r="X13" i="4"/>
  <c r="D50" i="2"/>
  <c r="C58" i="2"/>
  <c r="B17" i="7"/>
  <c r="Y14" i="7"/>
  <c r="Y41" i="7"/>
  <c r="Y45" i="7" s="1"/>
  <c r="Y43" i="7"/>
  <c r="Y47" i="7" s="1"/>
  <c r="K16" i="7"/>
  <c r="S16" i="7"/>
  <c r="AA16" i="7"/>
  <c r="B19" i="7"/>
  <c r="D16" i="7"/>
  <c r="L16" i="7"/>
  <c r="T16" i="7"/>
  <c r="H16" i="7"/>
  <c r="P16" i="7"/>
  <c r="X16" i="7"/>
  <c r="AF16" i="7"/>
  <c r="I16" i="7"/>
  <c r="Q16" i="7"/>
  <c r="Y16" i="7"/>
  <c r="AG16" i="7"/>
  <c r="F16" i="7"/>
  <c r="V16" i="7"/>
  <c r="G16" i="7"/>
  <c r="W16" i="7"/>
  <c r="O16" i="7"/>
  <c r="AD16" i="7"/>
  <c r="R16" i="7"/>
  <c r="AE16" i="7"/>
  <c r="AC16" i="7"/>
  <c r="B31" i="7"/>
  <c r="E16" i="7"/>
  <c r="AH16" i="7"/>
  <c r="J16" i="7"/>
  <c r="M16" i="7"/>
  <c r="N16" i="7"/>
  <c r="U16" i="7"/>
  <c r="B45" i="7"/>
  <c r="Z16" i="7"/>
  <c r="AB16" i="7"/>
  <c r="Z21" i="3"/>
  <c r="X45" i="7"/>
  <c r="O19" i="7" l="1"/>
  <c r="B48" i="7"/>
  <c r="G45" i="7"/>
  <c r="F45" i="7"/>
  <c r="D45" i="7"/>
  <c r="E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T19" i="7"/>
  <c r="X7" i="19"/>
  <c r="X7" i="7"/>
  <c r="W7" i="4"/>
  <c r="Y8" i="3"/>
  <c r="V7" i="8"/>
  <c r="W7" i="25"/>
  <c r="N19" i="7"/>
  <c r="Y19" i="7"/>
  <c r="AA6" i="7"/>
  <c r="AA6" i="19"/>
  <c r="Z6" i="4"/>
  <c r="AB7" i="3"/>
  <c r="Y6" i="8"/>
  <c r="AA35" i="3"/>
  <c r="AA36" i="3" s="1"/>
  <c r="AA38" i="3" s="1"/>
  <c r="Z11" i="4" s="1"/>
  <c r="AB21" i="3"/>
  <c r="Z6" i="25"/>
  <c r="B21" i="7"/>
  <c r="K17" i="7"/>
  <c r="K19" i="7" s="1"/>
  <c r="S17" i="7"/>
  <c r="S19" i="7" s="1"/>
  <c r="AA17" i="7"/>
  <c r="H17" i="7"/>
  <c r="H19" i="7" s="1"/>
  <c r="P17" i="7"/>
  <c r="X17" i="7"/>
  <c r="AF17" i="7"/>
  <c r="I17" i="7"/>
  <c r="I19" i="7" s="1"/>
  <c r="Q17" i="7"/>
  <c r="Q19" i="7" s="1"/>
  <c r="Y17" i="7"/>
  <c r="AG17" i="7"/>
  <c r="D17" i="7"/>
  <c r="D19" i="7" s="1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O17" i="7"/>
  <c r="AC17" i="7"/>
  <c r="E17" i="7"/>
  <c r="R17" i="7"/>
  <c r="R19" i="7" s="1"/>
  <c r="AD17" i="7"/>
  <c r="L17" i="7"/>
  <c r="L19" i="7" s="1"/>
  <c r="W17" i="7"/>
  <c r="M17" i="7"/>
  <c r="M19" i="7" s="1"/>
  <c r="Z17" i="7"/>
  <c r="V17" i="7"/>
  <c r="B32" i="7"/>
  <c r="B46" i="7"/>
  <c r="AB17" i="7"/>
  <c r="F17" i="7"/>
  <c r="F19" i="7" s="1"/>
  <c r="AE17" i="7"/>
  <c r="G17" i="7"/>
  <c r="G19" i="7" s="1"/>
  <c r="AH17" i="7"/>
  <c r="J17" i="7"/>
  <c r="N17" i="7"/>
  <c r="T17" i="7"/>
  <c r="U17" i="7"/>
  <c r="U19" i="7" s="1"/>
  <c r="W19" i="7"/>
  <c r="B28" i="2"/>
  <c r="C11" i="2"/>
  <c r="B23" i="2"/>
  <c r="B24" i="2"/>
  <c r="B37" i="2"/>
  <c r="B40" i="2"/>
  <c r="B44" i="2"/>
  <c r="B55" i="2"/>
  <c r="D58" i="2"/>
  <c r="C62" i="2" s="1"/>
  <c r="B22" i="2"/>
  <c r="B27" i="2"/>
  <c r="B30" i="2"/>
  <c r="B32" i="2"/>
  <c r="B38" i="2"/>
  <c r="B41" i="2"/>
  <c r="B45" i="2"/>
  <c r="B25" i="2"/>
  <c r="B54" i="2"/>
  <c r="C18" i="19"/>
  <c r="C20" i="19" s="1"/>
  <c r="C25" i="19" s="1"/>
  <c r="B33" i="2"/>
  <c r="B43" i="2"/>
  <c r="B47" i="2"/>
  <c r="B31" i="2"/>
  <c r="B42" i="2"/>
  <c r="B53" i="2"/>
  <c r="B56" i="2" s="1"/>
  <c r="B49" i="2"/>
  <c r="B39" i="2"/>
  <c r="B26" i="2"/>
  <c r="B29" i="2"/>
  <c r="AG51" i="25"/>
  <c r="B20" i="2"/>
  <c r="B21" i="2"/>
  <c r="B48" i="2"/>
  <c r="B46" i="2"/>
  <c r="AA21" i="3"/>
  <c r="J19" i="7"/>
  <c r="Y10" i="4"/>
  <c r="Y13" i="4" s="1"/>
  <c r="E19" i="7"/>
  <c r="X19" i="7"/>
  <c r="Z43" i="7"/>
  <c r="Z47" i="7" s="1"/>
  <c r="Z41" i="7"/>
  <c r="Z45" i="7" s="1"/>
  <c r="Z14" i="7"/>
  <c r="Y18" i="7"/>
  <c r="Y28" i="7"/>
  <c r="Y33" i="7" s="1"/>
  <c r="I31" i="7"/>
  <c r="Q31" i="7"/>
  <c r="Y31" i="7"/>
  <c r="AG31" i="7"/>
  <c r="J31" i="7"/>
  <c r="R31" i="7"/>
  <c r="Z31" i="7"/>
  <c r="AH31" i="7"/>
  <c r="F31" i="7"/>
  <c r="N31" i="7"/>
  <c r="V31" i="7"/>
  <c r="AD31" i="7"/>
  <c r="G31" i="7"/>
  <c r="O31" i="7"/>
  <c r="W31" i="7"/>
  <c r="AE31" i="7"/>
  <c r="S31" i="7"/>
  <c r="B34" i="7"/>
  <c r="D31" i="7"/>
  <c r="T31" i="7"/>
  <c r="E31" i="7"/>
  <c r="U31" i="7"/>
  <c r="H31" i="7"/>
  <c r="X31" i="7"/>
  <c r="K31" i="7"/>
  <c r="AA31" i="7"/>
  <c r="L31" i="7"/>
  <c r="AB31" i="7"/>
  <c r="M31" i="7"/>
  <c r="AC31" i="7"/>
  <c r="P31" i="7"/>
  <c r="AF31" i="7"/>
  <c r="V19" i="7"/>
  <c r="P19" i="7"/>
  <c r="X34" i="7" l="1"/>
  <c r="V12" i="8" s="1"/>
  <c r="B34" i="2"/>
  <c r="T34" i="7"/>
  <c r="R12" i="8" s="1"/>
  <c r="V34" i="7"/>
  <c r="T12" i="8" s="1"/>
  <c r="Y34" i="7"/>
  <c r="W12" i="8" s="1"/>
  <c r="C14" i="2"/>
  <c r="C41" i="19"/>
  <c r="C43" i="19" s="1"/>
  <c r="C45" i="19" s="1"/>
  <c r="K41" i="19"/>
  <c r="S41" i="19"/>
  <c r="AA41" i="19"/>
  <c r="H47" i="2"/>
  <c r="D11" i="2"/>
  <c r="F41" i="19"/>
  <c r="O41" i="19"/>
  <c r="X41" i="19"/>
  <c r="AG41" i="19"/>
  <c r="H41" i="19"/>
  <c r="Q41" i="19"/>
  <c r="Z41" i="19"/>
  <c r="H48" i="2"/>
  <c r="L41" i="19"/>
  <c r="U41" i="19"/>
  <c r="AD41" i="19"/>
  <c r="G41" i="19"/>
  <c r="V41" i="19"/>
  <c r="J41" i="19"/>
  <c r="Y41" i="19"/>
  <c r="P41" i="19"/>
  <c r="AE41" i="19"/>
  <c r="I41" i="19"/>
  <c r="AF41" i="19"/>
  <c r="M41" i="19"/>
  <c r="AH41" i="19"/>
  <c r="T41" i="19"/>
  <c r="D41" i="19"/>
  <c r="AB41" i="19"/>
  <c r="R41" i="19"/>
  <c r="W41" i="19"/>
  <c r="AC41" i="19"/>
  <c r="E41" i="19"/>
  <c r="N41" i="19"/>
  <c r="B25" i="25"/>
  <c r="B36" i="25"/>
  <c r="B38" i="25" s="1"/>
  <c r="B49" i="25"/>
  <c r="B52" i="25" s="1"/>
  <c r="B56" i="25"/>
  <c r="B59" i="25" s="1"/>
  <c r="B42" i="25"/>
  <c r="B45" i="25" s="1"/>
  <c r="U48" i="7"/>
  <c r="T34" i="4" s="1"/>
  <c r="S11" i="8" s="1"/>
  <c r="B36" i="7"/>
  <c r="G48" i="7"/>
  <c r="F34" i="4" s="1"/>
  <c r="E11" i="8" s="1"/>
  <c r="S34" i="7"/>
  <c r="Q12" i="8" s="1"/>
  <c r="F34" i="7"/>
  <c r="D12" i="8" s="1"/>
  <c r="E18" i="19"/>
  <c r="M18" i="19"/>
  <c r="U18" i="19"/>
  <c r="AC18" i="19"/>
  <c r="H18" i="19"/>
  <c r="P18" i="19"/>
  <c r="X18" i="19"/>
  <c r="AF18" i="19"/>
  <c r="J18" i="19"/>
  <c r="R18" i="19"/>
  <c r="Z18" i="19"/>
  <c r="AH18" i="19"/>
  <c r="L18" i="19"/>
  <c r="Y18" i="19"/>
  <c r="O18" i="19"/>
  <c r="AB18" i="19"/>
  <c r="G18" i="19"/>
  <c r="T18" i="19"/>
  <c r="AG18" i="19"/>
  <c r="K18" i="19"/>
  <c r="AE18" i="19"/>
  <c r="Q18" i="19"/>
  <c r="D18" i="19"/>
  <c r="W18" i="19"/>
  <c r="AD18" i="19"/>
  <c r="N18" i="19"/>
  <c r="V18" i="19"/>
  <c r="I18" i="19"/>
  <c r="S18" i="19"/>
  <c r="AA18" i="19"/>
  <c r="F18" i="19"/>
  <c r="B50" i="7"/>
  <c r="Q34" i="7"/>
  <c r="O12" i="8" s="1"/>
  <c r="Z28" i="7"/>
  <c r="Z33" i="7" s="1"/>
  <c r="Z18" i="7"/>
  <c r="Z19" i="7" s="1"/>
  <c r="Z21" i="7" s="1"/>
  <c r="R48" i="7"/>
  <c r="Q34" i="4" s="1"/>
  <c r="P11" i="8" s="1"/>
  <c r="AB6" i="19"/>
  <c r="AB6" i="7"/>
  <c r="AA6" i="4"/>
  <c r="AA10" i="4" s="1"/>
  <c r="AA13" i="4" s="1"/>
  <c r="AA6" i="25"/>
  <c r="AC7" i="3"/>
  <c r="AB35" i="3"/>
  <c r="AB36" i="3" s="1"/>
  <c r="AB38" i="3" s="1"/>
  <c r="AA11" i="4" s="1"/>
  <c r="Z6" i="8"/>
  <c r="U34" i="7"/>
  <c r="S12" i="8" s="1"/>
  <c r="O34" i="7"/>
  <c r="M12" i="8" s="1"/>
  <c r="B50" i="2"/>
  <c r="P46" i="7"/>
  <c r="P48" i="7" s="1"/>
  <c r="O34" i="4" s="1"/>
  <c r="N11" i="8" s="1"/>
  <c r="X46" i="7"/>
  <c r="X48" i="7" s="1"/>
  <c r="W34" i="4" s="1"/>
  <c r="V11" i="8" s="1"/>
  <c r="AF46" i="7"/>
  <c r="Q46" i="7"/>
  <c r="Q48" i="7" s="1"/>
  <c r="P34" i="4" s="1"/>
  <c r="O11" i="8" s="1"/>
  <c r="Y46" i="7"/>
  <c r="Y48" i="7" s="1"/>
  <c r="X34" i="4" s="1"/>
  <c r="W11" i="8" s="1"/>
  <c r="AG46" i="7"/>
  <c r="N46" i="7"/>
  <c r="N48" i="7" s="1"/>
  <c r="M34" i="4" s="1"/>
  <c r="L11" i="8" s="1"/>
  <c r="V46" i="7"/>
  <c r="V48" i="7" s="1"/>
  <c r="U34" i="4" s="1"/>
  <c r="T11" i="8" s="1"/>
  <c r="AD46" i="7"/>
  <c r="O46" i="7"/>
  <c r="AC46" i="7"/>
  <c r="E46" i="7"/>
  <c r="S46" i="7"/>
  <c r="S48" i="7" s="1"/>
  <c r="R34" i="4" s="1"/>
  <c r="Q11" i="8" s="1"/>
  <c r="AE46" i="7"/>
  <c r="G46" i="7"/>
  <c r="T46" i="7"/>
  <c r="T48" i="7" s="1"/>
  <c r="S34" i="4" s="1"/>
  <c r="R11" i="8" s="1"/>
  <c r="AH46" i="7"/>
  <c r="J46" i="7"/>
  <c r="U46" i="7"/>
  <c r="K46" i="7"/>
  <c r="K48" i="7" s="1"/>
  <c r="J34" i="4" s="1"/>
  <c r="I11" i="8" s="1"/>
  <c r="L46" i="7"/>
  <c r="L48" i="7" s="1"/>
  <c r="K34" i="4" s="1"/>
  <c r="J11" i="8" s="1"/>
  <c r="M46" i="7"/>
  <c r="M48" i="7" s="1"/>
  <c r="L34" i="4" s="1"/>
  <c r="K11" i="8" s="1"/>
  <c r="AA46" i="7"/>
  <c r="Z46" i="7"/>
  <c r="AB46" i="7"/>
  <c r="R46" i="7"/>
  <c r="W46" i="7"/>
  <c r="F46" i="7"/>
  <c r="F48" i="7" s="1"/>
  <c r="E34" i="4" s="1"/>
  <c r="D11" i="8" s="1"/>
  <c r="H46" i="7"/>
  <c r="H48" i="7" s="1"/>
  <c r="G34" i="4" s="1"/>
  <c r="F11" i="8" s="1"/>
  <c r="D46" i="7"/>
  <c r="D48" i="7" s="1"/>
  <c r="I46" i="7"/>
  <c r="Z10" i="4"/>
  <c r="Z13" i="4" s="1"/>
  <c r="Y7" i="19"/>
  <c r="Y7" i="7"/>
  <c r="X7" i="25"/>
  <c r="X7" i="4"/>
  <c r="Z8" i="3"/>
  <c r="W7" i="8"/>
  <c r="N34" i="7"/>
  <c r="L12" i="8" s="1"/>
  <c r="Z48" i="7"/>
  <c r="Y34" i="4" s="1"/>
  <c r="X11" i="8" s="1"/>
  <c r="I48" i="7"/>
  <c r="H34" i="4" s="1"/>
  <c r="G11" i="8" s="1"/>
  <c r="Q32" i="7"/>
  <c r="Y32" i="7"/>
  <c r="AG32" i="7"/>
  <c r="J32" i="7"/>
  <c r="J34" i="7" s="1"/>
  <c r="H12" i="8" s="1"/>
  <c r="R32" i="7"/>
  <c r="R34" i="7" s="1"/>
  <c r="P12" i="8" s="1"/>
  <c r="Z32" i="7"/>
  <c r="Z34" i="7" s="1"/>
  <c r="X12" i="8" s="1"/>
  <c r="AH32" i="7"/>
  <c r="N32" i="7"/>
  <c r="V32" i="7"/>
  <c r="AD32" i="7"/>
  <c r="G32" i="7"/>
  <c r="G34" i="7" s="1"/>
  <c r="E12" i="8" s="1"/>
  <c r="O32" i="7"/>
  <c r="W32" i="7"/>
  <c r="W34" i="7" s="1"/>
  <c r="U12" i="8" s="1"/>
  <c r="AE32" i="7"/>
  <c r="S32" i="7"/>
  <c r="T32" i="7"/>
  <c r="U32" i="7"/>
  <c r="X32" i="7"/>
  <c r="K32" i="7"/>
  <c r="K34" i="7" s="1"/>
  <c r="I12" i="8" s="1"/>
  <c r="AA32" i="7"/>
  <c r="M32" i="7"/>
  <c r="M34" i="7" s="1"/>
  <c r="K12" i="8" s="1"/>
  <c r="AC32" i="7"/>
  <c r="P32" i="7"/>
  <c r="P34" i="7" s="1"/>
  <c r="N12" i="8" s="1"/>
  <c r="AF32" i="7"/>
  <c r="AB32" i="7"/>
  <c r="L32" i="7"/>
  <c r="L34" i="7" s="1"/>
  <c r="J12" i="8" s="1"/>
  <c r="E32" i="7"/>
  <c r="E34" i="7" s="1"/>
  <c r="C12" i="8" s="1"/>
  <c r="F32" i="7"/>
  <c r="H32" i="7"/>
  <c r="H34" i="7" s="1"/>
  <c r="F12" i="8" s="1"/>
  <c r="D32" i="7"/>
  <c r="D34" i="7" s="1"/>
  <c r="I32" i="7"/>
  <c r="I34" i="7" s="1"/>
  <c r="G12" i="8" s="1"/>
  <c r="W48" i="7"/>
  <c r="V34" i="4" s="1"/>
  <c r="U11" i="8" s="1"/>
  <c r="O48" i="7"/>
  <c r="N34" i="4" s="1"/>
  <c r="M11" i="8" s="1"/>
  <c r="E48" i="7"/>
  <c r="D34" i="4" s="1"/>
  <c r="C11" i="8" s="1"/>
  <c r="B58" i="2"/>
  <c r="J48" i="7"/>
  <c r="I34" i="4" s="1"/>
  <c r="H11" i="8" s="1"/>
  <c r="C47" i="19"/>
  <c r="AA14" i="7"/>
  <c r="AA43" i="7"/>
  <c r="AA47" i="7" s="1"/>
  <c r="AA41" i="7"/>
  <c r="AA45" i="7" s="1"/>
  <c r="AA48" i="7" s="1"/>
  <c r="Z34" i="4" s="1"/>
  <c r="Y11" i="8" s="1"/>
  <c r="B12" i="8" l="1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F19" i="19"/>
  <c r="I19" i="19"/>
  <c r="I20" i="19" s="1"/>
  <c r="I25" i="19" s="1"/>
  <c r="Q19" i="19"/>
  <c r="Y19" i="19"/>
  <c r="K19" i="19"/>
  <c r="G19" i="19"/>
  <c r="G20" i="19" s="1"/>
  <c r="G25" i="19" s="1"/>
  <c r="R19" i="19"/>
  <c r="R20" i="19" s="1"/>
  <c r="R25" i="19" s="1"/>
  <c r="AA19" i="19"/>
  <c r="J19" i="19"/>
  <c r="J20" i="19" s="1"/>
  <c r="J25" i="19" s="1"/>
  <c r="T19" i="19"/>
  <c r="N19" i="19"/>
  <c r="W19" i="19"/>
  <c r="S19" i="19"/>
  <c r="S20" i="19" s="1"/>
  <c r="S25" i="19" s="1"/>
  <c r="E19" i="19"/>
  <c r="E20" i="19" s="1"/>
  <c r="E25" i="19" s="1"/>
  <c r="V19" i="19"/>
  <c r="M19" i="19"/>
  <c r="Z19" i="19"/>
  <c r="D19" i="19"/>
  <c r="O19" i="19"/>
  <c r="O20" i="19" s="1"/>
  <c r="O25" i="19" s="1"/>
  <c r="U19" i="19"/>
  <c r="U20" i="19" s="1"/>
  <c r="U25" i="19" s="1"/>
  <c r="H19" i="19"/>
  <c r="L19" i="19"/>
  <c r="P19" i="19"/>
  <c r="X19" i="19"/>
  <c r="X20" i="19" s="1"/>
  <c r="X25" i="19" s="1"/>
  <c r="C34" i="4"/>
  <c r="B11" i="8" s="1"/>
  <c r="D50" i="7"/>
  <c r="L20" i="19"/>
  <c r="L25" i="19" s="1"/>
  <c r="AC6" i="19"/>
  <c r="AC6" i="7"/>
  <c r="AC35" i="3"/>
  <c r="AC36" i="3" s="1"/>
  <c r="AC38" i="3" s="1"/>
  <c r="AB11" i="4" s="1"/>
  <c r="AB6" i="25"/>
  <c r="AA6" i="8"/>
  <c r="AD7" i="3"/>
  <c r="AD21" i="3" s="1"/>
  <c r="AB6" i="4"/>
  <c r="AB10" i="4" s="1"/>
  <c r="AB13" i="4" s="1"/>
  <c r="K20" i="19"/>
  <c r="K25" i="19" s="1"/>
  <c r="D14" i="2"/>
  <c r="B14" i="2"/>
  <c r="B12" i="2"/>
  <c r="H20" i="19"/>
  <c r="H25" i="19" s="1"/>
  <c r="AA18" i="7"/>
  <c r="AA19" i="7" s="1"/>
  <c r="AA21" i="7" s="1"/>
  <c r="AA28" i="7"/>
  <c r="AA33" i="7" s="1"/>
  <c r="AA34" i="7" s="1"/>
  <c r="Y12" i="8" s="1"/>
  <c r="V20" i="19"/>
  <c r="V25" i="19" s="1"/>
  <c r="Z20" i="19"/>
  <c r="Z25" i="19" s="1"/>
  <c r="B11" i="2"/>
  <c r="Z7" i="19"/>
  <c r="Z7" i="7"/>
  <c r="Y7" i="4"/>
  <c r="Y7" i="25"/>
  <c r="X7" i="8"/>
  <c r="AA8" i="3"/>
  <c r="W20" i="19"/>
  <c r="W25" i="19" s="1"/>
  <c r="N20" i="19"/>
  <c r="N25" i="19" s="1"/>
  <c r="T20" i="19"/>
  <c r="T25" i="19" s="1"/>
  <c r="M20" i="19"/>
  <c r="M25" i="19" s="1"/>
  <c r="C26" i="25"/>
  <c r="B29" i="25"/>
  <c r="C25" i="25" s="1"/>
  <c r="AC21" i="3"/>
  <c r="F20" i="19"/>
  <c r="F25" i="19" s="1"/>
  <c r="D20" i="19"/>
  <c r="D25" i="19" s="1"/>
  <c r="AB14" i="7"/>
  <c r="AB43" i="7"/>
  <c r="AB47" i="7" s="1"/>
  <c r="AB41" i="7"/>
  <c r="AB45" i="7" s="1"/>
  <c r="AB48" i="7" s="1"/>
  <c r="AA34" i="4" s="1"/>
  <c r="Z11" i="8" s="1"/>
  <c r="AA20" i="19"/>
  <c r="AA25" i="19" s="1"/>
  <c r="Q20" i="19"/>
  <c r="Q25" i="19" s="1"/>
  <c r="Y20" i="19"/>
  <c r="Y25" i="19" s="1"/>
  <c r="P20" i="19"/>
  <c r="P25" i="19" s="1"/>
  <c r="AB21" i="7" l="1"/>
  <c r="AB18" i="7"/>
  <c r="AB19" i="7" s="1"/>
  <c r="AB28" i="7"/>
  <c r="AB33" i="7" s="1"/>
  <c r="AB34" i="7" s="1"/>
  <c r="Z12" i="8" s="1"/>
  <c r="AD6" i="7"/>
  <c r="AC6" i="4"/>
  <c r="AC10" i="4" s="1"/>
  <c r="AD6" i="19"/>
  <c r="AD35" i="3"/>
  <c r="AD36" i="3" s="1"/>
  <c r="AD38" i="3" s="1"/>
  <c r="AC11" i="4" s="1"/>
  <c r="AB6" i="8"/>
  <c r="AE7" i="3"/>
  <c r="AC6" i="25"/>
  <c r="E50" i="7"/>
  <c r="C24" i="4"/>
  <c r="AA7" i="19"/>
  <c r="AA7" i="7"/>
  <c r="AB8" i="3"/>
  <c r="Z7" i="25"/>
  <c r="Y7" i="8"/>
  <c r="Z7" i="4"/>
  <c r="AB19" i="19"/>
  <c r="AB20" i="19" s="1"/>
  <c r="AB25" i="19" s="1"/>
  <c r="AA36" i="7"/>
  <c r="AB36" i="7" s="1"/>
  <c r="AC41" i="7"/>
  <c r="AC45" i="7" s="1"/>
  <c r="AC43" i="7"/>
  <c r="AC47" i="7" s="1"/>
  <c r="AC14" i="7"/>
  <c r="AE6" i="19" l="1"/>
  <c r="AE6" i="7"/>
  <c r="AD6" i="4"/>
  <c r="AF7" i="3"/>
  <c r="AF21" i="3" s="1"/>
  <c r="AC6" i="8"/>
  <c r="AD6" i="25"/>
  <c r="AE35" i="3"/>
  <c r="AE36" i="3" s="1"/>
  <c r="AE38" i="3" s="1"/>
  <c r="AD11" i="4" s="1"/>
  <c r="AC21" i="7"/>
  <c r="AC48" i="7"/>
  <c r="AB7" i="19"/>
  <c r="AB7" i="7"/>
  <c r="AA7" i="4"/>
  <c r="AC8" i="3"/>
  <c r="Z7" i="8"/>
  <c r="AA7" i="25"/>
  <c r="AC36" i="7"/>
  <c r="AC18" i="7"/>
  <c r="AC19" i="7" s="1"/>
  <c r="AC28" i="7"/>
  <c r="AC33" i="7" s="1"/>
  <c r="AC34" i="7" s="1"/>
  <c r="AA12" i="8" s="1"/>
  <c r="AE21" i="3"/>
  <c r="N31" i="2"/>
  <c r="O31" i="2" s="1"/>
  <c r="C30" i="4"/>
  <c r="C32" i="4" s="1"/>
  <c r="AC13" i="4"/>
  <c r="F50" i="7"/>
  <c r="D24" i="4"/>
  <c r="D30" i="4" s="1"/>
  <c r="D32" i="4" s="1"/>
  <c r="AD41" i="7"/>
  <c r="AD45" i="7" s="1"/>
  <c r="AD48" i="7" s="1"/>
  <c r="AC34" i="4" s="1"/>
  <c r="AB11" i="8" s="1"/>
  <c r="AD43" i="7"/>
  <c r="AD47" i="7" s="1"/>
  <c r="AD14" i="7"/>
  <c r="G50" i="7" l="1"/>
  <c r="E24" i="4"/>
  <c r="E30" i="4" s="1"/>
  <c r="E32" i="4" s="1"/>
  <c r="AD36" i="7"/>
  <c r="AD21" i="7"/>
  <c r="B74" i="2"/>
  <c r="B38" i="6"/>
  <c r="C36" i="4"/>
  <c r="C11" i="25"/>
  <c r="C13" i="25" s="1"/>
  <c r="AC7" i="19"/>
  <c r="AC7" i="7"/>
  <c r="AB7" i="4"/>
  <c r="AB7" i="25"/>
  <c r="AD8" i="3"/>
  <c r="AA7" i="8"/>
  <c r="AD28" i="7"/>
  <c r="AD33" i="7" s="1"/>
  <c r="AD34" i="7" s="1"/>
  <c r="AB12" i="8" s="1"/>
  <c r="AD18" i="7"/>
  <c r="AD19" i="7" s="1"/>
  <c r="AD10" i="4"/>
  <c r="AD13" i="4" s="1"/>
  <c r="AF6" i="19"/>
  <c r="AF6" i="7"/>
  <c r="AE6" i="25"/>
  <c r="AF35" i="3"/>
  <c r="AF36" i="3" s="1"/>
  <c r="AF38" i="3" s="1"/>
  <c r="AE11" i="4" s="1"/>
  <c r="AE6" i="4"/>
  <c r="AE10" i="4" s="1"/>
  <c r="AE13" i="4" s="1"/>
  <c r="AD6" i="8"/>
  <c r="AG7" i="3"/>
  <c r="C74" i="2"/>
  <c r="D36" i="4"/>
  <c r="D11" i="25"/>
  <c r="C38" i="6"/>
  <c r="C29" i="6"/>
  <c r="C11" i="6" s="1"/>
  <c r="C13" i="6" s="1"/>
  <c r="AB34" i="4"/>
  <c r="AA11" i="8" s="1"/>
  <c r="AD19" i="19"/>
  <c r="AD20" i="19" s="1"/>
  <c r="AD25" i="19" s="1"/>
  <c r="AC19" i="19"/>
  <c r="AC20" i="19" s="1"/>
  <c r="AC25" i="19" s="1"/>
  <c r="AE14" i="7"/>
  <c r="AE43" i="7"/>
  <c r="AE47" i="7" s="1"/>
  <c r="AE41" i="7"/>
  <c r="AE45" i="7" s="1"/>
  <c r="AD7" i="19" l="1"/>
  <c r="AD7" i="7"/>
  <c r="AC7" i="25"/>
  <c r="AB7" i="8"/>
  <c r="AC7" i="4"/>
  <c r="AE8" i="3"/>
  <c r="AF14" i="7"/>
  <c r="AF41" i="7"/>
  <c r="AF45" i="7" s="1"/>
  <c r="AF43" i="7"/>
  <c r="AF47" i="7" s="1"/>
  <c r="AE21" i="7"/>
  <c r="AE28" i="7"/>
  <c r="AE33" i="7" s="1"/>
  <c r="AE34" i="7" s="1"/>
  <c r="AC12" i="8" s="1"/>
  <c r="AE18" i="7"/>
  <c r="AE19" i="7" s="1"/>
  <c r="B11" i="6"/>
  <c r="B13" i="6" s="1"/>
  <c r="B37" i="6" s="1"/>
  <c r="AG6" i="19"/>
  <c r="AG6" i="7"/>
  <c r="AG35" i="3"/>
  <c r="AG36" i="3" s="1"/>
  <c r="AG38" i="3" s="1"/>
  <c r="AF11" i="4" s="1"/>
  <c r="AF6" i="4"/>
  <c r="AF10" i="4" s="1"/>
  <c r="AF6" i="25"/>
  <c r="AH7" i="3"/>
  <c r="AH21" i="3"/>
  <c r="AE6" i="8"/>
  <c r="D74" i="2"/>
  <c r="E11" i="25"/>
  <c r="E36" i="4"/>
  <c r="D38" i="6"/>
  <c r="D29" i="6"/>
  <c r="D11" i="6" s="1"/>
  <c r="D13" i="6" s="1"/>
  <c r="AE48" i="7"/>
  <c r="AG21" i="3"/>
  <c r="B76" i="2"/>
  <c r="F24" i="4"/>
  <c r="F30" i="4" s="1"/>
  <c r="F32" i="4" s="1"/>
  <c r="H50" i="7"/>
  <c r="AH6" i="19" l="1"/>
  <c r="AH6" i="7"/>
  <c r="AG6" i="4"/>
  <c r="AG10" i="4" s="1"/>
  <c r="AH35" i="3"/>
  <c r="AH36" i="3" s="1"/>
  <c r="AH38" i="3" s="1"/>
  <c r="AG11" i="4" s="1"/>
  <c r="AG6" i="25"/>
  <c r="AF6" i="8"/>
  <c r="F11" i="25"/>
  <c r="F36" i="4"/>
  <c r="E29" i="6"/>
  <c r="E11" i="6" s="1"/>
  <c r="E13" i="6" s="1"/>
  <c r="E38" i="6"/>
  <c r="AG14" i="7"/>
  <c r="AG41" i="7"/>
  <c r="AG45" i="7" s="1"/>
  <c r="AG48" i="7" s="1"/>
  <c r="AF34" i="4" s="1"/>
  <c r="AE11" i="8" s="1"/>
  <c r="AG43" i="7"/>
  <c r="AG47" i="7" s="1"/>
  <c r="AE7" i="19"/>
  <c r="AE7" i="7"/>
  <c r="AD7" i="4"/>
  <c r="AF8" i="3"/>
  <c r="AC7" i="8"/>
  <c r="AD7" i="25"/>
  <c r="AE36" i="7"/>
  <c r="B42" i="6"/>
  <c r="B35" i="6"/>
  <c r="B39" i="6"/>
  <c r="AF48" i="7"/>
  <c r="AE34" i="4" s="1"/>
  <c r="AD11" i="8" s="1"/>
  <c r="AD34" i="4"/>
  <c r="AC11" i="8" s="1"/>
  <c r="AF19" i="19"/>
  <c r="AF20" i="19" s="1"/>
  <c r="AF25" i="19" s="1"/>
  <c r="AE19" i="19"/>
  <c r="AE20" i="19" s="1"/>
  <c r="AE25" i="19" s="1"/>
  <c r="I50" i="7"/>
  <c r="G24" i="4"/>
  <c r="G30" i="4" s="1"/>
  <c r="G32" i="4" s="1"/>
  <c r="AF13" i="4"/>
  <c r="AF18" i="7"/>
  <c r="AF19" i="7" s="1"/>
  <c r="AF21" i="7" s="1"/>
  <c r="AF28" i="7"/>
  <c r="AF33" i="7" s="1"/>
  <c r="AF34" i="7" s="1"/>
  <c r="AD12" i="8" s="1"/>
  <c r="AG21" i="7" l="1"/>
  <c r="G11" i="25"/>
  <c r="G36" i="4"/>
  <c r="F29" i="6"/>
  <c r="F11" i="6" s="1"/>
  <c r="F13" i="6" s="1"/>
  <c r="F38" i="6"/>
  <c r="AF7" i="19"/>
  <c r="AF7" i="7"/>
  <c r="AE7" i="4"/>
  <c r="AG8" i="3"/>
  <c r="AD7" i="8"/>
  <c r="AE7" i="25"/>
  <c r="J50" i="7"/>
  <c r="H24" i="4"/>
  <c r="H30" i="4" s="1"/>
  <c r="H32" i="4" s="1"/>
  <c r="B56" i="6"/>
  <c r="B48" i="6"/>
  <c r="B44" i="6"/>
  <c r="B45" i="6"/>
  <c r="C24" i="6" s="1"/>
  <c r="AG19" i="19"/>
  <c r="AG20" i="19" s="1"/>
  <c r="AG25" i="19" s="1"/>
  <c r="AF36" i="7"/>
  <c r="AG36" i="7" s="1"/>
  <c r="AG13" i="4"/>
  <c r="AG18" i="7"/>
  <c r="AG19" i="7" s="1"/>
  <c r="AG28" i="7"/>
  <c r="AG33" i="7" s="1"/>
  <c r="AG34" i="7" s="1"/>
  <c r="AE12" i="8" s="1"/>
  <c r="AH14" i="7"/>
  <c r="AH41" i="7"/>
  <c r="AH45" i="7" s="1"/>
  <c r="AH43" i="7"/>
  <c r="AH47" i="7" s="1"/>
  <c r="AH48" i="7" l="1"/>
  <c r="AH18" i="7"/>
  <c r="AH19" i="7" s="1"/>
  <c r="AH28" i="7"/>
  <c r="AH33" i="7" s="1"/>
  <c r="AH34" i="7" s="1"/>
  <c r="AF12" i="8" s="1"/>
  <c r="C28" i="6"/>
  <c r="C26" i="6" s="1"/>
  <c r="C27" i="6"/>
  <c r="H36" i="4"/>
  <c r="H11" i="25"/>
  <c r="G29" i="6"/>
  <c r="G38" i="6"/>
  <c r="B58" i="6"/>
  <c r="AH21" i="7"/>
  <c r="B57" i="6"/>
  <c r="C38" i="4" s="1"/>
  <c r="C40" i="4" s="1"/>
  <c r="K50" i="7"/>
  <c r="I24" i="4"/>
  <c r="I30" i="4" s="1"/>
  <c r="I32" i="4" s="1"/>
  <c r="B50" i="6"/>
  <c r="B52" i="6" s="1"/>
  <c r="C16" i="25"/>
  <c r="AG7" i="19"/>
  <c r="AG7" i="7"/>
  <c r="AF7" i="25"/>
  <c r="AF7" i="4"/>
  <c r="AE7" i="8"/>
  <c r="AH8" i="3"/>
  <c r="AH36" i="7" l="1"/>
  <c r="C30" i="6"/>
  <c r="C33" i="6"/>
  <c r="AH7" i="19"/>
  <c r="AH7" i="7"/>
  <c r="AG7" i="4"/>
  <c r="AG7" i="25"/>
  <c r="AF7" i="8"/>
  <c r="G11" i="6"/>
  <c r="G13" i="6" s="1"/>
  <c r="L50" i="7"/>
  <c r="J24" i="4"/>
  <c r="J30" i="4" s="1"/>
  <c r="J32" i="4" s="1"/>
  <c r="AG34" i="4"/>
  <c r="AF11" i="8" s="1"/>
  <c r="AH19" i="19"/>
  <c r="AH20" i="19" s="1"/>
  <c r="AH25" i="19" s="1"/>
  <c r="I11" i="25"/>
  <c r="I36" i="4"/>
  <c r="H29" i="6"/>
  <c r="H11" i="6" s="1"/>
  <c r="H13" i="6" s="1"/>
  <c r="H38" i="6"/>
  <c r="C42" i="4"/>
  <c r="C43" i="4" s="1"/>
  <c r="B10" i="8"/>
  <c r="B13" i="8" s="1"/>
  <c r="C45" i="4" l="1"/>
  <c r="J11" i="25"/>
  <c r="J36" i="4"/>
  <c r="I38" i="6"/>
  <c r="I29" i="6"/>
  <c r="M50" i="7"/>
  <c r="K24" i="4"/>
  <c r="K30" i="4" s="1"/>
  <c r="K32" i="4" s="1"/>
  <c r="B16" i="8"/>
  <c r="B28" i="8"/>
  <c r="B24" i="8"/>
  <c r="C36" i="6"/>
  <c r="C37" i="6" s="1"/>
  <c r="C42" i="6" l="1"/>
  <c r="C35" i="6"/>
  <c r="K11" i="25"/>
  <c r="K36" i="4"/>
  <c r="J38" i="6"/>
  <c r="J29" i="6"/>
  <c r="J11" i="6" s="1"/>
  <c r="J13" i="6" s="1"/>
  <c r="I11" i="6"/>
  <c r="I13" i="6" s="1"/>
  <c r="N50" i="7"/>
  <c r="L24" i="4"/>
  <c r="L30" i="4" s="1"/>
  <c r="L32" i="4" s="1"/>
  <c r="D12" i="25"/>
  <c r="D13" i="25" s="1"/>
  <c r="C49" i="6"/>
  <c r="B29" i="8"/>
  <c r="B30" i="8" s="1"/>
  <c r="B21" i="8"/>
  <c r="B19" i="8"/>
  <c r="B75" i="2"/>
  <c r="D42" i="19"/>
  <c r="D43" i="19" s="1"/>
  <c r="B33" i="8" l="1"/>
  <c r="B41" i="8"/>
  <c r="C15" i="25" s="1"/>
  <c r="C76" i="2"/>
  <c r="C56" i="6"/>
  <c r="C48" i="6"/>
  <c r="B22" i="8"/>
  <c r="C18" i="8" s="1"/>
  <c r="K38" i="6"/>
  <c r="L36" i="4"/>
  <c r="L11" i="25"/>
  <c r="K29" i="6"/>
  <c r="K11" i="6" s="1"/>
  <c r="K13" i="6" s="1"/>
  <c r="C39" i="6"/>
  <c r="O50" i="7"/>
  <c r="M24" i="4"/>
  <c r="M30" i="4" s="1"/>
  <c r="M32" i="4" s="1"/>
  <c r="C45" i="6"/>
  <c r="D24" i="6" s="1"/>
  <c r="C44" i="6"/>
  <c r="C50" i="6" l="1"/>
  <c r="C52" i="6" s="1"/>
  <c r="D16" i="25"/>
  <c r="C57" i="6"/>
  <c r="D38" i="4" s="1"/>
  <c r="D40" i="4" s="1"/>
  <c r="D27" i="6"/>
  <c r="L38" i="6"/>
  <c r="M11" i="25"/>
  <c r="M36" i="4"/>
  <c r="L29" i="6"/>
  <c r="L11" i="6" s="1"/>
  <c r="L13" i="6" s="1"/>
  <c r="N24" i="4"/>
  <c r="N30" i="4" s="1"/>
  <c r="N32" i="4" s="1"/>
  <c r="P50" i="7"/>
  <c r="D32" i="19"/>
  <c r="C18" i="25"/>
  <c r="C21" i="25" s="1"/>
  <c r="B38" i="8"/>
  <c r="B36" i="8"/>
  <c r="N11" i="25" l="1"/>
  <c r="N36" i="4"/>
  <c r="M38" i="6"/>
  <c r="M29" i="6"/>
  <c r="M11" i="6" s="1"/>
  <c r="M13" i="6" s="1"/>
  <c r="B39" i="8"/>
  <c r="C35" i="8" s="1"/>
  <c r="B77" i="2"/>
  <c r="C27" i="25"/>
  <c r="C28" i="25" s="1"/>
  <c r="C29" i="25" s="1"/>
  <c r="D25" i="25" s="1"/>
  <c r="C37" i="25"/>
  <c r="C38" i="25" s="1"/>
  <c r="C43" i="25"/>
  <c r="C45" i="25" s="1"/>
  <c r="C50" i="25"/>
  <c r="C52" i="25" s="1"/>
  <c r="C57" i="25"/>
  <c r="C59" i="25" s="1"/>
  <c r="D28" i="6"/>
  <c r="D45" i="4"/>
  <c r="D42" i="4"/>
  <c r="D43" i="4"/>
  <c r="C10" i="8"/>
  <c r="C13" i="8" s="1"/>
  <c r="D37" i="19"/>
  <c r="D45" i="19" s="1"/>
  <c r="D47" i="19" s="1"/>
  <c r="Q50" i="7"/>
  <c r="O24" i="4"/>
  <c r="O30" i="4" s="1"/>
  <c r="O32" i="4" s="1"/>
  <c r="C58" i="6"/>
  <c r="D33" i="6" l="1"/>
  <c r="D26" i="6"/>
  <c r="D30" i="6" s="1"/>
  <c r="O36" i="4"/>
  <c r="O11" i="25"/>
  <c r="N38" i="6"/>
  <c r="N29" i="6"/>
  <c r="N11" i="6" s="1"/>
  <c r="N13" i="6" s="1"/>
  <c r="C16" i="8"/>
  <c r="C24" i="8"/>
  <c r="C28" i="8"/>
  <c r="R50" i="7"/>
  <c r="P24" i="4"/>
  <c r="P30" i="4" s="1"/>
  <c r="P32" i="4" s="1"/>
  <c r="D26" i="25"/>
  <c r="E42" i="19"/>
  <c r="E43" i="19" s="1"/>
  <c r="C75" i="2"/>
  <c r="C29" i="8" l="1"/>
  <c r="O29" i="6"/>
  <c r="O38" i="6"/>
  <c r="P36" i="4"/>
  <c r="P11" i="25"/>
  <c r="S50" i="7"/>
  <c r="Q24" i="4"/>
  <c r="Q30" i="4" s="1"/>
  <c r="Q32" i="4" s="1"/>
  <c r="C19" i="8"/>
  <c r="C21" i="8"/>
  <c r="D36" i="6"/>
  <c r="C30" i="8"/>
  <c r="E12" i="25" l="1"/>
  <c r="E13" i="25" s="1"/>
  <c r="D49" i="6"/>
  <c r="D37" i="6"/>
  <c r="Q11" i="25"/>
  <c r="Q36" i="4"/>
  <c r="P38" i="6"/>
  <c r="P29" i="6"/>
  <c r="C22" i="8"/>
  <c r="D18" i="8" s="1"/>
  <c r="C33" i="8"/>
  <c r="C41" i="8"/>
  <c r="D15" i="25" s="1"/>
  <c r="T50" i="7"/>
  <c r="R24" i="4"/>
  <c r="R30" i="4" s="1"/>
  <c r="R32" i="4" s="1"/>
  <c r="O11" i="6"/>
  <c r="O13" i="6" s="1"/>
  <c r="R11" i="25" l="1"/>
  <c r="R36" i="4"/>
  <c r="Q38" i="6"/>
  <c r="Q29" i="6"/>
  <c r="Q11" i="6" s="1"/>
  <c r="Q13" i="6" s="1"/>
  <c r="C38" i="8"/>
  <c r="C36" i="8"/>
  <c r="U50" i="7"/>
  <c r="S24" i="4"/>
  <c r="S30" i="4" s="1"/>
  <c r="S32" i="4" s="1"/>
  <c r="D42" i="6"/>
  <c r="D35" i="6"/>
  <c r="D76" i="2"/>
  <c r="E32" i="19"/>
  <c r="D18" i="25"/>
  <c r="D21" i="25" s="1"/>
  <c r="P11" i="6"/>
  <c r="P13" i="6" s="1"/>
  <c r="V50" i="7" l="1"/>
  <c r="T24" i="4"/>
  <c r="T30" i="4" s="1"/>
  <c r="T32" i="4" s="1"/>
  <c r="C39" i="8"/>
  <c r="D35" i="8" s="1"/>
  <c r="D48" i="6"/>
  <c r="D56" i="6"/>
  <c r="D44" i="6"/>
  <c r="D45" i="6"/>
  <c r="E24" i="6" s="1"/>
  <c r="C77" i="2"/>
  <c r="D50" i="25"/>
  <c r="D52" i="25" s="1"/>
  <c r="D43" i="25"/>
  <c r="D45" i="25" s="1"/>
  <c r="D57" i="25"/>
  <c r="D59" i="25" s="1"/>
  <c r="D27" i="25"/>
  <c r="D28" i="25" s="1"/>
  <c r="D29" i="25" s="1"/>
  <c r="E25" i="25" s="1"/>
  <c r="D37" i="25"/>
  <c r="D38" i="25" s="1"/>
  <c r="D39" i="6"/>
  <c r="E37" i="19"/>
  <c r="E45" i="19" s="1"/>
  <c r="E47" i="19" s="1"/>
  <c r="S36" i="4"/>
  <c r="S11" i="25"/>
  <c r="R38" i="6"/>
  <c r="R29" i="6"/>
  <c r="R11" i="6" s="1"/>
  <c r="R13" i="6" s="1"/>
  <c r="E26" i="25" l="1"/>
  <c r="E26" i="6"/>
  <c r="E27" i="6"/>
  <c r="E28" i="6"/>
  <c r="T36" i="4"/>
  <c r="T11" i="25"/>
  <c r="S29" i="6"/>
  <c r="S38" i="6"/>
  <c r="D50" i="6"/>
  <c r="D52" i="6" s="1"/>
  <c r="E16" i="25"/>
  <c r="D57" i="6"/>
  <c r="E38" i="4" s="1"/>
  <c r="E40" i="4" s="1"/>
  <c r="W50" i="7"/>
  <c r="U24" i="4"/>
  <c r="U30" i="4" s="1"/>
  <c r="U32" i="4" s="1"/>
  <c r="V24" i="4" l="1"/>
  <c r="V30" i="4" s="1"/>
  <c r="V32" i="4" s="1"/>
  <c r="X50" i="7"/>
  <c r="E42" i="4"/>
  <c r="E43" i="4" s="1"/>
  <c r="E45" i="4" s="1"/>
  <c r="D10" i="8"/>
  <c r="D13" i="8" s="1"/>
  <c r="D58" i="6"/>
  <c r="E33" i="6"/>
  <c r="E30" i="6"/>
  <c r="U11" i="25"/>
  <c r="U36" i="4"/>
  <c r="T38" i="6"/>
  <c r="T29" i="6"/>
  <c r="T11" i="6" s="1"/>
  <c r="T13" i="6" s="1"/>
  <c r="S11" i="6"/>
  <c r="S13" i="6" s="1"/>
  <c r="F42" i="19" l="1"/>
  <c r="F43" i="19" s="1"/>
  <c r="D75" i="2"/>
  <c r="D28" i="8"/>
  <c r="D16" i="8"/>
  <c r="D24" i="8"/>
  <c r="V36" i="4"/>
  <c r="V11" i="25"/>
  <c r="U38" i="6"/>
  <c r="U29" i="6"/>
  <c r="U11" i="6" s="1"/>
  <c r="U13" i="6" s="1"/>
  <c r="E36" i="6"/>
  <c r="Y50" i="7"/>
  <c r="W24" i="4"/>
  <c r="W30" i="4" s="1"/>
  <c r="W32" i="4" s="1"/>
  <c r="D29" i="8" l="1"/>
  <c r="F12" i="25"/>
  <c r="F13" i="25" s="1"/>
  <c r="E49" i="6"/>
  <c r="E37" i="6"/>
  <c r="D30" i="8"/>
  <c r="W11" i="25"/>
  <c r="W36" i="4"/>
  <c r="V29" i="6"/>
  <c r="V11" i="6" s="1"/>
  <c r="V13" i="6" s="1"/>
  <c r="V38" i="6"/>
  <c r="Z50" i="7"/>
  <c r="X24" i="4"/>
  <c r="X30" i="4" s="1"/>
  <c r="X32" i="4" s="1"/>
  <c r="D19" i="8"/>
  <c r="D21" i="8"/>
  <c r="D33" i="8" l="1"/>
  <c r="D41" i="8"/>
  <c r="E15" i="25" s="1"/>
  <c r="D22" i="8"/>
  <c r="E18" i="8" s="1"/>
  <c r="W38" i="6"/>
  <c r="X36" i="4"/>
  <c r="X11" i="25"/>
  <c r="W29" i="6"/>
  <c r="E42" i="6"/>
  <c r="E35" i="6"/>
  <c r="E39" i="6" s="1"/>
  <c r="AA50" i="7"/>
  <c r="Y24" i="4"/>
  <c r="Y30" i="4" s="1"/>
  <c r="Y32" i="4" s="1"/>
  <c r="AB50" i="7" l="1"/>
  <c r="Z24" i="4"/>
  <c r="Z30" i="4" s="1"/>
  <c r="Z32" i="4" s="1"/>
  <c r="E48" i="6"/>
  <c r="E56" i="6"/>
  <c r="F32" i="19"/>
  <c r="E18" i="25"/>
  <c r="E21" i="25" s="1"/>
  <c r="Y11" i="25"/>
  <c r="Y36" i="4"/>
  <c r="X38" i="6"/>
  <c r="X29" i="6"/>
  <c r="X11" i="6" s="1"/>
  <c r="X13" i="6" s="1"/>
  <c r="E45" i="6"/>
  <c r="F24" i="6" s="1"/>
  <c r="E44" i="6"/>
  <c r="W11" i="6"/>
  <c r="W13" i="6" s="1"/>
  <c r="D36" i="8"/>
  <c r="D38" i="8"/>
  <c r="E50" i="6" l="1"/>
  <c r="E52" i="6" s="1"/>
  <c r="F16" i="25"/>
  <c r="D77" i="2"/>
  <c r="E43" i="25"/>
  <c r="E45" i="25" s="1"/>
  <c r="E27" i="25"/>
  <c r="E28" i="25" s="1"/>
  <c r="E29" i="25" s="1"/>
  <c r="F25" i="25" s="1"/>
  <c r="E50" i="25"/>
  <c r="E52" i="25" s="1"/>
  <c r="E57" i="25"/>
  <c r="E59" i="25" s="1"/>
  <c r="E37" i="25"/>
  <c r="E38" i="25" s="1"/>
  <c r="E57" i="6"/>
  <c r="F38" i="4" s="1"/>
  <c r="F40" i="4" s="1"/>
  <c r="F27" i="6"/>
  <c r="Y29" i="6"/>
  <c r="Y11" i="6" s="1"/>
  <c r="Y13" i="6" s="1"/>
  <c r="Z11" i="25"/>
  <c r="Z36" i="4"/>
  <c r="Y38" i="6"/>
  <c r="F37" i="19"/>
  <c r="F45" i="19" s="1"/>
  <c r="F47" i="19" s="1"/>
  <c r="E58" i="6"/>
  <c r="D39" i="8"/>
  <c r="E35" i="8" s="1"/>
  <c r="AC50" i="7"/>
  <c r="AA24" i="4"/>
  <c r="AA30" i="4" s="1"/>
  <c r="AA32" i="4" s="1"/>
  <c r="F26" i="25" l="1"/>
  <c r="F28" i="6"/>
  <c r="AD50" i="7"/>
  <c r="AB24" i="4"/>
  <c r="AB30" i="4" s="1"/>
  <c r="AB32" i="4" s="1"/>
  <c r="F42" i="4"/>
  <c r="F43" i="4" s="1"/>
  <c r="E10" i="8"/>
  <c r="E13" i="8" s="1"/>
  <c r="AA11" i="25"/>
  <c r="AA36" i="4"/>
  <c r="Z29" i="6"/>
  <c r="Z38" i="6"/>
  <c r="Z11" i="6" l="1"/>
  <c r="Z13" i="6" s="1"/>
  <c r="AA29" i="6"/>
  <c r="AB36" i="4"/>
  <c r="AB11" i="25"/>
  <c r="AA38" i="6"/>
  <c r="AE50" i="7"/>
  <c r="AC24" i="4"/>
  <c r="AC30" i="4" s="1"/>
  <c r="AC32" i="4" s="1"/>
  <c r="F33" i="6"/>
  <c r="F26" i="6"/>
  <c r="F30" i="6" s="1"/>
  <c r="E28" i="8"/>
  <c r="E16" i="8"/>
  <c r="E24" i="8"/>
  <c r="F45" i="4"/>
  <c r="G42" i="19" s="1"/>
  <c r="G43" i="19" s="1"/>
  <c r="AC11" i="25" l="1"/>
  <c r="AC36" i="4"/>
  <c r="AB38" i="6"/>
  <c r="AB29" i="6"/>
  <c r="AB11" i="6" s="1"/>
  <c r="AB13" i="6" s="1"/>
  <c r="AD24" i="4"/>
  <c r="AD30" i="4" s="1"/>
  <c r="AD32" i="4" s="1"/>
  <c r="AF50" i="7"/>
  <c r="E19" i="8"/>
  <c r="E21" i="8"/>
  <c r="E29" i="8"/>
  <c r="E30" i="8"/>
  <c r="AA11" i="6"/>
  <c r="AA13" i="6" s="1"/>
  <c r="F36" i="6"/>
  <c r="E22" i="8" l="1"/>
  <c r="F18" i="8" s="1"/>
  <c r="AG50" i="7"/>
  <c r="AE24" i="4"/>
  <c r="AE30" i="4" s="1"/>
  <c r="AE32" i="4" s="1"/>
  <c r="G12" i="25"/>
  <c r="G13" i="25" s="1"/>
  <c r="F49" i="6"/>
  <c r="E33" i="8"/>
  <c r="E41" i="8"/>
  <c r="F15" i="25" s="1"/>
  <c r="F37" i="6"/>
  <c r="AD11" i="25"/>
  <c r="AD36" i="4"/>
  <c r="AC29" i="6"/>
  <c r="AC11" i="6" s="1"/>
  <c r="AC13" i="6" s="1"/>
  <c r="AC38" i="6"/>
  <c r="AE11" i="25" l="1"/>
  <c r="AE36" i="4"/>
  <c r="AD29" i="6"/>
  <c r="AD38" i="6"/>
  <c r="AH50" i="7"/>
  <c r="AG24" i="4" s="1"/>
  <c r="AG30" i="4" s="1"/>
  <c r="AG32" i="4" s="1"/>
  <c r="AF24" i="4"/>
  <c r="AF30" i="4" s="1"/>
  <c r="AF32" i="4" s="1"/>
  <c r="G32" i="19"/>
  <c r="F18" i="25"/>
  <c r="F21" i="25" s="1"/>
  <c r="E38" i="8"/>
  <c r="E36" i="8"/>
  <c r="F42" i="6"/>
  <c r="F35" i="6"/>
  <c r="F39" i="6" s="1"/>
  <c r="AF36" i="4" l="1"/>
  <c r="AF11" i="25"/>
  <c r="AG44" i="25"/>
  <c r="AE38" i="6"/>
  <c r="AE29" i="6"/>
  <c r="AE11" i="6" s="1"/>
  <c r="AE13" i="6" s="1"/>
  <c r="AD11" i="6"/>
  <c r="AD13" i="6" s="1"/>
  <c r="E39" i="8"/>
  <c r="F35" i="8" s="1"/>
  <c r="AG11" i="25"/>
  <c r="AG36" i="4"/>
  <c r="AF38" i="6"/>
  <c r="AF29" i="6"/>
  <c r="AF11" i="6" s="1"/>
  <c r="AF13" i="6" s="1"/>
  <c r="F45" i="6"/>
  <c r="G24" i="6" s="1"/>
  <c r="F44" i="6"/>
  <c r="F56" i="6"/>
  <c r="F48" i="6"/>
  <c r="F43" i="25"/>
  <c r="F45" i="25" s="1"/>
  <c r="F27" i="25"/>
  <c r="F28" i="25" s="1"/>
  <c r="F29" i="25" s="1"/>
  <c r="G25" i="25" s="1"/>
  <c r="F37" i="25"/>
  <c r="F38" i="25" s="1"/>
  <c r="F50" i="25"/>
  <c r="F52" i="25" s="1"/>
  <c r="F57" i="25"/>
  <c r="F59" i="25" s="1"/>
  <c r="G37" i="19"/>
  <c r="G45" i="19" s="1"/>
  <c r="G47" i="19" s="1"/>
  <c r="G27" i="6" l="1"/>
  <c r="F58" i="6"/>
  <c r="G26" i="25"/>
  <c r="F57" i="6"/>
  <c r="G38" i="4" s="1"/>
  <c r="G40" i="4" s="1"/>
  <c r="F50" i="6"/>
  <c r="F52" i="6" s="1"/>
  <c r="G16" i="25"/>
  <c r="G28" i="6" l="1"/>
  <c r="G42" i="4"/>
  <c r="F10" i="8"/>
  <c r="F13" i="8" s="1"/>
  <c r="G43" i="4" l="1"/>
  <c r="G45" i="4" s="1"/>
  <c r="H42" i="19" s="1"/>
  <c r="H43" i="19" s="1"/>
  <c r="G33" i="6"/>
  <c r="G26" i="6"/>
  <c r="G30" i="6" s="1"/>
  <c r="F16" i="8"/>
  <c r="F24" i="8"/>
  <c r="F28" i="8"/>
  <c r="F29" i="8" l="1"/>
  <c r="F30" i="8" s="1"/>
  <c r="F19" i="8"/>
  <c r="F21" i="8"/>
  <c r="G36" i="6"/>
  <c r="F33" i="8" l="1"/>
  <c r="F41" i="8"/>
  <c r="G15" i="25" s="1"/>
  <c r="H12" i="25"/>
  <c r="H13" i="25" s="1"/>
  <c r="G49" i="6"/>
  <c r="G37" i="6"/>
  <c r="F22" i="8"/>
  <c r="G18" i="8" s="1"/>
  <c r="G39" i="6" l="1"/>
  <c r="G42" i="6"/>
  <c r="G35" i="6"/>
  <c r="F36" i="8"/>
  <c r="F38" i="8"/>
  <c r="H32" i="19"/>
  <c r="G18" i="25"/>
  <c r="G21" i="25" s="1"/>
  <c r="F39" i="8" l="1"/>
  <c r="G35" i="8" s="1"/>
  <c r="G27" i="25"/>
  <c r="G28" i="25" s="1"/>
  <c r="G29" i="25" s="1"/>
  <c r="H25" i="25" s="1"/>
  <c r="G37" i="25"/>
  <c r="G38" i="25" s="1"/>
  <c r="G43" i="25"/>
  <c r="G45" i="25" s="1"/>
  <c r="G50" i="25"/>
  <c r="G52" i="25" s="1"/>
  <c r="G57" i="25"/>
  <c r="G59" i="25" s="1"/>
  <c r="G56" i="6"/>
  <c r="G48" i="6"/>
  <c r="H37" i="19"/>
  <c r="H45" i="19" s="1"/>
  <c r="H47" i="19" s="1"/>
  <c r="G44" i="6"/>
  <c r="G45" i="6"/>
  <c r="H24" i="6" s="1"/>
  <c r="G57" i="6" l="1"/>
  <c r="H38" i="4" s="1"/>
  <c r="H40" i="4" s="1"/>
  <c r="H27" i="6"/>
  <c r="H28" i="6" s="1"/>
  <c r="H26" i="25"/>
  <c r="G50" i="6"/>
  <c r="G52" i="6" s="1"/>
  <c r="H16" i="25"/>
  <c r="H33" i="6" l="1"/>
  <c r="H26" i="6"/>
  <c r="H30" i="6" s="1"/>
  <c r="G10" i="8"/>
  <c r="G13" i="8" s="1"/>
  <c r="H42" i="4"/>
  <c r="H43" i="4" s="1"/>
  <c r="H45" i="4" s="1"/>
  <c r="I42" i="19" s="1"/>
  <c r="I43" i="19" s="1"/>
  <c r="G58" i="6"/>
  <c r="H36" i="6" l="1"/>
  <c r="G16" i="8"/>
  <c r="G28" i="8"/>
  <c r="G24" i="8"/>
  <c r="G29" i="8" l="1"/>
  <c r="G30" i="8"/>
  <c r="G19" i="8"/>
  <c r="G21" i="8"/>
  <c r="H49" i="6"/>
  <c r="I12" i="25"/>
  <c r="I13" i="25" s="1"/>
  <c r="H37" i="6"/>
  <c r="H42" i="6" l="1"/>
  <c r="H35" i="6"/>
  <c r="G41" i="8"/>
  <c r="H15" i="25" s="1"/>
  <c r="G33" i="8"/>
  <c r="G22" i="8"/>
  <c r="H18" i="8" s="1"/>
  <c r="H56" i="6" l="1"/>
  <c r="H48" i="6"/>
  <c r="G36" i="8"/>
  <c r="G38" i="8"/>
  <c r="I32" i="19"/>
  <c r="H18" i="25"/>
  <c r="H21" i="25" s="1"/>
  <c r="H39" i="6"/>
  <c r="H45" i="6"/>
  <c r="I24" i="6" s="1"/>
  <c r="H44" i="6"/>
  <c r="I27" i="6" l="1"/>
  <c r="H43" i="25"/>
  <c r="H45" i="25" s="1"/>
  <c r="H57" i="25"/>
  <c r="H59" i="25" s="1"/>
  <c r="H50" i="25"/>
  <c r="H52" i="25" s="1"/>
  <c r="H37" i="25"/>
  <c r="H38" i="25" s="1"/>
  <c r="H27" i="25"/>
  <c r="H28" i="25" s="1"/>
  <c r="H29" i="25" s="1"/>
  <c r="I25" i="25" s="1"/>
  <c r="H58" i="6"/>
  <c r="I37" i="19"/>
  <c r="I45" i="19" s="1"/>
  <c r="I47" i="19" s="1"/>
  <c r="G39" i="8"/>
  <c r="H35" i="8" s="1"/>
  <c r="H57" i="6"/>
  <c r="I38" i="4" s="1"/>
  <c r="I40" i="4" s="1"/>
  <c r="H50" i="6"/>
  <c r="H52" i="6" s="1"/>
  <c r="I16" i="25"/>
  <c r="I26" i="25" l="1"/>
  <c r="I42" i="4"/>
  <c r="I45" i="4" s="1"/>
  <c r="J42" i="19" s="1"/>
  <c r="J43" i="19" s="1"/>
  <c r="H10" i="8"/>
  <c r="H13" i="8" s="1"/>
  <c r="I43" i="4"/>
  <c r="I28" i="6"/>
  <c r="H16" i="8" l="1"/>
  <c r="H28" i="8"/>
  <c r="I33" i="6"/>
  <c r="I26" i="6"/>
  <c r="I30" i="6" s="1"/>
  <c r="I37" i="6" l="1"/>
  <c r="I36" i="6"/>
  <c r="H19" i="8"/>
  <c r="H21" i="8"/>
  <c r="H24" i="8" l="1"/>
  <c r="I42" i="6"/>
  <c r="I39" i="6"/>
  <c r="H22" i="8"/>
  <c r="I18" i="8" s="1"/>
  <c r="J12" i="25"/>
  <c r="J13" i="25" s="1"/>
  <c r="I49" i="6"/>
  <c r="I35" i="6"/>
  <c r="I44" i="6" l="1"/>
  <c r="I45" i="6"/>
  <c r="J24" i="6" s="1"/>
  <c r="I48" i="6"/>
  <c r="I56" i="6"/>
  <c r="H29" i="8"/>
  <c r="H30" i="8" s="1"/>
  <c r="I50" i="6" l="1"/>
  <c r="I52" i="6" s="1"/>
  <c r="J16" i="25"/>
  <c r="H33" i="8"/>
  <c r="J27" i="6"/>
  <c r="J28" i="6"/>
  <c r="I58" i="6"/>
  <c r="I57" i="6"/>
  <c r="J38" i="4" s="1"/>
  <c r="J40" i="4" s="1"/>
  <c r="J30" i="6" l="1"/>
  <c r="J33" i="6"/>
  <c r="J26" i="6"/>
  <c r="H38" i="8"/>
  <c r="H36" i="8"/>
  <c r="J42" i="4"/>
  <c r="J43" i="4"/>
  <c r="J45" i="4"/>
  <c r="K42" i="19" s="1"/>
  <c r="K43" i="19" s="1"/>
  <c r="I10" i="8"/>
  <c r="I13" i="8" s="1"/>
  <c r="H41" i="8" l="1"/>
  <c r="I15" i="25" s="1"/>
  <c r="H39" i="8"/>
  <c r="I35" i="8" s="1"/>
  <c r="I28" i="8"/>
  <c r="I16" i="8"/>
  <c r="J36" i="6"/>
  <c r="J37" i="6" s="1"/>
  <c r="J39" i="6" l="1"/>
  <c r="J42" i="6"/>
  <c r="J35" i="6"/>
  <c r="J32" i="19"/>
  <c r="I18" i="25"/>
  <c r="I21" i="25" s="1"/>
  <c r="K12" i="25"/>
  <c r="K13" i="25" s="1"/>
  <c r="J49" i="6"/>
  <c r="I21" i="8"/>
  <c r="I19" i="8"/>
  <c r="J37" i="19" l="1"/>
  <c r="J45" i="19" s="1"/>
  <c r="J47" i="19" s="1"/>
  <c r="I22" i="8"/>
  <c r="J18" i="8" s="1"/>
  <c r="J20" i="8"/>
  <c r="I24" i="8"/>
  <c r="J48" i="6"/>
  <c r="J56" i="6"/>
  <c r="I27" i="25"/>
  <c r="I28" i="25" s="1"/>
  <c r="I29" i="25" s="1"/>
  <c r="J25" i="25" s="1"/>
  <c r="I37" i="25"/>
  <c r="I38" i="25" s="1"/>
  <c r="I43" i="25"/>
  <c r="I45" i="25" s="1"/>
  <c r="I50" i="25"/>
  <c r="I52" i="25" s="1"/>
  <c r="I57" i="25"/>
  <c r="I59" i="25" s="1"/>
  <c r="J44" i="6"/>
  <c r="J45" i="6"/>
  <c r="K24" i="6" s="1"/>
  <c r="K27" i="6" l="1"/>
  <c r="J26" i="25"/>
  <c r="J58" i="6"/>
  <c r="J50" i="6"/>
  <c r="J52" i="6" s="1"/>
  <c r="K16" i="25"/>
  <c r="J57" i="6"/>
  <c r="K38" i="4" s="1"/>
  <c r="K40" i="4" s="1"/>
  <c r="I29" i="8"/>
  <c r="I30" i="8" s="1"/>
  <c r="I33" i="8" l="1"/>
  <c r="K42" i="4"/>
  <c r="K43" i="4" s="1"/>
  <c r="J10" i="8"/>
  <c r="J13" i="8" s="1"/>
  <c r="K28" i="6"/>
  <c r="J16" i="8" l="1"/>
  <c r="J28" i="8"/>
  <c r="K45" i="4"/>
  <c r="L42" i="19" s="1"/>
  <c r="L43" i="19" s="1"/>
  <c r="I36" i="8"/>
  <c r="I38" i="8"/>
  <c r="K30" i="6"/>
  <c r="K33" i="6"/>
  <c r="K26" i="6"/>
  <c r="K36" i="6" l="1"/>
  <c r="K37" i="6"/>
  <c r="K35" i="6" s="1"/>
  <c r="I41" i="8"/>
  <c r="J15" i="25" s="1"/>
  <c r="J21" i="8"/>
  <c r="J19" i="8"/>
  <c r="I39" i="8"/>
  <c r="J35" i="8" s="1"/>
  <c r="K56" i="6" l="1"/>
  <c r="K48" i="6"/>
  <c r="J22" i="8"/>
  <c r="K18" i="8" s="1"/>
  <c r="K20" i="8"/>
  <c r="J24" i="8"/>
  <c r="J18" i="25"/>
  <c r="J21" i="25" s="1"/>
  <c r="K32" i="19"/>
  <c r="K42" i="6"/>
  <c r="K39" i="6"/>
  <c r="L12" i="25"/>
  <c r="L13" i="25" s="1"/>
  <c r="K49" i="6"/>
  <c r="K37" i="19" l="1"/>
  <c r="K45" i="19" s="1"/>
  <c r="K47" i="19" s="1"/>
  <c r="J29" i="8"/>
  <c r="J30" i="8" s="1"/>
  <c r="J50" i="25"/>
  <c r="J52" i="25" s="1"/>
  <c r="J37" i="25"/>
  <c r="J38" i="25" s="1"/>
  <c r="J57" i="25"/>
  <c r="J59" i="25" s="1"/>
  <c r="J43" i="25"/>
  <c r="J45" i="25" s="1"/>
  <c r="J27" i="25"/>
  <c r="J28" i="25" s="1"/>
  <c r="J29" i="25" s="1"/>
  <c r="K25" i="25" s="1"/>
  <c r="K50" i="6"/>
  <c r="K52" i="6" s="1"/>
  <c r="L16" i="25"/>
  <c r="K45" i="6"/>
  <c r="L24" i="6" s="1"/>
  <c r="K44" i="6"/>
  <c r="K57" i="6" l="1"/>
  <c r="J33" i="8"/>
  <c r="L27" i="6"/>
  <c r="L28" i="6"/>
  <c r="K26" i="25"/>
  <c r="L33" i="6" l="1"/>
  <c r="L38" i="4"/>
  <c r="L40" i="4" s="1"/>
  <c r="K58" i="6"/>
  <c r="L26" i="6"/>
  <c r="L30" i="6" s="1"/>
  <c r="J36" i="8"/>
  <c r="J38" i="8"/>
  <c r="J39" i="8" l="1"/>
  <c r="K35" i="8" s="1"/>
  <c r="J41" i="8"/>
  <c r="K15" i="25" s="1"/>
  <c r="L42" i="4"/>
  <c r="L43" i="4" s="1"/>
  <c r="L45" i="4" s="1"/>
  <c r="M42" i="19" s="1"/>
  <c r="M43" i="19" s="1"/>
  <c r="K10" i="8"/>
  <c r="K13" i="8" s="1"/>
  <c r="L36" i="6"/>
  <c r="L37" i="6" s="1"/>
  <c r="L42" i="6" l="1"/>
  <c r="L39" i="6"/>
  <c r="L35" i="6"/>
  <c r="K18" i="25"/>
  <c r="K21" i="25" s="1"/>
  <c r="L32" i="19"/>
  <c r="M12" i="25"/>
  <c r="M13" i="25" s="1"/>
  <c r="L49" i="6"/>
  <c r="K16" i="8"/>
  <c r="K28" i="8"/>
  <c r="K27" i="25" l="1"/>
  <c r="K28" i="25" s="1"/>
  <c r="K29" i="25" s="1"/>
  <c r="L25" i="25" s="1"/>
  <c r="K37" i="25"/>
  <c r="K38" i="25" s="1"/>
  <c r="K50" i="25"/>
  <c r="K52" i="25" s="1"/>
  <c r="K57" i="25"/>
  <c r="K59" i="25" s="1"/>
  <c r="K43" i="25"/>
  <c r="K45" i="25" s="1"/>
  <c r="K19" i="8"/>
  <c r="K21" i="8"/>
  <c r="L48" i="6"/>
  <c r="L56" i="6"/>
  <c r="L37" i="19"/>
  <c r="L45" i="19" s="1"/>
  <c r="L47" i="19" s="1"/>
  <c r="L44" i="6"/>
  <c r="L45" i="6"/>
  <c r="M24" i="6" s="1"/>
  <c r="L20" i="8" l="1"/>
  <c r="K24" i="8"/>
  <c r="M27" i="6"/>
  <c r="K22" i="8"/>
  <c r="L18" i="8" s="1"/>
  <c r="L57" i="6"/>
  <c r="M38" i="4" s="1"/>
  <c r="M40" i="4" s="1"/>
  <c r="L26" i="25"/>
  <c r="L50" i="6"/>
  <c r="L52" i="6" s="1"/>
  <c r="M16" i="25"/>
  <c r="K29" i="8" l="1"/>
  <c r="K30" i="8" s="1"/>
  <c r="L58" i="6"/>
  <c r="L10" i="8"/>
  <c r="L13" i="8" s="1"/>
  <c r="M42" i="4"/>
  <c r="M43" i="4" s="1"/>
  <c r="M28" i="6"/>
  <c r="L28" i="8" l="1"/>
  <c r="L16" i="8"/>
  <c r="M45" i="4"/>
  <c r="N42" i="19" s="1"/>
  <c r="N43" i="19" s="1"/>
  <c r="K33" i="8"/>
  <c r="M33" i="6"/>
  <c r="M30" i="6"/>
  <c r="M26" i="6"/>
  <c r="K36" i="8" l="1"/>
  <c r="K38" i="8"/>
  <c r="L19" i="8"/>
  <c r="L21" i="8"/>
  <c r="M36" i="6"/>
  <c r="N12" i="25" l="1"/>
  <c r="N13" i="25" s="1"/>
  <c r="M49" i="6"/>
  <c r="M37" i="6"/>
  <c r="M20" i="8"/>
  <c r="L24" i="8"/>
  <c r="L22" i="8"/>
  <c r="M18" i="8" s="1"/>
  <c r="K41" i="8"/>
  <c r="L15" i="25" s="1"/>
  <c r="K39" i="8"/>
  <c r="L35" i="8" s="1"/>
  <c r="M42" i="6" l="1"/>
  <c r="M35" i="6"/>
  <c r="L29" i="8"/>
  <c r="L30" i="8" s="1"/>
  <c r="L18" i="25"/>
  <c r="L21" i="25" s="1"/>
  <c r="M32" i="19"/>
  <c r="L50" i="25" l="1"/>
  <c r="L52" i="25" s="1"/>
  <c r="L43" i="25"/>
  <c r="L45" i="25" s="1"/>
  <c r="L57" i="25"/>
  <c r="L59" i="25" s="1"/>
  <c r="L37" i="25"/>
  <c r="L38" i="25" s="1"/>
  <c r="L27" i="25"/>
  <c r="L28" i="25" s="1"/>
  <c r="L29" i="25" s="1"/>
  <c r="M25" i="25" s="1"/>
  <c r="M56" i="6"/>
  <c r="M48" i="6"/>
  <c r="L33" i="8"/>
  <c r="M39" i="6"/>
  <c r="M37" i="19"/>
  <c r="M45" i="19" s="1"/>
  <c r="M47" i="19" s="1"/>
  <c r="M44" i="6"/>
  <c r="M45" i="6"/>
  <c r="N24" i="6" s="1"/>
  <c r="L36" i="8" l="1"/>
  <c r="L38" i="8"/>
  <c r="N16" i="25"/>
  <c r="M50" i="6"/>
  <c r="M52" i="6" s="1"/>
  <c r="N27" i="6"/>
  <c r="M58" i="6"/>
  <c r="M57" i="6"/>
  <c r="N38" i="4" s="1"/>
  <c r="N40" i="4" s="1"/>
  <c r="M26" i="25"/>
  <c r="N42" i="4" l="1"/>
  <c r="N43" i="4"/>
  <c r="N45" i="4" s="1"/>
  <c r="O42" i="19" s="1"/>
  <c r="O43" i="19" s="1"/>
  <c r="M10" i="8"/>
  <c r="M13" i="8" s="1"/>
  <c r="L41" i="8"/>
  <c r="M15" i="25" s="1"/>
  <c r="N28" i="6"/>
  <c r="L39" i="8"/>
  <c r="M35" i="8" s="1"/>
  <c r="M28" i="8" l="1"/>
  <c r="M16" i="8"/>
  <c r="N33" i="6"/>
  <c r="N26" i="6"/>
  <c r="N30" i="6" s="1"/>
  <c r="M18" i="25"/>
  <c r="M21" i="25" s="1"/>
  <c r="N32" i="19"/>
  <c r="M19" i="8" l="1"/>
  <c r="M21" i="8"/>
  <c r="M50" i="25"/>
  <c r="M52" i="25" s="1"/>
  <c r="M37" i="25"/>
  <c r="M38" i="25" s="1"/>
  <c r="M57" i="25"/>
  <c r="M59" i="25" s="1"/>
  <c r="M27" i="25"/>
  <c r="M28" i="25" s="1"/>
  <c r="M29" i="25" s="1"/>
  <c r="N25" i="25" s="1"/>
  <c r="M43" i="25"/>
  <c r="M45" i="25" s="1"/>
  <c r="N36" i="6"/>
  <c r="N37" i="6"/>
  <c r="N37" i="19"/>
  <c r="N45" i="19" s="1"/>
  <c r="N47" i="19" s="1"/>
  <c r="N20" i="8" l="1"/>
  <c r="M24" i="8"/>
  <c r="N26" i="25"/>
  <c r="N49" i="6"/>
  <c r="O12" i="25"/>
  <c r="O13" i="25" s="1"/>
  <c r="N42" i="6"/>
  <c r="N35" i="6"/>
  <c r="N39" i="6" s="1"/>
  <c r="M22" i="8"/>
  <c r="N18" i="8" s="1"/>
  <c r="N48" i="6" l="1"/>
  <c r="N56" i="6"/>
  <c r="M29" i="8"/>
  <c r="M30" i="8" s="1"/>
  <c r="N44" i="6"/>
  <c r="N45" i="6"/>
  <c r="O24" i="6" s="1"/>
  <c r="O27" i="6" l="1"/>
  <c r="O28" i="6"/>
  <c r="N57" i="6"/>
  <c r="O38" i="4" s="1"/>
  <c r="O40" i="4" s="1"/>
  <c r="M33" i="8"/>
  <c r="N50" i="6"/>
  <c r="N52" i="6" s="1"/>
  <c r="O16" i="25"/>
  <c r="N10" i="8" l="1"/>
  <c r="N13" i="8" s="1"/>
  <c r="O42" i="4"/>
  <c r="N58" i="6"/>
  <c r="M38" i="8"/>
  <c r="M36" i="8"/>
  <c r="O33" i="6"/>
  <c r="O30" i="6"/>
  <c r="O26" i="6"/>
  <c r="M39" i="8" l="1"/>
  <c r="N35" i="8" s="1"/>
  <c r="O36" i="6"/>
  <c r="O43" i="4"/>
  <c r="O45" i="4" s="1"/>
  <c r="P42" i="19" s="1"/>
  <c r="P43" i="19" s="1"/>
  <c r="M41" i="8"/>
  <c r="N15" i="25" s="1"/>
  <c r="N16" i="8"/>
  <c r="N28" i="8"/>
  <c r="N18" i="25" l="1"/>
  <c r="N21" i="25" s="1"/>
  <c r="O32" i="19"/>
  <c r="N19" i="8"/>
  <c r="N21" i="8"/>
  <c r="P12" i="25"/>
  <c r="P13" i="25" s="1"/>
  <c r="O49" i="6"/>
  <c r="O37" i="6"/>
  <c r="N43" i="25" l="1"/>
  <c r="N45" i="25" s="1"/>
  <c r="N50" i="25"/>
  <c r="N52" i="25" s="1"/>
  <c r="N27" i="25"/>
  <c r="N28" i="25" s="1"/>
  <c r="N29" i="25" s="1"/>
  <c r="O25" i="25" s="1"/>
  <c r="N37" i="25"/>
  <c r="N38" i="25" s="1"/>
  <c r="N57" i="25"/>
  <c r="N59" i="25" s="1"/>
  <c r="O39" i="6"/>
  <c r="O42" i="6"/>
  <c r="O35" i="6"/>
  <c r="O20" i="8"/>
  <c r="N24" i="8"/>
  <c r="N22" i="8"/>
  <c r="O18" i="8" s="1"/>
  <c r="O37" i="19"/>
  <c r="O45" i="19" s="1"/>
  <c r="O47" i="19" s="1"/>
  <c r="O44" i="6" l="1"/>
  <c r="O45" i="6"/>
  <c r="P24" i="6" s="1"/>
  <c r="N29" i="8"/>
  <c r="N30" i="8" s="1"/>
  <c r="O26" i="25"/>
  <c r="O56" i="6"/>
  <c r="O48" i="6"/>
  <c r="O58" i="6" l="1"/>
  <c r="O50" i="6"/>
  <c r="O52" i="6" s="1"/>
  <c r="P16" i="25"/>
  <c r="O57" i="6"/>
  <c r="P38" i="4" s="1"/>
  <c r="P40" i="4" s="1"/>
  <c r="N33" i="8"/>
  <c r="P27" i="6"/>
  <c r="N36" i="8" l="1"/>
  <c r="N38" i="8"/>
  <c r="P42" i="4"/>
  <c r="P43" i="4" s="1"/>
  <c r="P45" i="4" s="1"/>
  <c r="Q42" i="19" s="1"/>
  <c r="Q43" i="19" s="1"/>
  <c r="O10" i="8"/>
  <c r="O13" i="8" s="1"/>
  <c r="P28" i="6"/>
  <c r="O16" i="8" l="1"/>
  <c r="O28" i="8"/>
  <c r="N41" i="8"/>
  <c r="O15" i="25" s="1"/>
  <c r="N39" i="8"/>
  <c r="O35" i="8" s="1"/>
  <c r="P33" i="6"/>
  <c r="P26" i="6"/>
  <c r="P30" i="6" s="1"/>
  <c r="P36" i="6" l="1"/>
  <c r="O19" i="8"/>
  <c r="O21" i="8"/>
  <c r="O18" i="25"/>
  <c r="O21" i="25" s="1"/>
  <c r="P32" i="19"/>
  <c r="P20" i="8" l="1"/>
  <c r="O24" i="8"/>
  <c r="O22" i="8"/>
  <c r="P18" i="8" s="1"/>
  <c r="P49" i="6"/>
  <c r="Q12" i="25"/>
  <c r="Q13" i="25" s="1"/>
  <c r="P37" i="19"/>
  <c r="P45" i="19" s="1"/>
  <c r="P47" i="19" s="1"/>
  <c r="P37" i="6"/>
  <c r="O27" i="25"/>
  <c r="O28" i="25" s="1"/>
  <c r="O29" i="25" s="1"/>
  <c r="P25" i="25" s="1"/>
  <c r="O37" i="25"/>
  <c r="O38" i="25" s="1"/>
  <c r="O43" i="25"/>
  <c r="O45" i="25" s="1"/>
  <c r="O50" i="25"/>
  <c r="O52" i="25" s="1"/>
  <c r="O57" i="25"/>
  <c r="O59" i="25" s="1"/>
  <c r="P26" i="25" l="1"/>
  <c r="P42" i="6"/>
  <c r="P35" i="6"/>
  <c r="P39" i="6" s="1"/>
  <c r="O29" i="8"/>
  <c r="O30" i="8" s="1"/>
  <c r="P45" i="6" l="1"/>
  <c r="Q24" i="6" s="1"/>
  <c r="P44" i="6"/>
  <c r="P56" i="6"/>
  <c r="P48" i="6"/>
  <c r="O33" i="8"/>
  <c r="O36" i="8" l="1"/>
  <c r="O38" i="8"/>
  <c r="P50" i="6"/>
  <c r="P52" i="6" s="1"/>
  <c r="Q16" i="25"/>
  <c r="P58" i="6"/>
  <c r="P57" i="6"/>
  <c r="Q38" i="4" s="1"/>
  <c r="Q40" i="4" s="1"/>
  <c r="Q27" i="6"/>
  <c r="P10" i="8" l="1"/>
  <c r="P13" i="8" s="1"/>
  <c r="Q42" i="4"/>
  <c r="Q43" i="4"/>
  <c r="Q45" i="4" s="1"/>
  <c r="R42" i="19" s="1"/>
  <c r="R43" i="19" s="1"/>
  <c r="O41" i="8"/>
  <c r="P15" i="25" s="1"/>
  <c r="Q28" i="6"/>
  <c r="O39" i="8"/>
  <c r="P35" i="8" s="1"/>
  <c r="Q33" i="6" l="1"/>
  <c r="Q26" i="6"/>
  <c r="Q30" i="6" s="1"/>
  <c r="P18" i="25"/>
  <c r="P21" i="25" s="1"/>
  <c r="Q32" i="19"/>
  <c r="P16" i="8"/>
  <c r="P28" i="8"/>
  <c r="Q36" i="6" l="1"/>
  <c r="Q37" i="6"/>
  <c r="Q37" i="19"/>
  <c r="Q45" i="19" s="1"/>
  <c r="Q47" i="19" s="1"/>
  <c r="P19" i="8"/>
  <c r="P21" i="8"/>
  <c r="P43" i="25"/>
  <c r="P45" i="25" s="1"/>
  <c r="P57" i="25"/>
  <c r="P59" i="25" s="1"/>
  <c r="P50" i="25"/>
  <c r="P52" i="25" s="1"/>
  <c r="P27" i="25"/>
  <c r="P28" i="25" s="1"/>
  <c r="P29" i="25" s="1"/>
  <c r="Q25" i="25" s="1"/>
  <c r="P37" i="25"/>
  <c r="P38" i="25" s="1"/>
  <c r="Q26" i="25" l="1"/>
  <c r="Q42" i="6"/>
  <c r="Q39" i="6"/>
  <c r="P22" i="8"/>
  <c r="Q18" i="8" s="1"/>
  <c r="Q35" i="6"/>
  <c r="Q20" i="8"/>
  <c r="P24" i="8"/>
  <c r="R12" i="25"/>
  <c r="R13" i="25" s="1"/>
  <c r="Q49" i="6"/>
  <c r="Q48" i="6" l="1"/>
  <c r="Q56" i="6"/>
  <c r="P29" i="8"/>
  <c r="P30" i="8" s="1"/>
  <c r="Q44" i="6"/>
  <c r="Q45" i="6"/>
  <c r="R24" i="6" s="1"/>
  <c r="Q57" i="6" l="1"/>
  <c r="R38" i="4" s="1"/>
  <c r="R40" i="4" s="1"/>
  <c r="R27" i="6"/>
  <c r="R28" i="6" s="1"/>
  <c r="Q50" i="6"/>
  <c r="Q52" i="6" s="1"/>
  <c r="R16" i="25"/>
  <c r="P33" i="8"/>
  <c r="Q58" i="6"/>
  <c r="R30" i="6" l="1"/>
  <c r="R33" i="6"/>
  <c r="B20" i="6"/>
  <c r="R26" i="6"/>
  <c r="P36" i="8"/>
  <c r="P38" i="8"/>
  <c r="R42" i="4"/>
  <c r="R45" i="4" s="1"/>
  <c r="S42" i="19" s="1"/>
  <c r="S43" i="19" s="1"/>
  <c r="R43" i="4"/>
  <c r="Q10" i="8"/>
  <c r="Q13" i="8" s="1"/>
  <c r="Q37" i="8" l="1"/>
  <c r="P41" i="8"/>
  <c r="Q15" i="25" s="1"/>
  <c r="P39" i="8"/>
  <c r="Q35" i="8" s="1"/>
  <c r="Q16" i="8"/>
  <c r="Q28" i="8"/>
  <c r="R36" i="6"/>
  <c r="R37" i="6" s="1"/>
  <c r="R52" i="6"/>
  <c r="R39" i="6" l="1"/>
  <c r="R42" i="6"/>
  <c r="R35" i="6"/>
  <c r="Q18" i="25"/>
  <c r="Q21" i="25" s="1"/>
  <c r="R32" i="19"/>
  <c r="S12" i="25"/>
  <c r="S13" i="25" s="1"/>
  <c r="R49" i="6"/>
  <c r="Q21" i="8"/>
  <c r="Q19" i="8"/>
  <c r="R20" i="8" l="1"/>
  <c r="Q24" i="8"/>
  <c r="R44" i="6"/>
  <c r="R45" i="6"/>
  <c r="S24" i="6" s="1"/>
  <c r="Q27" i="25"/>
  <c r="Q28" i="25" s="1"/>
  <c r="Q29" i="25" s="1"/>
  <c r="R25" i="25" s="1"/>
  <c r="Q37" i="25"/>
  <c r="Q38" i="25" s="1"/>
  <c r="Q43" i="25"/>
  <c r="Q45" i="25" s="1"/>
  <c r="Q57" i="25"/>
  <c r="Q59" i="25" s="1"/>
  <c r="Q50" i="25"/>
  <c r="Q52" i="25" s="1"/>
  <c r="R37" i="19"/>
  <c r="R45" i="19" s="1"/>
  <c r="R47" i="19" s="1"/>
  <c r="Q22" i="8"/>
  <c r="R18" i="8" s="1"/>
  <c r="R48" i="6"/>
  <c r="R56" i="6"/>
  <c r="S28" i="6" l="1"/>
  <c r="S26" i="6" s="1"/>
  <c r="S27" i="6"/>
  <c r="Q29" i="8"/>
  <c r="Q30" i="8" s="1"/>
  <c r="R50" i="6"/>
  <c r="S16" i="25"/>
  <c r="R26" i="25"/>
  <c r="R57" i="6"/>
  <c r="S38" i="4" s="1"/>
  <c r="S40" i="4" s="1"/>
  <c r="S42" i="4" l="1"/>
  <c r="S43" i="4" s="1"/>
  <c r="S45" i="4" s="1"/>
  <c r="T42" i="19" s="1"/>
  <c r="T43" i="19" s="1"/>
  <c r="R10" i="8"/>
  <c r="R13" i="8" s="1"/>
  <c r="S30" i="6"/>
  <c r="S33" i="6"/>
  <c r="Q33" i="8"/>
  <c r="R58" i="6"/>
  <c r="S36" i="6" l="1"/>
  <c r="S37" i="6" s="1"/>
  <c r="S52" i="6"/>
  <c r="R16" i="8"/>
  <c r="R28" i="8"/>
  <c r="Q36" i="8"/>
  <c r="Q38" i="8"/>
  <c r="S42" i="6" l="1"/>
  <c r="S39" i="6"/>
  <c r="S35" i="6"/>
  <c r="R21" i="8"/>
  <c r="R19" i="8"/>
  <c r="R37" i="8"/>
  <c r="Q41" i="8"/>
  <c r="R15" i="25" s="1"/>
  <c r="T12" i="25"/>
  <c r="T13" i="25" s="1"/>
  <c r="S49" i="6"/>
  <c r="Q39" i="8"/>
  <c r="R35" i="8" s="1"/>
  <c r="R22" i="8" l="1"/>
  <c r="S18" i="8" s="1"/>
  <c r="R18" i="25"/>
  <c r="R21" i="25" s="1"/>
  <c r="S32" i="19"/>
  <c r="S20" i="8"/>
  <c r="R24" i="8"/>
  <c r="S48" i="6"/>
  <c r="S56" i="6"/>
  <c r="S45" i="6"/>
  <c r="T24" i="6" s="1"/>
  <c r="S44" i="6"/>
  <c r="S57" i="6" l="1"/>
  <c r="T38" i="4" s="1"/>
  <c r="T40" i="4" s="1"/>
  <c r="T27" i="6"/>
  <c r="T28" i="6" s="1"/>
  <c r="S37" i="19"/>
  <c r="S45" i="19" s="1"/>
  <c r="S47" i="19" s="1"/>
  <c r="S58" i="6"/>
  <c r="R50" i="25"/>
  <c r="R52" i="25" s="1"/>
  <c r="R43" i="25"/>
  <c r="R45" i="25" s="1"/>
  <c r="R27" i="25"/>
  <c r="R28" i="25" s="1"/>
  <c r="R29" i="25" s="1"/>
  <c r="S25" i="25" s="1"/>
  <c r="R57" i="25"/>
  <c r="R59" i="25" s="1"/>
  <c r="R37" i="25"/>
  <c r="R38" i="25" s="1"/>
  <c r="S50" i="6"/>
  <c r="T16" i="25"/>
  <c r="R29" i="8"/>
  <c r="R30" i="8" s="1"/>
  <c r="T33" i="6" l="1"/>
  <c r="T30" i="6"/>
  <c r="T26" i="6"/>
  <c r="S26" i="25"/>
  <c r="R33" i="8"/>
  <c r="T45" i="4"/>
  <c r="U42" i="19" s="1"/>
  <c r="U43" i="19" s="1"/>
  <c r="T42" i="4"/>
  <c r="T43" i="4"/>
  <c r="S10" i="8"/>
  <c r="S13" i="8" s="1"/>
  <c r="R38" i="8" l="1"/>
  <c r="R36" i="8"/>
  <c r="S16" i="8"/>
  <c r="S28" i="8"/>
  <c r="T36" i="6"/>
  <c r="T52" i="6"/>
  <c r="U12" i="25" l="1"/>
  <c r="U13" i="25" s="1"/>
  <c r="T49" i="6"/>
  <c r="S19" i="8"/>
  <c r="S21" i="8"/>
  <c r="S37" i="8"/>
  <c r="R41" i="8"/>
  <c r="S15" i="25" s="1"/>
  <c r="T37" i="6"/>
  <c r="R39" i="8"/>
  <c r="S35" i="8" s="1"/>
  <c r="T20" i="8" l="1"/>
  <c r="S24" i="8"/>
  <c r="T39" i="6"/>
  <c r="T42" i="6"/>
  <c r="T35" i="6"/>
  <c r="S22" i="8"/>
  <c r="S18" i="25"/>
  <c r="S21" i="25" s="1"/>
  <c r="T32" i="19"/>
  <c r="S29" i="8" l="1"/>
  <c r="S30" i="8" s="1"/>
  <c r="S27" i="25"/>
  <c r="S28" i="25" s="1"/>
  <c r="S29" i="25" s="1"/>
  <c r="T25" i="25" s="1"/>
  <c r="S37" i="25"/>
  <c r="S38" i="25" s="1"/>
  <c r="S43" i="25"/>
  <c r="S45" i="25" s="1"/>
  <c r="S57" i="25"/>
  <c r="S59" i="25" s="1"/>
  <c r="S50" i="25"/>
  <c r="S52" i="25" s="1"/>
  <c r="T37" i="19"/>
  <c r="T45" i="19" s="1"/>
  <c r="T47" i="19" s="1"/>
  <c r="T48" i="6"/>
  <c r="T56" i="6"/>
  <c r="T44" i="6"/>
  <c r="T45" i="6"/>
  <c r="U24" i="6" s="1"/>
  <c r="U27" i="6" l="1"/>
  <c r="U28" i="6" s="1"/>
  <c r="T57" i="6"/>
  <c r="U38" i="4" s="1"/>
  <c r="U40" i="4" s="1"/>
  <c r="T26" i="25"/>
  <c r="T50" i="6"/>
  <c r="U16" i="25"/>
  <c r="S33" i="8"/>
  <c r="U30" i="6" l="1"/>
  <c r="U33" i="6"/>
  <c r="U26" i="6"/>
  <c r="U42" i="4"/>
  <c r="U43" i="4" s="1"/>
  <c r="U45" i="4" s="1"/>
  <c r="V42" i="19" s="1"/>
  <c r="V43" i="19" s="1"/>
  <c r="T10" i="8"/>
  <c r="T13" i="8" s="1"/>
  <c r="S36" i="8"/>
  <c r="S38" i="8"/>
  <c r="T58" i="6"/>
  <c r="T37" i="8" l="1"/>
  <c r="S41" i="8"/>
  <c r="T15" i="25" s="1"/>
  <c r="S39" i="8"/>
  <c r="T28" i="8"/>
  <c r="T16" i="8"/>
  <c r="U52" i="6"/>
  <c r="U36" i="6"/>
  <c r="U37" i="6" s="1"/>
  <c r="U39" i="6" l="1"/>
  <c r="U42" i="6"/>
  <c r="U35" i="6"/>
  <c r="T18" i="25"/>
  <c r="T21" i="25" s="1"/>
  <c r="U32" i="19"/>
  <c r="T19" i="8"/>
  <c r="T21" i="8"/>
  <c r="V12" i="25"/>
  <c r="V13" i="25" s="1"/>
  <c r="U49" i="6"/>
  <c r="U20" i="8" l="1"/>
  <c r="T24" i="8"/>
  <c r="U44" i="6"/>
  <c r="U45" i="6"/>
  <c r="V24" i="6" s="1"/>
  <c r="T22" i="8"/>
  <c r="U18" i="8" s="1"/>
  <c r="T50" i="25"/>
  <c r="T52" i="25" s="1"/>
  <c r="T43" i="25"/>
  <c r="T45" i="25" s="1"/>
  <c r="T57" i="25"/>
  <c r="T59" i="25" s="1"/>
  <c r="T27" i="25"/>
  <c r="T28" i="25" s="1"/>
  <c r="T29" i="25" s="1"/>
  <c r="U25" i="25" s="1"/>
  <c r="T37" i="25"/>
  <c r="T38" i="25" s="1"/>
  <c r="U37" i="19"/>
  <c r="U45" i="19" s="1"/>
  <c r="U47" i="19" s="1"/>
  <c r="U56" i="6"/>
  <c r="U48" i="6"/>
  <c r="U57" i="6" l="1"/>
  <c r="V38" i="4" s="1"/>
  <c r="V40" i="4" s="1"/>
  <c r="U26" i="25"/>
  <c r="T29" i="8"/>
  <c r="T30" i="8" s="1"/>
  <c r="U50" i="6"/>
  <c r="V16" i="25"/>
  <c r="U58" i="6"/>
  <c r="V27" i="6"/>
  <c r="V28" i="6" l="1"/>
  <c r="T33" i="8"/>
  <c r="V42" i="4"/>
  <c r="V43" i="4"/>
  <c r="V45" i="4"/>
  <c r="W42" i="19" s="1"/>
  <c r="W43" i="19" s="1"/>
  <c r="U10" i="8"/>
  <c r="U13" i="8" s="1"/>
  <c r="T36" i="8" l="1"/>
  <c r="T39" i="8" s="1"/>
  <c r="U35" i="8" s="1"/>
  <c r="T38" i="8"/>
  <c r="U28" i="8"/>
  <c r="U16" i="8"/>
  <c r="V33" i="6"/>
  <c r="V30" i="6"/>
  <c r="V26" i="6"/>
  <c r="V36" i="6" l="1"/>
  <c r="V52" i="6"/>
  <c r="V37" i="6"/>
  <c r="U19" i="8"/>
  <c r="U21" i="8"/>
  <c r="U37" i="8"/>
  <c r="T41" i="8"/>
  <c r="U15" i="25" s="1"/>
  <c r="U22" i="8" l="1"/>
  <c r="V18" i="8" s="1"/>
  <c r="U18" i="25"/>
  <c r="U21" i="25" s="1"/>
  <c r="V32" i="19"/>
  <c r="V42" i="6"/>
  <c r="V39" i="6"/>
  <c r="V35" i="6"/>
  <c r="V20" i="8"/>
  <c r="U24" i="8"/>
  <c r="W12" i="25"/>
  <c r="W13" i="25" s="1"/>
  <c r="V49" i="6"/>
  <c r="V56" i="6" l="1"/>
  <c r="V48" i="6"/>
  <c r="V45" i="6"/>
  <c r="W24" i="6" s="1"/>
  <c r="V44" i="6"/>
  <c r="U57" i="25"/>
  <c r="U59" i="25" s="1"/>
  <c r="U43" i="25"/>
  <c r="U45" i="25" s="1"/>
  <c r="U50" i="25"/>
  <c r="U52" i="25" s="1"/>
  <c r="U37" i="25"/>
  <c r="U38" i="25" s="1"/>
  <c r="U27" i="25"/>
  <c r="U28" i="25" s="1"/>
  <c r="U29" i="25" s="1"/>
  <c r="V25" i="25" s="1"/>
  <c r="U29" i="8"/>
  <c r="U30" i="8" s="1"/>
  <c r="V37" i="19"/>
  <c r="V45" i="19" s="1"/>
  <c r="V47" i="19" s="1"/>
  <c r="V57" i="6" l="1"/>
  <c r="W38" i="4" s="1"/>
  <c r="W40" i="4" s="1"/>
  <c r="W27" i="6"/>
  <c r="W28" i="6" s="1"/>
  <c r="V26" i="25"/>
  <c r="V50" i="6"/>
  <c r="W16" i="25"/>
  <c r="U33" i="8"/>
  <c r="V58" i="6"/>
  <c r="W30" i="6" l="1"/>
  <c r="W33" i="6"/>
  <c r="W26" i="6"/>
  <c r="U38" i="8"/>
  <c r="U36" i="8"/>
  <c r="U39" i="8" s="1"/>
  <c r="V35" i="8" s="1"/>
  <c r="W42" i="4"/>
  <c r="W45" i="4" s="1"/>
  <c r="X42" i="19" s="1"/>
  <c r="X43" i="19" s="1"/>
  <c r="W43" i="4"/>
  <c r="V10" i="8"/>
  <c r="V13" i="8" s="1"/>
  <c r="V37" i="8" l="1"/>
  <c r="U41" i="8"/>
  <c r="V15" i="25" s="1"/>
  <c r="V16" i="8"/>
  <c r="V28" i="8"/>
  <c r="W52" i="6"/>
  <c r="W36" i="6"/>
  <c r="X12" i="25" l="1"/>
  <c r="X13" i="25" s="1"/>
  <c r="W49" i="6"/>
  <c r="W37" i="6"/>
  <c r="V19" i="8"/>
  <c r="V21" i="8"/>
  <c r="V18" i="25"/>
  <c r="V21" i="25" s="1"/>
  <c r="W32" i="19"/>
  <c r="V22" i="8" l="1"/>
  <c r="W18" i="8" s="1"/>
  <c r="V43" i="25"/>
  <c r="V45" i="25" s="1"/>
  <c r="V37" i="25"/>
  <c r="V38" i="25" s="1"/>
  <c r="V57" i="25"/>
  <c r="V59" i="25" s="1"/>
  <c r="V50" i="25"/>
  <c r="V52" i="25" s="1"/>
  <c r="V27" i="25"/>
  <c r="V28" i="25" s="1"/>
  <c r="V29" i="25" s="1"/>
  <c r="W25" i="25" s="1"/>
  <c r="W20" i="8"/>
  <c r="V24" i="8"/>
  <c r="W39" i="6"/>
  <c r="W42" i="6"/>
  <c r="W35" i="6"/>
  <c r="W37" i="19"/>
  <c r="W45" i="19" s="1"/>
  <c r="W47" i="19" s="1"/>
  <c r="W56" i="6" l="1"/>
  <c r="W48" i="6"/>
  <c r="W44" i="6"/>
  <c r="W45" i="6"/>
  <c r="X24" i="6" s="1"/>
  <c r="W26" i="25"/>
  <c r="V29" i="8"/>
  <c r="V30" i="8" s="1"/>
  <c r="V33" i="8" l="1"/>
  <c r="X27" i="6"/>
  <c r="X28" i="6"/>
  <c r="W57" i="6"/>
  <c r="X38" i="4" s="1"/>
  <c r="X40" i="4" s="1"/>
  <c r="W50" i="6"/>
  <c r="X16" i="25"/>
  <c r="X43" i="4" l="1"/>
  <c r="X45" i="4" s="1"/>
  <c r="Y42" i="19" s="1"/>
  <c r="Y43" i="19" s="1"/>
  <c r="W10" i="8"/>
  <c r="W13" i="8" s="1"/>
  <c r="X42" i="4"/>
  <c r="V38" i="8"/>
  <c r="V36" i="8"/>
  <c r="V39" i="8" s="1"/>
  <c r="W35" i="8" s="1"/>
  <c r="X33" i="6"/>
  <c r="X30" i="6"/>
  <c r="X26" i="6"/>
  <c r="W58" i="6"/>
  <c r="X37" i="6" l="1"/>
  <c r="X36" i="6"/>
  <c r="X52" i="6"/>
  <c r="W37" i="8"/>
  <c r="V41" i="8"/>
  <c r="W15" i="25" s="1"/>
  <c r="W28" i="8"/>
  <c r="W16" i="8"/>
  <c r="X42" i="6" l="1"/>
  <c r="X39" i="6"/>
  <c r="W18" i="25"/>
  <c r="W21" i="25" s="1"/>
  <c r="X32" i="19"/>
  <c r="X35" i="6"/>
  <c r="Y12" i="25"/>
  <c r="Y13" i="25" s="1"/>
  <c r="X49" i="6"/>
  <c r="W19" i="8"/>
  <c r="W21" i="8"/>
  <c r="W27" i="25" l="1"/>
  <c r="W28" i="25" s="1"/>
  <c r="W29" i="25" s="1"/>
  <c r="X25" i="25" s="1"/>
  <c r="W37" i="25"/>
  <c r="W38" i="25" s="1"/>
  <c r="W50" i="25"/>
  <c r="W52" i="25" s="1"/>
  <c r="W57" i="25"/>
  <c r="W59" i="25" s="1"/>
  <c r="W43" i="25"/>
  <c r="W45" i="25" s="1"/>
  <c r="X44" i="6"/>
  <c r="X45" i="6"/>
  <c r="Y24" i="6" s="1"/>
  <c r="X20" i="8"/>
  <c r="W24" i="8"/>
  <c r="W22" i="8"/>
  <c r="X18" i="8" s="1"/>
  <c r="X56" i="6"/>
  <c r="X48" i="6"/>
  <c r="X37" i="19"/>
  <c r="X45" i="19" s="1"/>
  <c r="X47" i="19" s="1"/>
  <c r="X57" i="6" l="1"/>
  <c r="Y38" i="4" s="1"/>
  <c r="Y40" i="4" s="1"/>
  <c r="X58" i="6"/>
  <c r="X26" i="25"/>
  <c r="Y27" i="6"/>
  <c r="W29" i="8"/>
  <c r="W30" i="8" s="1"/>
  <c r="X50" i="6"/>
  <c r="Y16" i="25"/>
  <c r="X10" i="8" l="1"/>
  <c r="X13" i="8" s="1"/>
  <c r="Y42" i="4"/>
  <c r="W33" i="8"/>
  <c r="Y28" i="6"/>
  <c r="W36" i="8" l="1"/>
  <c r="W38" i="8"/>
  <c r="Y43" i="4"/>
  <c r="Y45" i="4" s="1"/>
  <c r="Z42" i="19" s="1"/>
  <c r="Z43" i="19" s="1"/>
  <c r="X16" i="8"/>
  <c r="X28" i="8"/>
  <c r="Y30" i="6"/>
  <c r="Y33" i="6"/>
  <c r="Y26" i="6"/>
  <c r="X19" i="8" l="1"/>
  <c r="X21" i="8"/>
  <c r="X37" i="8"/>
  <c r="W41" i="8"/>
  <c r="X15" i="25" s="1"/>
  <c r="W39" i="8"/>
  <c r="X35" i="8" s="1"/>
  <c r="Y36" i="6"/>
  <c r="Y52" i="6"/>
  <c r="X18" i="25" l="1"/>
  <c r="X21" i="25" s="1"/>
  <c r="Y32" i="19"/>
  <c r="Y49" i="6"/>
  <c r="Z12" i="25"/>
  <c r="Z13" i="25" s="1"/>
  <c r="Y20" i="8"/>
  <c r="X24" i="8"/>
  <c r="Y37" i="6"/>
  <c r="X22" i="8"/>
  <c r="Y18" i="8" s="1"/>
  <c r="Y42" i="6" l="1"/>
  <c r="Y39" i="6"/>
  <c r="Y35" i="6"/>
  <c r="X29" i="8"/>
  <c r="X30" i="8" s="1"/>
  <c r="Y37" i="19"/>
  <c r="Y45" i="19" s="1"/>
  <c r="Y47" i="19" s="1"/>
  <c r="X43" i="25"/>
  <c r="X45" i="25" s="1"/>
  <c r="X57" i="25"/>
  <c r="X59" i="25" s="1"/>
  <c r="X50" i="25"/>
  <c r="X52" i="25" s="1"/>
  <c r="X37" i="25"/>
  <c r="X38" i="25" s="1"/>
  <c r="X27" i="25"/>
  <c r="X28" i="25" s="1"/>
  <c r="X29" i="25" s="1"/>
  <c r="Y25" i="25" s="1"/>
  <c r="Y26" i="25" l="1"/>
  <c r="Y44" i="6"/>
  <c r="Y45" i="6"/>
  <c r="Z24" i="6" s="1"/>
  <c r="X33" i="8"/>
  <c r="Y48" i="6"/>
  <c r="Y56" i="6"/>
  <c r="Y50" i="6" l="1"/>
  <c r="Z16" i="25"/>
  <c r="Y57" i="6"/>
  <c r="Z38" i="4" s="1"/>
  <c r="Z40" i="4" s="1"/>
  <c r="Y58" i="6"/>
  <c r="X38" i="8"/>
  <c r="X36" i="8"/>
  <c r="X39" i="8" s="1"/>
  <c r="Y35" i="8" s="1"/>
  <c r="Z26" i="6"/>
  <c r="Z27" i="6"/>
  <c r="Z28" i="6"/>
  <c r="Y37" i="8" l="1"/>
  <c r="X41" i="8"/>
  <c r="Y15" i="25" s="1"/>
  <c r="Z33" i="6"/>
  <c r="Z30" i="6"/>
  <c r="Z42" i="4"/>
  <c r="Z45" i="4" s="1"/>
  <c r="AA42" i="19" s="1"/>
  <c r="AA43" i="19" s="1"/>
  <c r="Z43" i="4"/>
  <c r="Y10" i="8"/>
  <c r="Y13" i="8" s="1"/>
  <c r="Z52" i="6" l="1"/>
  <c r="Z36" i="6"/>
  <c r="Z37" i="6" s="1"/>
  <c r="Y18" i="25"/>
  <c r="Y21" i="25" s="1"/>
  <c r="Z32" i="19"/>
  <c r="Y16" i="8"/>
  <c r="Y28" i="8"/>
  <c r="Z39" i="6" l="1"/>
  <c r="Z42" i="6"/>
  <c r="Z35" i="6"/>
  <c r="Y21" i="8"/>
  <c r="Y19" i="8"/>
  <c r="Y22" i="8" s="1"/>
  <c r="Z18" i="8" s="1"/>
  <c r="Z37" i="19"/>
  <c r="Z45" i="19" s="1"/>
  <c r="Z47" i="19" s="1"/>
  <c r="Y27" i="25"/>
  <c r="Y28" i="25" s="1"/>
  <c r="Y29" i="25" s="1"/>
  <c r="Z25" i="25" s="1"/>
  <c r="Y37" i="25"/>
  <c r="Y38" i="25" s="1"/>
  <c r="Y50" i="25"/>
  <c r="Y52" i="25" s="1"/>
  <c r="Y57" i="25"/>
  <c r="Y59" i="25" s="1"/>
  <c r="Y43" i="25"/>
  <c r="Y45" i="25" s="1"/>
  <c r="AA12" i="25"/>
  <c r="AA13" i="25" s="1"/>
  <c r="Z49" i="6"/>
  <c r="Z48" i="6" l="1"/>
  <c r="Z56" i="6"/>
  <c r="Z26" i="25"/>
  <c r="Z44" i="6"/>
  <c r="Z45" i="6"/>
  <c r="AA24" i="6" s="1"/>
  <c r="Z20" i="8"/>
  <c r="Y24" i="8"/>
  <c r="Z57" i="6" l="1"/>
  <c r="AA38" i="4" s="1"/>
  <c r="AA40" i="4" s="1"/>
  <c r="Z58" i="6"/>
  <c r="AA28" i="6"/>
  <c r="AA26" i="6" s="1"/>
  <c r="AA27" i="6"/>
  <c r="Y29" i="8"/>
  <c r="Y30" i="8" s="1"/>
  <c r="Z50" i="6"/>
  <c r="AA16" i="25"/>
  <c r="Y33" i="8" l="1"/>
  <c r="AA30" i="6"/>
  <c r="AA33" i="6"/>
  <c r="AA42" i="4"/>
  <c r="AA43" i="4" s="1"/>
  <c r="Z10" i="8"/>
  <c r="Z13" i="8" s="1"/>
  <c r="AA45" i="4" l="1"/>
  <c r="AB42" i="19" s="1"/>
  <c r="AB43" i="19" s="1"/>
  <c r="AA36" i="6"/>
  <c r="AA52" i="6"/>
  <c r="Z16" i="8"/>
  <c r="Z28" i="8"/>
  <c r="Y36" i="8"/>
  <c r="Y38" i="8"/>
  <c r="Z21" i="8" l="1"/>
  <c r="Z19" i="8"/>
  <c r="Z22" i="8" s="1"/>
  <c r="AA18" i="8" s="1"/>
  <c r="AA49" i="6"/>
  <c r="AB12" i="25"/>
  <c r="AB13" i="25" s="1"/>
  <c r="AA37" i="6"/>
  <c r="Z37" i="8"/>
  <c r="Y41" i="8"/>
  <c r="Z15" i="25" s="1"/>
  <c r="Y39" i="8"/>
  <c r="Z35" i="8" s="1"/>
  <c r="AA42" i="6" l="1"/>
  <c r="AA39" i="6"/>
  <c r="AA35" i="6"/>
  <c r="AA20" i="8"/>
  <c r="Z24" i="8"/>
  <c r="Z18" i="25"/>
  <c r="Z21" i="25" s="1"/>
  <c r="AA32" i="19"/>
  <c r="AA37" i="19" l="1"/>
  <c r="AA45" i="19" s="1"/>
  <c r="AA47" i="19" s="1"/>
  <c r="Z29" i="8"/>
  <c r="Z30" i="8" s="1"/>
  <c r="AA48" i="6"/>
  <c r="AA56" i="6"/>
  <c r="Z50" i="25"/>
  <c r="Z52" i="25" s="1"/>
  <c r="Z37" i="25"/>
  <c r="Z38" i="25" s="1"/>
  <c r="Z27" i="25"/>
  <c r="Z28" i="25" s="1"/>
  <c r="Z29" i="25" s="1"/>
  <c r="AA25" i="25" s="1"/>
  <c r="Z57" i="25"/>
  <c r="Z59" i="25" s="1"/>
  <c r="Z43" i="25"/>
  <c r="Z45" i="25" s="1"/>
  <c r="AA45" i="6"/>
  <c r="AB24" i="6" s="1"/>
  <c r="AA44" i="6"/>
  <c r="AA50" i="6" l="1"/>
  <c r="AB16" i="25"/>
  <c r="AA57" i="6"/>
  <c r="AB38" i="4" s="1"/>
  <c r="AB40" i="4" s="1"/>
  <c r="AB27" i="6"/>
  <c r="Z33" i="8"/>
  <c r="AA26" i="25"/>
  <c r="AB28" i="6" l="1"/>
  <c r="AA58" i="6"/>
  <c r="AB42" i="4"/>
  <c r="AB43" i="4" s="1"/>
  <c r="AB45" i="4" s="1"/>
  <c r="AC42" i="19" s="1"/>
  <c r="AC43" i="19" s="1"/>
  <c r="AA10" i="8"/>
  <c r="AA13" i="8" s="1"/>
  <c r="Z38" i="8"/>
  <c r="Z36" i="8"/>
  <c r="AA37" i="8" l="1"/>
  <c r="Z41" i="8"/>
  <c r="AA15" i="25" s="1"/>
  <c r="AA16" i="8"/>
  <c r="AA28" i="8"/>
  <c r="AB33" i="6"/>
  <c r="AB30" i="6"/>
  <c r="AB26" i="6"/>
  <c r="Z39" i="8"/>
  <c r="AA35" i="8" s="1"/>
  <c r="AB36" i="6" l="1"/>
  <c r="AB37" i="6"/>
  <c r="AB35" i="6"/>
  <c r="AB52" i="6"/>
  <c r="AA18" i="25"/>
  <c r="AA21" i="25" s="1"/>
  <c r="AB32" i="19"/>
  <c r="AA19" i="8"/>
  <c r="AA22" i="8" s="1"/>
  <c r="AB18" i="8" s="1"/>
  <c r="AA21" i="8"/>
  <c r="AA27" i="25" l="1"/>
  <c r="AA28" i="25" s="1"/>
  <c r="AA29" i="25" s="1"/>
  <c r="AB25" i="25" s="1"/>
  <c r="AA37" i="25"/>
  <c r="AA38" i="25" s="1"/>
  <c r="AA50" i="25"/>
  <c r="AA52" i="25" s="1"/>
  <c r="AA43" i="25"/>
  <c r="AA45" i="25" s="1"/>
  <c r="AA57" i="25"/>
  <c r="AA59" i="25" s="1"/>
  <c r="AB48" i="6"/>
  <c r="AB56" i="6"/>
  <c r="AB37" i="19"/>
  <c r="AB45" i="19" s="1"/>
  <c r="AB47" i="19" s="1"/>
  <c r="AB42" i="6"/>
  <c r="AB39" i="6"/>
  <c r="AB20" i="8"/>
  <c r="AA24" i="8"/>
  <c r="AC12" i="25"/>
  <c r="AC13" i="25" s="1"/>
  <c r="AB49" i="6"/>
  <c r="AB50" i="6" l="1"/>
  <c r="AC16" i="25"/>
  <c r="AA29" i="8"/>
  <c r="AA30" i="8" s="1"/>
  <c r="AB44" i="6"/>
  <c r="AB45" i="6"/>
  <c r="AC24" i="6" s="1"/>
  <c r="AB26" i="25"/>
  <c r="AC27" i="6" l="1"/>
  <c r="AC28" i="6"/>
  <c r="AA33" i="8"/>
  <c r="AB57" i="6"/>
  <c r="AC38" i="4" l="1"/>
  <c r="AC40" i="4" s="1"/>
  <c r="AB58" i="6"/>
  <c r="AC30" i="6"/>
  <c r="AC33" i="6"/>
  <c r="AA36" i="8"/>
  <c r="AA38" i="8"/>
  <c r="AC26" i="6"/>
  <c r="AB37" i="8" l="1"/>
  <c r="AA41" i="8"/>
  <c r="AB15" i="25" s="1"/>
  <c r="AA39" i="8"/>
  <c r="AB35" i="8" s="1"/>
  <c r="AC37" i="6"/>
  <c r="AC35" i="6" s="1"/>
  <c r="AC36" i="6"/>
  <c r="AC52" i="6"/>
  <c r="AC42" i="4"/>
  <c r="AB10" i="8"/>
  <c r="AB13" i="8" s="1"/>
  <c r="AC48" i="6" l="1"/>
  <c r="AC56" i="6"/>
  <c r="AB28" i="8"/>
  <c r="AB16" i="8"/>
  <c r="AD12" i="25"/>
  <c r="AD13" i="25" s="1"/>
  <c r="AC49" i="6"/>
  <c r="AC42" i="6"/>
  <c r="AC39" i="6"/>
  <c r="AC43" i="4"/>
  <c r="AC45" i="4" s="1"/>
  <c r="AD42" i="19" s="1"/>
  <c r="AD43" i="19" s="1"/>
  <c r="AB18" i="25"/>
  <c r="AB21" i="25" s="1"/>
  <c r="AC32" i="19"/>
  <c r="AC37" i="19" l="1"/>
  <c r="AC45" i="19" s="1"/>
  <c r="AC47" i="19" s="1"/>
  <c r="AB50" i="25"/>
  <c r="AB52" i="25" s="1"/>
  <c r="AB43" i="25"/>
  <c r="AB45" i="25" s="1"/>
  <c r="AB57" i="25"/>
  <c r="AB59" i="25" s="1"/>
  <c r="AB27" i="25"/>
  <c r="AB28" i="25" s="1"/>
  <c r="AB29" i="25" s="1"/>
  <c r="AC25" i="25" s="1"/>
  <c r="AB37" i="25"/>
  <c r="AB38" i="25" s="1"/>
  <c r="AB19" i="8"/>
  <c r="AB21" i="8"/>
  <c r="AC44" i="6"/>
  <c r="AC45" i="6"/>
  <c r="AD24" i="6" s="1"/>
  <c r="AC50" i="6"/>
  <c r="AD16" i="25"/>
  <c r="AC26" i="25" l="1"/>
  <c r="AD27" i="6"/>
  <c r="AC57" i="6"/>
  <c r="AC20" i="8"/>
  <c r="AB24" i="8"/>
  <c r="AB22" i="8"/>
  <c r="AC18" i="8" s="1"/>
  <c r="AD28" i="6" l="1"/>
  <c r="AD38" i="4"/>
  <c r="AD40" i="4" s="1"/>
  <c r="AC58" i="6"/>
  <c r="AB29" i="8"/>
  <c r="AB30" i="8" s="1"/>
  <c r="AB33" i="8" l="1"/>
  <c r="AD42" i="4"/>
  <c r="AD43" i="4"/>
  <c r="AD45" i="4"/>
  <c r="AE42" i="19" s="1"/>
  <c r="AE43" i="19" s="1"/>
  <c r="AC10" i="8"/>
  <c r="AC13" i="8" s="1"/>
  <c r="AD30" i="6"/>
  <c r="AD33" i="6"/>
  <c r="AD26" i="6"/>
  <c r="AD36" i="6" l="1"/>
  <c r="AD52" i="6"/>
  <c r="AD37" i="6"/>
  <c r="AD35" i="6" s="1"/>
  <c r="AC28" i="8"/>
  <c r="AC16" i="8"/>
  <c r="AB36" i="8"/>
  <c r="AB38" i="8"/>
  <c r="AD48" i="6" l="1"/>
  <c r="AD56" i="6"/>
  <c r="AD39" i="6"/>
  <c r="AD42" i="6"/>
  <c r="AE12" i="25"/>
  <c r="AE13" i="25" s="1"/>
  <c r="AD49" i="6"/>
  <c r="AC21" i="8"/>
  <c r="AC19" i="8"/>
  <c r="AC22" i="8" s="1"/>
  <c r="AD18" i="8" s="1"/>
  <c r="AC37" i="8"/>
  <c r="AB41" i="8"/>
  <c r="AC15" i="25" s="1"/>
  <c r="AB39" i="8"/>
  <c r="AC35" i="8" s="1"/>
  <c r="AD20" i="8" l="1"/>
  <c r="AC24" i="8"/>
  <c r="AC18" i="25"/>
  <c r="AC21" i="25" s="1"/>
  <c r="AD32" i="19"/>
  <c r="AD50" i="6"/>
  <c r="AE16" i="25"/>
  <c r="AD45" i="6"/>
  <c r="AE24" i="6" s="1"/>
  <c r="AD44" i="6"/>
  <c r="AD37" i="19" l="1"/>
  <c r="AD45" i="19" s="1"/>
  <c r="AD47" i="19" s="1"/>
  <c r="AC27" i="25"/>
  <c r="AC28" i="25" s="1"/>
  <c r="AC29" i="25" s="1"/>
  <c r="AD25" i="25" s="1"/>
  <c r="AC57" i="25"/>
  <c r="AC59" i="25" s="1"/>
  <c r="AC43" i="25"/>
  <c r="AC45" i="25" s="1"/>
  <c r="AC50" i="25"/>
  <c r="AC52" i="25" s="1"/>
  <c r="AC37" i="25"/>
  <c r="AC38" i="25" s="1"/>
  <c r="AD57" i="6"/>
  <c r="AC29" i="8"/>
  <c r="AC30" i="8" s="1"/>
  <c r="AE27" i="6"/>
  <c r="AE28" i="6" l="1"/>
  <c r="AD26" i="25"/>
  <c r="AC33" i="8"/>
  <c r="AE38" i="4"/>
  <c r="AE40" i="4" s="1"/>
  <c r="AD58" i="6"/>
  <c r="AE42" i="4" l="1"/>
  <c r="AE45" i="4" s="1"/>
  <c r="AF42" i="19" s="1"/>
  <c r="AF43" i="19" s="1"/>
  <c r="AE43" i="4"/>
  <c r="AD10" i="8"/>
  <c r="AD13" i="8" s="1"/>
  <c r="AC38" i="8"/>
  <c r="AC36" i="8"/>
  <c r="AC39" i="8" s="1"/>
  <c r="AD35" i="8" s="1"/>
  <c r="AE30" i="6"/>
  <c r="AE33" i="6"/>
  <c r="AE26" i="6"/>
  <c r="AE52" i="6" l="1"/>
  <c r="AE36" i="6"/>
  <c r="AD37" i="8"/>
  <c r="AC41" i="8"/>
  <c r="AD15" i="25" s="1"/>
  <c r="AD28" i="8"/>
  <c r="AD16" i="8"/>
  <c r="AD18" i="25" l="1"/>
  <c r="AD21" i="25" s="1"/>
  <c r="AE32" i="19"/>
  <c r="AE49" i="6"/>
  <c r="AF12" i="25"/>
  <c r="AF13" i="25" s="1"/>
  <c r="AD19" i="8"/>
  <c r="AD22" i="8" s="1"/>
  <c r="AE18" i="8" s="1"/>
  <c r="AD21" i="8"/>
  <c r="AE37" i="6"/>
  <c r="AE39" i="6" l="1"/>
  <c r="AE42" i="6"/>
  <c r="AE35" i="6"/>
  <c r="AD43" i="25"/>
  <c r="AD45" i="25" s="1"/>
  <c r="AD27" i="25"/>
  <c r="AD28" i="25" s="1"/>
  <c r="AD29" i="25" s="1"/>
  <c r="AE25" i="25" s="1"/>
  <c r="AD57" i="25"/>
  <c r="AD59" i="25" s="1"/>
  <c r="AD50" i="25"/>
  <c r="AD52" i="25" s="1"/>
  <c r="AD37" i="25"/>
  <c r="AD38" i="25" s="1"/>
  <c r="AE20" i="8"/>
  <c r="AD24" i="8"/>
  <c r="AE37" i="19"/>
  <c r="AE45" i="19" s="1"/>
  <c r="AE47" i="19" s="1"/>
  <c r="AD29" i="8" l="1"/>
  <c r="AD30" i="8" s="1"/>
  <c r="AE56" i="6"/>
  <c r="AE48" i="6"/>
  <c r="AE45" i="6"/>
  <c r="AF24" i="6" s="1"/>
  <c r="AE44" i="6"/>
  <c r="AE26" i="25"/>
  <c r="AE57" i="6" l="1"/>
  <c r="AF38" i="4" s="1"/>
  <c r="AF40" i="4" s="1"/>
  <c r="AF27" i="6"/>
  <c r="AE50" i="6"/>
  <c r="AF16" i="25"/>
  <c r="AE58" i="6"/>
  <c r="AD33" i="8"/>
  <c r="AF42" i="4" l="1"/>
  <c r="AF43" i="4" s="1"/>
  <c r="AF45" i="4" s="1"/>
  <c r="AG42" i="19" s="1"/>
  <c r="AG43" i="19" s="1"/>
  <c r="AE10" i="8"/>
  <c r="AE13" i="8" s="1"/>
  <c r="AF28" i="6"/>
  <c r="AD36" i="8"/>
  <c r="AD39" i="8" s="1"/>
  <c r="AE35" i="8" s="1"/>
  <c r="AD38" i="8"/>
  <c r="AF30" i="6" l="1"/>
  <c r="AF33" i="6"/>
  <c r="AF26" i="6"/>
  <c r="AE28" i="8"/>
  <c r="AE16" i="8"/>
  <c r="AE37" i="8"/>
  <c r="AD41" i="8"/>
  <c r="AE15" i="25" s="1"/>
  <c r="AE19" i="8" l="1"/>
  <c r="AE21" i="8"/>
  <c r="AF36" i="6"/>
  <c r="AF52" i="6"/>
  <c r="AE18" i="25"/>
  <c r="AE21" i="25" s="1"/>
  <c r="AF32" i="19"/>
  <c r="AF37" i="19" l="1"/>
  <c r="AF45" i="19" s="1"/>
  <c r="AF47" i="19" s="1"/>
  <c r="AE27" i="25"/>
  <c r="AE28" i="25" s="1"/>
  <c r="AE29" i="25" s="1"/>
  <c r="AF25" i="25" s="1"/>
  <c r="AE37" i="25"/>
  <c r="AE38" i="25" s="1"/>
  <c r="AE43" i="25"/>
  <c r="AE45" i="25" s="1"/>
  <c r="AE57" i="25"/>
  <c r="AE59" i="25" s="1"/>
  <c r="AE50" i="25"/>
  <c r="AE52" i="25" s="1"/>
  <c r="AF49" i="6"/>
  <c r="AG12" i="25"/>
  <c r="AG13" i="25" s="1"/>
  <c r="AF37" i="6"/>
  <c r="E68" i="6"/>
  <c r="E69" i="6"/>
  <c r="AF20" i="8"/>
  <c r="AE24" i="8"/>
  <c r="AE22" i="8"/>
  <c r="AF18" i="8" s="1"/>
  <c r="AF42" i="6" l="1"/>
  <c r="AF39" i="6"/>
  <c r="AF35" i="6"/>
  <c r="AE29" i="8"/>
  <c r="AE30" i="8" s="1"/>
  <c r="D65" i="2"/>
  <c r="C9" i="16"/>
  <c r="C12" i="16" s="1"/>
  <c r="C65" i="2"/>
  <c r="D9" i="16"/>
  <c r="D12" i="16" s="1"/>
  <c r="AF26" i="25"/>
  <c r="AF56" i="6" l="1"/>
  <c r="AF48" i="6"/>
  <c r="B77" i="6"/>
  <c r="E66" i="6" s="1"/>
  <c r="G35" i="2" s="1"/>
  <c r="AE33" i="8"/>
  <c r="AF45" i="6"/>
  <c r="AF44" i="6"/>
  <c r="AF57" i="6" s="1"/>
  <c r="AG38" i="4" s="1"/>
  <c r="AG40" i="4" s="1"/>
  <c r="AF10" i="8" l="1"/>
  <c r="AF13" i="8" s="1"/>
  <c r="AG42" i="4"/>
  <c r="AG43" i="4" s="1"/>
  <c r="AG45" i="4" s="1"/>
  <c r="AH42" i="19" s="1"/>
  <c r="AH43" i="19" s="1"/>
  <c r="AE38" i="8"/>
  <c r="AE36" i="8"/>
  <c r="AE39" i="8" s="1"/>
  <c r="AF35" i="8" s="1"/>
  <c r="AF50" i="6"/>
  <c r="AG16" i="25"/>
  <c r="AF58" i="6"/>
  <c r="AF37" i="8" l="1"/>
  <c r="AE41" i="8"/>
  <c r="AF15" i="25" s="1"/>
  <c r="AF28" i="8"/>
  <c r="AF16" i="8"/>
  <c r="AF19" i="8" l="1"/>
  <c r="AF21" i="8"/>
  <c r="AF24" i="8" s="1"/>
  <c r="AF18" i="25"/>
  <c r="AF21" i="25" s="1"/>
  <c r="AG32" i="19"/>
  <c r="AG37" i="19" l="1"/>
  <c r="AG45" i="19" s="1"/>
  <c r="AG47" i="19" s="1"/>
  <c r="AF43" i="25"/>
  <c r="AF45" i="25" s="1"/>
  <c r="AF57" i="25"/>
  <c r="AF59" i="25" s="1"/>
  <c r="AF50" i="25"/>
  <c r="AF52" i="25" s="1"/>
  <c r="AF27" i="25"/>
  <c r="AF28" i="25" s="1"/>
  <c r="AF29" i="25" s="1"/>
  <c r="AG25" i="25" s="1"/>
  <c r="AF37" i="25"/>
  <c r="AF38" i="25" s="1"/>
  <c r="AF29" i="8"/>
  <c r="AF30" i="8" s="1"/>
  <c r="AF22" i="8"/>
  <c r="AG26" i="25" l="1"/>
  <c r="AF33" i="8"/>
  <c r="AF36" i="8" l="1"/>
  <c r="AF39" i="8" s="1"/>
  <c r="AF38" i="8"/>
  <c r="AF41" i="8" s="1"/>
  <c r="AG15" i="25" s="1"/>
  <c r="AG18" i="25" l="1"/>
  <c r="AG21" i="25" s="1"/>
  <c r="AH32" i="19"/>
  <c r="AH37" i="19" s="1"/>
  <c r="AH45" i="19" s="1"/>
  <c r="AH47" i="19" s="1"/>
  <c r="AG27" i="25" l="1"/>
  <c r="AG28" i="25" s="1"/>
  <c r="AG29" i="25" s="1"/>
  <c r="AG37" i="25"/>
  <c r="AG38" i="25" s="1"/>
  <c r="C39" i="25" s="1"/>
  <c r="AG43" i="25"/>
  <c r="AG45" i="25" s="1"/>
  <c r="C46" i="25" s="1"/>
  <c r="C69" i="2" s="1"/>
  <c r="AG57" i="25"/>
  <c r="AG59" i="25" s="1"/>
  <c r="C60" i="25" s="1"/>
  <c r="C71" i="2" s="1"/>
  <c r="AG50" i="25"/>
  <c r="AG52" i="25" s="1"/>
  <c r="C53" i="25" s="1"/>
  <c r="C70" i="2" s="1"/>
  <c r="C68" i="2" l="1"/>
  <c r="B9" i="16"/>
  <c r="B12" i="16" s="1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<sst xmlns="http://schemas.openxmlformats.org/spreadsheetml/2006/main" count="569" uniqueCount="442">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</sst>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3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3" fontId="22" fillId="8" borderId="0" xfId="3" applyNumberFormat="1" applyFont="1" applyFill="1" applyBorder="1"/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168</v>
      </c>
      <c r="C2" s="5"/>
    </row>
    <row r="3" spans="1:18" s="46" customFormat="1" ht="15.75"/>
    <row r="4" spans="1:18" s="46" customFormat="1" ht="18.75">
      <c r="A4" s="479">
        <v>1</v>
      </c>
      <c r="B4" s="210" t="s">
        <v>407</v>
      </c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</row>
    <row r="5" spans="1:18" s="46" customFormat="1" ht="18.75">
      <c r="B5" s="210" t="s">
        <v>408</v>
      </c>
      <c r="C5" s="479"/>
      <c r="D5" s="479"/>
      <c r="E5" s="479"/>
      <c r="F5" s="479"/>
      <c r="G5" s="479"/>
      <c r="H5" s="479"/>
      <c r="I5" s="479"/>
      <c r="J5" s="479"/>
      <c r="K5" s="479"/>
      <c r="L5" s="479"/>
      <c r="M5" s="479"/>
      <c r="N5" s="479"/>
      <c r="O5" s="479"/>
      <c r="P5" s="479"/>
      <c r="Q5" s="479"/>
    </row>
    <row r="6" spans="1:18" s="46" customFormat="1" ht="15.75">
      <c r="A6" s="12">
        <v>2</v>
      </c>
      <c r="B6" s="53" t="s">
        <v>318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211</v>
      </c>
    </row>
    <row r="13" spans="1:18" s="46" customFormat="1" ht="15.75">
      <c r="A13" s="480"/>
      <c r="B13" s="12"/>
      <c r="C13" s="12"/>
      <c r="D13" s="12"/>
      <c r="E13" s="12"/>
      <c r="F13" s="12"/>
      <c r="G13" s="12"/>
      <c r="H13" s="12"/>
      <c r="I13" s="481" t="s">
        <v>212</v>
      </c>
      <c r="J13" s="12"/>
      <c r="K13" s="12"/>
      <c r="L13" s="12"/>
      <c r="M13" s="12"/>
      <c r="N13" s="12"/>
      <c r="O13" s="481"/>
      <c r="P13" s="12"/>
    </row>
    <row r="14" spans="1:18" s="46" customFormat="1" ht="15.75">
      <c r="A14" s="12">
        <v>1</v>
      </c>
      <c r="B14" s="12" t="s">
        <v>379</v>
      </c>
      <c r="C14" s="12"/>
      <c r="D14" s="12"/>
      <c r="E14" s="12"/>
      <c r="F14" s="12"/>
      <c r="G14" s="12"/>
      <c r="H14" s="12"/>
      <c r="I14" s="12" t="s">
        <v>213</v>
      </c>
      <c r="J14" s="12"/>
      <c r="K14" s="12"/>
      <c r="L14" s="12"/>
      <c r="M14" s="12"/>
      <c r="N14" s="12"/>
      <c r="O14" s="482"/>
      <c r="P14" s="12"/>
    </row>
    <row r="15" spans="1:18" s="46" customFormat="1" ht="15.75">
      <c r="A15" s="12"/>
      <c r="B15" s="12" t="s">
        <v>279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2"/>
      <c r="P15" s="12"/>
    </row>
    <row r="16" spans="1:18" s="46" customFormat="1" ht="15.75">
      <c r="A16" s="12">
        <v>2</v>
      </c>
      <c r="B16" s="12" t="s">
        <v>239</v>
      </c>
      <c r="C16" s="12"/>
      <c r="D16" s="12"/>
      <c r="E16" s="12"/>
      <c r="F16" s="12"/>
      <c r="G16" s="12"/>
      <c r="H16" s="12"/>
      <c r="I16" s="12" t="s">
        <v>213</v>
      </c>
      <c r="J16" s="12"/>
      <c r="K16" s="12"/>
      <c r="L16" s="12"/>
      <c r="M16" s="12"/>
      <c r="N16" s="12"/>
      <c r="O16" s="482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374</v>
      </c>
      <c r="J17" s="12"/>
      <c r="K17" s="12"/>
      <c r="L17" s="12"/>
      <c r="M17" s="12"/>
      <c r="N17" s="12"/>
      <c r="O17" s="482"/>
      <c r="P17" s="12"/>
    </row>
    <row r="18" spans="1:16" s="46" customFormat="1" ht="15.75">
      <c r="A18" s="12">
        <v>4</v>
      </c>
      <c r="B18" s="12" t="s">
        <v>265</v>
      </c>
      <c r="C18" s="12"/>
      <c r="D18" s="12"/>
      <c r="E18" s="12"/>
      <c r="F18" s="12"/>
      <c r="G18" s="12"/>
      <c r="H18" s="12"/>
      <c r="I18" s="12" t="s">
        <v>426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320</v>
      </c>
      <c r="C19" s="12"/>
      <c r="D19" s="12"/>
      <c r="E19" s="12"/>
      <c r="F19" s="12"/>
      <c r="G19" s="12"/>
      <c r="H19" s="12"/>
      <c r="I19" s="12" t="s">
        <v>289</v>
      </c>
      <c r="J19" s="12"/>
      <c r="K19" s="12"/>
      <c r="L19" s="12"/>
      <c r="M19" s="12"/>
      <c r="N19" s="12"/>
      <c r="O19" s="482"/>
      <c r="P19" s="12"/>
    </row>
    <row r="20" spans="1:16" s="46" customFormat="1" ht="15.75">
      <c r="A20" s="12">
        <v>6</v>
      </c>
      <c r="B20" s="12" t="s">
        <v>340</v>
      </c>
      <c r="C20" s="12"/>
      <c r="D20" s="12"/>
      <c r="E20" s="12"/>
      <c r="F20" s="12"/>
      <c r="G20" s="12"/>
      <c r="H20" s="12"/>
      <c r="I20" s="12" t="s">
        <v>341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372</v>
      </c>
      <c r="C21" s="12"/>
      <c r="D21" s="12"/>
      <c r="E21" s="12"/>
      <c r="F21" s="12"/>
      <c r="G21" s="12"/>
      <c r="H21" s="12"/>
      <c r="I21" s="12" t="s">
        <v>289</v>
      </c>
      <c r="J21" s="12"/>
      <c r="K21" s="12"/>
      <c r="L21" s="12"/>
      <c r="M21" s="12"/>
      <c r="N21" s="12"/>
      <c r="O21" s="482"/>
      <c r="P21" s="12"/>
    </row>
    <row r="22" spans="1:16" s="46" customFormat="1" ht="15.75">
      <c r="A22" s="12">
        <v>8</v>
      </c>
      <c r="B22" s="12" t="s">
        <v>375</v>
      </c>
      <c r="C22" s="12"/>
      <c r="D22" s="12"/>
      <c r="E22" s="12"/>
      <c r="F22" s="12"/>
      <c r="G22" s="12"/>
      <c r="H22" s="12"/>
      <c r="I22" s="12" t="s">
        <v>376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416</v>
      </c>
      <c r="C23" s="12"/>
      <c r="D23" s="12"/>
      <c r="E23" s="12"/>
      <c r="F23" s="12"/>
      <c r="G23" s="12"/>
      <c r="H23" s="12"/>
      <c r="I23" s="12" t="s">
        <v>289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282</v>
      </c>
    </row>
    <row r="28" spans="1:16" s="46" customFormat="1" ht="18.75">
      <c r="A28" s="287"/>
    </row>
    <row r="29" spans="1:16" s="46" customFormat="1" ht="15.75">
      <c r="A29" s="12"/>
      <c r="B29" s="483" t="s">
        <v>307</v>
      </c>
      <c r="C29" s="12"/>
      <c r="D29" s="12"/>
      <c r="E29" s="483" t="s">
        <v>306</v>
      </c>
      <c r="F29" s="483"/>
      <c r="G29" s="483"/>
      <c r="H29" s="483" t="s">
        <v>308</v>
      </c>
      <c r="I29" s="12"/>
      <c r="J29" s="12"/>
    </row>
    <row r="30" spans="1:16" s="46" customFormat="1" ht="15.75">
      <c r="A30" s="12"/>
      <c r="B30" s="12" t="s">
        <v>381</v>
      </c>
      <c r="C30" s="12"/>
      <c r="D30" s="12"/>
      <c r="E30" s="12" t="s">
        <v>291</v>
      </c>
      <c r="F30" s="12"/>
      <c r="G30" s="12"/>
      <c r="H30" s="12" t="s">
        <v>303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292</v>
      </c>
      <c r="F31" s="12"/>
      <c r="G31" s="12"/>
      <c r="H31" s="12" t="s">
        <v>304</v>
      </c>
      <c r="I31" s="12"/>
      <c r="J31" s="12"/>
    </row>
    <row r="32" spans="1:16" s="46" customFormat="1" ht="15.75">
      <c r="A32" s="12"/>
      <c r="B32" s="12" t="s">
        <v>382</v>
      </c>
      <c r="C32" s="12"/>
      <c r="D32" s="12"/>
      <c r="E32" s="12" t="s">
        <v>293</v>
      </c>
      <c r="F32" s="12"/>
      <c r="G32" s="12"/>
      <c r="H32" s="12" t="s">
        <v>305</v>
      </c>
      <c r="I32" s="12"/>
      <c r="J32" s="12"/>
    </row>
    <row r="33" spans="1:10" s="46" customFormat="1" ht="15.75">
      <c r="A33" s="12"/>
      <c r="B33" s="12" t="s">
        <v>287</v>
      </c>
      <c r="C33" s="12"/>
      <c r="D33" s="12"/>
      <c r="E33" s="12" t="s">
        <v>288</v>
      </c>
      <c r="F33" s="12"/>
      <c r="G33" s="12"/>
      <c r="H33" s="12" t="s">
        <v>300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289</v>
      </c>
      <c r="F34" s="12"/>
      <c r="G34" s="12"/>
      <c r="H34" s="12" t="s">
        <v>301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290</v>
      </c>
      <c r="F35" s="12"/>
      <c r="G35" s="12"/>
      <c r="H35" s="12" t="s">
        <v>302</v>
      </c>
      <c r="I35" s="12"/>
      <c r="J35" s="12"/>
    </row>
    <row r="36" spans="1:10" s="46" customFormat="1" ht="15.75">
      <c r="A36" s="12"/>
      <c r="B36" s="12" t="s">
        <v>285</v>
      </c>
      <c r="C36" s="12"/>
      <c r="D36" s="12"/>
      <c r="E36" s="12" t="s">
        <v>286</v>
      </c>
      <c r="F36" s="12"/>
      <c r="G36" s="12"/>
      <c r="H36" s="12" t="s">
        <v>299</v>
      </c>
      <c r="I36" s="12"/>
      <c r="J36" s="12"/>
    </row>
    <row r="37" spans="1:10" s="46" customFormat="1" ht="15.75">
      <c r="A37" s="12"/>
      <c r="B37" s="12" t="s">
        <v>340</v>
      </c>
      <c r="C37" s="12"/>
      <c r="D37" s="12"/>
      <c r="E37" s="12" t="s">
        <v>341</v>
      </c>
      <c r="F37" s="12"/>
      <c r="G37" s="12"/>
      <c r="H37" s="12" t="s">
        <v>338</v>
      </c>
      <c r="I37" s="12"/>
      <c r="J37" s="12"/>
    </row>
    <row r="38" spans="1:10" s="46" customFormat="1" ht="15.75">
      <c r="A38" s="12"/>
      <c r="B38" s="12" t="s">
        <v>283</v>
      </c>
      <c r="C38" s="12"/>
      <c r="D38" s="12"/>
      <c r="E38" s="12" t="s">
        <v>284</v>
      </c>
      <c r="F38" s="12"/>
      <c r="G38" s="12"/>
      <c r="H38" s="12" t="s">
        <v>339</v>
      </c>
      <c r="I38" s="12"/>
      <c r="J38" s="12"/>
    </row>
    <row r="39" spans="1:10" s="46" customFormat="1" ht="15.75">
      <c r="A39" s="12"/>
      <c r="B39" s="12" t="s">
        <v>421</v>
      </c>
      <c r="C39" s="12"/>
      <c r="D39" s="12"/>
      <c r="E39" s="12" t="s">
        <v>405</v>
      </c>
      <c r="F39" s="12"/>
      <c r="G39" s="12"/>
      <c r="H39" s="12" t="s">
        <v>406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430</v>
      </c>
      <c r="F40" s="12"/>
      <c r="G40" s="12"/>
      <c r="H40" s="12" t="s">
        <v>431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213</v>
      </c>
      <c r="F41" s="12"/>
      <c r="G41" s="12"/>
      <c r="H41" s="12" t="s">
        <v>298</v>
      </c>
      <c r="I41" s="12"/>
      <c r="J41" s="12"/>
    </row>
    <row r="42" spans="1:10" s="46" customFormat="1" ht="15.75">
      <c r="A42" s="12"/>
      <c r="B42" s="12" t="s">
        <v>377</v>
      </c>
      <c r="C42" s="12"/>
      <c r="D42" s="12"/>
      <c r="E42" s="12" t="s">
        <v>403</v>
      </c>
      <c r="F42" s="12"/>
      <c r="G42" s="12"/>
      <c r="H42" s="12" t="s">
        <v>404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376</v>
      </c>
      <c r="F43" s="12"/>
      <c r="G43" s="12"/>
      <c r="H43" s="12" t="s">
        <v>378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256</v>
      </c>
      <c r="B12" s="31">
        <f>Assumptions!$N$39</f>
        <v>15</v>
      </c>
      <c r="C12" s="32"/>
      <c r="D12" s="284">
        <v>0.05</v>
      </c>
      <c r="E12" s="284">
        <v>9.5000000000000001E-2</v>
      </c>
      <c r="F12" s="284">
        <v>8.5500000000000007E-2</v>
      </c>
      <c r="G12" s="284">
        <v>7.6999999999999999E-2</v>
      </c>
      <c r="H12" s="284">
        <v>6.93E-2</v>
      </c>
      <c r="I12" s="284">
        <v>6.2300000000000001E-2</v>
      </c>
      <c r="J12" s="284">
        <v>5.8999999999999997E-2</v>
      </c>
      <c r="K12" s="284">
        <v>5.91E-2</v>
      </c>
      <c r="L12" s="284">
        <v>5.8999999999999997E-2</v>
      </c>
      <c r="M12" s="284">
        <v>5.91E-2</v>
      </c>
      <c r="N12" s="284">
        <v>5.8999999999999997E-2</v>
      </c>
      <c r="O12" s="284">
        <v>5.91E-2</v>
      </c>
      <c r="P12" s="284">
        <v>5.8999999999999997E-2</v>
      </c>
      <c r="Q12" s="284">
        <v>5.91E-2</v>
      </c>
      <c r="R12" s="284">
        <v>5.8999999999999997E-2</v>
      </c>
      <c r="S12" s="284">
        <v>2.9499999999999998E-2</v>
      </c>
      <c r="T12" s="284">
        <v>0</v>
      </c>
      <c r="U12" s="284">
        <v>0</v>
      </c>
      <c r="V12" s="284">
        <v>0</v>
      </c>
      <c r="W12" s="284">
        <v>0</v>
      </c>
      <c r="X12" s="284">
        <v>0</v>
      </c>
      <c r="Y12" s="284">
        <v>0</v>
      </c>
      <c r="Z12" s="284">
        <v>0</v>
      </c>
      <c r="AA12" s="284">
        <v>0</v>
      </c>
      <c r="AB12" s="284">
        <v>0</v>
      </c>
      <c r="AC12" s="284">
        <v>0</v>
      </c>
      <c r="AD12" s="284">
        <v>0</v>
      </c>
      <c r="AE12" s="284">
        <v>0</v>
      </c>
      <c r="AF12" s="284">
        <v>0</v>
      </c>
      <c r="AG12" s="284">
        <v>0</v>
      </c>
      <c r="AH12" s="284">
        <v>0</v>
      </c>
    </row>
    <row r="13" spans="1:34" s="10" customFormat="1">
      <c r="A13" s="21" t="s">
        <v>257</v>
      </c>
      <c r="B13" s="31">
        <f>Assumptions!$N$40</f>
        <v>5</v>
      </c>
      <c r="C13" s="32"/>
      <c r="D13" s="284">
        <f>1/$B$13*D6</f>
        <v>0.11666666666666668</v>
      </c>
      <c r="E13" s="284">
        <f>1/$B$13</f>
        <v>0.2</v>
      </c>
      <c r="F13" s="284">
        <f>1/$B$13</f>
        <v>0.2</v>
      </c>
      <c r="G13" s="284">
        <f>1/$B$13</f>
        <v>0.2</v>
      </c>
      <c r="H13" s="284">
        <f>1/$B$13</f>
        <v>0.2</v>
      </c>
      <c r="I13" s="284">
        <f>1/B13-D13</f>
        <v>8.3333333333333329E-2</v>
      </c>
      <c r="J13" s="284">
        <v>0</v>
      </c>
      <c r="K13" s="284">
        <v>0</v>
      </c>
      <c r="L13" s="284">
        <v>0</v>
      </c>
      <c r="M13" s="284">
        <v>0</v>
      </c>
      <c r="N13" s="284">
        <v>0</v>
      </c>
      <c r="O13" s="284">
        <v>0</v>
      </c>
      <c r="P13" s="284">
        <v>0</v>
      </c>
      <c r="Q13" s="284">
        <v>0</v>
      </c>
      <c r="R13" s="284">
        <v>0</v>
      </c>
      <c r="S13" s="284">
        <v>0</v>
      </c>
      <c r="T13" s="284">
        <v>0</v>
      </c>
      <c r="U13" s="284">
        <v>0</v>
      </c>
      <c r="V13" s="284">
        <v>0</v>
      </c>
      <c r="W13" s="284">
        <v>0</v>
      </c>
      <c r="X13" s="284">
        <v>0</v>
      </c>
      <c r="Y13" s="284">
        <v>0</v>
      </c>
      <c r="Z13" s="284">
        <v>0</v>
      </c>
      <c r="AA13" s="284">
        <v>0</v>
      </c>
      <c r="AB13" s="284">
        <v>0</v>
      </c>
      <c r="AC13" s="284">
        <v>0</v>
      </c>
      <c r="AD13" s="284">
        <v>0</v>
      </c>
      <c r="AE13" s="284">
        <v>0</v>
      </c>
      <c r="AF13" s="284">
        <v>0</v>
      </c>
      <c r="AG13" s="284">
        <v>0</v>
      </c>
      <c r="AH13" s="284">
        <v>0</v>
      </c>
    </row>
    <row r="14" spans="1:34" s="70" customFormat="1">
      <c r="A14" s="22" t="s">
        <v>325</v>
      </c>
      <c r="B14" s="68">
        <f>Assumptions!$N$41</f>
        <v>20</v>
      </c>
      <c r="C14" s="69"/>
      <c r="D14" s="284">
        <f>1/Assumptions!$N$41*D6</f>
        <v>2.9166666666666671E-2</v>
      </c>
      <c r="E14" s="284">
        <f>IF(AND(E6&gt;=Assumptions!$N$41,D6&lt;Assumptions!$N$41),1/Assumptions!$N$41-Depreciation!$D$14,IF(E6&lt;Assumptions!$N$41,1/Assumptions!$N$41,0))</f>
        <v>0.05</v>
      </c>
      <c r="F14" s="284">
        <f>IF(AND(F6&gt;=Assumptions!$N$41,E6&lt;Assumptions!$N$41),1/Assumptions!$N$41-Depreciation!$D$14,IF(F6&lt;Assumptions!$N$41,1/Assumptions!$N$41,0))</f>
        <v>0.05</v>
      </c>
      <c r="G14" s="284">
        <f>IF(AND(G6&gt;=Assumptions!$N$41,F6&lt;Assumptions!$N$41),1/Assumptions!$N$41-Depreciation!$D$14,IF(G6&lt;Assumptions!$N$41,1/Assumptions!$N$41,0))</f>
        <v>0.05</v>
      </c>
      <c r="H14" s="284">
        <f>IF(AND(H6&gt;=Assumptions!$N$41,G6&lt;Assumptions!$N$41),1/Assumptions!$N$41-Depreciation!$D$14,IF(H6&lt;Assumptions!$N$41,1/Assumptions!$N$41,0))</f>
        <v>0.05</v>
      </c>
      <c r="I14" s="284">
        <f>IF(AND(I6&gt;=Assumptions!$N$41,H6&lt;Assumptions!$N$41),1/Assumptions!$N$41-Depreciation!$D$14,IF(I6&lt;Assumptions!$N$41,1/Assumptions!$N$41,0))</f>
        <v>0.05</v>
      </c>
      <c r="J14" s="284">
        <f>IF(AND(J6&gt;=Assumptions!$N$41,I6&lt;Assumptions!$N$41),1/Assumptions!$N$41-Depreciation!$D$14,IF(J6&lt;Assumptions!$N$41,1/Assumptions!$N$41,0))</f>
        <v>0.05</v>
      </c>
      <c r="K14" s="284">
        <f>IF(AND(K6&gt;=Assumptions!$N$41,J6&lt;Assumptions!$N$41),1/Assumptions!$N$41-Depreciation!$D$14,IF(K6&lt;Assumptions!$N$41,1/Assumptions!$N$41,0))</f>
        <v>0.05</v>
      </c>
      <c r="L14" s="284">
        <f>IF(AND(L6&gt;=Assumptions!$N$41,K6&lt;Assumptions!$N$41),1/Assumptions!$N$41-Depreciation!$D$14,IF(L6&lt;Assumptions!$N$41,1/Assumptions!$N$41,0))</f>
        <v>0.05</v>
      </c>
      <c r="M14" s="284">
        <f>IF(AND(M6&gt;=Assumptions!$N$41,L6&lt;Assumptions!$N$41),1/Assumptions!$N$41-Depreciation!$D$14,IF(M6&lt;Assumptions!$N$41,1/Assumptions!$N$41,0))</f>
        <v>0.05</v>
      </c>
      <c r="N14" s="284">
        <f>IF(AND(N6&gt;=Assumptions!$N$41,M6&lt;Assumptions!$N$41),1/Assumptions!$N$41-Depreciation!$D$14,IF(N6&lt;Assumptions!$N$41,1/Assumptions!$N$41,0))</f>
        <v>0.05</v>
      </c>
      <c r="O14" s="284">
        <f>IF(AND(O6&gt;=Assumptions!$N$41,N6&lt;Assumptions!$N$41),1/Assumptions!$N$41-Depreciation!$D$14,IF(O6&lt;Assumptions!$N$41,1/Assumptions!$N$41,0))</f>
        <v>0.05</v>
      </c>
      <c r="P14" s="284">
        <f>IF(AND(P6&gt;=Assumptions!$N$41,O6&lt;Assumptions!$N$41),1/Assumptions!$N$41-Depreciation!$D$14,IF(P6&lt;Assumptions!$N$41,1/Assumptions!$N$41,0))</f>
        <v>0.05</v>
      </c>
      <c r="Q14" s="284">
        <f>IF(AND(Q6&gt;=Assumptions!$N$41,P6&lt;Assumptions!$N$41),1/Assumptions!$N$41-Depreciation!$D$14,IF(Q6&lt;Assumptions!$N$41,1/Assumptions!$N$41,0))</f>
        <v>0.05</v>
      </c>
      <c r="R14" s="284">
        <f>IF(AND(R6&gt;=Assumptions!$N$41,Q6&lt;Assumptions!$N$41),1/Assumptions!$N$41-Depreciation!$D$14,IF(R6&lt;Assumptions!$N$41,1/Assumptions!$N$41,0))</f>
        <v>0.05</v>
      </c>
      <c r="S14" s="284">
        <f>IF(AND(S6&gt;=Assumptions!$N$41,R6&lt;Assumptions!$N$41),1/Assumptions!$N$41-Depreciation!$D$14,IF(S6&lt;Assumptions!$N$41,1/Assumptions!$N$41,0))</f>
        <v>0.05</v>
      </c>
      <c r="T14" s="284">
        <f>IF(AND(T6&gt;=Assumptions!$N$41,S6&lt;Assumptions!$N$41),1/Assumptions!$N$41-Depreciation!$D$14,IF(T6&lt;Assumptions!$N$41,1/Assumptions!$N$41,0))</f>
        <v>0.05</v>
      </c>
      <c r="U14" s="284">
        <f>IF(AND(U6&gt;=Assumptions!$N$41,T6&lt;Assumptions!$N$41),1/Assumptions!$N$41-Depreciation!$D$14,IF(U6&lt;Assumptions!$N$41,1/Assumptions!$N$41,0))</f>
        <v>0.05</v>
      </c>
      <c r="V14" s="284">
        <f>IF(AND(V6&gt;=Assumptions!$N$41,U6&lt;Assumptions!$N$41),1/Assumptions!$N$41-Depreciation!$D$14,IF(V6&lt;Assumptions!$N$41,1/Assumptions!$N$41,0))</f>
        <v>0.05</v>
      </c>
      <c r="W14" s="284">
        <f>IF(AND(W6&gt;=Assumptions!$N$41,V6&lt;Assumptions!$N$41),1/Assumptions!$N$41-Depreciation!$D$14,IF(W6&lt;Assumptions!$N$41,1/Assumptions!$N$41,0))</f>
        <v>0.05</v>
      </c>
      <c r="X14" s="284">
        <f>IF(AND(X6&gt;=Assumptions!$N$41,W6&lt;Assumptions!$N$41),1/Assumptions!$N$41-Depreciation!$D$14,IF(X6&lt;Assumptions!$N$41,1/Assumptions!$N$41,0))</f>
        <v>2.0833333333333332E-2</v>
      </c>
      <c r="Y14" s="284">
        <f>IF(AND(Y6&gt;=Assumptions!$N$41,X6&lt;Assumptions!$N$41),1/Assumptions!$N$41-Depreciation!$D$14,IF(Y6&lt;Assumptions!$N$41,1/Assumptions!$N$41,0))</f>
        <v>0</v>
      </c>
      <c r="Z14" s="284">
        <f>IF(AND(Z6&gt;=Assumptions!$N$41,Y6&lt;Assumptions!$N$41),1/Assumptions!$N$41-Depreciation!$D$14,IF(Z6&lt;Assumptions!$N$41,1/Assumptions!$N$41,0))</f>
        <v>0</v>
      </c>
      <c r="AA14" s="284">
        <f>IF(AND(AA6&gt;=Assumptions!$N$41,Z6&lt;Assumptions!$N$41),1/Assumptions!$N$41-Depreciation!$D$14,IF(AA6&lt;Assumptions!$N$41,1/Assumptions!$N$41,0))</f>
        <v>0</v>
      </c>
      <c r="AB14" s="284">
        <f>IF(AND(AB6&gt;=Assumptions!$N$41,AA6&lt;Assumptions!$N$41),1/Assumptions!$N$41-Depreciation!$D$14,IF(AB6&lt;Assumptions!$N$41,1/Assumptions!$N$41,0))</f>
        <v>0</v>
      </c>
      <c r="AC14" s="284">
        <f>IF(AND(AC6&gt;=Assumptions!$N$41,AB6&lt;Assumptions!$N$41),1/Assumptions!$N$41-Depreciation!$D$14,IF(AC6&lt;Assumptions!$N$41,1/Assumptions!$N$41,0))</f>
        <v>0</v>
      </c>
      <c r="AD14" s="284">
        <f>IF(AND(AD6&gt;=Assumptions!$N$41,AC6&lt;Assumptions!$N$41),1/Assumptions!$N$41-Depreciation!$D$14,IF(AD6&lt;Assumptions!$N$41,1/Assumptions!$N$41,0))</f>
        <v>0</v>
      </c>
      <c r="AE14" s="284">
        <f>IF(AND(AE6&gt;=Assumptions!$N$41,AD6&lt;Assumptions!$N$41),1/Assumptions!$N$41-Depreciation!$D$14,IF(AE6&lt;Assumptions!$N$41,1/Assumptions!$N$41,0))</f>
        <v>0</v>
      </c>
      <c r="AF14" s="284">
        <f>IF(AND(AF6&gt;=Assumptions!$N$41,AE6&lt;Assumptions!$N$41),1/Assumptions!$N$41-Depreciation!$D$14,IF(AF6&lt;Assumptions!$N$41,1/Assumptions!$N$41,0))</f>
        <v>0</v>
      </c>
      <c r="AG14" s="284">
        <f>IF(AND(AG6&gt;=Assumptions!$N$41,AF6&lt;Assumptions!$N$41),1/Assumptions!$N$41-Depreciation!$D$14,IF(AG6&lt;Assumptions!$N$41,1/Assumptions!$N$41,0))</f>
        <v>0</v>
      </c>
      <c r="AH14" s="284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256</v>
      </c>
      <c r="B16" s="381">
        <f>Assumptions!C34+Assumptions!C46+Assumptions!C38</f>
        <v>99228.379147421758</v>
      </c>
      <c r="C16" s="310"/>
      <c r="D16" s="18">
        <f>$B$16*D12</f>
        <v>4961.4189573710883</v>
      </c>
      <c r="E16" s="18">
        <f t="shared" ref="E16:Y16" si="0">$B$16*E12</f>
        <v>9426.6960190050668</v>
      </c>
      <c r="F16" s="18">
        <f t="shared" si="0"/>
        <v>8484.0264171045601</v>
      </c>
      <c r="G16" s="18">
        <f t="shared" si="0"/>
        <v>7640.5851943514754</v>
      </c>
      <c r="H16" s="18">
        <f t="shared" si="0"/>
        <v>6876.5266749163275</v>
      </c>
      <c r="I16" s="18">
        <f t="shared" si="0"/>
        <v>6181.9280208843757</v>
      </c>
      <c r="J16" s="18">
        <f t="shared" si="0"/>
        <v>5854.474369697883</v>
      </c>
      <c r="K16" s="18">
        <f t="shared" si="0"/>
        <v>5864.3972076126256</v>
      </c>
      <c r="L16" s="18">
        <f t="shared" si="0"/>
        <v>5854.474369697883</v>
      </c>
      <c r="M16" s="18">
        <f t="shared" si="0"/>
        <v>5864.3972076126256</v>
      </c>
      <c r="N16" s="18">
        <f t="shared" si="0"/>
        <v>5854.474369697883</v>
      </c>
      <c r="O16" s="18">
        <f t="shared" si="0"/>
        <v>5864.3972076126256</v>
      </c>
      <c r="P16" s="18">
        <f t="shared" si="0"/>
        <v>5854.474369697883</v>
      </c>
      <c r="Q16" s="18">
        <f t="shared" si="0"/>
        <v>5864.3972076126256</v>
      </c>
      <c r="R16" s="18">
        <f t="shared" si="0"/>
        <v>5854.474369697883</v>
      </c>
      <c r="S16" s="18">
        <f t="shared" si="0"/>
        <v>2927.2371848489415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257</v>
      </c>
      <c r="B17" s="309">
        <f>Assumptions!C50-Assumptions!C46-Assumptions!C47</f>
        <v>5180</v>
      </c>
      <c r="C17" s="310"/>
      <c r="D17" s="307">
        <f>$B$17*D13</f>
        <v>604.33333333333337</v>
      </c>
      <c r="E17" s="307">
        <f t="shared" ref="E17:AH17" si="2">$B$17*E13</f>
        <v>1036</v>
      </c>
      <c r="F17" s="307">
        <f t="shared" si="2"/>
        <v>1036</v>
      </c>
      <c r="G17" s="307">
        <f t="shared" si="2"/>
        <v>1036</v>
      </c>
      <c r="H17" s="307">
        <f t="shared" si="2"/>
        <v>1036</v>
      </c>
      <c r="I17" s="307">
        <f t="shared" si="2"/>
        <v>431.66666666666663</v>
      </c>
      <c r="J17" s="307">
        <f t="shared" si="2"/>
        <v>0</v>
      </c>
      <c r="K17" s="307">
        <f t="shared" si="2"/>
        <v>0</v>
      </c>
      <c r="L17" s="307">
        <f t="shared" si="2"/>
        <v>0</v>
      </c>
      <c r="M17" s="307">
        <f t="shared" si="2"/>
        <v>0</v>
      </c>
      <c r="N17" s="307">
        <f t="shared" si="2"/>
        <v>0</v>
      </c>
      <c r="O17" s="307">
        <f t="shared" si="2"/>
        <v>0</v>
      </c>
      <c r="P17" s="307">
        <f t="shared" si="2"/>
        <v>0</v>
      </c>
      <c r="Q17" s="307">
        <f t="shared" si="2"/>
        <v>0</v>
      </c>
      <c r="R17" s="307">
        <f t="shared" si="2"/>
        <v>0</v>
      </c>
      <c r="S17" s="307">
        <f t="shared" si="2"/>
        <v>0</v>
      </c>
      <c r="T17" s="307">
        <f t="shared" si="2"/>
        <v>0</v>
      </c>
      <c r="U17" s="307">
        <f t="shared" si="2"/>
        <v>0</v>
      </c>
      <c r="V17" s="307">
        <f t="shared" si="2"/>
        <v>0</v>
      </c>
      <c r="W17" s="307">
        <f t="shared" si="2"/>
        <v>0</v>
      </c>
      <c r="X17" s="307">
        <f t="shared" si="2"/>
        <v>0</v>
      </c>
      <c r="Y17" s="307">
        <f t="shared" si="2"/>
        <v>0</v>
      </c>
      <c r="Z17" s="307">
        <f t="shared" si="2"/>
        <v>0</v>
      </c>
      <c r="AA17" s="307">
        <f t="shared" si="2"/>
        <v>0</v>
      </c>
      <c r="AB17" s="307">
        <f t="shared" si="2"/>
        <v>0</v>
      </c>
      <c r="AC17" s="307">
        <f t="shared" si="2"/>
        <v>0</v>
      </c>
      <c r="AD17" s="307">
        <f t="shared" si="2"/>
        <v>0</v>
      </c>
      <c r="AE17" s="307">
        <f t="shared" si="2"/>
        <v>0</v>
      </c>
      <c r="AF17" s="307">
        <f t="shared" si="2"/>
        <v>0</v>
      </c>
      <c r="AG17" s="307">
        <f t="shared" si="2"/>
        <v>0</v>
      </c>
      <c r="AH17" s="307">
        <f t="shared" si="2"/>
        <v>0</v>
      </c>
    </row>
    <row r="18" spans="1:36" s="10" customFormat="1" ht="15">
      <c r="A18" s="22" t="s">
        <v>325</v>
      </c>
      <c r="B18" s="382">
        <f>Assumptions!$C$56</f>
        <v>0</v>
      </c>
      <c r="C18" s="310"/>
      <c r="D18" s="383">
        <f>$B$18*D14</f>
        <v>0</v>
      </c>
      <c r="E18" s="383">
        <f t="shared" ref="E18:Y18" si="3">$B$18*E14</f>
        <v>0</v>
      </c>
      <c r="F18" s="383">
        <f t="shared" si="3"/>
        <v>0</v>
      </c>
      <c r="G18" s="383">
        <f t="shared" si="3"/>
        <v>0</v>
      </c>
      <c r="H18" s="383">
        <f t="shared" si="3"/>
        <v>0</v>
      </c>
      <c r="I18" s="383">
        <f t="shared" si="3"/>
        <v>0</v>
      </c>
      <c r="J18" s="383">
        <f t="shared" si="3"/>
        <v>0</v>
      </c>
      <c r="K18" s="383">
        <f t="shared" si="3"/>
        <v>0</v>
      </c>
      <c r="L18" s="383">
        <f t="shared" si="3"/>
        <v>0</v>
      </c>
      <c r="M18" s="383">
        <f t="shared" si="3"/>
        <v>0</v>
      </c>
      <c r="N18" s="383">
        <f t="shared" si="3"/>
        <v>0</v>
      </c>
      <c r="O18" s="383">
        <f t="shared" si="3"/>
        <v>0</v>
      </c>
      <c r="P18" s="383">
        <f t="shared" si="3"/>
        <v>0</v>
      </c>
      <c r="Q18" s="383">
        <f t="shared" si="3"/>
        <v>0</v>
      </c>
      <c r="R18" s="383">
        <f t="shared" si="3"/>
        <v>0</v>
      </c>
      <c r="S18" s="383">
        <f t="shared" si="3"/>
        <v>0</v>
      </c>
      <c r="T18" s="383">
        <f t="shared" si="3"/>
        <v>0</v>
      </c>
      <c r="U18" s="383">
        <f t="shared" si="3"/>
        <v>0</v>
      </c>
      <c r="V18" s="383">
        <f t="shared" si="3"/>
        <v>0</v>
      </c>
      <c r="W18" s="383">
        <f t="shared" si="3"/>
        <v>0</v>
      </c>
      <c r="X18" s="383">
        <f t="shared" si="3"/>
        <v>0</v>
      </c>
      <c r="Y18" s="383">
        <f t="shared" si="3"/>
        <v>0</v>
      </c>
      <c r="Z18" s="383">
        <f t="shared" ref="Z18:AH18" si="4">$B$18*Z14</f>
        <v>0</v>
      </c>
      <c r="AA18" s="383">
        <f t="shared" si="4"/>
        <v>0</v>
      </c>
      <c r="AB18" s="383">
        <f t="shared" si="4"/>
        <v>0</v>
      </c>
      <c r="AC18" s="383">
        <f t="shared" si="4"/>
        <v>0</v>
      </c>
      <c r="AD18" s="383">
        <f t="shared" si="4"/>
        <v>0</v>
      </c>
      <c r="AE18" s="383">
        <f t="shared" si="4"/>
        <v>0</v>
      </c>
      <c r="AF18" s="383">
        <f t="shared" si="4"/>
        <v>0</v>
      </c>
      <c r="AG18" s="383">
        <f t="shared" si="4"/>
        <v>0</v>
      </c>
      <c r="AH18" s="383">
        <f t="shared" si="4"/>
        <v>0</v>
      </c>
    </row>
    <row r="19" spans="1:36" s="10" customFormat="1">
      <c r="A19" s="22" t="s">
        <v>63</v>
      </c>
      <c r="B19" s="18">
        <f>SUM(B16:B18)</f>
        <v>104408.37914742176</v>
      </c>
      <c r="C19" s="310"/>
      <c r="D19" s="18">
        <f t="shared" ref="D19:Y19" si="5">SUM(D16:D18)</f>
        <v>5565.7522907044213</v>
      </c>
      <c r="E19" s="18">
        <f t="shared" si="5"/>
        <v>10462.696019005067</v>
      </c>
      <c r="F19" s="18">
        <f t="shared" si="5"/>
        <v>9520.0264171045601</v>
      </c>
      <c r="G19" s="18">
        <f t="shared" si="5"/>
        <v>8676.5851943514754</v>
      </c>
      <c r="H19" s="18">
        <f t="shared" si="5"/>
        <v>7912.5266749163275</v>
      </c>
      <c r="I19" s="18">
        <f t="shared" si="5"/>
        <v>6613.5946875510426</v>
      </c>
      <c r="J19" s="18">
        <f t="shared" si="5"/>
        <v>5854.474369697883</v>
      </c>
      <c r="K19" s="18">
        <f t="shared" si="5"/>
        <v>5864.3972076126256</v>
      </c>
      <c r="L19" s="18">
        <f t="shared" si="5"/>
        <v>5854.474369697883</v>
      </c>
      <c r="M19" s="18">
        <f t="shared" si="5"/>
        <v>5864.3972076126256</v>
      </c>
      <c r="N19" s="18">
        <f t="shared" si="5"/>
        <v>5854.474369697883</v>
      </c>
      <c r="O19" s="18">
        <f t="shared" si="5"/>
        <v>5864.3972076126256</v>
      </c>
      <c r="P19" s="18">
        <f t="shared" si="5"/>
        <v>5854.474369697883</v>
      </c>
      <c r="Q19" s="18">
        <f t="shared" si="5"/>
        <v>5864.3972076126256</v>
      </c>
      <c r="R19" s="18">
        <f t="shared" si="5"/>
        <v>5854.474369697883</v>
      </c>
      <c r="S19" s="18">
        <f t="shared" si="5"/>
        <v>2927.2371848489415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10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1">
        <f>B19</f>
        <v>104408.37914742176</v>
      </c>
      <c r="C21" s="384"/>
      <c r="D21" s="311">
        <f>B19-D19</f>
        <v>98842.626856717339</v>
      </c>
      <c r="E21" s="311">
        <f>D21-E19</f>
        <v>88379.93083771228</v>
      </c>
      <c r="F21" s="311">
        <f t="shared" ref="F21:X21" si="7">E21-F19</f>
        <v>78859.904420607723</v>
      </c>
      <c r="G21" s="311">
        <f t="shared" si="7"/>
        <v>70183.319226256252</v>
      </c>
      <c r="H21" s="311">
        <f t="shared" si="7"/>
        <v>62270.792551339924</v>
      </c>
      <c r="I21" s="311">
        <f t="shared" si="7"/>
        <v>55657.197863788882</v>
      </c>
      <c r="J21" s="311">
        <f t="shared" si="7"/>
        <v>49802.723494090998</v>
      </c>
      <c r="K21" s="311">
        <f t="shared" si="7"/>
        <v>43938.326286478376</v>
      </c>
      <c r="L21" s="311">
        <f t="shared" si="7"/>
        <v>38083.851916780492</v>
      </c>
      <c r="M21" s="311">
        <f t="shared" si="7"/>
        <v>32219.454709167865</v>
      </c>
      <c r="N21" s="311">
        <f t="shared" si="7"/>
        <v>26364.980339469981</v>
      </c>
      <c r="O21" s="311">
        <f t="shared" si="7"/>
        <v>20500.583131857355</v>
      </c>
      <c r="P21" s="311">
        <f t="shared" si="7"/>
        <v>14646.108762159471</v>
      </c>
      <c r="Q21" s="311">
        <f t="shared" si="7"/>
        <v>8781.7115545468441</v>
      </c>
      <c r="R21" s="311">
        <f t="shared" si="7"/>
        <v>2927.2371848489611</v>
      </c>
      <c r="S21" s="311">
        <f t="shared" si="7"/>
        <v>1.9554136088117957E-11</v>
      </c>
      <c r="T21" s="311">
        <f t="shared" si="7"/>
        <v>1.9554136088117957E-11</v>
      </c>
      <c r="U21" s="311">
        <f t="shared" si="7"/>
        <v>1.9554136088117957E-11</v>
      </c>
      <c r="V21" s="311">
        <f t="shared" si="7"/>
        <v>1.9554136088117957E-11</v>
      </c>
      <c r="W21" s="311">
        <f t="shared" si="7"/>
        <v>1.9554136088117957E-11</v>
      </c>
      <c r="X21" s="311">
        <f t="shared" si="7"/>
        <v>1.9554136088117957E-11</v>
      </c>
      <c r="Y21" s="311">
        <f>X21-Y19</f>
        <v>1.9554136088117957E-11</v>
      </c>
      <c r="Z21" s="311">
        <f t="shared" ref="Z21:AH21" si="8">Y21-Z19</f>
        <v>1.9554136088117957E-11</v>
      </c>
      <c r="AA21" s="311">
        <f t="shared" si="8"/>
        <v>1.9554136088117957E-11</v>
      </c>
      <c r="AB21" s="311">
        <f t="shared" si="8"/>
        <v>1.9554136088117957E-11</v>
      </c>
      <c r="AC21" s="311">
        <f t="shared" si="8"/>
        <v>1.9554136088117957E-11</v>
      </c>
      <c r="AD21" s="311">
        <f t="shared" si="8"/>
        <v>1.9554136088117957E-11</v>
      </c>
      <c r="AE21" s="311">
        <f t="shared" si="8"/>
        <v>1.9554136088117957E-11</v>
      </c>
      <c r="AF21" s="311">
        <f t="shared" si="8"/>
        <v>1.9554136088117957E-11</v>
      </c>
      <c r="AG21" s="311">
        <f t="shared" si="8"/>
        <v>1.9554136088117957E-11</v>
      </c>
      <c r="AH21" s="311">
        <f t="shared" si="8"/>
        <v>1.9554136088117957E-11</v>
      </c>
      <c r="AI21" s="308"/>
      <c r="AJ21" s="308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257</v>
      </c>
      <c r="B27" s="31">
        <f>Assumptions!$N$40</f>
        <v>5</v>
      </c>
      <c r="C27" s="32"/>
      <c r="D27" s="284">
        <f>D13</f>
        <v>0.11666666666666668</v>
      </c>
      <c r="E27" s="284">
        <f t="shared" ref="E27:AH27" si="11">E13</f>
        <v>0.2</v>
      </c>
      <c r="F27" s="284">
        <f t="shared" si="11"/>
        <v>0.2</v>
      </c>
      <c r="G27" s="284">
        <f t="shared" si="11"/>
        <v>0.2</v>
      </c>
      <c r="H27" s="284">
        <f t="shared" si="11"/>
        <v>0.2</v>
      </c>
      <c r="I27" s="284">
        <f t="shared" si="11"/>
        <v>8.3333333333333329E-2</v>
      </c>
      <c r="J27" s="284">
        <f t="shared" si="11"/>
        <v>0</v>
      </c>
      <c r="K27" s="284">
        <f t="shared" si="11"/>
        <v>0</v>
      </c>
      <c r="L27" s="284">
        <f t="shared" si="11"/>
        <v>0</v>
      </c>
      <c r="M27" s="284">
        <f t="shared" si="11"/>
        <v>0</v>
      </c>
      <c r="N27" s="284">
        <f t="shared" si="11"/>
        <v>0</v>
      </c>
      <c r="O27" s="284">
        <f t="shared" si="11"/>
        <v>0</v>
      </c>
      <c r="P27" s="284">
        <f t="shared" si="11"/>
        <v>0</v>
      </c>
      <c r="Q27" s="284">
        <f t="shared" si="11"/>
        <v>0</v>
      </c>
      <c r="R27" s="284">
        <f t="shared" si="11"/>
        <v>0</v>
      </c>
      <c r="S27" s="284">
        <f t="shared" si="11"/>
        <v>0</v>
      </c>
      <c r="T27" s="284">
        <f t="shared" si="11"/>
        <v>0</v>
      </c>
      <c r="U27" s="284">
        <f t="shared" si="11"/>
        <v>0</v>
      </c>
      <c r="V27" s="284">
        <f t="shared" si="11"/>
        <v>0</v>
      </c>
      <c r="W27" s="284">
        <f t="shared" si="11"/>
        <v>0</v>
      </c>
      <c r="X27" s="284">
        <f t="shared" si="11"/>
        <v>0</v>
      </c>
      <c r="Y27" s="284">
        <f t="shared" si="11"/>
        <v>0</v>
      </c>
      <c r="Z27" s="284">
        <f t="shared" si="11"/>
        <v>0</v>
      </c>
      <c r="AA27" s="284">
        <f t="shared" si="11"/>
        <v>0</v>
      </c>
      <c r="AB27" s="284">
        <f t="shared" si="11"/>
        <v>0</v>
      </c>
      <c r="AC27" s="284">
        <f t="shared" si="11"/>
        <v>0</v>
      </c>
      <c r="AD27" s="284">
        <f t="shared" si="11"/>
        <v>0</v>
      </c>
      <c r="AE27" s="284">
        <f t="shared" si="11"/>
        <v>0</v>
      </c>
      <c r="AF27" s="284">
        <f t="shared" si="11"/>
        <v>0</v>
      </c>
      <c r="AG27" s="284">
        <f t="shared" si="11"/>
        <v>0</v>
      </c>
      <c r="AH27" s="284">
        <f t="shared" si="11"/>
        <v>0</v>
      </c>
    </row>
    <row r="28" spans="1:36" s="10" customFormat="1">
      <c r="A28" s="22" t="s">
        <v>325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256</v>
      </c>
      <c r="B31" s="381">
        <f>B16</f>
        <v>99228.379147421758</v>
      </c>
      <c r="C31" s="310"/>
      <c r="D31" s="18">
        <f>$B$31*D26</f>
        <v>4961.4189573710883</v>
      </c>
      <c r="E31" s="18">
        <f t="shared" ref="E31:Y31" si="14">$B$31*E26</f>
        <v>9426.6960190050668</v>
      </c>
      <c r="F31" s="18">
        <f t="shared" si="14"/>
        <v>8484.0264171045601</v>
      </c>
      <c r="G31" s="18">
        <f t="shared" si="14"/>
        <v>7640.5851943514754</v>
      </c>
      <c r="H31" s="18">
        <f t="shared" si="14"/>
        <v>6876.5266749163275</v>
      </c>
      <c r="I31" s="18">
        <f t="shared" si="14"/>
        <v>6181.9280208843757</v>
      </c>
      <c r="J31" s="18">
        <f t="shared" si="14"/>
        <v>5854.474369697883</v>
      </c>
      <c r="K31" s="18">
        <f t="shared" si="14"/>
        <v>5864.3972076126256</v>
      </c>
      <c r="L31" s="18">
        <f t="shared" si="14"/>
        <v>5854.474369697883</v>
      </c>
      <c r="M31" s="18">
        <f t="shared" si="14"/>
        <v>5864.3972076126256</v>
      </c>
      <c r="N31" s="18">
        <f t="shared" si="14"/>
        <v>5854.474369697883</v>
      </c>
      <c r="O31" s="18">
        <f t="shared" si="14"/>
        <v>5864.3972076126256</v>
      </c>
      <c r="P31" s="18">
        <f t="shared" si="14"/>
        <v>5854.474369697883</v>
      </c>
      <c r="Q31" s="18">
        <f t="shared" si="14"/>
        <v>5864.3972076126256</v>
      </c>
      <c r="R31" s="18">
        <f t="shared" si="14"/>
        <v>5854.474369697883</v>
      </c>
      <c r="S31" s="18">
        <f t="shared" si="14"/>
        <v>2927.2371848489415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257</v>
      </c>
      <c r="B32" s="309">
        <f>B17</f>
        <v>5180</v>
      </c>
      <c r="C32" s="310"/>
      <c r="D32" s="307">
        <f>D27*$B$32</f>
        <v>604.33333333333337</v>
      </c>
      <c r="E32" s="307">
        <f t="shared" ref="E32:AH32" si="16">E27*$B$32</f>
        <v>1036</v>
      </c>
      <c r="F32" s="307">
        <f t="shared" si="16"/>
        <v>1036</v>
      </c>
      <c r="G32" s="307">
        <f t="shared" si="16"/>
        <v>1036</v>
      </c>
      <c r="H32" s="307">
        <f t="shared" si="16"/>
        <v>1036</v>
      </c>
      <c r="I32" s="307">
        <f t="shared" si="16"/>
        <v>431.66666666666663</v>
      </c>
      <c r="J32" s="307">
        <f t="shared" si="16"/>
        <v>0</v>
      </c>
      <c r="K32" s="307">
        <f t="shared" si="16"/>
        <v>0</v>
      </c>
      <c r="L32" s="307">
        <f t="shared" si="16"/>
        <v>0</v>
      </c>
      <c r="M32" s="307">
        <f t="shared" si="16"/>
        <v>0</v>
      </c>
      <c r="N32" s="307">
        <f t="shared" si="16"/>
        <v>0</v>
      </c>
      <c r="O32" s="307">
        <f t="shared" si="16"/>
        <v>0</v>
      </c>
      <c r="P32" s="307">
        <f t="shared" si="16"/>
        <v>0</v>
      </c>
      <c r="Q32" s="307">
        <f t="shared" si="16"/>
        <v>0</v>
      </c>
      <c r="R32" s="307">
        <f t="shared" si="16"/>
        <v>0</v>
      </c>
      <c r="S32" s="307">
        <f t="shared" si="16"/>
        <v>0</v>
      </c>
      <c r="T32" s="307">
        <f t="shared" si="16"/>
        <v>0</v>
      </c>
      <c r="U32" s="307">
        <f t="shared" si="16"/>
        <v>0</v>
      </c>
      <c r="V32" s="307">
        <f t="shared" si="16"/>
        <v>0</v>
      </c>
      <c r="W32" s="307">
        <f t="shared" si="16"/>
        <v>0</v>
      </c>
      <c r="X32" s="307">
        <f t="shared" si="16"/>
        <v>0</v>
      </c>
      <c r="Y32" s="307">
        <f t="shared" si="16"/>
        <v>0</v>
      </c>
      <c r="Z32" s="307">
        <f t="shared" si="16"/>
        <v>0</v>
      </c>
      <c r="AA32" s="307">
        <f t="shared" si="16"/>
        <v>0</v>
      </c>
      <c r="AB32" s="307">
        <f t="shared" si="16"/>
        <v>0</v>
      </c>
      <c r="AC32" s="307">
        <f t="shared" si="16"/>
        <v>0</v>
      </c>
      <c r="AD32" s="307">
        <f t="shared" si="16"/>
        <v>0</v>
      </c>
      <c r="AE32" s="307">
        <f t="shared" si="16"/>
        <v>0</v>
      </c>
      <c r="AF32" s="307">
        <f t="shared" si="16"/>
        <v>0</v>
      </c>
      <c r="AG32" s="307">
        <f t="shared" si="16"/>
        <v>0</v>
      </c>
      <c r="AH32" s="307">
        <f t="shared" si="16"/>
        <v>0</v>
      </c>
    </row>
    <row r="33" spans="1:38" s="10" customFormat="1" ht="15">
      <c r="A33" s="22" t="s">
        <v>325</v>
      </c>
      <c r="B33" s="382">
        <f>B18</f>
        <v>0</v>
      </c>
      <c r="C33" s="310"/>
      <c r="D33" s="383">
        <f t="shared" ref="D33:Y33" si="17">$B33*D28</f>
        <v>0</v>
      </c>
      <c r="E33" s="383">
        <f t="shared" si="17"/>
        <v>0</v>
      </c>
      <c r="F33" s="383">
        <f t="shared" si="17"/>
        <v>0</v>
      </c>
      <c r="G33" s="383">
        <f t="shared" si="17"/>
        <v>0</v>
      </c>
      <c r="H33" s="383">
        <f t="shared" si="17"/>
        <v>0</v>
      </c>
      <c r="I33" s="383">
        <f t="shared" si="17"/>
        <v>0</v>
      </c>
      <c r="J33" s="383">
        <f t="shared" si="17"/>
        <v>0</v>
      </c>
      <c r="K33" s="383">
        <f t="shared" si="17"/>
        <v>0</v>
      </c>
      <c r="L33" s="383">
        <f t="shared" si="17"/>
        <v>0</v>
      </c>
      <c r="M33" s="383">
        <f t="shared" si="17"/>
        <v>0</v>
      </c>
      <c r="N33" s="383">
        <f t="shared" si="17"/>
        <v>0</v>
      </c>
      <c r="O33" s="383">
        <f t="shared" si="17"/>
        <v>0</v>
      </c>
      <c r="P33" s="383">
        <f t="shared" si="17"/>
        <v>0</v>
      </c>
      <c r="Q33" s="383">
        <f t="shared" si="17"/>
        <v>0</v>
      </c>
      <c r="R33" s="383">
        <f t="shared" si="17"/>
        <v>0</v>
      </c>
      <c r="S33" s="383">
        <f t="shared" si="17"/>
        <v>0</v>
      </c>
      <c r="T33" s="383">
        <f t="shared" si="17"/>
        <v>0</v>
      </c>
      <c r="U33" s="383">
        <f t="shared" si="17"/>
        <v>0</v>
      </c>
      <c r="V33" s="383">
        <f t="shared" si="17"/>
        <v>0</v>
      </c>
      <c r="W33" s="383">
        <f t="shared" si="17"/>
        <v>0</v>
      </c>
      <c r="X33" s="383">
        <f t="shared" si="17"/>
        <v>0</v>
      </c>
      <c r="Y33" s="383">
        <f t="shared" si="17"/>
        <v>0</v>
      </c>
      <c r="Z33" s="383">
        <f t="shared" ref="Z33:AH33" si="18">$B33*Z28</f>
        <v>0</v>
      </c>
      <c r="AA33" s="383">
        <f t="shared" si="18"/>
        <v>0</v>
      </c>
      <c r="AB33" s="383">
        <f t="shared" si="18"/>
        <v>0</v>
      </c>
      <c r="AC33" s="383">
        <f t="shared" si="18"/>
        <v>0</v>
      </c>
      <c r="AD33" s="383">
        <f t="shared" si="18"/>
        <v>0</v>
      </c>
      <c r="AE33" s="383">
        <f t="shared" si="18"/>
        <v>0</v>
      </c>
      <c r="AF33" s="383">
        <f t="shared" si="18"/>
        <v>0</v>
      </c>
      <c r="AG33" s="383">
        <f t="shared" si="18"/>
        <v>0</v>
      </c>
      <c r="AH33" s="383">
        <f t="shared" si="18"/>
        <v>0</v>
      </c>
    </row>
    <row r="34" spans="1:38" s="10" customFormat="1">
      <c r="A34" s="16" t="s">
        <v>63</v>
      </c>
      <c r="B34" s="18">
        <f>SUM(B31:B33)</f>
        <v>104408.37914742176</v>
      </c>
      <c r="C34" s="310"/>
      <c r="D34" s="18">
        <f t="shared" ref="D34:Y34" si="19">SUM(D31:D33)</f>
        <v>5565.7522907044213</v>
      </c>
      <c r="E34" s="18">
        <f t="shared" si="19"/>
        <v>10462.696019005067</v>
      </c>
      <c r="F34" s="18">
        <f t="shared" si="19"/>
        <v>9520.0264171045601</v>
      </c>
      <c r="G34" s="18">
        <f t="shared" si="19"/>
        <v>8676.5851943514754</v>
      </c>
      <c r="H34" s="18">
        <f t="shared" si="19"/>
        <v>7912.5266749163275</v>
      </c>
      <c r="I34" s="18">
        <f t="shared" si="19"/>
        <v>6613.5946875510426</v>
      </c>
      <c r="J34" s="18">
        <f t="shared" si="19"/>
        <v>5854.474369697883</v>
      </c>
      <c r="K34" s="18">
        <f t="shared" si="19"/>
        <v>5864.3972076126256</v>
      </c>
      <c r="L34" s="18">
        <f t="shared" si="19"/>
        <v>5854.474369697883</v>
      </c>
      <c r="M34" s="18">
        <f t="shared" si="19"/>
        <v>5864.3972076126256</v>
      </c>
      <c r="N34" s="18">
        <f t="shared" si="19"/>
        <v>5854.474369697883</v>
      </c>
      <c r="O34" s="18">
        <f t="shared" si="19"/>
        <v>5864.3972076126256</v>
      </c>
      <c r="P34" s="18">
        <f t="shared" si="19"/>
        <v>5854.474369697883</v>
      </c>
      <c r="Q34" s="18">
        <f t="shared" si="19"/>
        <v>5864.3972076126256</v>
      </c>
      <c r="R34" s="18">
        <f t="shared" si="19"/>
        <v>5854.474369697883</v>
      </c>
      <c r="S34" s="18">
        <f t="shared" si="19"/>
        <v>2927.2371848489415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5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1">
        <f>B34</f>
        <v>104408.37914742176</v>
      </c>
      <c r="C36" s="386"/>
      <c r="D36" s="311">
        <f>B34-D34</f>
        <v>98842.626856717339</v>
      </c>
      <c r="E36" s="311">
        <f>D36-E34</f>
        <v>88379.93083771228</v>
      </c>
      <c r="F36" s="311">
        <f t="shared" ref="F36:W36" si="21">E36-F34</f>
        <v>78859.904420607723</v>
      </c>
      <c r="G36" s="311">
        <f t="shared" si="21"/>
        <v>70183.319226256252</v>
      </c>
      <c r="H36" s="311">
        <f t="shared" si="21"/>
        <v>62270.792551339924</v>
      </c>
      <c r="I36" s="311">
        <f t="shared" si="21"/>
        <v>55657.197863788882</v>
      </c>
      <c r="J36" s="311">
        <f t="shared" si="21"/>
        <v>49802.723494090998</v>
      </c>
      <c r="K36" s="311">
        <f t="shared" si="21"/>
        <v>43938.326286478376</v>
      </c>
      <c r="L36" s="311">
        <f t="shared" si="21"/>
        <v>38083.851916780492</v>
      </c>
      <c r="M36" s="311">
        <f t="shared" si="21"/>
        <v>32219.454709167865</v>
      </c>
      <c r="N36" s="311">
        <f t="shared" si="21"/>
        <v>26364.980339469981</v>
      </c>
      <c r="O36" s="311">
        <f t="shared" si="21"/>
        <v>20500.583131857355</v>
      </c>
      <c r="P36" s="311">
        <f t="shared" si="21"/>
        <v>14646.108762159471</v>
      </c>
      <c r="Q36" s="311">
        <f t="shared" si="21"/>
        <v>8781.7115545468441</v>
      </c>
      <c r="R36" s="311">
        <f t="shared" si="21"/>
        <v>2927.2371848489611</v>
      </c>
      <c r="S36" s="311">
        <f t="shared" si="21"/>
        <v>1.9554136088117957E-11</v>
      </c>
      <c r="T36" s="311">
        <f t="shared" si="21"/>
        <v>1.9554136088117957E-11</v>
      </c>
      <c r="U36" s="311">
        <f t="shared" si="21"/>
        <v>1.9554136088117957E-11</v>
      </c>
      <c r="V36" s="311">
        <f t="shared" si="21"/>
        <v>1.9554136088117957E-11</v>
      </c>
      <c r="W36" s="311">
        <f t="shared" si="21"/>
        <v>1.9554136088117957E-11</v>
      </c>
      <c r="X36" s="311">
        <f>W36-X34</f>
        <v>1.9554136088117957E-11</v>
      </c>
      <c r="Y36" s="311">
        <f>X36-Y34</f>
        <v>1.9554136088117957E-11</v>
      </c>
      <c r="Z36" s="311">
        <f t="shared" ref="Z36:AH36" si="22">Y36-Z34</f>
        <v>1.9554136088117957E-11</v>
      </c>
      <c r="AA36" s="311">
        <f t="shared" si="22"/>
        <v>1.9554136088117957E-11</v>
      </c>
      <c r="AB36" s="311">
        <f t="shared" si="22"/>
        <v>1.9554136088117957E-11</v>
      </c>
      <c r="AC36" s="311">
        <f t="shared" si="22"/>
        <v>1.9554136088117957E-11</v>
      </c>
      <c r="AD36" s="311">
        <f t="shared" si="22"/>
        <v>1.9554136088117957E-11</v>
      </c>
      <c r="AE36" s="311">
        <f t="shared" si="22"/>
        <v>1.9554136088117957E-11</v>
      </c>
      <c r="AF36" s="311">
        <f t="shared" si="22"/>
        <v>1.9554136088117957E-11</v>
      </c>
      <c r="AG36" s="311">
        <f t="shared" si="22"/>
        <v>1.9554136088117957E-11</v>
      </c>
      <c r="AH36" s="311">
        <f t="shared" si="22"/>
        <v>1.9554136088117957E-11</v>
      </c>
      <c r="AI36" s="308"/>
      <c r="AJ36" s="308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9" t="s">
        <v>67</v>
      </c>
    </row>
    <row r="41" spans="1:38" s="10" customFormat="1">
      <c r="A41" s="21" t="s">
        <v>380</v>
      </c>
      <c r="B41" s="31">
        <f>Assumptions!$N$44</f>
        <v>30</v>
      </c>
      <c r="C41" s="380">
        <f>Assumptions!P44</f>
        <v>0.1</v>
      </c>
      <c r="D41" s="284">
        <f>1/Assumptions!$N$44*D6*(1-$C$41)</f>
        <v>1.7500000000000002E-2</v>
      </c>
      <c r="E41" s="284">
        <f>IF(AND(E6&gt;=Assumptions!$N$44,D6&lt;Assumptions!$N$44),1/Assumptions!$N$44*(1-$C$41)-Depreciation!$D$41,IF(AND(D6&gt;Assumptions!$N$44,E6&lt;Assumptions!$N$44),0,1/Assumptions!$N$44*(1-$C$41)))</f>
        <v>0.03</v>
      </c>
      <c r="F41" s="284">
        <f>IF(AND(F6&gt;=Assumptions!$N$44,E6&lt;Assumptions!$N$44),1/Assumptions!$N$44*(1-$C$41)-Depreciation!$D$41,IF(AND(E6&gt;Assumptions!$N$44,F6&lt;Assumptions!$N$44),0,1/Assumptions!$N$44*(1-$C$41)))</f>
        <v>0.03</v>
      </c>
      <c r="G41" s="284">
        <f>IF(AND(G6&gt;=Assumptions!$N$44,F6&lt;Assumptions!$N$44),1/Assumptions!$N$44*(1-$C$41)-Depreciation!$D$41,IF(AND(F6&gt;Assumptions!$N$44,G6&lt;Assumptions!$N$44),0,1/Assumptions!$N$44*(1-$C$41)))</f>
        <v>0.03</v>
      </c>
      <c r="H41" s="284">
        <f>IF(AND(H6&gt;=Assumptions!$N$44,G6&lt;Assumptions!$N$44),1/Assumptions!$N$44*(1-$C$41)-Depreciation!$D$41,IF(AND(G6&gt;Assumptions!$N$44,H6&lt;Assumptions!$N$44),0,1/Assumptions!$N$44*(1-$C$41)))</f>
        <v>0.03</v>
      </c>
      <c r="I41" s="284">
        <f>IF(AND(I6&gt;=Assumptions!$N$44,H6&lt;Assumptions!$N$44),1/Assumptions!$N$44*(1-$C$41)-Depreciation!$D$41,IF(AND(H6&gt;Assumptions!$N$44,I6&lt;Assumptions!$N$44),0,1/Assumptions!$N$44*(1-$C$41)))</f>
        <v>0.03</v>
      </c>
      <c r="J41" s="284">
        <f>IF(AND(J6&gt;=Assumptions!$N$44,I6&lt;Assumptions!$N$44),1/Assumptions!$N$44*(1-$C$41)-Depreciation!$D$41,IF(AND(I6&gt;Assumptions!$N$44,J6&lt;Assumptions!$N$44),0,1/Assumptions!$N$44*(1-$C$41)))</f>
        <v>0.03</v>
      </c>
      <c r="K41" s="284">
        <f>IF(AND(K6&gt;=Assumptions!$N$44,J6&lt;Assumptions!$N$44),1/Assumptions!$N$44*(1-$C$41)-Depreciation!$D$41,IF(AND(J6&gt;Assumptions!$N$44,K6&lt;Assumptions!$N$44),0,1/Assumptions!$N$44*(1-$C$41)))</f>
        <v>0.03</v>
      </c>
      <c r="L41" s="284">
        <f>IF(AND(L6&gt;=Assumptions!$N$44,K6&lt;Assumptions!$N$44),1/Assumptions!$N$44*(1-$C$41)-Depreciation!$D$41,IF(AND(K6&gt;Assumptions!$N$44,L6&lt;Assumptions!$N$44),0,1/Assumptions!$N$44*(1-$C$41)))</f>
        <v>0.03</v>
      </c>
      <c r="M41" s="284">
        <f>IF(AND(M6&gt;=Assumptions!$N$44,L6&lt;Assumptions!$N$44),1/Assumptions!$N$44*(1-$C$41)-Depreciation!$D$41,IF(AND(L6&gt;Assumptions!$N$44,M6&lt;Assumptions!$N$44),0,1/Assumptions!$N$44*(1-$C$41)))</f>
        <v>0.03</v>
      </c>
      <c r="N41" s="284">
        <f>IF(AND(N6&gt;=Assumptions!$N$44,M6&lt;Assumptions!$N$44),1/Assumptions!$N$44*(1-$C$41)-Depreciation!$D$41,IF(AND(M6&gt;Assumptions!$N$44,N6&lt;Assumptions!$N$44),0,1/Assumptions!$N$44*(1-$C$41)))</f>
        <v>0.03</v>
      </c>
      <c r="O41" s="284">
        <f>IF(AND(O6&gt;=Assumptions!$N$44,N6&lt;Assumptions!$N$44),1/Assumptions!$N$44*(1-$C$41)-Depreciation!$D$41,IF(AND(N6&gt;Assumptions!$N$44,O6&lt;Assumptions!$N$44),0,1/Assumptions!$N$44*(1-$C$41)))</f>
        <v>0.03</v>
      </c>
      <c r="P41" s="284">
        <f>IF(AND(P6&gt;=Assumptions!$N$44,O6&lt;Assumptions!$N$44),1/Assumptions!$N$44*(1-$C$41)-Depreciation!$D$41,IF(AND(O6&gt;Assumptions!$N$44,P6&lt;Assumptions!$N$44),0,1/Assumptions!$N$44*(1-$C$41)))</f>
        <v>0.03</v>
      </c>
      <c r="Q41" s="284">
        <f>IF(AND(Q6&gt;=Assumptions!$N$44,P6&lt;Assumptions!$N$44),1/Assumptions!$N$44*(1-$C$41)-Depreciation!$D$41,IF(AND(P6&gt;Assumptions!$N$44,Q6&lt;Assumptions!$N$44),0,1/Assumptions!$N$44*(1-$C$41)))</f>
        <v>0.03</v>
      </c>
      <c r="R41" s="284">
        <f>IF(AND(R6&gt;=Assumptions!$N$44,Q6&lt;Assumptions!$N$44),1/Assumptions!$N$44*(1-$C$41)-Depreciation!$D$41,IF(AND(Q6&gt;Assumptions!$N$44,R6&lt;Assumptions!$N$44),0,1/Assumptions!$N$44*(1-$C$41)))</f>
        <v>0.03</v>
      </c>
      <c r="S41" s="284">
        <f>IF(AND(S6&gt;=Assumptions!$N$44,R6&lt;Assumptions!$N$44),1/Assumptions!$N$44*(1-$C$41)-Depreciation!$D$41,IF(AND(R6&gt;Assumptions!$N$44,S6&lt;Assumptions!$N$44),0,1/Assumptions!$N$44*(1-$C$41)))</f>
        <v>0.03</v>
      </c>
      <c r="T41" s="284">
        <f>IF(AND(T6&gt;=Assumptions!$N$44,S6&lt;Assumptions!$N$44),1/Assumptions!$N$44*(1-$C$41)-Depreciation!$D$41,IF(AND(S6&gt;Assumptions!$N$44,T6&lt;Assumptions!$N$44),0,1/Assumptions!$N$44*(1-$C$41)))</f>
        <v>0.03</v>
      </c>
      <c r="U41" s="284">
        <f>IF(AND(U6&gt;=Assumptions!$N$44,T6&lt;Assumptions!$N$44),1/Assumptions!$N$44*(1-$C$41)-Depreciation!$D$41,IF(AND(T6&gt;Assumptions!$N$44,U6&lt;Assumptions!$N$44),0,1/Assumptions!$N$44*(1-$C$41)))</f>
        <v>0.03</v>
      </c>
      <c r="V41" s="284">
        <f>IF(AND(V6&gt;=Assumptions!$N$44,U6&lt;Assumptions!$N$44),1/Assumptions!$N$44*(1-$C$41)-Depreciation!$D$41,IF(AND(U6&gt;Assumptions!$N$44,V6&lt;Assumptions!$N$44),0,1/Assumptions!$N$44*(1-$C$41)))</f>
        <v>0.03</v>
      </c>
      <c r="W41" s="284">
        <f>IF(AND(W6&gt;=Assumptions!$N$44,V6&lt;Assumptions!$N$44),1/Assumptions!$N$44*(1-$C$41)-Depreciation!$D$41,IF(AND(V6&gt;Assumptions!$N$44,W6&lt;Assumptions!$N$44),0,1/Assumptions!$N$44*(1-$C$41)))</f>
        <v>0.03</v>
      </c>
      <c r="X41" s="284">
        <f>IF(AND(X6&gt;=Assumptions!$N$44,W6&lt;Assumptions!$N$44),1/Assumptions!$N$44*(1-$C$41)-Depreciation!$D$41,IF(AND(W6&gt;Assumptions!$N$44,X6&lt;Assumptions!$N$44),0,1/Assumptions!$N$44*(1-$C$41)))</f>
        <v>0.03</v>
      </c>
      <c r="Y41" s="284">
        <f>IF(AND(Y6&gt;=Assumptions!$N$44,X6&lt;Assumptions!$N$44),1/Assumptions!$N$44*(1-$C$41)-Depreciation!$D$41,IF(AND(X6&gt;Assumptions!$N$44,Y6&lt;Assumptions!$N$44),0,1/Assumptions!$N$44*(1-$C$41)))</f>
        <v>0.03</v>
      </c>
      <c r="Z41" s="284">
        <f>IF(AND(Z6&gt;=Assumptions!$N$44,Y6&lt;Assumptions!$N$44),1/Assumptions!$N$44*(1-$C$41)-Depreciation!$D$41,IF(AND(Y6&gt;Assumptions!$N$44,Z6&lt;Assumptions!$N$44),0,1/Assumptions!$N$44*(1-$C$41)))</f>
        <v>0.03</v>
      </c>
      <c r="AA41" s="284">
        <f>IF(AND(AA6&gt;=Assumptions!$N$44,Z6&lt;Assumptions!$N$44),1/Assumptions!$N$44*(1-$C$41)-Depreciation!$D$41,IF(AND(Z6&gt;Assumptions!$N$44,AA6&lt;Assumptions!$N$44),0,1/Assumptions!$N$44*(1-$C$41)))</f>
        <v>0.03</v>
      </c>
      <c r="AB41" s="284">
        <f>IF(AND(AB6&gt;=Assumptions!$N$44,AA6&lt;Assumptions!$N$44),1/Assumptions!$N$44*(1-$C$41)-Depreciation!$D$41,IF(AND(AA6&gt;Assumptions!$N$44,AB6&lt;Assumptions!$N$44),0,1/Assumptions!$N$44*(1-$C$41)))</f>
        <v>0.03</v>
      </c>
      <c r="AC41" s="284">
        <f>IF(AND(AC6&gt;=Assumptions!$N$44,AB6&lt;Assumptions!$N$44),1/Assumptions!$N$44*(1-$C$41)-Depreciation!$D$41,IF(AND(AB6&gt;Assumptions!$N$44,AC6&lt;Assumptions!$N$44),0,1/Assumptions!$N$44*(1-$C$41)))</f>
        <v>0.03</v>
      </c>
      <c r="AD41" s="284">
        <f>IF(AND(AD6&gt;=Assumptions!$N$44,AC6&lt;Assumptions!$N$44),1/Assumptions!$N$44*(1-$C$41)-Depreciation!$D$41,IF(AND(AC6&gt;Assumptions!$N$44,AD6&lt;Assumptions!$N$44),0,1/Assumptions!$N$44*(1-$C$41)))</f>
        <v>0.03</v>
      </c>
      <c r="AE41" s="284">
        <f>IF(AND(AE6&gt;=Assumptions!$N$44,AD6&lt;Assumptions!$N$44),1/Assumptions!$N$44*(1-$C$41)-Depreciation!$D$41,IF(AND(AD6&gt;Assumptions!$N$44,AE6&lt;Assumptions!$N$44),0,1/Assumptions!$N$44*(1-$C$41)))</f>
        <v>0.03</v>
      </c>
      <c r="AF41" s="284">
        <f>IF(AND(AF6&gt;=Assumptions!$N$44,AE6&lt;Assumptions!$N$44),1/Assumptions!$N$44*(1-$C$41)-Depreciation!$D$41,IF(AND(AE6&gt;Assumptions!$N$44,AF6&lt;Assumptions!$N$44),0,1/Assumptions!$N$44*(1-$C$41)))</f>
        <v>0.03</v>
      </c>
      <c r="AG41" s="284">
        <f>IF(AND(AG6&gt;=Assumptions!$N$44,AF6&lt;Assumptions!$N$44),1/Assumptions!$N$44*(1-$C$41)-Depreciation!$D$41,IF(AND(AF6&gt;Assumptions!$N$44,AG6&lt;Assumptions!$N$44),0,1/Assumptions!$N$44*(1-$C$41)))</f>
        <v>0.03</v>
      </c>
      <c r="AH41" s="284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257</v>
      </c>
      <c r="B42" s="31">
        <f>Assumptions!$N$40</f>
        <v>5</v>
      </c>
      <c r="C42" s="32"/>
      <c r="D42" s="284">
        <f>D13</f>
        <v>0.11666666666666668</v>
      </c>
      <c r="E42" s="284">
        <f t="shared" ref="E42:AH42" si="23">E13</f>
        <v>0.2</v>
      </c>
      <c r="F42" s="284">
        <f t="shared" si="23"/>
        <v>0.2</v>
      </c>
      <c r="G42" s="284">
        <f t="shared" si="23"/>
        <v>0.2</v>
      </c>
      <c r="H42" s="284">
        <f t="shared" si="23"/>
        <v>0.2</v>
      </c>
      <c r="I42" s="284">
        <f t="shared" si="23"/>
        <v>8.3333333333333329E-2</v>
      </c>
      <c r="J42" s="284">
        <f t="shared" si="23"/>
        <v>0</v>
      </c>
      <c r="K42" s="284">
        <f t="shared" si="23"/>
        <v>0</v>
      </c>
      <c r="L42" s="284">
        <f t="shared" si="23"/>
        <v>0</v>
      </c>
      <c r="M42" s="284">
        <f t="shared" si="23"/>
        <v>0</v>
      </c>
      <c r="N42" s="284">
        <f t="shared" si="23"/>
        <v>0</v>
      </c>
      <c r="O42" s="284">
        <f t="shared" si="23"/>
        <v>0</v>
      </c>
      <c r="P42" s="284">
        <f t="shared" si="23"/>
        <v>0</v>
      </c>
      <c r="Q42" s="284">
        <f t="shared" si="23"/>
        <v>0</v>
      </c>
      <c r="R42" s="284">
        <f t="shared" si="23"/>
        <v>0</v>
      </c>
      <c r="S42" s="284">
        <f t="shared" si="23"/>
        <v>0</v>
      </c>
      <c r="T42" s="284">
        <f t="shared" si="23"/>
        <v>0</v>
      </c>
      <c r="U42" s="284">
        <f t="shared" si="23"/>
        <v>0</v>
      </c>
      <c r="V42" s="284">
        <f t="shared" si="23"/>
        <v>0</v>
      </c>
      <c r="W42" s="284">
        <f t="shared" si="23"/>
        <v>0</v>
      </c>
      <c r="X42" s="284">
        <f t="shared" si="23"/>
        <v>0</v>
      </c>
      <c r="Y42" s="284">
        <f t="shared" si="23"/>
        <v>0</v>
      </c>
      <c r="Z42" s="284">
        <f t="shared" si="23"/>
        <v>0</v>
      </c>
      <c r="AA42" s="284">
        <f t="shared" si="23"/>
        <v>0</v>
      </c>
      <c r="AB42" s="284">
        <f t="shared" si="23"/>
        <v>0</v>
      </c>
      <c r="AC42" s="284">
        <f t="shared" si="23"/>
        <v>0</v>
      </c>
      <c r="AD42" s="284">
        <f t="shared" si="23"/>
        <v>0</v>
      </c>
      <c r="AE42" s="284">
        <f t="shared" si="23"/>
        <v>0</v>
      </c>
      <c r="AF42" s="284">
        <f t="shared" si="23"/>
        <v>0</v>
      </c>
      <c r="AG42" s="284">
        <f t="shared" si="23"/>
        <v>0</v>
      </c>
      <c r="AH42" s="284">
        <f t="shared" si="23"/>
        <v>0</v>
      </c>
    </row>
    <row r="43" spans="1:38" s="10" customFormat="1">
      <c r="A43" s="22" t="s">
        <v>325</v>
      </c>
      <c r="B43" s="34">
        <f>Assumptions!$N$46</f>
        <v>20</v>
      </c>
      <c r="C43" s="24"/>
      <c r="D43" s="284">
        <f>1/Assumptions!$N$46*D6</f>
        <v>2.9166666666666671E-2</v>
      </c>
      <c r="E43" s="284">
        <f>IF(AND(E6&gt;=Assumptions!$N$46, D6&lt;Assumptions!$N$46),1/Assumptions!$N$46-Depreciation!$D$43,IF(E6&lt;Assumptions!$N$46,1/Assumptions!$N$46,0))</f>
        <v>0.05</v>
      </c>
      <c r="F43" s="284">
        <f>IF(AND(F6&gt;=Assumptions!$N$46, E6&lt;Assumptions!$N$46),1/Assumptions!$N$46-Depreciation!$D$43,IF(F6&lt;Assumptions!$N$46,1/Assumptions!$N$46,0))</f>
        <v>0.05</v>
      </c>
      <c r="G43" s="284">
        <f>IF(AND(G6&gt;=Assumptions!$N$46, F6&lt;Assumptions!$N$46),1/Assumptions!$N$46-Depreciation!$D$43,IF(G6&lt;Assumptions!$N$46,1/Assumptions!$N$46,0))</f>
        <v>0.05</v>
      </c>
      <c r="H43" s="284">
        <f>IF(AND(H6&gt;=Assumptions!$N$46, G6&lt;Assumptions!$N$46),1/Assumptions!$N$46-Depreciation!$D$43,IF(H6&lt;Assumptions!$N$46,1/Assumptions!$N$46,0))</f>
        <v>0.05</v>
      </c>
      <c r="I43" s="284">
        <f>IF(AND(I6&gt;=Assumptions!$N$46, H6&lt;Assumptions!$N$46),1/Assumptions!$N$46-Depreciation!$D$43,IF(I6&lt;Assumptions!$N$46,1/Assumptions!$N$46,0))</f>
        <v>0.05</v>
      </c>
      <c r="J43" s="284">
        <f>IF(AND(J6&gt;=Assumptions!$N$46, I6&lt;Assumptions!$N$46),1/Assumptions!$N$46-Depreciation!$D$43,IF(J6&lt;Assumptions!$N$46,1/Assumptions!$N$46,0))</f>
        <v>0.05</v>
      </c>
      <c r="K43" s="284">
        <f>IF(AND(K6&gt;=Assumptions!$N$46, J6&lt;Assumptions!$N$46),1/Assumptions!$N$46-Depreciation!$D$43,IF(K6&lt;Assumptions!$N$46,1/Assumptions!$N$46,0))</f>
        <v>0.05</v>
      </c>
      <c r="L43" s="284">
        <f>IF(AND(L6&gt;=Assumptions!$N$46, K6&lt;Assumptions!$N$46),1/Assumptions!$N$46-Depreciation!$D$43,IF(L6&lt;Assumptions!$N$46,1/Assumptions!$N$46,0))</f>
        <v>0.05</v>
      </c>
      <c r="M43" s="284">
        <f>IF(AND(M6&gt;=Assumptions!$N$46, L6&lt;Assumptions!$N$46),1/Assumptions!$N$46-Depreciation!$D$43,IF(M6&lt;Assumptions!$N$46,1/Assumptions!$N$46,0))</f>
        <v>0.05</v>
      </c>
      <c r="N43" s="284">
        <f>IF(AND(N6&gt;=Assumptions!$N$46, M6&lt;Assumptions!$N$46),1/Assumptions!$N$46-Depreciation!$D$43,IF(N6&lt;Assumptions!$N$46,1/Assumptions!$N$46,0))</f>
        <v>0.05</v>
      </c>
      <c r="O43" s="284">
        <f>IF(AND(O6&gt;=Assumptions!$N$46, N6&lt;Assumptions!$N$46),1/Assumptions!$N$46-Depreciation!$D$43,IF(O6&lt;Assumptions!$N$46,1/Assumptions!$N$46,0))</f>
        <v>0.05</v>
      </c>
      <c r="P43" s="284">
        <f>IF(AND(P6&gt;=Assumptions!$N$46, O6&lt;Assumptions!$N$46),1/Assumptions!$N$46-Depreciation!$D$43,IF(P6&lt;Assumptions!$N$46,1/Assumptions!$N$46,0))</f>
        <v>0.05</v>
      </c>
      <c r="Q43" s="284">
        <f>IF(AND(Q6&gt;=Assumptions!$N$46, P6&lt;Assumptions!$N$46),1/Assumptions!$N$46-Depreciation!$D$43,IF(Q6&lt;Assumptions!$N$46,1/Assumptions!$N$46,0))</f>
        <v>0.05</v>
      </c>
      <c r="R43" s="284">
        <f>IF(AND(R6&gt;=Assumptions!$N$46, Q6&lt;Assumptions!$N$46),1/Assumptions!$N$46-Depreciation!$D$43,IF(R6&lt;Assumptions!$N$46,1/Assumptions!$N$46,0))</f>
        <v>0.05</v>
      </c>
      <c r="S43" s="284">
        <f>IF(AND(S6&gt;=Assumptions!$N$46, R6&lt;Assumptions!$N$46),1/Assumptions!$N$46-Depreciation!$D$43,IF(S6&lt;Assumptions!$N$46,1/Assumptions!$N$46,0))</f>
        <v>0.05</v>
      </c>
      <c r="T43" s="284">
        <f>IF(AND(T6&gt;=Assumptions!$N$46, S6&lt;Assumptions!$N$46),1/Assumptions!$N$46-Depreciation!$D$43,IF(T6&lt;Assumptions!$N$46,1/Assumptions!$N$46,0))</f>
        <v>0.05</v>
      </c>
      <c r="U43" s="284">
        <f>IF(AND(U6&gt;=Assumptions!$N$46, T6&lt;Assumptions!$N$46),1/Assumptions!$N$46-Depreciation!$D$43,IF(U6&lt;Assumptions!$N$46,1/Assumptions!$N$46,0))</f>
        <v>0.05</v>
      </c>
      <c r="V43" s="284">
        <f>IF(AND(V6&gt;=Assumptions!$N$46, U6&lt;Assumptions!$N$46),1/Assumptions!$N$46-Depreciation!$D$43,IF(V6&lt;Assumptions!$N$46,1/Assumptions!$N$46,0))</f>
        <v>0.05</v>
      </c>
      <c r="W43" s="284">
        <f>IF(AND(W6&gt;=Assumptions!$N$46, V6&lt;Assumptions!$N$46),1/Assumptions!$N$46-Depreciation!$D$43,IF(W6&lt;Assumptions!$N$46,1/Assumptions!$N$46,0))</f>
        <v>0.05</v>
      </c>
      <c r="X43" s="284">
        <f>IF(AND(X6&gt;=Assumptions!$N$46, W6&lt;Assumptions!$N$46),1/Assumptions!$N$46-Depreciation!$D$43,IF(X6&lt;Assumptions!$N$46,1/Assumptions!$N$46,0))</f>
        <v>2.0833333333333332E-2</v>
      </c>
      <c r="Y43" s="284">
        <f>IF(AND(Y6&gt;=Assumptions!$N$46, X6&lt;Assumptions!$N$46),1/Assumptions!$N$46-Depreciation!$D$43,IF(Y6&lt;Assumptions!$N$46,1/Assumptions!$N$46,0))</f>
        <v>0</v>
      </c>
      <c r="Z43" s="284">
        <f>IF(AND(Z6&gt;=Assumptions!$N$46, Y6&lt;Assumptions!$N$46),1/Assumptions!$N$46-Depreciation!$D$43,IF(Z6&lt;Assumptions!$N$46,1/Assumptions!$N$46,0))</f>
        <v>0</v>
      </c>
      <c r="AA43" s="284">
        <f>IF(AND(AA6&gt;=Assumptions!$N$46, Z6&lt;Assumptions!$N$46),1/Assumptions!$N$46-Depreciation!$D$43,IF(AA6&lt;Assumptions!$N$46,1/Assumptions!$N$46,0))</f>
        <v>0</v>
      </c>
      <c r="AB43" s="284">
        <f>IF(AND(AB6&gt;=Assumptions!$N$46, AA6&lt;Assumptions!$N$46),1/Assumptions!$N$46-Depreciation!$D$43,IF(AB6&lt;Assumptions!$N$46,1/Assumptions!$N$46,0))</f>
        <v>0</v>
      </c>
      <c r="AC43" s="284">
        <f>IF(AND(AC6&gt;=Assumptions!$N$46, AB6&lt;Assumptions!$N$46),1/Assumptions!$N$46-Depreciation!$D$43,IF(AC6&lt;Assumptions!$N$46,1/Assumptions!$N$46,0))</f>
        <v>0</v>
      </c>
      <c r="AD43" s="284">
        <f>IF(AND(AD6&gt;=Assumptions!$N$46, AC6&lt;Assumptions!$N$46),1/Assumptions!$N$46-Depreciation!$D$43,IF(AD6&lt;Assumptions!$N$46,1/Assumptions!$N$46,0))</f>
        <v>0</v>
      </c>
      <c r="AE43" s="284">
        <f>IF(AND(AE6&gt;=Assumptions!$N$46, AD6&lt;Assumptions!$N$46),1/Assumptions!$N$46-Depreciation!$D$43,IF(AE6&lt;Assumptions!$N$46,1/Assumptions!$N$46,0))</f>
        <v>0</v>
      </c>
      <c r="AF43" s="284">
        <f>IF(AND(AF6&gt;=Assumptions!$N$46, AE6&lt;Assumptions!$N$46),1/Assumptions!$N$46-Depreciation!$D$43,IF(AF6&lt;Assumptions!$N$46,1/Assumptions!$N$46,0))</f>
        <v>0</v>
      </c>
      <c r="AG43" s="284">
        <f>IF(AND(AG6&gt;=Assumptions!$N$46, AF6&lt;Assumptions!$N$46),1/Assumptions!$N$46-Depreciation!$D$43,IF(AG6&lt;Assumptions!$N$46,1/Assumptions!$N$46,0))</f>
        <v>0</v>
      </c>
      <c r="AH43" s="284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256</v>
      </c>
      <c r="B45" s="381">
        <f>B16</f>
        <v>99228.379147421758</v>
      </c>
      <c r="C45" s="310"/>
      <c r="D45" s="18">
        <f t="shared" ref="D45:Y45" si="24">D41*$B$45</f>
        <v>1736.4966350798809</v>
      </c>
      <c r="E45" s="18">
        <f t="shared" si="24"/>
        <v>2976.8513744226525</v>
      </c>
      <c r="F45" s="18">
        <f t="shared" si="24"/>
        <v>2976.8513744226525</v>
      </c>
      <c r="G45" s="18">
        <f t="shared" si="24"/>
        <v>2976.8513744226525</v>
      </c>
      <c r="H45" s="18">
        <f t="shared" si="24"/>
        <v>2976.8513744226525</v>
      </c>
      <c r="I45" s="18">
        <f t="shared" si="24"/>
        <v>2976.8513744226525</v>
      </c>
      <c r="J45" s="18">
        <f t="shared" si="24"/>
        <v>2976.8513744226525</v>
      </c>
      <c r="K45" s="18">
        <f t="shared" si="24"/>
        <v>2976.8513744226525</v>
      </c>
      <c r="L45" s="18">
        <f t="shared" si="24"/>
        <v>2976.8513744226525</v>
      </c>
      <c r="M45" s="18">
        <f t="shared" si="24"/>
        <v>2976.8513744226525</v>
      </c>
      <c r="N45" s="18">
        <f t="shared" si="24"/>
        <v>2976.8513744226525</v>
      </c>
      <c r="O45" s="18">
        <f t="shared" si="24"/>
        <v>2976.8513744226525</v>
      </c>
      <c r="P45" s="18">
        <f t="shared" si="24"/>
        <v>2976.8513744226525</v>
      </c>
      <c r="Q45" s="18">
        <f t="shared" si="24"/>
        <v>2976.8513744226525</v>
      </c>
      <c r="R45" s="18">
        <f t="shared" si="24"/>
        <v>2976.8513744226525</v>
      </c>
      <c r="S45" s="18">
        <f t="shared" si="24"/>
        <v>2976.8513744226525</v>
      </c>
      <c r="T45" s="18">
        <f t="shared" si="24"/>
        <v>2976.8513744226525</v>
      </c>
      <c r="U45" s="18">
        <f t="shared" si="24"/>
        <v>2976.8513744226525</v>
      </c>
      <c r="V45" s="18">
        <f t="shared" si="24"/>
        <v>2976.8513744226525</v>
      </c>
      <c r="W45" s="18">
        <f t="shared" si="24"/>
        <v>2976.8513744226525</v>
      </c>
      <c r="X45" s="18">
        <f t="shared" si="24"/>
        <v>2976.8513744226525</v>
      </c>
      <c r="Y45" s="18">
        <f t="shared" si="24"/>
        <v>2976.8513744226525</v>
      </c>
      <c r="Z45" s="18">
        <f t="shared" ref="Z45:AH45" si="25">Z41*$B$45</f>
        <v>2976.8513744226525</v>
      </c>
      <c r="AA45" s="18">
        <f t="shared" si="25"/>
        <v>2976.8513744226525</v>
      </c>
      <c r="AB45" s="18">
        <f t="shared" si="25"/>
        <v>2976.8513744226525</v>
      </c>
      <c r="AC45" s="18">
        <f t="shared" si="25"/>
        <v>2976.8513744226525</v>
      </c>
      <c r="AD45" s="18">
        <f t="shared" si="25"/>
        <v>2976.8513744226525</v>
      </c>
      <c r="AE45" s="18">
        <f t="shared" si="25"/>
        <v>2976.8513744226525</v>
      </c>
      <c r="AF45" s="18">
        <f t="shared" si="25"/>
        <v>2976.8513744226525</v>
      </c>
      <c r="AG45" s="18">
        <f t="shared" si="25"/>
        <v>2976.8513744226525</v>
      </c>
      <c r="AH45" s="18">
        <f t="shared" si="25"/>
        <v>1240.3547393427716</v>
      </c>
      <c r="AI45" s="20"/>
      <c r="AJ45" s="20"/>
      <c r="AK45" s="20"/>
      <c r="AL45" s="20"/>
    </row>
    <row r="46" spans="1:38" s="10" customFormat="1">
      <c r="A46" s="21" t="s">
        <v>257</v>
      </c>
      <c r="B46" s="309">
        <f>B17</f>
        <v>5180</v>
      </c>
      <c r="C46" s="310"/>
      <c r="D46" s="307">
        <f>D42*$B$46</f>
        <v>604.33333333333337</v>
      </c>
      <c r="E46" s="307">
        <f t="shared" ref="E46:AH46" si="26">E42*$B$46</f>
        <v>1036</v>
      </c>
      <c r="F46" s="307">
        <f t="shared" si="26"/>
        <v>1036</v>
      </c>
      <c r="G46" s="307">
        <f t="shared" si="26"/>
        <v>1036</v>
      </c>
      <c r="H46" s="307">
        <f t="shared" si="26"/>
        <v>1036</v>
      </c>
      <c r="I46" s="307">
        <f t="shared" si="26"/>
        <v>431.66666666666663</v>
      </c>
      <c r="J46" s="307">
        <f t="shared" si="26"/>
        <v>0</v>
      </c>
      <c r="K46" s="307">
        <f t="shared" si="26"/>
        <v>0</v>
      </c>
      <c r="L46" s="307">
        <f t="shared" si="26"/>
        <v>0</v>
      </c>
      <c r="M46" s="307">
        <f t="shared" si="26"/>
        <v>0</v>
      </c>
      <c r="N46" s="307">
        <f t="shared" si="26"/>
        <v>0</v>
      </c>
      <c r="O46" s="307">
        <f t="shared" si="26"/>
        <v>0</v>
      </c>
      <c r="P46" s="307">
        <f t="shared" si="26"/>
        <v>0</v>
      </c>
      <c r="Q46" s="307">
        <f t="shared" si="26"/>
        <v>0</v>
      </c>
      <c r="R46" s="307">
        <f t="shared" si="26"/>
        <v>0</v>
      </c>
      <c r="S46" s="307">
        <f t="shared" si="26"/>
        <v>0</v>
      </c>
      <c r="T46" s="307">
        <f t="shared" si="26"/>
        <v>0</v>
      </c>
      <c r="U46" s="307">
        <f t="shared" si="26"/>
        <v>0</v>
      </c>
      <c r="V46" s="307">
        <f t="shared" si="26"/>
        <v>0</v>
      </c>
      <c r="W46" s="307">
        <f t="shared" si="26"/>
        <v>0</v>
      </c>
      <c r="X46" s="307">
        <f t="shared" si="26"/>
        <v>0</v>
      </c>
      <c r="Y46" s="307">
        <f t="shared" si="26"/>
        <v>0</v>
      </c>
      <c r="Z46" s="307">
        <f t="shared" si="26"/>
        <v>0</v>
      </c>
      <c r="AA46" s="307">
        <f t="shared" si="26"/>
        <v>0</v>
      </c>
      <c r="AB46" s="307">
        <f t="shared" si="26"/>
        <v>0</v>
      </c>
      <c r="AC46" s="307">
        <f t="shared" si="26"/>
        <v>0</v>
      </c>
      <c r="AD46" s="307">
        <f t="shared" si="26"/>
        <v>0</v>
      </c>
      <c r="AE46" s="307">
        <f t="shared" si="26"/>
        <v>0</v>
      </c>
      <c r="AF46" s="307">
        <f t="shared" si="26"/>
        <v>0</v>
      </c>
      <c r="AG46" s="307">
        <f t="shared" si="26"/>
        <v>0</v>
      </c>
      <c r="AH46" s="307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325</v>
      </c>
      <c r="B47" s="382">
        <f>B18</f>
        <v>0</v>
      </c>
      <c r="C47" s="310"/>
      <c r="D47" s="383">
        <f t="shared" ref="D47:Y47" si="27">D43*$B$47</f>
        <v>0</v>
      </c>
      <c r="E47" s="383">
        <f t="shared" si="27"/>
        <v>0</v>
      </c>
      <c r="F47" s="383">
        <f t="shared" si="27"/>
        <v>0</v>
      </c>
      <c r="G47" s="383">
        <f t="shared" si="27"/>
        <v>0</v>
      </c>
      <c r="H47" s="383">
        <f t="shared" si="27"/>
        <v>0</v>
      </c>
      <c r="I47" s="383">
        <f t="shared" si="27"/>
        <v>0</v>
      </c>
      <c r="J47" s="383">
        <f t="shared" si="27"/>
        <v>0</v>
      </c>
      <c r="K47" s="383">
        <f t="shared" si="27"/>
        <v>0</v>
      </c>
      <c r="L47" s="383">
        <f t="shared" si="27"/>
        <v>0</v>
      </c>
      <c r="M47" s="383">
        <f t="shared" si="27"/>
        <v>0</v>
      </c>
      <c r="N47" s="383">
        <f t="shared" si="27"/>
        <v>0</v>
      </c>
      <c r="O47" s="383">
        <f t="shared" si="27"/>
        <v>0</v>
      </c>
      <c r="P47" s="383">
        <f t="shared" si="27"/>
        <v>0</v>
      </c>
      <c r="Q47" s="383">
        <f t="shared" si="27"/>
        <v>0</v>
      </c>
      <c r="R47" s="383">
        <f t="shared" si="27"/>
        <v>0</v>
      </c>
      <c r="S47" s="383">
        <f t="shared" si="27"/>
        <v>0</v>
      </c>
      <c r="T47" s="383">
        <f t="shared" si="27"/>
        <v>0</v>
      </c>
      <c r="U47" s="383">
        <f t="shared" si="27"/>
        <v>0</v>
      </c>
      <c r="V47" s="383">
        <f t="shared" si="27"/>
        <v>0</v>
      </c>
      <c r="W47" s="383">
        <f t="shared" si="27"/>
        <v>0</v>
      </c>
      <c r="X47" s="383">
        <f t="shared" si="27"/>
        <v>0</v>
      </c>
      <c r="Y47" s="383">
        <f t="shared" si="27"/>
        <v>0</v>
      </c>
      <c r="Z47" s="383">
        <f t="shared" ref="Z47:AH47" si="28">Z43*$B$47</f>
        <v>0</v>
      </c>
      <c r="AA47" s="383">
        <f t="shared" si="28"/>
        <v>0</v>
      </c>
      <c r="AB47" s="383">
        <f t="shared" si="28"/>
        <v>0</v>
      </c>
      <c r="AC47" s="383">
        <f t="shared" si="28"/>
        <v>0</v>
      </c>
      <c r="AD47" s="383">
        <f t="shared" si="28"/>
        <v>0</v>
      </c>
      <c r="AE47" s="383">
        <f t="shared" si="28"/>
        <v>0</v>
      </c>
      <c r="AF47" s="383">
        <f t="shared" si="28"/>
        <v>0</v>
      </c>
      <c r="AG47" s="383">
        <f t="shared" si="28"/>
        <v>0</v>
      </c>
      <c r="AH47" s="383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104408.37914742176</v>
      </c>
      <c r="C48" s="310"/>
      <c r="D48" s="18">
        <f t="shared" ref="D48:Y48" si="29">SUM(D45:D47)</f>
        <v>2340.8299684132144</v>
      </c>
      <c r="E48" s="18">
        <f t="shared" si="29"/>
        <v>4012.8513744226525</v>
      </c>
      <c r="F48" s="18">
        <f t="shared" si="29"/>
        <v>4012.8513744226525</v>
      </c>
      <c r="G48" s="18">
        <f t="shared" si="29"/>
        <v>4012.8513744226525</v>
      </c>
      <c r="H48" s="18">
        <f t="shared" si="29"/>
        <v>4012.8513744226525</v>
      </c>
      <c r="I48" s="18">
        <f t="shared" si="29"/>
        <v>3408.518041089319</v>
      </c>
      <c r="J48" s="18">
        <f t="shared" si="29"/>
        <v>2976.8513744226525</v>
      </c>
      <c r="K48" s="18">
        <f t="shared" si="29"/>
        <v>2976.8513744226525</v>
      </c>
      <c r="L48" s="18">
        <f t="shared" si="29"/>
        <v>2976.8513744226525</v>
      </c>
      <c r="M48" s="18">
        <f t="shared" si="29"/>
        <v>2976.8513744226525</v>
      </c>
      <c r="N48" s="18">
        <f t="shared" si="29"/>
        <v>2976.8513744226525</v>
      </c>
      <c r="O48" s="18">
        <f t="shared" si="29"/>
        <v>2976.8513744226525</v>
      </c>
      <c r="P48" s="18">
        <f t="shared" si="29"/>
        <v>2976.8513744226525</v>
      </c>
      <c r="Q48" s="18">
        <f t="shared" si="29"/>
        <v>2976.8513744226525</v>
      </c>
      <c r="R48" s="18">
        <f t="shared" si="29"/>
        <v>2976.8513744226525</v>
      </c>
      <c r="S48" s="18">
        <f t="shared" si="29"/>
        <v>2976.8513744226525</v>
      </c>
      <c r="T48" s="18">
        <f t="shared" si="29"/>
        <v>2976.8513744226525</v>
      </c>
      <c r="U48" s="18">
        <f t="shared" si="29"/>
        <v>2976.8513744226525</v>
      </c>
      <c r="V48" s="18">
        <f t="shared" si="29"/>
        <v>2976.8513744226525</v>
      </c>
      <c r="W48" s="18">
        <f t="shared" si="29"/>
        <v>2976.8513744226525</v>
      </c>
      <c r="X48" s="18">
        <f t="shared" si="29"/>
        <v>2976.8513744226525</v>
      </c>
      <c r="Y48" s="18">
        <f t="shared" si="29"/>
        <v>2976.8513744226525</v>
      </c>
      <c r="Z48" s="18">
        <f t="shared" ref="Z48:AH48" si="30">SUM(Z45:Z47)</f>
        <v>2976.8513744226525</v>
      </c>
      <c r="AA48" s="18">
        <f t="shared" si="30"/>
        <v>2976.8513744226525</v>
      </c>
      <c r="AB48" s="18">
        <f t="shared" si="30"/>
        <v>2976.8513744226525</v>
      </c>
      <c r="AC48" s="18">
        <f t="shared" si="30"/>
        <v>2976.8513744226525</v>
      </c>
      <c r="AD48" s="18">
        <f t="shared" si="30"/>
        <v>2976.8513744226525</v>
      </c>
      <c r="AE48" s="18">
        <f t="shared" si="30"/>
        <v>2976.8513744226525</v>
      </c>
      <c r="AF48" s="18">
        <f t="shared" si="30"/>
        <v>2976.8513744226525</v>
      </c>
      <c r="AG48" s="18">
        <f t="shared" si="30"/>
        <v>2976.8513744226525</v>
      </c>
      <c r="AH48" s="18">
        <f t="shared" si="30"/>
        <v>1240.3547393427716</v>
      </c>
      <c r="AI48" s="20"/>
      <c r="AJ48" s="20"/>
      <c r="AK48" s="20"/>
      <c r="AL48" s="20"/>
    </row>
    <row r="49" spans="1:38">
      <c r="A49" s="22"/>
      <c r="B49" s="18"/>
      <c r="C49" s="385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2" t="s">
        <v>68</v>
      </c>
      <c r="B50" s="387">
        <f>B48</f>
        <v>104408.37914742176</v>
      </c>
      <c r="C50" s="386"/>
      <c r="D50" s="311">
        <f>B48-D48</f>
        <v>102067.54917900855</v>
      </c>
      <c r="E50" s="311">
        <f>D50-E48</f>
        <v>98054.6978045859</v>
      </c>
      <c r="F50" s="311">
        <f t="shared" ref="F50:Y50" si="31">E50-F48</f>
        <v>94041.846430163248</v>
      </c>
      <c r="G50" s="311">
        <f t="shared" si="31"/>
        <v>90028.995055740597</v>
      </c>
      <c r="H50" s="311">
        <f t="shared" si="31"/>
        <v>86016.143681317946</v>
      </c>
      <c r="I50" s="311">
        <f t="shared" si="31"/>
        <v>82607.625640228624</v>
      </c>
      <c r="J50" s="311">
        <f t="shared" si="31"/>
        <v>79630.774265805972</v>
      </c>
      <c r="K50" s="311">
        <f t="shared" si="31"/>
        <v>76653.922891383321</v>
      </c>
      <c r="L50" s="311">
        <f t="shared" si="31"/>
        <v>73677.07151696067</v>
      </c>
      <c r="M50" s="311">
        <f t="shared" si="31"/>
        <v>70700.220142538019</v>
      </c>
      <c r="N50" s="311">
        <f t="shared" si="31"/>
        <v>67723.368768115368</v>
      </c>
      <c r="O50" s="311">
        <f t="shared" si="31"/>
        <v>64746.517393692717</v>
      </c>
      <c r="P50" s="311">
        <f t="shared" si="31"/>
        <v>61769.666019270066</v>
      </c>
      <c r="Q50" s="311">
        <f t="shared" si="31"/>
        <v>58792.814644847414</v>
      </c>
      <c r="R50" s="311">
        <f t="shared" si="31"/>
        <v>55815.963270424763</v>
      </c>
      <c r="S50" s="311">
        <f t="shared" si="31"/>
        <v>52839.111896002112</v>
      </c>
      <c r="T50" s="311">
        <f t="shared" si="31"/>
        <v>49862.260521579461</v>
      </c>
      <c r="U50" s="311">
        <f t="shared" si="31"/>
        <v>46885.40914715681</v>
      </c>
      <c r="V50" s="311">
        <f t="shared" si="31"/>
        <v>43908.557772734159</v>
      </c>
      <c r="W50" s="311">
        <f t="shared" si="31"/>
        <v>40931.706398311508</v>
      </c>
      <c r="X50" s="311">
        <f t="shared" si="31"/>
        <v>37954.855023888857</v>
      </c>
      <c r="Y50" s="311">
        <f t="shared" si="31"/>
        <v>34978.003649466205</v>
      </c>
      <c r="Z50" s="311">
        <f t="shared" ref="Z50:AH50" si="32">Y50-Z48</f>
        <v>32001.152275043554</v>
      </c>
      <c r="AA50" s="311">
        <f t="shared" si="32"/>
        <v>29024.300900620903</v>
      </c>
      <c r="AB50" s="311">
        <f t="shared" si="32"/>
        <v>26047.449526198252</v>
      </c>
      <c r="AC50" s="311">
        <f t="shared" si="32"/>
        <v>23070.598151775601</v>
      </c>
      <c r="AD50" s="311">
        <f t="shared" si="32"/>
        <v>20093.74677735295</v>
      </c>
      <c r="AE50" s="311">
        <f t="shared" si="32"/>
        <v>17116.895402930299</v>
      </c>
      <c r="AF50" s="311">
        <f t="shared" si="32"/>
        <v>14140.044028507646</v>
      </c>
      <c r="AG50" s="311">
        <f t="shared" si="32"/>
        <v>11163.192654084993</v>
      </c>
      <c r="AH50" s="311">
        <f t="shared" si="32"/>
        <v>9922.8379147422202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217</v>
      </c>
      <c r="B10" s="19">
        <f>IS!C40</f>
        <v>-421.72146663756939</v>
      </c>
      <c r="C10" s="19">
        <f>IS!D40</f>
        <v>-665.97846662431857</v>
      </c>
      <c r="D10" s="19">
        <f>IS!E40</f>
        <v>-611.87506723724891</v>
      </c>
      <c r="E10" s="19">
        <f>IS!F40</f>
        <v>767.17585165800028</v>
      </c>
      <c r="F10" s="19">
        <f>IS!G40</f>
        <v>1795.5220278098723</v>
      </c>
      <c r="G10" s="19">
        <f>IS!H40</f>
        <v>2769.2923963428893</v>
      </c>
      <c r="H10" s="19">
        <f>IS!I40</f>
        <v>3600.0794019522727</v>
      </c>
      <c r="I10" s="19">
        <f>IS!J40</f>
        <v>4024.701325738366</v>
      </c>
      <c r="J10" s="19">
        <f>IS!K40</f>
        <v>4732.4039509141794</v>
      </c>
      <c r="K10" s="19">
        <f>IS!L40</f>
        <v>5236.908818208718</v>
      </c>
      <c r="L10" s="19">
        <f>IS!M40</f>
        <v>6046.3593261127098</v>
      </c>
      <c r="M10" s="19">
        <f>IS!N40</f>
        <v>6645.1809579254041</v>
      </c>
      <c r="N10" s="19">
        <f>IS!O40</f>
        <v>7574.0635141382572</v>
      </c>
      <c r="O10" s="19">
        <f>IS!P40</f>
        <v>8284.5765265009468</v>
      </c>
      <c r="P10" s="19">
        <f>IS!Q40</f>
        <v>9046.7480833305362</v>
      </c>
      <c r="Q10" s="19">
        <f>IS!R40</f>
        <v>9861.2096577841767</v>
      </c>
      <c r="R10" s="19">
        <f>IS!S40</f>
        <v>10679.739996532726</v>
      </c>
      <c r="S10" s="19">
        <f>IS!T40</f>
        <v>10902.606048052918</v>
      </c>
      <c r="T10" s="19">
        <f>IS!U40</f>
        <v>10985.823620642534</v>
      </c>
      <c r="U10" s="19">
        <f>IS!V40</f>
        <v>11061.542735907298</v>
      </c>
      <c r="V10" s="19">
        <f>IS!W40</f>
        <v>11129.238590592397</v>
      </c>
      <c r="W10" s="19">
        <f>IS!X40</f>
        <v>11188.361641859297</v>
      </c>
      <c r="X10" s="19">
        <f>IS!Y40</f>
        <v>11245.547096993641</v>
      </c>
      <c r="Y10" s="19">
        <f>IS!Z40</f>
        <v>11300.736828111474</v>
      </c>
      <c r="Z10" s="19">
        <f>IS!AA40</f>
        <v>11353.870963492265</v>
      </c>
      <c r="AA10" s="19">
        <f>IS!AB40</f>
        <v>11404.887835263917</v>
      </c>
      <c r="AB10" s="19">
        <f>IS!AC40</f>
        <v>11453.723925518159</v>
      </c>
      <c r="AC10" s="19">
        <f>IS!AD40</f>
        <v>11500.313810809486</v>
      </c>
      <c r="AD10" s="19">
        <f>IS!AE40</f>
        <v>11544.59010498898</v>
      </c>
      <c r="AE10" s="19">
        <f>IS!AF40</f>
        <v>11586.483400323288</v>
      </c>
      <c r="AF10" s="19">
        <f>IS!AG40</f>
        <v>3156.3777478857364</v>
      </c>
    </row>
    <row r="11" spans="1:32">
      <c r="A11" s="21" t="s">
        <v>70</v>
      </c>
      <c r="B11" s="19">
        <f>IS!C34</f>
        <v>2340.8299684132144</v>
      </c>
      <c r="C11" s="19">
        <f>IS!D34</f>
        <v>4012.8513744226525</v>
      </c>
      <c r="D11" s="19">
        <f>IS!E34</f>
        <v>4012.8513744226525</v>
      </c>
      <c r="E11" s="19">
        <f>IS!F34</f>
        <v>4012.8513744226525</v>
      </c>
      <c r="F11" s="19">
        <f>IS!G34</f>
        <v>4012.8513744226525</v>
      </c>
      <c r="G11" s="19">
        <f>IS!H34</f>
        <v>3408.518041089319</v>
      </c>
      <c r="H11" s="19">
        <f>IS!I34</f>
        <v>2976.8513744226525</v>
      </c>
      <c r="I11" s="19">
        <f>IS!J34</f>
        <v>2976.8513744226525</v>
      </c>
      <c r="J11" s="19">
        <f>IS!K34</f>
        <v>2976.8513744226525</v>
      </c>
      <c r="K11" s="19">
        <f>IS!L34</f>
        <v>2976.8513744226525</v>
      </c>
      <c r="L11" s="19">
        <f>IS!M34</f>
        <v>2976.8513744226525</v>
      </c>
      <c r="M11" s="19">
        <f>IS!N34</f>
        <v>2976.8513744226525</v>
      </c>
      <c r="N11" s="19">
        <f>IS!O34</f>
        <v>2976.8513744226525</v>
      </c>
      <c r="O11" s="19">
        <f>IS!P34</f>
        <v>2976.8513744226525</v>
      </c>
      <c r="P11" s="19">
        <f>IS!Q34</f>
        <v>2976.8513744226525</v>
      </c>
      <c r="Q11" s="19">
        <f>IS!R34</f>
        <v>2976.8513744226525</v>
      </c>
      <c r="R11" s="19">
        <f>IS!S34</f>
        <v>2976.8513744226525</v>
      </c>
      <c r="S11" s="19">
        <f>IS!T34</f>
        <v>2976.8513744226525</v>
      </c>
      <c r="T11" s="19">
        <f>IS!U34</f>
        <v>2976.8513744226525</v>
      </c>
      <c r="U11" s="19">
        <f>IS!V34</f>
        <v>2976.8513744226525</v>
      </c>
      <c r="V11" s="19">
        <f>IS!W34</f>
        <v>2976.8513744226525</v>
      </c>
      <c r="W11" s="19">
        <f>IS!X34</f>
        <v>2976.8513744226525</v>
      </c>
      <c r="X11" s="19">
        <f>IS!Y34</f>
        <v>2976.8513744226525</v>
      </c>
      <c r="Y11" s="19">
        <f>IS!Z34</f>
        <v>2976.8513744226525</v>
      </c>
      <c r="Z11" s="19">
        <f>IS!AA34</f>
        <v>2976.8513744226525</v>
      </c>
      <c r="AA11" s="19">
        <f>IS!AB34</f>
        <v>2976.8513744226525</v>
      </c>
      <c r="AB11" s="19">
        <f>IS!AC34</f>
        <v>2976.8513744226525</v>
      </c>
      <c r="AC11" s="19">
        <f>IS!AD34</f>
        <v>2976.8513744226525</v>
      </c>
      <c r="AD11" s="19">
        <f>IS!AE34</f>
        <v>2976.8513744226525</v>
      </c>
      <c r="AE11" s="19">
        <f>IS!AF34</f>
        <v>2976.8513744226525</v>
      </c>
      <c r="AF11" s="19">
        <f>IS!AG34</f>
        <v>1240.3547393427716</v>
      </c>
    </row>
    <row r="12" spans="1:32" ht="15">
      <c r="A12" s="21" t="s">
        <v>71</v>
      </c>
      <c r="B12" s="131">
        <f>-Depreciation!D34</f>
        <v>-5565.7522907044213</v>
      </c>
      <c r="C12" s="131">
        <f>-Depreciation!E34</f>
        <v>-10462.696019005067</v>
      </c>
      <c r="D12" s="131">
        <f>-Depreciation!F34</f>
        <v>-9520.0264171045601</v>
      </c>
      <c r="E12" s="131">
        <f>-Depreciation!G34</f>
        <v>-8676.5851943514754</v>
      </c>
      <c r="F12" s="131">
        <f>-Depreciation!H34</f>
        <v>-7912.5266749163275</v>
      </c>
      <c r="G12" s="131">
        <f>-Depreciation!I34</f>
        <v>-6613.5946875510426</v>
      </c>
      <c r="H12" s="131">
        <f>-Depreciation!J34</f>
        <v>-5854.474369697883</v>
      </c>
      <c r="I12" s="131">
        <f>-Depreciation!K34</f>
        <v>-5864.3972076126256</v>
      </c>
      <c r="J12" s="131">
        <f>-Depreciation!L34</f>
        <v>-5854.474369697883</v>
      </c>
      <c r="K12" s="131">
        <f>-Depreciation!M34</f>
        <v>-5864.3972076126256</v>
      </c>
      <c r="L12" s="131">
        <f>-Depreciation!N34</f>
        <v>-5854.474369697883</v>
      </c>
      <c r="M12" s="131">
        <f>-Depreciation!O34</f>
        <v>-5864.3972076126256</v>
      </c>
      <c r="N12" s="131">
        <f>-Depreciation!P34</f>
        <v>-5854.474369697883</v>
      </c>
      <c r="O12" s="131">
        <f>-Depreciation!Q34</f>
        <v>-5864.3972076126256</v>
      </c>
      <c r="P12" s="131">
        <f>-Depreciation!R34</f>
        <v>-5854.474369697883</v>
      </c>
      <c r="Q12" s="131">
        <f>-Depreciation!S34</f>
        <v>-2927.2371848489415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-3646.6437889287763</v>
      </c>
      <c r="C13" s="23">
        <f t="shared" ref="C13:W13" si="0">SUM(C10:C12)</f>
        <v>-7115.8231112067333</v>
      </c>
      <c r="D13" s="23">
        <f t="shared" si="0"/>
        <v>-6119.050109919157</v>
      </c>
      <c r="E13" s="23">
        <f t="shared" si="0"/>
        <v>-3896.557968270823</v>
      </c>
      <c r="F13" s="23">
        <f t="shared" si="0"/>
        <v>-2104.1532726838032</v>
      </c>
      <c r="G13" s="23">
        <f t="shared" si="0"/>
        <v>-435.78425011883428</v>
      </c>
      <c r="H13" s="23">
        <f t="shared" si="0"/>
        <v>722.45640667704265</v>
      </c>
      <c r="I13" s="23">
        <f t="shared" si="0"/>
        <v>1137.1554925483933</v>
      </c>
      <c r="J13" s="23">
        <f t="shared" si="0"/>
        <v>1854.7809556389484</v>
      </c>
      <c r="K13" s="23">
        <f t="shared" si="0"/>
        <v>2349.3629850187453</v>
      </c>
      <c r="L13" s="23">
        <f t="shared" si="0"/>
        <v>3168.7363308374797</v>
      </c>
      <c r="M13" s="23">
        <f t="shared" si="0"/>
        <v>3757.6351247354314</v>
      </c>
      <c r="N13" s="23">
        <f t="shared" si="0"/>
        <v>4696.4405188630271</v>
      </c>
      <c r="O13" s="23">
        <f t="shared" si="0"/>
        <v>5397.0306933109741</v>
      </c>
      <c r="P13" s="23">
        <f t="shared" si="0"/>
        <v>6169.1250880553062</v>
      </c>
      <c r="Q13" s="23">
        <f t="shared" si="0"/>
        <v>9910.8238473578876</v>
      </c>
      <c r="R13" s="23">
        <f t="shared" si="0"/>
        <v>13656.591370955379</v>
      </c>
      <c r="S13" s="23">
        <f t="shared" si="0"/>
        <v>13879.457422475571</v>
      </c>
      <c r="T13" s="23">
        <f t="shared" si="0"/>
        <v>13962.674995065187</v>
      </c>
      <c r="U13" s="23">
        <f t="shared" si="0"/>
        <v>14038.394110329951</v>
      </c>
      <c r="V13" s="23">
        <f t="shared" si="0"/>
        <v>14106.08996501505</v>
      </c>
      <c r="W13" s="23">
        <f t="shared" si="0"/>
        <v>14165.21301628195</v>
      </c>
      <c r="X13" s="23">
        <f t="shared" ref="X13:AF13" si="1">SUM(X10:X12)</f>
        <v>14222.398471416294</v>
      </c>
      <c r="Y13" s="23">
        <f t="shared" si="1"/>
        <v>14277.588202534127</v>
      </c>
      <c r="Z13" s="23">
        <f t="shared" si="1"/>
        <v>14330.722337914918</v>
      </c>
      <c r="AA13" s="23">
        <f t="shared" si="1"/>
        <v>14381.73920968657</v>
      </c>
      <c r="AB13" s="23">
        <f t="shared" si="1"/>
        <v>14430.575299940812</v>
      </c>
      <c r="AC13" s="23">
        <f t="shared" si="1"/>
        <v>14477.165185232139</v>
      </c>
      <c r="AD13" s="23">
        <f t="shared" si="1"/>
        <v>14521.441479411633</v>
      </c>
      <c r="AE13" s="23">
        <f t="shared" si="1"/>
        <v>14563.334774745941</v>
      </c>
      <c r="AF13" s="23">
        <f t="shared" si="1"/>
        <v>4396.732487228508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-255.26506522501435</v>
      </c>
      <c r="C16" s="19">
        <f t="shared" si="2"/>
        <v>-498.10761778447136</v>
      </c>
      <c r="D16" s="19">
        <f t="shared" si="2"/>
        <v>-428.33350769434105</v>
      </c>
      <c r="E16" s="19">
        <f t="shared" si="2"/>
        <v>-272.75905777895764</v>
      </c>
      <c r="F16" s="19">
        <f t="shared" si="2"/>
        <v>-147.29072908786623</v>
      </c>
      <c r="G16" s="19">
        <f t="shared" si="2"/>
        <v>-30.504897508318404</v>
      </c>
      <c r="H16" s="19">
        <f t="shared" si="2"/>
        <v>50.571948467392993</v>
      </c>
      <c r="I16" s="19">
        <f t="shared" si="2"/>
        <v>79.600884478387542</v>
      </c>
      <c r="J16" s="19">
        <f t="shared" si="2"/>
        <v>129.83466689472641</v>
      </c>
      <c r="K16" s="19">
        <f t="shared" si="2"/>
        <v>164.45540895131219</v>
      </c>
      <c r="L16" s="19">
        <f t="shared" si="2"/>
        <v>221.81154315862361</v>
      </c>
      <c r="M16" s="19">
        <f t="shared" si="2"/>
        <v>263.03445873148024</v>
      </c>
      <c r="N16" s="19">
        <f t="shared" si="2"/>
        <v>328.75083632041191</v>
      </c>
      <c r="O16" s="19">
        <f t="shared" si="2"/>
        <v>377.79214853176825</v>
      </c>
      <c r="P16" s="19">
        <f t="shared" si="2"/>
        <v>431.83875616387149</v>
      </c>
      <c r="Q16" s="19">
        <f t="shared" si="2"/>
        <v>693.75766931505223</v>
      </c>
      <c r="R16" s="19">
        <f t="shared" si="2"/>
        <v>955.96139596687658</v>
      </c>
      <c r="S16" s="19">
        <f t="shared" si="2"/>
        <v>971.56201957329006</v>
      </c>
      <c r="T16" s="19">
        <f t="shared" si="2"/>
        <v>977.38724965456311</v>
      </c>
      <c r="U16" s="19">
        <f t="shared" si="2"/>
        <v>982.68758772309673</v>
      </c>
      <c r="V16" s="19">
        <f t="shared" si="2"/>
        <v>987.42629755105361</v>
      </c>
      <c r="W16" s="19">
        <f t="shared" si="2"/>
        <v>991.56491113973664</v>
      </c>
      <c r="X16" s="19">
        <f t="shared" si="2"/>
        <v>995.56789299914067</v>
      </c>
      <c r="Y16" s="19">
        <f t="shared" si="2"/>
        <v>999.43117417738904</v>
      </c>
      <c r="Z16" s="19">
        <f t="shared" si="2"/>
        <v>1003.1505636540444</v>
      </c>
      <c r="AA16" s="19">
        <f t="shared" si="2"/>
        <v>1006.72174467806</v>
      </c>
      <c r="AB16" s="19">
        <f t="shared" si="2"/>
        <v>1010.140270995857</v>
      </c>
      <c r="AC16" s="19">
        <f t="shared" si="2"/>
        <v>1013.4015629662498</v>
      </c>
      <c r="AD16" s="19">
        <f t="shared" si="2"/>
        <v>1016.5009035588143</v>
      </c>
      <c r="AE16" s="19">
        <f t="shared" si="2"/>
        <v>1019.433434232216</v>
      </c>
      <c r="AF16" s="19">
        <f t="shared" si="2"/>
        <v>307.77127410599559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255.26506522501435</v>
      </c>
      <c r="D18" s="19">
        <f t="shared" ref="D18:W18" si="3">C22</f>
        <v>753.37268300948574</v>
      </c>
      <c r="E18" s="19">
        <f t="shared" si="3"/>
        <v>1181.7061907038269</v>
      </c>
      <c r="F18" s="19">
        <f t="shared" si="3"/>
        <v>1454.4652484827845</v>
      </c>
      <c r="G18" s="19">
        <f t="shared" si="3"/>
        <v>1601.7559775706509</v>
      </c>
      <c r="H18" s="19">
        <f t="shared" si="3"/>
        <v>1632.2608750789693</v>
      </c>
      <c r="I18" s="19">
        <f t="shared" si="3"/>
        <v>1581.6889266115763</v>
      </c>
      <c r="J18" s="19">
        <f t="shared" si="3"/>
        <v>1502.0880421331888</v>
      </c>
      <c r="K18" s="19">
        <f t="shared" si="3"/>
        <v>1247.1611429592285</v>
      </c>
      <c r="L18" s="19">
        <f t="shared" si="3"/>
        <v>969.6978483431858</v>
      </c>
      <c r="M18" s="19">
        <f t="shared" si="3"/>
        <v>747.88630518456216</v>
      </c>
      <c r="N18" s="19">
        <f t="shared" si="3"/>
        <v>484.85184645308192</v>
      </c>
      <c r="O18" s="19">
        <f t="shared" si="3"/>
        <v>156.10101013267001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0</v>
      </c>
      <c r="Y18" s="19">
        <f t="shared" si="4"/>
        <v>0</v>
      </c>
      <c r="Z18" s="19">
        <f t="shared" si="4"/>
        <v>0</v>
      </c>
      <c r="AA18" s="19">
        <f t="shared" si="4"/>
        <v>0</v>
      </c>
      <c r="AB18" s="19">
        <f t="shared" si="4"/>
        <v>0</v>
      </c>
      <c r="AC18" s="19">
        <f t="shared" si="4"/>
        <v>0</v>
      </c>
      <c r="AD18" s="19">
        <f t="shared" si="4"/>
        <v>0</v>
      </c>
      <c r="AE18" s="19">
        <f t="shared" si="4"/>
        <v>0</v>
      </c>
      <c r="AF18" s="19">
        <f t="shared" si="4"/>
        <v>0</v>
      </c>
    </row>
    <row r="19" spans="1:32">
      <c r="A19" s="21" t="s">
        <v>75</v>
      </c>
      <c r="B19" s="140">
        <f>IF(B16&lt;0,-B16,0)</f>
        <v>255.26506522501435</v>
      </c>
      <c r="C19" s="140">
        <f t="shared" ref="C19:W19" si="5">IF(C16&lt;0,-C16,0)</f>
        <v>498.10761778447136</v>
      </c>
      <c r="D19" s="140">
        <f t="shared" si="5"/>
        <v>428.33350769434105</v>
      </c>
      <c r="E19" s="140">
        <f t="shared" si="5"/>
        <v>272.75905777895764</v>
      </c>
      <c r="F19" s="140">
        <f t="shared" si="5"/>
        <v>147.29072908786623</v>
      </c>
      <c r="G19" s="140">
        <f t="shared" si="5"/>
        <v>30.504897508318404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0</v>
      </c>
      <c r="X19" s="140">
        <f t="shared" ref="X19:AF19" si="6">IF(X16&lt;0,-X16,0)</f>
        <v>0</v>
      </c>
      <c r="Y19" s="140">
        <f t="shared" si="6"/>
        <v>0</v>
      </c>
      <c r="Z19" s="140">
        <f t="shared" si="6"/>
        <v>0</v>
      </c>
      <c r="AA19" s="140">
        <f t="shared" si="6"/>
        <v>0</v>
      </c>
      <c r="AB19" s="140">
        <f t="shared" si="6"/>
        <v>0</v>
      </c>
      <c r="AC19" s="140">
        <f t="shared" si="6"/>
        <v>0</v>
      </c>
      <c r="AD19" s="140">
        <f t="shared" si="6"/>
        <v>0</v>
      </c>
      <c r="AE19" s="140">
        <f t="shared" si="6"/>
        <v>0</v>
      </c>
      <c r="AF19" s="140">
        <f t="shared" si="6"/>
        <v>0</v>
      </c>
    </row>
    <row r="20" spans="1:32">
      <c r="A20" s="13" t="s">
        <v>296</v>
      </c>
      <c r="B20" s="474">
        <v>0</v>
      </c>
      <c r="C20" s="475">
        <v>0</v>
      </c>
      <c r="D20" s="475">
        <v>0</v>
      </c>
      <c r="E20" s="475">
        <v>0</v>
      </c>
      <c r="F20" s="475">
        <v>0</v>
      </c>
      <c r="G20" s="475">
        <v>0</v>
      </c>
      <c r="H20" s="475">
        <v>0</v>
      </c>
      <c r="I20" s="476">
        <v>0</v>
      </c>
      <c r="J20" s="477">
        <f>IF(-SUM(B21:I21, B20:I20)&gt;B19,0,-B19-SUM(B21:I21,B20:I20))</f>
        <v>-125.09223227923383</v>
      </c>
      <c r="K20" s="477">
        <f t="shared" ref="K20:AF20" si="7">IF(-SUM(C21:J21, C20:J20)&gt;C19,0,-C19-SUM(C21:J21,C20:J20))</f>
        <v>-113.00788566473057</v>
      </c>
      <c r="L20" s="477">
        <f t="shared" si="7"/>
        <v>0</v>
      </c>
      <c r="M20" s="477">
        <f t="shared" si="7"/>
        <v>0</v>
      </c>
      <c r="N20" s="477">
        <f t="shared" si="7"/>
        <v>0</v>
      </c>
      <c r="O20" s="477">
        <f t="shared" si="7"/>
        <v>0</v>
      </c>
      <c r="P20" s="477">
        <f t="shared" si="7"/>
        <v>0</v>
      </c>
      <c r="Q20" s="477">
        <f t="shared" si="7"/>
        <v>0</v>
      </c>
      <c r="R20" s="477">
        <f t="shared" si="7"/>
        <v>0</v>
      </c>
      <c r="S20" s="477">
        <f t="shared" si="7"/>
        <v>0</v>
      </c>
      <c r="T20" s="477">
        <f t="shared" si="7"/>
        <v>0</v>
      </c>
      <c r="U20" s="477">
        <f t="shared" si="7"/>
        <v>0</v>
      </c>
      <c r="V20" s="477">
        <f t="shared" si="7"/>
        <v>0</v>
      </c>
      <c r="W20" s="477">
        <f t="shared" si="7"/>
        <v>0</v>
      </c>
      <c r="X20" s="477">
        <f t="shared" si="7"/>
        <v>0</v>
      </c>
      <c r="Y20" s="477">
        <f t="shared" si="7"/>
        <v>0</v>
      </c>
      <c r="Z20" s="477">
        <f t="shared" si="7"/>
        <v>0</v>
      </c>
      <c r="AA20" s="477">
        <f t="shared" si="7"/>
        <v>0</v>
      </c>
      <c r="AB20" s="477">
        <f t="shared" si="7"/>
        <v>0</v>
      </c>
      <c r="AC20" s="477">
        <f t="shared" si="7"/>
        <v>0</v>
      </c>
      <c r="AD20" s="477">
        <f t="shared" si="7"/>
        <v>0</v>
      </c>
      <c r="AE20" s="477">
        <f t="shared" si="7"/>
        <v>0</v>
      </c>
      <c r="AF20" s="477">
        <f t="shared" si="7"/>
        <v>0</v>
      </c>
    </row>
    <row r="21" spans="1:32">
      <c r="A21" s="13" t="s">
        <v>295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-50.571948467392993</v>
      </c>
      <c r="I21" s="133">
        <f t="shared" si="8"/>
        <v>-79.600884478387542</v>
      </c>
      <c r="J21" s="133">
        <f t="shared" si="8"/>
        <v>-129.83466689472641</v>
      </c>
      <c r="K21" s="133">
        <f t="shared" si="8"/>
        <v>-164.45540895131219</v>
      </c>
      <c r="L21" s="133">
        <f t="shared" si="8"/>
        <v>-221.81154315862361</v>
      </c>
      <c r="M21" s="133">
        <f t="shared" si="8"/>
        <v>-263.03445873148024</v>
      </c>
      <c r="N21" s="133">
        <f t="shared" si="8"/>
        <v>-328.75083632041191</v>
      </c>
      <c r="O21" s="133">
        <f t="shared" si="8"/>
        <v>-156.10101013267001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255.26506522501435</v>
      </c>
      <c r="C22" s="133">
        <f t="shared" si="10"/>
        <v>753.37268300948574</v>
      </c>
      <c r="D22" s="133">
        <f t="shared" si="10"/>
        <v>1181.7061907038269</v>
      </c>
      <c r="E22" s="133">
        <f t="shared" si="10"/>
        <v>1454.4652484827845</v>
      </c>
      <c r="F22" s="133">
        <f t="shared" si="10"/>
        <v>1601.7559775706509</v>
      </c>
      <c r="G22" s="133">
        <f t="shared" si="10"/>
        <v>1632.2608750789693</v>
      </c>
      <c r="H22" s="133">
        <f t="shared" si="10"/>
        <v>1581.6889266115763</v>
      </c>
      <c r="I22" s="133">
        <f t="shared" si="10"/>
        <v>1502.0880421331888</v>
      </c>
      <c r="J22" s="133">
        <f t="shared" si="10"/>
        <v>1247.1611429592285</v>
      </c>
      <c r="K22" s="133">
        <f t="shared" si="10"/>
        <v>969.6978483431858</v>
      </c>
      <c r="L22" s="133">
        <f t="shared" si="10"/>
        <v>747.88630518456216</v>
      </c>
      <c r="M22" s="133">
        <f t="shared" si="10"/>
        <v>484.85184645308192</v>
      </c>
      <c r="N22" s="133">
        <f t="shared" si="10"/>
        <v>156.10101013267001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0</v>
      </c>
      <c r="X22" s="133">
        <f t="shared" si="10"/>
        <v>0</v>
      </c>
      <c r="Y22" s="133">
        <f t="shared" si="10"/>
        <v>0</v>
      </c>
      <c r="Z22" s="133">
        <f t="shared" si="10"/>
        <v>0</v>
      </c>
      <c r="AA22" s="133">
        <f t="shared" si="10"/>
        <v>0</v>
      </c>
      <c r="AB22" s="133">
        <f t="shared" si="10"/>
        <v>0</v>
      </c>
      <c r="AC22" s="133">
        <f t="shared" si="10"/>
        <v>0</v>
      </c>
      <c r="AD22" s="133">
        <f t="shared" si="10"/>
        <v>0</v>
      </c>
      <c r="AE22" s="133">
        <f t="shared" si="10"/>
        <v>0</v>
      </c>
      <c r="AF22" s="133">
        <f t="shared" si="10"/>
        <v>0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219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221.69113839909824</v>
      </c>
      <c r="P24" s="137">
        <f t="shared" si="11"/>
        <v>431.83875616387149</v>
      </c>
      <c r="Q24" s="137">
        <f t="shared" si="11"/>
        <v>693.75766931505223</v>
      </c>
      <c r="R24" s="137">
        <f t="shared" si="11"/>
        <v>955.96139596687658</v>
      </c>
      <c r="S24" s="137">
        <f t="shared" si="11"/>
        <v>971.56201957329006</v>
      </c>
      <c r="T24" s="137">
        <f t="shared" si="11"/>
        <v>977.38724965456311</v>
      </c>
      <c r="U24" s="137">
        <f t="shared" si="11"/>
        <v>982.68758772309673</v>
      </c>
      <c r="V24" s="137">
        <f t="shared" si="11"/>
        <v>987.42629755105361</v>
      </c>
      <c r="W24" s="137">
        <f t="shared" si="11"/>
        <v>991.56491113973664</v>
      </c>
      <c r="X24" s="137">
        <f t="shared" si="11"/>
        <v>995.56789299914067</v>
      </c>
      <c r="Y24" s="137">
        <f t="shared" si="11"/>
        <v>999.43117417738904</v>
      </c>
      <c r="Z24" s="137">
        <f t="shared" si="11"/>
        <v>1003.1505636540444</v>
      </c>
      <c r="AA24" s="137">
        <f t="shared" si="11"/>
        <v>1006.72174467806</v>
      </c>
      <c r="AB24" s="137">
        <f t="shared" si="11"/>
        <v>1010.140270995857</v>
      </c>
      <c r="AC24" s="137">
        <f t="shared" si="11"/>
        <v>1013.4015629662498</v>
      </c>
      <c r="AD24" s="137">
        <f t="shared" si="11"/>
        <v>1016.5009035588143</v>
      </c>
      <c r="AE24" s="137">
        <f t="shared" si="11"/>
        <v>1019.433434232216</v>
      </c>
      <c r="AF24" s="137">
        <f t="shared" si="11"/>
        <v>307.77127410599559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-3646.6437889287763</v>
      </c>
      <c r="C28" s="19">
        <f t="shared" ref="C28:AF28" si="12">C13</f>
        <v>-7115.8231112067333</v>
      </c>
      <c r="D28" s="19">
        <f t="shared" si="12"/>
        <v>-6119.050109919157</v>
      </c>
      <c r="E28" s="19">
        <f t="shared" si="12"/>
        <v>-3896.557968270823</v>
      </c>
      <c r="F28" s="19">
        <f t="shared" si="12"/>
        <v>-2104.1532726838032</v>
      </c>
      <c r="G28" s="19">
        <f t="shared" si="12"/>
        <v>-435.78425011883428</v>
      </c>
      <c r="H28" s="19">
        <f t="shared" si="12"/>
        <v>722.45640667704265</v>
      </c>
      <c r="I28" s="19">
        <f t="shared" si="12"/>
        <v>1137.1554925483933</v>
      </c>
      <c r="J28" s="19">
        <f t="shared" si="12"/>
        <v>1854.7809556389484</v>
      </c>
      <c r="K28" s="19">
        <f t="shared" si="12"/>
        <v>2349.3629850187453</v>
      </c>
      <c r="L28" s="19">
        <f t="shared" si="12"/>
        <v>3168.7363308374797</v>
      </c>
      <c r="M28" s="19">
        <f t="shared" si="12"/>
        <v>3757.6351247354314</v>
      </c>
      <c r="N28" s="19">
        <f t="shared" si="12"/>
        <v>4696.4405188630271</v>
      </c>
      <c r="O28" s="19">
        <f t="shared" si="12"/>
        <v>5397.0306933109741</v>
      </c>
      <c r="P28" s="19">
        <f t="shared" si="12"/>
        <v>6169.1250880553062</v>
      </c>
      <c r="Q28" s="19">
        <f t="shared" si="12"/>
        <v>9910.8238473578876</v>
      </c>
      <c r="R28" s="19">
        <f t="shared" si="12"/>
        <v>13656.591370955379</v>
      </c>
      <c r="S28" s="19">
        <f t="shared" si="12"/>
        <v>13879.457422475571</v>
      </c>
      <c r="T28" s="19">
        <f t="shared" si="12"/>
        <v>13962.674995065187</v>
      </c>
      <c r="U28" s="19">
        <f t="shared" si="12"/>
        <v>14038.394110329951</v>
      </c>
      <c r="V28" s="19">
        <f t="shared" si="12"/>
        <v>14106.08996501505</v>
      </c>
      <c r="W28" s="19">
        <f t="shared" si="12"/>
        <v>14165.21301628195</v>
      </c>
      <c r="X28" s="19">
        <f t="shared" si="12"/>
        <v>14222.398471416294</v>
      </c>
      <c r="Y28" s="19">
        <f t="shared" si="12"/>
        <v>14277.588202534127</v>
      </c>
      <c r="Z28" s="19">
        <f t="shared" si="12"/>
        <v>14330.722337914918</v>
      </c>
      <c r="AA28" s="19">
        <f t="shared" si="12"/>
        <v>14381.73920968657</v>
      </c>
      <c r="AB28" s="19">
        <f t="shared" si="12"/>
        <v>14430.575299940812</v>
      </c>
      <c r="AC28" s="19">
        <f t="shared" si="12"/>
        <v>14477.165185232139</v>
      </c>
      <c r="AD28" s="19">
        <f t="shared" si="12"/>
        <v>14521.441479411633</v>
      </c>
      <c r="AE28" s="19">
        <f t="shared" si="12"/>
        <v>14563.334774745941</v>
      </c>
      <c r="AF28" s="19">
        <f t="shared" si="12"/>
        <v>4396.732487228508</v>
      </c>
    </row>
    <row r="29" spans="1:32" ht="15">
      <c r="A29" s="21" t="s">
        <v>78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-221.69113839909824</v>
      </c>
      <c r="P29" s="135">
        <f t="shared" si="13"/>
        <v>-431.83875616387149</v>
      </c>
      <c r="Q29" s="135">
        <f t="shared" si="13"/>
        <v>-693.75766931505223</v>
      </c>
      <c r="R29" s="135">
        <f t="shared" si="13"/>
        <v>-955.96139596687658</v>
      </c>
      <c r="S29" s="135">
        <f t="shared" si="13"/>
        <v>-971.56201957329006</v>
      </c>
      <c r="T29" s="135">
        <f t="shared" si="13"/>
        <v>-977.38724965456311</v>
      </c>
      <c r="U29" s="135">
        <f t="shared" si="13"/>
        <v>-982.68758772309673</v>
      </c>
      <c r="V29" s="135">
        <f t="shared" si="13"/>
        <v>-987.42629755105361</v>
      </c>
      <c r="W29" s="135">
        <f t="shared" si="13"/>
        <v>-991.56491113973664</v>
      </c>
      <c r="X29" s="135">
        <f t="shared" si="13"/>
        <v>-995.56789299914067</v>
      </c>
      <c r="Y29" s="135">
        <f t="shared" si="13"/>
        <v>-999.43117417738904</v>
      </c>
      <c r="Z29" s="135">
        <f t="shared" si="13"/>
        <v>-1003.1505636540444</v>
      </c>
      <c r="AA29" s="135">
        <f t="shared" si="13"/>
        <v>-1006.72174467806</v>
      </c>
      <c r="AB29" s="135">
        <f t="shared" si="13"/>
        <v>-1010.140270995857</v>
      </c>
      <c r="AC29" s="135">
        <f t="shared" si="13"/>
        <v>-1013.4015629662498</v>
      </c>
      <c r="AD29" s="135">
        <f t="shared" si="13"/>
        <v>-1016.5009035588143</v>
      </c>
      <c r="AE29" s="135">
        <f t="shared" si="13"/>
        <v>-1019.433434232216</v>
      </c>
      <c r="AF29" s="135">
        <f t="shared" si="13"/>
        <v>-307.77127410599559</v>
      </c>
    </row>
    <row r="30" spans="1:32">
      <c r="A30" s="130" t="s">
        <v>218</v>
      </c>
      <c r="B30" s="44">
        <f t="shared" ref="B30:AF30" si="14">SUM(B28:B29)</f>
        <v>-3646.6437889287763</v>
      </c>
      <c r="C30" s="44">
        <f t="shared" si="14"/>
        <v>-7115.8231112067333</v>
      </c>
      <c r="D30" s="44">
        <f t="shared" si="14"/>
        <v>-6119.050109919157</v>
      </c>
      <c r="E30" s="44">
        <f t="shared" si="14"/>
        <v>-3896.557968270823</v>
      </c>
      <c r="F30" s="44">
        <f t="shared" si="14"/>
        <v>-2104.1532726838032</v>
      </c>
      <c r="G30" s="44">
        <f t="shared" si="14"/>
        <v>-435.78425011883428</v>
      </c>
      <c r="H30" s="44">
        <f t="shared" si="14"/>
        <v>722.45640667704265</v>
      </c>
      <c r="I30" s="44">
        <f t="shared" si="14"/>
        <v>1137.1554925483933</v>
      </c>
      <c r="J30" s="44">
        <f t="shared" si="14"/>
        <v>1854.7809556389484</v>
      </c>
      <c r="K30" s="44">
        <f t="shared" si="14"/>
        <v>2349.3629850187453</v>
      </c>
      <c r="L30" s="44">
        <f t="shared" si="14"/>
        <v>3168.7363308374797</v>
      </c>
      <c r="M30" s="44">
        <f t="shared" si="14"/>
        <v>3757.6351247354314</v>
      </c>
      <c r="N30" s="44">
        <f t="shared" si="14"/>
        <v>4696.4405188630271</v>
      </c>
      <c r="O30" s="44">
        <f t="shared" si="14"/>
        <v>5175.3395549118759</v>
      </c>
      <c r="P30" s="44">
        <f t="shared" si="14"/>
        <v>5737.2863318914351</v>
      </c>
      <c r="Q30" s="44">
        <f t="shared" si="14"/>
        <v>9217.0661780428345</v>
      </c>
      <c r="R30" s="44">
        <f t="shared" si="14"/>
        <v>12700.629974988502</v>
      </c>
      <c r="S30" s="44">
        <f t="shared" si="14"/>
        <v>12907.895402902281</v>
      </c>
      <c r="T30" s="44">
        <f t="shared" si="14"/>
        <v>12985.287745410624</v>
      </c>
      <c r="U30" s="44">
        <f t="shared" si="14"/>
        <v>13055.706522606855</v>
      </c>
      <c r="V30" s="44">
        <f t="shared" si="14"/>
        <v>13118.663667463996</v>
      </c>
      <c r="W30" s="44">
        <f t="shared" si="14"/>
        <v>13173.648105142214</v>
      </c>
      <c r="X30" s="44">
        <f t="shared" si="14"/>
        <v>13226.830578417153</v>
      </c>
      <c r="Y30" s="44">
        <f t="shared" si="14"/>
        <v>13278.157028356738</v>
      </c>
      <c r="Z30" s="44">
        <f t="shared" si="14"/>
        <v>13327.571774260874</v>
      </c>
      <c r="AA30" s="44">
        <f t="shared" si="14"/>
        <v>13375.01746500851</v>
      </c>
      <c r="AB30" s="44">
        <f t="shared" si="14"/>
        <v>13420.435028944956</v>
      </c>
      <c r="AC30" s="44">
        <f t="shared" si="14"/>
        <v>13463.763622265889</v>
      </c>
      <c r="AD30" s="44">
        <f t="shared" si="14"/>
        <v>13504.940575852819</v>
      </c>
      <c r="AE30" s="44">
        <f t="shared" si="14"/>
        <v>13543.901340513725</v>
      </c>
      <c r="AF30" s="44">
        <f t="shared" si="14"/>
        <v>4088.9612131225126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-1276.3253261250716</v>
      </c>
      <c r="C33" s="19">
        <f t="shared" ref="C33:W33" si="15">C30*C32</f>
        <v>-2490.5380889223566</v>
      </c>
      <c r="D33" s="19">
        <f t="shared" si="15"/>
        <v>-2141.667538471705</v>
      </c>
      <c r="E33" s="19">
        <f t="shared" si="15"/>
        <v>-1363.795288894788</v>
      </c>
      <c r="F33" s="19">
        <f t="shared" si="15"/>
        <v>-736.45364543933101</v>
      </c>
      <c r="G33" s="19">
        <f t="shared" si="15"/>
        <v>-152.52448754159198</v>
      </c>
      <c r="H33" s="19">
        <f t="shared" si="15"/>
        <v>252.8597423369649</v>
      </c>
      <c r="I33" s="19">
        <f t="shared" si="15"/>
        <v>398.00442239193762</v>
      </c>
      <c r="J33" s="19">
        <f t="shared" si="15"/>
        <v>649.17333447363194</v>
      </c>
      <c r="K33" s="19">
        <f t="shared" si="15"/>
        <v>822.27704475656083</v>
      </c>
      <c r="L33" s="19">
        <f t="shared" si="15"/>
        <v>1109.0577157931177</v>
      </c>
      <c r="M33" s="19">
        <f t="shared" si="15"/>
        <v>1315.1722936574008</v>
      </c>
      <c r="N33" s="19">
        <f t="shared" si="15"/>
        <v>1643.7541816020594</v>
      </c>
      <c r="O33" s="19">
        <f t="shared" si="15"/>
        <v>1811.3688442191565</v>
      </c>
      <c r="P33" s="19">
        <f t="shared" si="15"/>
        <v>2008.0502161620022</v>
      </c>
      <c r="Q33" s="19">
        <f t="shared" si="15"/>
        <v>3225.9731623149919</v>
      </c>
      <c r="R33" s="19">
        <f t="shared" si="15"/>
        <v>4445.2204912459756</v>
      </c>
      <c r="S33" s="19">
        <f t="shared" si="15"/>
        <v>4517.7633910157983</v>
      </c>
      <c r="T33" s="19">
        <f t="shared" si="15"/>
        <v>4544.8507108937183</v>
      </c>
      <c r="U33" s="19">
        <f t="shared" si="15"/>
        <v>4569.497282912399</v>
      </c>
      <c r="V33" s="19">
        <f t="shared" si="15"/>
        <v>4591.5322836123978</v>
      </c>
      <c r="W33" s="19">
        <f t="shared" si="15"/>
        <v>4610.7768367997751</v>
      </c>
      <c r="X33" s="19">
        <f t="shared" ref="X33:AF33" si="16">X30*X32</f>
        <v>4629.3907024460032</v>
      </c>
      <c r="Y33" s="19">
        <f t="shared" si="16"/>
        <v>4647.3549599248581</v>
      </c>
      <c r="Z33" s="19">
        <f t="shared" si="16"/>
        <v>4664.6501209913058</v>
      </c>
      <c r="AA33" s="19">
        <f t="shared" si="16"/>
        <v>4681.256112752978</v>
      </c>
      <c r="AB33" s="19">
        <f t="shared" si="16"/>
        <v>4697.1522601307342</v>
      </c>
      <c r="AC33" s="19">
        <f t="shared" si="16"/>
        <v>4712.3172677930606</v>
      </c>
      <c r="AD33" s="19">
        <f t="shared" si="16"/>
        <v>4726.7292015484863</v>
      </c>
      <c r="AE33" s="19">
        <f t="shared" si="16"/>
        <v>4740.3654691798038</v>
      </c>
      <c r="AF33" s="19">
        <f t="shared" si="16"/>
        <v>1431.1364245928794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1276.3253261250716</v>
      </c>
      <c r="D35" s="19">
        <f t="shared" si="17"/>
        <v>3766.8634150474281</v>
      </c>
      <c r="E35" s="19">
        <f t="shared" si="17"/>
        <v>5908.5309535191336</v>
      </c>
      <c r="F35" s="19">
        <f t="shared" si="17"/>
        <v>7272.3262424139211</v>
      </c>
      <c r="G35" s="19">
        <f t="shared" si="17"/>
        <v>8008.7798878532521</v>
      </c>
      <c r="H35" s="19">
        <f t="shared" si="17"/>
        <v>8161.3043753948441</v>
      </c>
      <c r="I35" s="19">
        <f t="shared" si="17"/>
        <v>7908.4446330578794</v>
      </c>
      <c r="J35" s="19">
        <f t="shared" si="17"/>
        <v>7510.4402106659418</v>
      </c>
      <c r="K35" s="19">
        <f t="shared" si="17"/>
        <v>6861.2668761923096</v>
      </c>
      <c r="L35" s="19">
        <f t="shared" si="17"/>
        <v>6038.9898314357488</v>
      </c>
      <c r="M35" s="19">
        <f t="shared" si="17"/>
        <v>4929.9321156426313</v>
      </c>
      <c r="N35" s="19">
        <f t="shared" si="17"/>
        <v>3614.7598219852307</v>
      </c>
      <c r="O35" s="19">
        <f t="shared" si="17"/>
        <v>1971.0056403831713</v>
      </c>
      <c r="P35" s="19">
        <f t="shared" si="17"/>
        <v>159.63679616401487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0</v>
      </c>
      <c r="Y35" s="19">
        <f t="shared" si="18"/>
        <v>0</v>
      </c>
      <c r="Z35" s="19">
        <f t="shared" si="18"/>
        <v>0</v>
      </c>
      <c r="AA35" s="19">
        <f t="shared" si="18"/>
        <v>0</v>
      </c>
      <c r="AB35" s="19">
        <f t="shared" si="18"/>
        <v>0</v>
      </c>
      <c r="AC35" s="19">
        <f t="shared" si="18"/>
        <v>0</v>
      </c>
      <c r="AD35" s="19">
        <f t="shared" si="18"/>
        <v>0</v>
      </c>
      <c r="AE35" s="19">
        <f t="shared" si="18"/>
        <v>0</v>
      </c>
      <c r="AF35" s="19">
        <f t="shared" si="18"/>
        <v>0</v>
      </c>
    </row>
    <row r="36" spans="1:32">
      <c r="A36" s="21" t="s">
        <v>75</v>
      </c>
      <c r="B36" s="140">
        <f>IF(B33&lt;0,-B33,0)</f>
        <v>1276.3253261250716</v>
      </c>
      <c r="C36" s="140">
        <f t="shared" ref="C36:AF36" si="19">IF(C33&lt;0,-C33,0)</f>
        <v>2490.5380889223566</v>
      </c>
      <c r="D36" s="140">
        <f t="shared" si="19"/>
        <v>2141.667538471705</v>
      </c>
      <c r="E36" s="140">
        <f t="shared" si="19"/>
        <v>1363.795288894788</v>
      </c>
      <c r="F36" s="140">
        <f t="shared" si="19"/>
        <v>736.45364543933101</v>
      </c>
      <c r="G36" s="140">
        <f t="shared" si="19"/>
        <v>152.52448754159198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0</v>
      </c>
      <c r="X36" s="140">
        <f t="shared" si="19"/>
        <v>0</v>
      </c>
      <c r="Y36" s="140">
        <f t="shared" si="19"/>
        <v>0</v>
      </c>
      <c r="Z36" s="140">
        <f t="shared" si="19"/>
        <v>0</v>
      </c>
      <c r="AA36" s="140">
        <f t="shared" si="19"/>
        <v>0</v>
      </c>
      <c r="AB36" s="140">
        <f t="shared" si="19"/>
        <v>0</v>
      </c>
      <c r="AC36" s="140">
        <f t="shared" si="19"/>
        <v>0</v>
      </c>
      <c r="AD36" s="140">
        <f t="shared" si="19"/>
        <v>0</v>
      </c>
      <c r="AE36" s="140">
        <f t="shared" si="19"/>
        <v>0</v>
      </c>
      <c r="AF36" s="140">
        <f t="shared" si="19"/>
        <v>0</v>
      </c>
    </row>
    <row r="37" spans="1:32">
      <c r="A37" s="13" t="s">
        <v>296</v>
      </c>
      <c r="B37" s="474">
        <v>0</v>
      </c>
      <c r="C37" s="475">
        <v>0</v>
      </c>
      <c r="D37" s="475">
        <v>0</v>
      </c>
      <c r="E37" s="475">
        <v>0</v>
      </c>
      <c r="F37" s="475">
        <v>0</v>
      </c>
      <c r="G37" s="475">
        <v>0</v>
      </c>
      <c r="H37" s="475">
        <v>0</v>
      </c>
      <c r="I37" s="475">
        <v>0</v>
      </c>
      <c r="J37" s="475">
        <v>0</v>
      </c>
      <c r="K37" s="475">
        <v>0</v>
      </c>
      <c r="L37" s="475">
        <v>0</v>
      </c>
      <c r="M37" s="475">
        <v>0</v>
      </c>
      <c r="N37" s="475">
        <v>0</v>
      </c>
      <c r="O37" s="475">
        <v>0</v>
      </c>
      <c r="P37" s="476">
        <v>0</v>
      </c>
      <c r="Q37" s="477">
        <f>IF(-SUM(B38:P38, B37:P37)&gt;B36,0,-B36-SUM(B38:P38,B37:P37))</f>
        <v>0</v>
      </c>
      <c r="R37" s="477">
        <f t="shared" ref="R37:AF37" si="20">IF(-SUM(C38:Q38, C37:Q37)&gt;C36,0,-C36-SUM(C38:Q38,C37:Q37))</f>
        <v>0</v>
      </c>
      <c r="S37" s="477">
        <f t="shared" si="20"/>
        <v>0</v>
      </c>
      <c r="T37" s="477">
        <f t="shared" si="20"/>
        <v>0</v>
      </c>
      <c r="U37" s="477">
        <f t="shared" si="20"/>
        <v>0</v>
      </c>
      <c r="V37" s="477">
        <f t="shared" si="20"/>
        <v>0</v>
      </c>
      <c r="W37" s="477">
        <f t="shared" si="20"/>
        <v>0</v>
      </c>
      <c r="X37" s="477">
        <f t="shared" si="20"/>
        <v>0</v>
      </c>
      <c r="Y37" s="477">
        <f t="shared" si="20"/>
        <v>0</v>
      </c>
      <c r="Z37" s="477">
        <f t="shared" si="20"/>
        <v>0</v>
      </c>
      <c r="AA37" s="477">
        <f t="shared" si="20"/>
        <v>0</v>
      </c>
      <c r="AB37" s="477">
        <f t="shared" si="20"/>
        <v>0</v>
      </c>
      <c r="AC37" s="477">
        <f t="shared" si="20"/>
        <v>0</v>
      </c>
      <c r="AD37" s="477">
        <f t="shared" si="20"/>
        <v>0</v>
      </c>
      <c r="AE37" s="477">
        <f t="shared" si="20"/>
        <v>0</v>
      </c>
      <c r="AF37" s="477">
        <f t="shared" si="20"/>
        <v>0</v>
      </c>
    </row>
    <row r="38" spans="1:32">
      <c r="A38" s="13" t="s">
        <v>297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-252.8597423369649</v>
      </c>
      <c r="I38" s="133">
        <f t="shared" si="21"/>
        <v>-398.00442239193762</v>
      </c>
      <c r="J38" s="133">
        <f t="shared" si="21"/>
        <v>-649.17333447363194</v>
      </c>
      <c r="K38" s="133">
        <f t="shared" si="21"/>
        <v>-822.27704475656083</v>
      </c>
      <c r="L38" s="133">
        <f t="shared" si="21"/>
        <v>-1109.0577157931177</v>
      </c>
      <c r="M38" s="133">
        <f t="shared" si="21"/>
        <v>-1315.1722936574008</v>
      </c>
      <c r="N38" s="133">
        <f t="shared" si="21"/>
        <v>-1643.7541816020594</v>
      </c>
      <c r="O38" s="133">
        <f t="shared" si="21"/>
        <v>-1811.3688442191565</v>
      </c>
      <c r="P38" s="133">
        <f t="shared" si="21"/>
        <v>-159.63679616401487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1276.3253261250716</v>
      </c>
      <c r="C39" s="133">
        <f t="shared" si="23"/>
        <v>3766.8634150474281</v>
      </c>
      <c r="D39" s="133">
        <f t="shared" si="23"/>
        <v>5908.5309535191336</v>
      </c>
      <c r="E39" s="133">
        <f t="shared" si="23"/>
        <v>7272.3262424139211</v>
      </c>
      <c r="F39" s="133">
        <f t="shared" si="23"/>
        <v>8008.7798878532521</v>
      </c>
      <c r="G39" s="133">
        <f t="shared" si="23"/>
        <v>8161.3043753948441</v>
      </c>
      <c r="H39" s="133">
        <f t="shared" si="23"/>
        <v>7908.4446330578794</v>
      </c>
      <c r="I39" s="133">
        <f t="shared" si="23"/>
        <v>7510.4402106659418</v>
      </c>
      <c r="J39" s="133">
        <f t="shared" si="23"/>
        <v>6861.2668761923096</v>
      </c>
      <c r="K39" s="133">
        <f t="shared" si="23"/>
        <v>6038.9898314357488</v>
      </c>
      <c r="L39" s="133">
        <f t="shared" si="23"/>
        <v>4929.9321156426313</v>
      </c>
      <c r="M39" s="133">
        <f t="shared" si="23"/>
        <v>3614.7598219852307</v>
      </c>
      <c r="N39" s="133">
        <f t="shared" si="23"/>
        <v>1971.0056403831713</v>
      </c>
      <c r="O39" s="133">
        <f t="shared" si="23"/>
        <v>159.63679616401487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0</v>
      </c>
      <c r="X39" s="133">
        <f t="shared" si="23"/>
        <v>0</v>
      </c>
      <c r="Y39" s="133">
        <f t="shared" si="23"/>
        <v>0</v>
      </c>
      <c r="Z39" s="133">
        <f t="shared" si="23"/>
        <v>0</v>
      </c>
      <c r="AA39" s="133">
        <f t="shared" si="23"/>
        <v>0</v>
      </c>
      <c r="AB39" s="133">
        <f t="shared" si="23"/>
        <v>0</v>
      </c>
      <c r="AC39" s="133">
        <f t="shared" si="23"/>
        <v>0</v>
      </c>
      <c r="AD39" s="133">
        <f t="shared" si="23"/>
        <v>0</v>
      </c>
      <c r="AE39" s="133">
        <f t="shared" si="23"/>
        <v>0</v>
      </c>
      <c r="AF39" s="133">
        <f t="shared" si="23"/>
        <v>0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219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1848.4134199979874</v>
      </c>
      <c r="Q41" s="137">
        <f t="shared" si="24"/>
        <v>3225.9731623149919</v>
      </c>
      <c r="R41" s="137">
        <f t="shared" si="24"/>
        <v>4445.2204912459756</v>
      </c>
      <c r="S41" s="137">
        <f t="shared" si="24"/>
        <v>4517.7633910157983</v>
      </c>
      <c r="T41" s="137">
        <f t="shared" si="24"/>
        <v>4544.8507108937183</v>
      </c>
      <c r="U41" s="137">
        <f t="shared" si="24"/>
        <v>4569.497282912399</v>
      </c>
      <c r="V41" s="137">
        <f t="shared" si="24"/>
        <v>4591.5322836123978</v>
      </c>
      <c r="W41" s="137">
        <f t="shared" si="24"/>
        <v>4610.7768367997751</v>
      </c>
      <c r="X41" s="137">
        <f t="shared" si="24"/>
        <v>4629.3907024460032</v>
      </c>
      <c r="Y41" s="137">
        <f t="shared" si="24"/>
        <v>4647.3549599248581</v>
      </c>
      <c r="Z41" s="137">
        <f t="shared" si="24"/>
        <v>4664.6501209913058</v>
      </c>
      <c r="AA41" s="137">
        <f t="shared" si="24"/>
        <v>4681.256112752978</v>
      </c>
      <c r="AB41" s="137">
        <f t="shared" si="24"/>
        <v>4697.1522601307342</v>
      </c>
      <c r="AC41" s="137">
        <f t="shared" si="24"/>
        <v>4712.3172677930606</v>
      </c>
      <c r="AD41" s="137">
        <f t="shared" si="24"/>
        <v>4726.7292015484863</v>
      </c>
      <c r="AE41" s="137">
        <f t="shared" si="24"/>
        <v>4740.3654691798038</v>
      </c>
      <c r="AF41" s="137">
        <f t="shared" si="24"/>
        <v>1431.1364245928794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6" sqref="C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196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358</v>
      </c>
      <c r="B6" s="236"/>
      <c r="C6" s="450">
        <v>33317.08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203</v>
      </c>
      <c r="B7" s="236"/>
      <c r="C7" s="460">
        <f>Assumptions!H16</f>
        <v>5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201</v>
      </c>
      <c r="B8" s="236"/>
      <c r="C8" s="533">
        <f>Assumptions!H39</f>
        <v>7.8299999999999995E-2</v>
      </c>
      <c r="D8" s="245">
        <f>C8/360</f>
        <v>2.1749999999999997E-4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202</v>
      </c>
      <c r="D9" s="244" t="s">
        <v>238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190</v>
      </c>
      <c r="E12" s="232" t="s">
        <v>197</v>
      </c>
      <c r="F12" s="233"/>
      <c r="G12" s="233"/>
      <c r="H12" s="233"/>
      <c r="I12" s="233"/>
      <c r="J12" s="228"/>
    </row>
    <row r="13" spans="1:25">
      <c r="A13" s="232" t="s">
        <v>187</v>
      </c>
      <c r="B13" s="5"/>
      <c r="C13" s="5"/>
      <c r="D13" s="234" t="s">
        <v>198</v>
      </c>
      <c r="E13" s="234" t="s">
        <v>191</v>
      </c>
      <c r="F13" s="234" t="s">
        <v>192</v>
      </c>
      <c r="G13" s="239" t="s">
        <v>193</v>
      </c>
      <c r="H13" s="234" t="s">
        <v>194</v>
      </c>
      <c r="I13" s="234" t="s">
        <v>195</v>
      </c>
      <c r="J13" s="66"/>
    </row>
    <row r="14" spans="1:25">
      <c r="A14" s="229" t="s">
        <v>188</v>
      </c>
      <c r="B14" s="229" t="s">
        <v>136</v>
      </c>
      <c r="C14" s="229" t="s">
        <v>189</v>
      </c>
      <c r="D14" s="229" t="s">
        <v>200</v>
      </c>
      <c r="E14" s="229" t="s">
        <v>200</v>
      </c>
      <c r="F14" s="229" t="s">
        <v>200</v>
      </c>
      <c r="G14" s="229" t="s">
        <v>200</v>
      </c>
      <c r="H14" s="229" t="s">
        <v>200</v>
      </c>
      <c r="I14" s="229" t="s">
        <v>200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</v>
      </c>
      <c r="D15" s="241">
        <f>D59*3</f>
        <v>42781.348821995125</v>
      </c>
      <c r="E15" s="242">
        <f t="shared" ref="E15:E33" si="0">C15*$C$6</f>
        <v>3331.7080000000005</v>
      </c>
      <c r="F15" s="242">
        <f t="shared" ref="F15:F33" si="1">+E15+D15</f>
        <v>46113.056821995124</v>
      </c>
      <c r="G15" s="242">
        <f>F15+H15</f>
        <v>46113.056821995124</v>
      </c>
      <c r="H15" s="242">
        <v>0</v>
      </c>
      <c r="I15" s="242">
        <v>0</v>
      </c>
      <c r="K15" s="448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0.04</v>
      </c>
      <c r="D16" s="241">
        <v>0</v>
      </c>
      <c r="E16" s="242">
        <f t="shared" si="0"/>
        <v>1332.6832000000002</v>
      </c>
      <c r="F16" s="242">
        <f t="shared" si="1"/>
        <v>1332.6832000000002</v>
      </c>
      <c r="G16" s="242">
        <f t="shared" ref="G16:G33" si="3">F16+G15+H16</f>
        <v>47746.627717758638</v>
      </c>
      <c r="H16" s="242">
        <f>IF(A16&gt;$C$7+1,0,G15*(B16-B15)*$D$8)</f>
        <v>300.88769576351814</v>
      </c>
      <c r="I16" s="242">
        <f>IF(A16&lt;=$C$7+1,H16+I15,I15)</f>
        <v>300.88769576351814</v>
      </c>
      <c r="K16" s="448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0.08</v>
      </c>
      <c r="D17" s="241">
        <v>0</v>
      </c>
      <c r="E17" s="242">
        <f t="shared" si="0"/>
        <v>2665.3664000000003</v>
      </c>
      <c r="F17" s="242">
        <f t="shared" si="1"/>
        <v>2665.3664000000003</v>
      </c>
      <c r="G17" s="242">
        <f t="shared" si="3"/>
        <v>50733.925755145625</v>
      </c>
      <c r="H17" s="242">
        <f t="shared" ref="H17:H33" si="4">IF(A17&gt;$C$7+1,0,G16*(B17-B16)*$D$8)</f>
        <v>321.93163738698757</v>
      </c>
      <c r="I17" s="242">
        <f t="shared" ref="I17:I33" si="5">IF(A17&lt;=$C$7+1,H17+I16,I16)</f>
        <v>622.81933315050571</v>
      </c>
      <c r="K17" s="448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</v>
      </c>
      <c r="D18" s="241">
        <v>0</v>
      </c>
      <c r="E18" s="242">
        <f t="shared" si="0"/>
        <v>3331.7080000000005</v>
      </c>
      <c r="F18" s="242">
        <f t="shared" si="1"/>
        <v>3331.7080000000005</v>
      </c>
      <c r="G18" s="242">
        <f t="shared" si="3"/>
        <v>54396.672620697951</v>
      </c>
      <c r="H18" s="242">
        <f t="shared" si="4"/>
        <v>331.03886555232515</v>
      </c>
      <c r="I18" s="242">
        <f t="shared" si="5"/>
        <v>953.8581987028308</v>
      </c>
      <c r="K18" s="448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0.11</v>
      </c>
      <c r="D19" s="241">
        <v>0</v>
      </c>
      <c r="E19" s="242">
        <f t="shared" si="0"/>
        <v>3664.8788000000004</v>
      </c>
      <c r="F19" s="242">
        <f t="shared" si="1"/>
        <v>3664.8788000000004</v>
      </c>
      <c r="G19" s="242">
        <f t="shared" si="3"/>
        <v>58428.320985843005</v>
      </c>
      <c r="H19" s="242">
        <f t="shared" si="4"/>
        <v>366.76956514505594</v>
      </c>
      <c r="I19" s="242">
        <f t="shared" si="5"/>
        <v>1320.6277638478869</v>
      </c>
      <c r="K19" s="448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3664.8788000000004</v>
      </c>
      <c r="F20" s="242">
        <f t="shared" si="1"/>
        <v>3664.8788000000004</v>
      </c>
      <c r="G20" s="242">
        <f t="shared" si="3"/>
        <v>62487.152740090052</v>
      </c>
      <c r="H20" s="242">
        <f t="shared" si="4"/>
        <v>393.95295424704642</v>
      </c>
      <c r="I20" s="242">
        <f t="shared" si="5"/>
        <v>1714.5807180949332</v>
      </c>
      <c r="K20" s="448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</v>
      </c>
      <c r="D21" s="241">
        <v>0</v>
      </c>
      <c r="E21" s="242">
        <f t="shared" si="0"/>
        <v>3331.7080000000005</v>
      </c>
      <c r="F21" s="242">
        <f t="shared" si="1"/>
        <v>3331.7080000000005</v>
      </c>
      <c r="G21" s="242">
        <f t="shared" si="3"/>
        <v>65818.860740090051</v>
      </c>
      <c r="H21" s="242">
        <f t="shared" si="4"/>
        <v>0</v>
      </c>
      <c r="I21" s="242">
        <f t="shared" si="5"/>
        <v>1714.5807180949332</v>
      </c>
      <c r="K21" s="448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0.08</v>
      </c>
      <c r="D22" s="241">
        <v>0</v>
      </c>
      <c r="E22" s="242">
        <f t="shared" si="0"/>
        <v>2665.3664000000003</v>
      </c>
      <c r="F22" s="242">
        <f t="shared" si="1"/>
        <v>2665.3664000000003</v>
      </c>
      <c r="G22" s="242">
        <f t="shared" si="3"/>
        <v>68484.22714009005</v>
      </c>
      <c r="H22" s="242">
        <f t="shared" si="4"/>
        <v>0</v>
      </c>
      <c r="I22" s="242">
        <f t="shared" si="5"/>
        <v>1714.5807180949332</v>
      </c>
      <c r="K22" s="448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0.06</v>
      </c>
      <c r="D23" s="241">
        <v>0</v>
      </c>
      <c r="E23" s="242">
        <f t="shared" si="0"/>
        <v>1999.0248000000001</v>
      </c>
      <c r="F23" s="242">
        <f t="shared" si="1"/>
        <v>1999.0248000000001</v>
      </c>
      <c r="G23" s="242">
        <f t="shared" si="3"/>
        <v>70483.251940090049</v>
      </c>
      <c r="H23" s="242">
        <f t="shared" si="4"/>
        <v>0</v>
      </c>
      <c r="I23" s="242">
        <f t="shared" si="5"/>
        <v>1714.5807180949332</v>
      </c>
      <c r="K23" s="448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0.06</v>
      </c>
      <c r="D24" s="241">
        <v>0</v>
      </c>
      <c r="E24" s="242">
        <f t="shared" si="0"/>
        <v>1999.0248000000001</v>
      </c>
      <c r="F24" s="242">
        <f t="shared" si="1"/>
        <v>1999.0248000000001</v>
      </c>
      <c r="G24" s="242">
        <f t="shared" si="3"/>
        <v>72482.276740090048</v>
      </c>
      <c r="H24" s="242">
        <f t="shared" si="4"/>
        <v>0</v>
      </c>
      <c r="I24" s="242">
        <f t="shared" si="5"/>
        <v>1714.5807180949332</v>
      </c>
      <c r="K24" s="448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0.03</v>
      </c>
      <c r="D25" s="241">
        <v>0</v>
      </c>
      <c r="E25" s="242">
        <f t="shared" si="0"/>
        <v>999.51240000000007</v>
      </c>
      <c r="F25" s="242">
        <f t="shared" si="1"/>
        <v>999.51240000000007</v>
      </c>
      <c r="G25" s="242">
        <f t="shared" si="3"/>
        <v>73481.789140090055</v>
      </c>
      <c r="H25" s="242">
        <f t="shared" si="4"/>
        <v>0</v>
      </c>
      <c r="I25" s="242">
        <f t="shared" si="5"/>
        <v>1714.5807180949332</v>
      </c>
      <c r="K25" s="448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0.04</v>
      </c>
      <c r="D26" s="241">
        <v>0</v>
      </c>
      <c r="E26" s="242">
        <f t="shared" si="0"/>
        <v>1332.6832000000002</v>
      </c>
      <c r="F26" s="242">
        <f t="shared" si="1"/>
        <v>1332.6832000000002</v>
      </c>
      <c r="G26" s="242">
        <f t="shared" si="3"/>
        <v>74814.472340090055</v>
      </c>
      <c r="H26" s="242">
        <f t="shared" si="4"/>
        <v>0</v>
      </c>
      <c r="I26" s="242">
        <f t="shared" si="5"/>
        <v>1714.5807180949332</v>
      </c>
      <c r="K26" s="448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0.04</v>
      </c>
      <c r="D27" s="241">
        <v>0</v>
      </c>
      <c r="E27" s="242">
        <f t="shared" si="0"/>
        <v>1332.6832000000002</v>
      </c>
      <c r="F27" s="242">
        <f t="shared" si="1"/>
        <v>1332.6832000000002</v>
      </c>
      <c r="G27" s="242">
        <f t="shared" si="3"/>
        <v>76147.155540090054</v>
      </c>
      <c r="H27" s="242">
        <f t="shared" si="4"/>
        <v>0</v>
      </c>
      <c r="I27" s="242">
        <f t="shared" si="5"/>
        <v>1714.5807180949332</v>
      </c>
      <c r="K27" s="448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0.05</v>
      </c>
      <c r="D28" s="241">
        <v>0</v>
      </c>
      <c r="E28" s="242">
        <f t="shared" si="0"/>
        <v>1665.8540000000003</v>
      </c>
      <c r="F28" s="242">
        <f t="shared" si="1"/>
        <v>1665.8540000000003</v>
      </c>
      <c r="G28" s="242">
        <f t="shared" si="3"/>
        <v>77813.009540090061</v>
      </c>
      <c r="H28" s="242">
        <f t="shared" si="4"/>
        <v>0</v>
      </c>
      <c r="I28" s="242">
        <f t="shared" si="5"/>
        <v>1714.5807180949332</v>
      </c>
      <c r="K28" s="448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77813.009540090061</v>
      </c>
      <c r="H29" s="242">
        <f t="shared" si="4"/>
        <v>0</v>
      </c>
      <c r="I29" s="242">
        <f t="shared" si="5"/>
        <v>1714.5807180949332</v>
      </c>
      <c r="K29" s="448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77813.009540090061</v>
      </c>
      <c r="H30" s="242">
        <f t="shared" si="4"/>
        <v>0</v>
      </c>
      <c r="I30" s="242">
        <f t="shared" si="5"/>
        <v>1714.5807180949332</v>
      </c>
      <c r="K30" s="448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77813.009540090061</v>
      </c>
      <c r="H31" s="242">
        <f t="shared" si="4"/>
        <v>0</v>
      </c>
      <c r="I31" s="242">
        <f t="shared" si="5"/>
        <v>1714.5807180949332</v>
      </c>
      <c r="K31" s="448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77813.009540090061</v>
      </c>
      <c r="H32" s="242">
        <f t="shared" si="4"/>
        <v>0</v>
      </c>
      <c r="I32" s="242">
        <f t="shared" si="5"/>
        <v>1714.5807180949332</v>
      </c>
      <c r="K32" s="448"/>
    </row>
    <row r="33" spans="1:12">
      <c r="A33" s="230">
        <f t="shared" si="2"/>
        <v>19</v>
      </c>
      <c r="B33" s="231">
        <v>37165</v>
      </c>
      <c r="C33" s="447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77813.009540090061</v>
      </c>
      <c r="H33" s="247">
        <f t="shared" si="4"/>
        <v>0</v>
      </c>
      <c r="I33" s="247">
        <f t="shared" si="5"/>
        <v>1714.5807180949332</v>
      </c>
      <c r="K33" s="448"/>
    </row>
    <row r="34" spans="1:12">
      <c r="C34" s="235">
        <f>SUM(C15:C33)</f>
        <v>1.0000000000000002</v>
      </c>
      <c r="D34" s="243">
        <f>SUM(D15:D33)</f>
        <v>42781.348821995125</v>
      </c>
      <c r="E34" s="243">
        <f>SUM(E15:E33)</f>
        <v>33317.079999999994</v>
      </c>
      <c r="F34" s="243">
        <f>SUM(F15:F33)</f>
        <v>76098.428821995127</v>
      </c>
      <c r="G34" s="18"/>
      <c r="H34" s="243">
        <f>SUM(H15:H33)</f>
        <v>1714.5807180949332</v>
      </c>
      <c r="I34" s="243"/>
    </row>
    <row r="38" spans="1:12" ht="18.75">
      <c r="A38" s="61" t="s">
        <v>234</v>
      </c>
      <c r="B38" s="289"/>
      <c r="F38"/>
      <c r="G38"/>
      <c r="H38"/>
      <c r="I38"/>
      <c r="J38"/>
      <c r="K38"/>
      <c r="L38"/>
    </row>
    <row r="39" spans="1:12" ht="13.5" thickBot="1">
      <c r="F39" s="412" t="s">
        <v>436</v>
      </c>
    </row>
    <row r="40" spans="1:12">
      <c r="F40" s="430"/>
      <c r="G40" s="426" t="s">
        <v>344</v>
      </c>
      <c r="H40" s="426">
        <v>2</v>
      </c>
      <c r="I40" s="426">
        <v>3</v>
      </c>
      <c r="J40" s="426">
        <v>4</v>
      </c>
      <c r="K40" s="426">
        <v>5</v>
      </c>
      <c r="L40" s="427">
        <v>6</v>
      </c>
    </row>
    <row r="41" spans="1:12" ht="13.5" thickBot="1">
      <c r="A41" s="232" t="s">
        <v>345</v>
      </c>
      <c r="B41" s="232" t="s">
        <v>347</v>
      </c>
      <c r="C41" s="232" t="s">
        <v>349</v>
      </c>
      <c r="D41" s="232" t="s">
        <v>233</v>
      </c>
      <c r="F41" s="431" t="s">
        <v>188</v>
      </c>
      <c r="G41" s="428" t="s">
        <v>354</v>
      </c>
      <c r="H41" s="428">
        <v>13</v>
      </c>
      <c r="I41" s="428">
        <v>13.5</v>
      </c>
      <c r="J41" s="428">
        <v>14</v>
      </c>
      <c r="K41" s="428">
        <v>14.5</v>
      </c>
      <c r="L41" s="429">
        <v>15</v>
      </c>
    </row>
    <row r="42" spans="1:12" ht="13.5" thickBot="1">
      <c r="A42" s="232" t="s">
        <v>346</v>
      </c>
      <c r="B42" s="232" t="s">
        <v>348</v>
      </c>
      <c r="C42" s="232" t="s">
        <v>350</v>
      </c>
      <c r="D42" s="232" t="s">
        <v>351</v>
      </c>
      <c r="F42" s="432">
        <v>1</v>
      </c>
      <c r="G42" s="418"/>
      <c r="H42" s="530">
        <v>0.1</v>
      </c>
      <c r="I42" s="530">
        <v>0.1</v>
      </c>
      <c r="J42" s="419">
        <v>0.1</v>
      </c>
      <c r="K42" s="419">
        <v>0.1</v>
      </c>
      <c r="L42" s="420">
        <v>0.1</v>
      </c>
    </row>
    <row r="43" spans="1:12">
      <c r="A43" s="436" t="s">
        <v>232</v>
      </c>
      <c r="B43" s="437">
        <v>3</v>
      </c>
      <c r="C43" s="438">
        <v>36737</v>
      </c>
      <c r="D43" s="439">
        <v>36829</v>
      </c>
      <c r="F43" s="433">
        <v>2</v>
      </c>
      <c r="G43" s="181"/>
      <c r="H43" s="531">
        <v>0.04</v>
      </c>
      <c r="I43" s="531">
        <v>0.04</v>
      </c>
      <c r="J43" s="421">
        <v>0.04</v>
      </c>
      <c r="K43" s="421">
        <v>0.04</v>
      </c>
      <c r="L43" s="422">
        <v>0.04</v>
      </c>
    </row>
    <row r="44" spans="1:12">
      <c r="A44" s="440" t="s">
        <v>231</v>
      </c>
      <c r="B44" s="434">
        <v>3</v>
      </c>
      <c r="C44" s="435">
        <v>36768</v>
      </c>
      <c r="D44" s="441">
        <v>36829</v>
      </c>
      <c r="F44" s="433">
        <v>3</v>
      </c>
      <c r="G44" s="181"/>
      <c r="H44" s="531">
        <v>0.08</v>
      </c>
      <c r="I44" s="531">
        <v>0.08</v>
      </c>
      <c r="J44" s="421">
        <v>0.08</v>
      </c>
      <c r="K44" s="421">
        <v>0.08</v>
      </c>
      <c r="L44" s="422">
        <v>0.08</v>
      </c>
    </row>
    <row r="45" spans="1:12">
      <c r="A45" s="440" t="s">
        <v>230</v>
      </c>
      <c r="B45" s="434">
        <v>2</v>
      </c>
      <c r="C45" s="435">
        <v>36799</v>
      </c>
      <c r="D45" s="441">
        <v>36829</v>
      </c>
      <c r="F45" s="433">
        <v>4</v>
      </c>
      <c r="G45" s="181"/>
      <c r="H45" s="531">
        <v>0.12</v>
      </c>
      <c r="I45" s="531">
        <v>0.12</v>
      </c>
      <c r="J45" s="421">
        <v>0.1</v>
      </c>
      <c r="K45" s="421">
        <v>0.1</v>
      </c>
      <c r="L45" s="422">
        <v>0.1</v>
      </c>
    </row>
    <row r="46" spans="1:12">
      <c r="A46" s="440" t="s">
        <v>229</v>
      </c>
      <c r="B46" s="434">
        <v>3</v>
      </c>
      <c r="C46" s="435">
        <v>36829</v>
      </c>
      <c r="D46" s="441">
        <v>36829</v>
      </c>
      <c r="F46" s="433">
        <v>5</v>
      </c>
      <c r="G46" s="181"/>
      <c r="H46" s="531">
        <v>0.12</v>
      </c>
      <c r="I46" s="531">
        <v>0.12</v>
      </c>
      <c r="J46" s="421">
        <v>0.11</v>
      </c>
      <c r="K46" s="421">
        <v>0.11</v>
      </c>
      <c r="L46" s="422">
        <v>0.1</v>
      </c>
    </row>
    <row r="47" spans="1:12">
      <c r="A47" s="440" t="s">
        <v>228</v>
      </c>
      <c r="B47" s="434">
        <v>2</v>
      </c>
      <c r="C47" s="435">
        <v>36860</v>
      </c>
      <c r="D47" s="441">
        <v>36860</v>
      </c>
      <c r="F47" s="433">
        <v>6</v>
      </c>
      <c r="G47" s="181"/>
      <c r="H47" s="531">
        <v>0.12</v>
      </c>
      <c r="I47" s="531">
        <v>0.12</v>
      </c>
      <c r="J47" s="421">
        <v>0.11</v>
      </c>
      <c r="K47" s="421">
        <v>0.11</v>
      </c>
      <c r="L47" s="422">
        <v>0.1</v>
      </c>
    </row>
    <row r="48" spans="1:12">
      <c r="A48" s="442" t="s">
        <v>227</v>
      </c>
      <c r="B48" s="434">
        <v>2</v>
      </c>
      <c r="C48" s="435">
        <v>36890</v>
      </c>
      <c r="D48" s="441">
        <v>36890</v>
      </c>
      <c r="F48" s="433">
        <v>7</v>
      </c>
      <c r="G48" s="181"/>
      <c r="H48" s="531">
        <v>0.1</v>
      </c>
      <c r="I48" s="531">
        <v>0.1</v>
      </c>
      <c r="J48" s="421">
        <v>0.1</v>
      </c>
      <c r="K48" s="421">
        <v>0.1</v>
      </c>
      <c r="L48" s="422">
        <v>0.08</v>
      </c>
    </row>
    <row r="49" spans="1:12">
      <c r="A49" s="442" t="s">
        <v>226</v>
      </c>
      <c r="B49" s="434">
        <v>3</v>
      </c>
      <c r="C49" s="435">
        <v>36555</v>
      </c>
      <c r="D49" s="441">
        <v>36555</v>
      </c>
      <c r="F49" s="433">
        <v>8</v>
      </c>
      <c r="G49" s="181"/>
      <c r="H49" s="531">
        <v>0.08</v>
      </c>
      <c r="I49" s="531">
        <v>0.08</v>
      </c>
      <c r="J49" s="421">
        <v>0.08</v>
      </c>
      <c r="K49" s="421">
        <v>0.08</v>
      </c>
      <c r="L49" s="422">
        <v>0.08</v>
      </c>
    </row>
    <row r="50" spans="1:12">
      <c r="A50" s="442" t="s">
        <v>225</v>
      </c>
      <c r="B50" s="434">
        <v>2</v>
      </c>
      <c r="C50" s="435">
        <v>36950</v>
      </c>
      <c r="D50" s="441">
        <v>36950</v>
      </c>
      <c r="F50" s="433">
        <v>9</v>
      </c>
      <c r="G50" s="181"/>
      <c r="H50" s="531">
        <v>0.06</v>
      </c>
      <c r="I50" s="531">
        <v>0.06</v>
      </c>
      <c r="J50" s="421">
        <v>0.06</v>
      </c>
      <c r="K50" s="421">
        <v>0.06</v>
      </c>
      <c r="L50" s="422">
        <v>0.06</v>
      </c>
    </row>
    <row r="51" spans="1:12">
      <c r="A51" s="442" t="s">
        <v>224</v>
      </c>
      <c r="B51" s="434">
        <v>2</v>
      </c>
      <c r="C51" s="435">
        <v>36980</v>
      </c>
      <c r="D51" s="441">
        <v>36980</v>
      </c>
      <c r="F51" s="433">
        <v>10</v>
      </c>
      <c r="G51" s="181"/>
      <c r="H51" s="531">
        <v>0.06</v>
      </c>
      <c r="I51" s="531">
        <v>0.06</v>
      </c>
      <c r="J51" s="421">
        <v>0.06</v>
      </c>
      <c r="K51" s="421">
        <v>0.06</v>
      </c>
      <c r="L51" s="422">
        <v>0.06</v>
      </c>
    </row>
    <row r="52" spans="1:12" ht="13.5" thickBot="1">
      <c r="A52" s="443" t="s">
        <v>223</v>
      </c>
      <c r="B52" s="444">
        <v>2</v>
      </c>
      <c r="C52" s="445">
        <v>37011</v>
      </c>
      <c r="D52" s="446">
        <v>37011</v>
      </c>
      <c r="F52" s="433">
        <v>11</v>
      </c>
      <c r="G52" s="181"/>
      <c r="H52" s="531">
        <v>0.03</v>
      </c>
      <c r="I52" s="531">
        <v>0.03</v>
      </c>
      <c r="J52" s="421">
        <v>0.03</v>
      </c>
      <c r="K52" s="421">
        <v>0.03</v>
      </c>
      <c r="L52" s="422">
        <v>0.03</v>
      </c>
    </row>
    <row r="53" spans="1:12">
      <c r="F53" s="433">
        <v>12</v>
      </c>
      <c r="G53" s="181"/>
      <c r="H53" s="531">
        <v>0.04</v>
      </c>
      <c r="I53" s="531">
        <v>0.04</v>
      </c>
      <c r="J53" s="421">
        <v>0.04</v>
      </c>
      <c r="K53" s="421">
        <v>0.04</v>
      </c>
      <c r="L53" s="422">
        <v>0.04</v>
      </c>
    </row>
    <row r="54" spans="1:12" ht="13.5" thickBot="1">
      <c r="F54" s="433">
        <v>13</v>
      </c>
      <c r="G54" s="181"/>
      <c r="H54" s="531">
        <v>0.05</v>
      </c>
      <c r="I54" s="531">
        <v>0.05</v>
      </c>
      <c r="J54" s="421">
        <v>0.04</v>
      </c>
      <c r="K54" s="421">
        <v>0.04</v>
      </c>
      <c r="L54" s="422">
        <v>0.04</v>
      </c>
    </row>
    <row r="55" spans="1:12">
      <c r="A55" s="293" t="s">
        <v>352</v>
      </c>
      <c r="B55" s="38"/>
      <c r="C55" s="38"/>
      <c r="D55" s="290"/>
      <c r="F55" s="433">
        <v>14</v>
      </c>
      <c r="G55" s="181"/>
      <c r="H55" s="421">
        <v>0</v>
      </c>
      <c r="I55" s="421">
        <v>0</v>
      </c>
      <c r="J55" s="421">
        <v>0.05</v>
      </c>
      <c r="K55" s="421">
        <v>0.05</v>
      </c>
      <c r="L55" s="422">
        <v>0.04</v>
      </c>
    </row>
    <row r="56" spans="1:12" ht="13.5" thickBot="1">
      <c r="A56" s="41" t="s">
        <v>236</v>
      </c>
      <c r="B56" s="13"/>
      <c r="C56" s="13"/>
      <c r="D56" s="291">
        <v>13950</v>
      </c>
      <c r="F56" s="478">
        <v>15</v>
      </c>
      <c r="G56" s="423"/>
      <c r="H56" s="424">
        <v>0</v>
      </c>
      <c r="I56" s="424">
        <v>0</v>
      </c>
      <c r="J56" s="424">
        <v>0</v>
      </c>
      <c r="K56" s="424">
        <v>0</v>
      </c>
      <c r="L56" s="425">
        <v>0.05</v>
      </c>
    </row>
    <row r="57" spans="1:12" ht="13.5" thickBot="1">
      <c r="A57" s="41" t="s">
        <v>237</v>
      </c>
      <c r="B57" s="13"/>
      <c r="C57" s="13"/>
      <c r="D57" s="291">
        <v>289.6162739983738</v>
      </c>
      <c r="F57" s="449" t="s">
        <v>355</v>
      </c>
      <c r="G57" s="423"/>
      <c r="H57" s="424">
        <f>SUM(H42:H56)</f>
        <v>1.0000000000000002</v>
      </c>
      <c r="I57" s="424">
        <f>SUM(I42:I56)</f>
        <v>1.0000000000000002</v>
      </c>
      <c r="J57" s="424">
        <f>SUM(J42:J56)</f>
        <v>1.0000000000000002</v>
      </c>
      <c r="K57" s="424">
        <f>SUM(K42:K56)</f>
        <v>1.0000000000000002</v>
      </c>
      <c r="L57" s="425">
        <f>SUM(L42:L56)</f>
        <v>1.0000000000000002</v>
      </c>
    </row>
    <row r="58" spans="1:12" ht="13.5" thickBot="1">
      <c r="A58" s="173" t="s">
        <v>235</v>
      </c>
      <c r="B58" s="42"/>
      <c r="C58" s="42"/>
      <c r="D58" s="292">
        <v>20.833333333333314</v>
      </c>
      <c r="E58" s="66"/>
    </row>
    <row r="59" spans="1:12" ht="13.5" thickBot="1">
      <c r="A59" s="294" t="s">
        <v>353</v>
      </c>
      <c r="B59" s="295"/>
      <c r="C59" s="295"/>
      <c r="D59" s="296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127</v>
      </c>
    </row>
    <row r="6" spans="1:4" ht="13.5" thickBot="1"/>
    <row r="7" spans="1:4" ht="13.5" thickBot="1">
      <c r="A7" s="528"/>
      <c r="B7" s="484" t="s">
        <v>418</v>
      </c>
      <c r="C7" s="485" t="s">
        <v>0</v>
      </c>
      <c r="D7" s="486"/>
    </row>
    <row r="8" spans="1:4">
      <c r="A8" s="487"/>
      <c r="B8" s="299" t="s">
        <v>129</v>
      </c>
      <c r="C8" s="299" t="s">
        <v>2</v>
      </c>
      <c r="D8" s="488" t="s">
        <v>425</v>
      </c>
    </row>
    <row r="9" spans="1:4" ht="13.5" thickBot="1">
      <c r="A9" s="489" t="s">
        <v>126</v>
      </c>
      <c r="B9" s="490">
        <f>'Returns Analysis'!C39</f>
        <v>0.12342732548713684</v>
      </c>
      <c r="C9" s="491">
        <f>Debt!E69</f>
        <v>1.2999999999999978</v>
      </c>
      <c r="D9" s="492">
        <f>Debt!E68</f>
        <v>1.3</v>
      </c>
    </row>
    <row r="10" spans="1:4">
      <c r="A10" s="63"/>
      <c r="C10" s="493"/>
      <c r="D10" s="493"/>
    </row>
    <row r="11" spans="1:4" ht="13.5" thickBot="1"/>
    <row r="12" spans="1:4">
      <c r="A12" s="494" t="s">
        <v>383</v>
      </c>
      <c r="B12" s="495">
        <f>B9</f>
        <v>0.12342732548713684</v>
      </c>
      <c r="C12" s="496">
        <f>C9</f>
        <v>1.2999999999999978</v>
      </c>
      <c r="D12" s="497">
        <f>D9</f>
        <v>1.3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66" zoomScale="75" zoomScaleNormal="75" workbookViewId="0">
      <selection activeCell="C71" sqref="C71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437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209</v>
      </c>
      <c r="M8" s="120"/>
      <c r="N8" s="38"/>
      <c r="O8" s="38"/>
      <c r="P8" s="39"/>
      <c r="U8" s="343" t="s">
        <v>242</v>
      </c>
      <c r="V8" s="344" t="s">
        <v>247</v>
      </c>
      <c r="W8" s="344" t="s">
        <v>251</v>
      </c>
      <c r="X8" s="344" t="s">
        <v>128</v>
      </c>
      <c r="Y8" s="344" t="s">
        <v>267</v>
      </c>
      <c r="Z8" s="344" t="s">
        <v>268</v>
      </c>
      <c r="AA8" s="344" t="s">
        <v>269</v>
      </c>
      <c r="AB8" s="366" t="s">
        <v>328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316</v>
      </c>
      <c r="M9" s="13"/>
      <c r="N9" s="13"/>
      <c r="O9" s="13"/>
      <c r="P9" s="40"/>
      <c r="U9" s="333" t="s">
        <v>246</v>
      </c>
      <c r="V9" s="334" t="s">
        <v>248</v>
      </c>
      <c r="W9" s="334" t="s">
        <v>322</v>
      </c>
      <c r="X9" s="334" t="s">
        <v>263</v>
      </c>
      <c r="Y9" s="334" t="s">
        <v>272</v>
      </c>
      <c r="Z9" s="334" t="s">
        <v>270</v>
      </c>
      <c r="AA9" s="334" t="s">
        <v>270</v>
      </c>
      <c r="AB9" s="367" t="s">
        <v>331</v>
      </c>
    </row>
    <row r="10" spans="1:38" ht="15.75">
      <c r="A10" s="96" t="s">
        <v>6</v>
      </c>
      <c r="B10" s="97" t="s">
        <v>7</v>
      </c>
      <c r="C10" s="196" t="s">
        <v>8</v>
      </c>
      <c r="D10" s="352" t="s">
        <v>204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7" t="s">
        <v>243</v>
      </c>
      <c r="V10" s="208" t="s">
        <v>249</v>
      </c>
      <c r="W10" s="208" t="s">
        <v>323</v>
      </c>
      <c r="X10" s="208" t="s">
        <v>261</v>
      </c>
      <c r="Y10" s="208" t="s">
        <v>337</v>
      </c>
      <c r="Z10" s="208" t="s">
        <v>271</v>
      </c>
      <c r="AA10" s="208" t="s">
        <v>271</v>
      </c>
      <c r="AB10" s="368" t="s">
        <v>329</v>
      </c>
    </row>
    <row r="11" spans="1:38" ht="15.75">
      <c r="A11" s="99" t="s">
        <v>9</v>
      </c>
      <c r="B11" s="273">
        <f>C11/C14</f>
        <v>0.22827112431374466</v>
      </c>
      <c r="C11" s="197">
        <f>C58-C12</f>
        <v>23599.668464460425</v>
      </c>
      <c r="D11" s="353">
        <f>C11/$H$68</f>
        <v>124.20878139189698</v>
      </c>
      <c r="E11" s="13"/>
      <c r="F11" s="117" t="s">
        <v>221</v>
      </c>
      <c r="G11" s="13"/>
      <c r="H11" s="288">
        <v>14260.449607331708</v>
      </c>
      <c r="I11" s="13"/>
      <c r="J11" s="40"/>
      <c r="L11" s="119" t="s">
        <v>134</v>
      </c>
      <c r="M11" s="13"/>
      <c r="N11" s="264">
        <v>0.03</v>
      </c>
      <c r="O11" s="224"/>
      <c r="P11" s="40"/>
      <c r="U11" s="297" t="s">
        <v>39</v>
      </c>
      <c r="V11" s="208" t="s">
        <v>246</v>
      </c>
      <c r="W11" s="208"/>
      <c r="X11" s="208" t="s">
        <v>324</v>
      </c>
      <c r="Y11" s="208"/>
      <c r="Z11" s="208"/>
      <c r="AA11" s="208"/>
      <c r="AB11" s="368" t="s">
        <v>330</v>
      </c>
    </row>
    <row r="12" spans="1:38" ht="15.75">
      <c r="A12" s="99" t="s">
        <v>87</v>
      </c>
      <c r="B12" s="152">
        <f>C12/C14</f>
        <v>0.77172887568625537</v>
      </c>
      <c r="C12" s="197">
        <f>Debt!B19</f>
        <v>79784.710682961333</v>
      </c>
      <c r="D12" s="353">
        <f>C12/$H$68</f>
        <v>419.91952991032281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5"/>
      <c r="V12" s="208" t="s">
        <v>39</v>
      </c>
      <c r="W12" s="13"/>
      <c r="X12" s="208" t="s">
        <v>266</v>
      </c>
      <c r="Y12" s="13"/>
      <c r="Z12" s="13"/>
      <c r="AA12" s="13"/>
      <c r="AB12" s="339"/>
    </row>
    <row r="13" spans="1:38" ht="15.75">
      <c r="A13" s="100"/>
      <c r="B13" s="250"/>
      <c r="C13" s="197"/>
      <c r="D13" s="353"/>
      <c r="E13" s="13"/>
      <c r="F13" s="117" t="s">
        <v>275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3">
        <v>1</v>
      </c>
      <c r="V13" s="334">
        <v>1</v>
      </c>
      <c r="W13" s="334">
        <v>1</v>
      </c>
      <c r="X13" s="334">
        <v>1</v>
      </c>
      <c r="Y13" s="334">
        <v>2</v>
      </c>
      <c r="Z13" s="334">
        <v>1</v>
      </c>
      <c r="AA13" s="334">
        <f>IF(C28&gt;0,1,2)</f>
        <v>1</v>
      </c>
      <c r="AB13" s="367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103384.37914742176</v>
      </c>
      <c r="D14" s="459">
        <f>C14/$H$68</f>
        <v>544.1283113022198</v>
      </c>
      <c r="E14" s="13"/>
      <c r="F14" s="117" t="s">
        <v>386</v>
      </c>
      <c r="G14" s="177"/>
      <c r="H14" s="254">
        <v>10200</v>
      </c>
      <c r="I14" s="13"/>
      <c r="J14" s="40"/>
      <c r="L14" s="41"/>
      <c r="M14" s="13"/>
      <c r="N14" s="277" t="s">
        <v>206</v>
      </c>
      <c r="O14" s="207" t="s">
        <v>180</v>
      </c>
      <c r="P14" s="204" t="s">
        <v>433</v>
      </c>
      <c r="U14" s="298" t="str">
        <f>CHOOSE(U13,U9,U10,U11)</f>
        <v>Index</v>
      </c>
      <c r="V14" s="299" t="str">
        <f>CHOOSE(V13,V9,V10,V11,V12)</f>
        <v>Base</v>
      </c>
      <c r="W14" s="299" t="str">
        <f>CHOOSE(W13,W9,W10,W11,W12)</f>
        <v>Pass-through</v>
      </c>
      <c r="X14" s="299" t="str">
        <f>CHOOSE(X13,X9,X10,X11,X12)</f>
        <v>EBITDA Exit Multiple</v>
      </c>
      <c r="Y14" s="299">
        <f>IF(Y13=1,1,2)</f>
        <v>2</v>
      </c>
      <c r="Z14" s="299">
        <f>IF(C32&gt;0,10,20)</f>
        <v>10</v>
      </c>
      <c r="AA14" s="299" t="str">
        <f>CHOOSE(AA13,AA9,AA10,AA11,AA12)</f>
        <v>Yes</v>
      </c>
      <c r="AB14" s="335" t="str">
        <f>CHOOSE(AB13,AB9,AB10,AB11,AB12)</f>
        <v>Bank LT Debt</v>
      </c>
    </row>
    <row r="15" spans="1:38" ht="15.75">
      <c r="A15" s="41"/>
      <c r="B15" s="13"/>
      <c r="C15" s="13"/>
      <c r="D15" s="355"/>
      <c r="E15" s="13"/>
      <c r="F15" s="117" t="s">
        <v>387</v>
      </c>
      <c r="G15" s="177"/>
      <c r="H15" s="254">
        <v>10500</v>
      </c>
      <c r="I15" s="111"/>
      <c r="J15" s="40"/>
      <c r="L15" s="102" t="s">
        <v>207</v>
      </c>
      <c r="M15" s="13"/>
      <c r="N15" s="275">
        <v>0</v>
      </c>
      <c r="O15" s="225"/>
      <c r="P15" s="265">
        <v>0</v>
      </c>
    </row>
    <row r="16" spans="1:38" ht="15.75">
      <c r="A16" s="41"/>
      <c r="B16" s="13"/>
      <c r="C16" s="13"/>
      <c r="D16" s="355"/>
      <c r="E16" s="13"/>
      <c r="F16" s="117" t="s">
        <v>199</v>
      </c>
      <c r="G16" s="13"/>
      <c r="H16" s="223">
        <v>5</v>
      </c>
      <c r="I16" s="13"/>
      <c r="J16" s="40"/>
      <c r="L16" s="105" t="s">
        <v>255</v>
      </c>
      <c r="M16" s="13"/>
      <c r="N16" s="301">
        <v>0</v>
      </c>
      <c r="O16" s="302"/>
      <c r="P16" s="303">
        <v>0</v>
      </c>
      <c r="U16" s="337"/>
      <c r="V16" s="57" t="s">
        <v>276</v>
      </c>
      <c r="W16" s="338" t="s">
        <v>277</v>
      </c>
    </row>
    <row r="17" spans="1:23" ht="15.75">
      <c r="A17" s="96" t="s">
        <v>105</v>
      </c>
      <c r="B17" s="97"/>
      <c r="C17" s="199"/>
      <c r="D17" s="353"/>
      <c r="E17" s="13"/>
      <c r="F17" s="117" t="s">
        <v>108</v>
      </c>
      <c r="G17" s="177"/>
      <c r="H17" s="257">
        <v>37043</v>
      </c>
      <c r="I17" s="13"/>
      <c r="J17" s="40"/>
      <c r="L17" s="117" t="s">
        <v>252</v>
      </c>
      <c r="M17" s="6"/>
      <c r="N17" s="280">
        <f>SUM(N15:N16)</f>
        <v>0</v>
      </c>
      <c r="O17" s="226"/>
      <c r="P17" s="304">
        <f>SUM(P15:P16)</f>
        <v>0</v>
      </c>
      <c r="U17" s="55" t="s">
        <v>272</v>
      </c>
      <c r="V17" s="13">
        <v>11</v>
      </c>
      <c r="W17" s="339">
        <v>21</v>
      </c>
    </row>
    <row r="18" spans="1:23" ht="15.75">
      <c r="A18" s="187"/>
      <c r="B18" s="168"/>
      <c r="C18" s="13"/>
      <c r="D18" s="355"/>
      <c r="E18" s="13"/>
      <c r="F18" s="102" t="s">
        <v>137</v>
      </c>
      <c r="G18" s="98"/>
      <c r="H18" s="280">
        <f>13-MONTH(H17)</f>
        <v>7</v>
      </c>
      <c r="I18" s="111"/>
      <c r="J18" s="40"/>
      <c r="L18" s="41"/>
      <c r="M18" s="13"/>
      <c r="N18" s="13"/>
      <c r="O18" s="13"/>
      <c r="P18" s="40"/>
      <c r="U18" s="340" t="s">
        <v>273</v>
      </c>
      <c r="V18" s="58">
        <v>12</v>
      </c>
      <c r="W18" s="300">
        <v>22</v>
      </c>
    </row>
    <row r="19" spans="1:23" ht="15.75">
      <c r="A19" s="99" t="s">
        <v>427</v>
      </c>
      <c r="B19" s="13"/>
      <c r="C19" s="13"/>
      <c r="D19" s="355"/>
      <c r="E19" s="13"/>
      <c r="F19" s="117" t="s">
        <v>107</v>
      </c>
      <c r="G19" s="13"/>
      <c r="H19" s="254">
        <v>30</v>
      </c>
      <c r="I19" s="111"/>
      <c r="J19" s="40"/>
      <c r="L19" s="102" t="s">
        <v>208</v>
      </c>
      <c r="M19" s="13"/>
      <c r="N19" s="256">
        <v>652</v>
      </c>
      <c r="O19" s="276">
        <f t="shared" ref="O19:O25" si="0">N19/$H$68</f>
        <v>3.4315789473684211</v>
      </c>
      <c r="P19" s="40"/>
    </row>
    <row r="20" spans="1:23" ht="15.75">
      <c r="A20" s="102" t="s">
        <v>428</v>
      </c>
      <c r="B20" s="169">
        <f t="shared" ref="B20:B33" si="1">C20/$C$58</f>
        <v>0.55174484675279267</v>
      </c>
      <c r="C20" s="200">
        <f>H11*H12</f>
        <v>57041.798429326831</v>
      </c>
      <c r="D20" s="353">
        <f t="shared" ref="D20:D33" si="2">C20/$H$68</f>
        <v>300.21999173329908</v>
      </c>
      <c r="E20" s="13"/>
      <c r="F20" s="117" t="s">
        <v>309</v>
      </c>
      <c r="G20" s="13"/>
      <c r="H20" s="342" t="s">
        <v>310</v>
      </c>
      <c r="I20" s="111"/>
      <c r="J20" s="40"/>
      <c r="L20" s="102" t="s">
        <v>35</v>
      </c>
      <c r="M20" s="13"/>
      <c r="N20" s="256">
        <v>112</v>
      </c>
      <c r="O20" s="276">
        <f t="shared" si="0"/>
        <v>0.58947368421052626</v>
      </c>
      <c r="P20" s="40"/>
    </row>
    <row r="21" spans="1:23" ht="15.75">
      <c r="A21" s="102" t="s">
        <v>264</v>
      </c>
      <c r="B21" s="169">
        <f t="shared" si="1"/>
        <v>2.3988150051794813E-3</v>
      </c>
      <c r="C21" s="200">
        <f>62*H12</f>
        <v>248</v>
      </c>
      <c r="D21" s="353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6">
        <f t="shared" si="0"/>
        <v>0.94736842105263153</v>
      </c>
      <c r="P21" s="40"/>
    </row>
    <row r="22" spans="1:23" ht="15.75">
      <c r="A22" s="102" t="s">
        <v>182</v>
      </c>
      <c r="B22" s="169">
        <f t="shared" si="1"/>
        <v>0.26298944022510051</v>
      </c>
      <c r="C22" s="252">
        <v>27189</v>
      </c>
      <c r="D22" s="353">
        <f t="shared" si="2"/>
        <v>143.1</v>
      </c>
      <c r="E22" s="13"/>
      <c r="F22" s="116" t="s">
        <v>262</v>
      </c>
      <c r="G22" s="13"/>
      <c r="H22" s="332"/>
      <c r="I22" s="13"/>
      <c r="J22" s="40"/>
      <c r="L22" s="102" t="s">
        <v>359</v>
      </c>
      <c r="M22" s="13"/>
      <c r="N22" s="256">
        <v>48</v>
      </c>
      <c r="O22" s="276">
        <f t="shared" si="0"/>
        <v>0.25263157894736843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3">
        <f t="shared" si="2"/>
        <v>0</v>
      </c>
      <c r="E23" s="13"/>
      <c r="F23" s="331" t="s">
        <v>263</v>
      </c>
      <c r="G23" s="177"/>
      <c r="H23" s="330">
        <v>5</v>
      </c>
      <c r="I23" s="364"/>
      <c r="J23" s="40"/>
      <c r="L23" s="102" t="s">
        <v>45</v>
      </c>
      <c r="M23" s="13"/>
      <c r="N23" s="256">
        <v>0</v>
      </c>
      <c r="O23" s="276">
        <f t="shared" si="0"/>
        <v>0</v>
      </c>
      <c r="P23" s="40"/>
    </row>
    <row r="24" spans="1:23" ht="15.75">
      <c r="A24" s="102" t="s">
        <v>111</v>
      </c>
      <c r="B24" s="169">
        <f t="shared" si="1"/>
        <v>1.0978447705156094E-2</v>
      </c>
      <c r="C24" s="252">
        <v>1135</v>
      </c>
      <c r="D24" s="353">
        <f t="shared" si="2"/>
        <v>5.9736842105263159</v>
      </c>
      <c r="E24" s="13"/>
      <c r="F24" s="331" t="s">
        <v>385</v>
      </c>
      <c r="G24" s="13"/>
      <c r="H24" s="363">
        <v>0.2</v>
      </c>
      <c r="I24" s="111"/>
      <c r="J24" s="40"/>
      <c r="L24" s="102" t="s">
        <v>37</v>
      </c>
      <c r="M24" s="13"/>
      <c r="N24" s="256">
        <v>0</v>
      </c>
      <c r="O24" s="276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4.6428677519602869E-2</v>
      </c>
      <c r="C25" s="252">
        <v>4800</v>
      </c>
      <c r="D25" s="353">
        <f t="shared" si="2"/>
        <v>25.263157894736842</v>
      </c>
      <c r="E25" s="13"/>
      <c r="F25" s="251" t="s">
        <v>204</v>
      </c>
      <c r="G25" s="42"/>
      <c r="H25" s="362">
        <v>200</v>
      </c>
      <c r="I25" s="42"/>
      <c r="J25" s="81"/>
      <c r="L25" s="105" t="s">
        <v>38</v>
      </c>
      <c r="M25" s="220"/>
      <c r="N25" s="301">
        <v>200</v>
      </c>
      <c r="O25" s="305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3">
        <f t="shared" si="2"/>
        <v>0</v>
      </c>
      <c r="E26" s="13"/>
      <c r="L26" s="117" t="s">
        <v>253</v>
      </c>
      <c r="M26" s="6"/>
      <c r="N26" s="280">
        <f>SUM(N19:N25)</f>
        <v>1192</v>
      </c>
      <c r="O26" s="306">
        <f>SUM(O19:O25)</f>
        <v>6.2736842105263158</v>
      </c>
      <c r="P26" s="369"/>
    </row>
    <row r="27" spans="1:23" ht="15.75">
      <c r="A27" s="102" t="s">
        <v>114</v>
      </c>
      <c r="B27" s="169">
        <f t="shared" si="1"/>
        <v>0</v>
      </c>
      <c r="C27" s="252">
        <v>0</v>
      </c>
      <c r="D27" s="353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342</v>
      </c>
      <c r="B28" s="169">
        <f t="shared" si="1"/>
        <v>5.948674307199117E-3</v>
      </c>
      <c r="C28" s="252">
        <v>615</v>
      </c>
      <c r="D28" s="353">
        <f t="shared" si="2"/>
        <v>3.236842105263158</v>
      </c>
      <c r="E28" s="13"/>
      <c r="F28" s="360" t="s">
        <v>117</v>
      </c>
      <c r="G28" s="361"/>
      <c r="H28" s="361" t="s">
        <v>327</v>
      </c>
      <c r="I28" s="181"/>
      <c r="J28" s="336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3">
        <f t="shared" si="2"/>
        <v>0</v>
      </c>
      <c r="E29" s="13"/>
      <c r="F29" s="331" t="s">
        <v>85</v>
      </c>
      <c r="G29" s="257">
        <v>36617</v>
      </c>
      <c r="H29" s="359"/>
      <c r="I29" s="181"/>
      <c r="J29" s="336"/>
      <c r="L29" s="102" t="s">
        <v>242</v>
      </c>
      <c r="M29" s="13"/>
      <c r="N29" s="280">
        <f>IS!C16</f>
        <v>9573.8193224999995</v>
      </c>
      <c r="O29" s="226">
        <f>N29/$H$68</f>
        <v>50.38852275</v>
      </c>
      <c r="P29" s="40"/>
      <c r="R29" s="347"/>
    </row>
    <row r="30" spans="1:23" ht="15.75">
      <c r="A30" s="102" t="s">
        <v>183</v>
      </c>
      <c r="B30" s="169">
        <f t="shared" si="1"/>
        <v>0</v>
      </c>
      <c r="C30" s="252">
        <v>0</v>
      </c>
      <c r="D30" s="353">
        <f t="shared" si="2"/>
        <v>0</v>
      </c>
      <c r="E30" s="13"/>
      <c r="F30" s="331" t="s">
        <v>130</v>
      </c>
      <c r="G30" s="257">
        <v>36557</v>
      </c>
      <c r="H30" s="359"/>
      <c r="I30" s="181"/>
      <c r="J30" s="336"/>
      <c r="L30" s="102" t="s">
        <v>220</v>
      </c>
      <c r="M30" s="13"/>
      <c r="N30" s="280">
        <f>IS!C23/IS!C6</f>
        <v>0</v>
      </c>
      <c r="O30" s="226">
        <f>N30/$H$68</f>
        <v>0</v>
      </c>
      <c r="P30" s="40"/>
      <c r="R30" s="3"/>
    </row>
    <row r="31" spans="1:23" ht="15.75">
      <c r="A31" s="102" t="s">
        <v>184</v>
      </c>
      <c r="B31" s="169">
        <f t="shared" si="1"/>
        <v>9.6726411499172644E-4</v>
      </c>
      <c r="C31" s="252">
        <v>100</v>
      </c>
      <c r="D31" s="353">
        <f t="shared" si="2"/>
        <v>0.52631578947368418</v>
      </c>
      <c r="E31" s="13"/>
      <c r="F31" s="41"/>
      <c r="G31" s="13"/>
      <c r="H31" s="6"/>
      <c r="I31" s="181"/>
      <c r="J31" s="336"/>
      <c r="L31" s="102" t="s">
        <v>210</v>
      </c>
      <c r="M31" s="13"/>
      <c r="N31" s="280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434</v>
      </c>
      <c r="B32" s="169">
        <f t="shared" si="1"/>
        <v>3.9280595709814008E-2</v>
      </c>
      <c r="C32" s="252">
        <v>4061</v>
      </c>
      <c r="D32" s="353">
        <f t="shared" si="2"/>
        <v>21.373684210526317</v>
      </c>
      <c r="E32" s="13"/>
      <c r="F32" s="106" t="s">
        <v>14</v>
      </c>
      <c r="G32" s="107">
        <f>Debt!B19</f>
        <v>79784.710682961333</v>
      </c>
      <c r="H32" s="107"/>
      <c r="I32" s="181"/>
      <c r="J32" s="336"/>
      <c r="L32" s="102" t="s">
        <v>214</v>
      </c>
      <c r="M32" s="13"/>
      <c r="N32" s="280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1.2574433494892442E-2</v>
      </c>
      <c r="C33" s="253">
        <v>1300</v>
      </c>
      <c r="D33" s="354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6"/>
      <c r="L33" s="104" t="s">
        <v>435</v>
      </c>
      <c r="M33" s="42"/>
      <c r="N33" s="283">
        <f>IS!C26/IS!C6</f>
        <v>80.573226367445926</v>
      </c>
      <c r="O33" s="227">
        <f>N33/$H$68</f>
        <v>0.42406961246024172</v>
      </c>
      <c r="P33" s="81"/>
      <c r="R33" s="3"/>
    </row>
    <row r="34" spans="1:18" ht="16.5" thickBot="1">
      <c r="A34" s="102" t="s">
        <v>109</v>
      </c>
      <c r="B34" s="169">
        <f>SUM(B20:B33)</f>
        <v>0.93331119483472891</v>
      </c>
      <c r="C34" s="200">
        <f>SUM(C20:C33)</f>
        <v>96489.798429326824</v>
      </c>
      <c r="D34" s="353">
        <f>SUM(D20:D33)</f>
        <v>507.84104436487803</v>
      </c>
      <c r="E34" s="13"/>
      <c r="F34" s="106" t="s">
        <v>16</v>
      </c>
      <c r="G34" s="359">
        <v>42826</v>
      </c>
      <c r="H34" s="359"/>
      <c r="I34" s="181"/>
      <c r="J34" s="336"/>
      <c r="N34" s="202"/>
      <c r="R34" s="3"/>
    </row>
    <row r="35" spans="1:18" ht="15.75">
      <c r="A35" s="41"/>
      <c r="B35" s="13"/>
      <c r="C35" s="13"/>
      <c r="D35" s="355"/>
      <c r="E35" s="13"/>
      <c r="F35" s="106" t="s">
        <v>17</v>
      </c>
      <c r="G35" s="122">
        <f>Debt!E66</f>
        <v>10.808225725154912</v>
      </c>
      <c r="H35" s="388" t="str">
        <f>IF(H32,Debt!#REF!," ")</f>
        <v xml:space="preserve"> </v>
      </c>
      <c r="I35" s="181"/>
      <c r="J35" s="336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388</v>
      </c>
      <c r="B36" s="13"/>
      <c r="C36" s="13"/>
      <c r="D36" s="356"/>
      <c r="E36" s="13"/>
      <c r="F36" s="106"/>
      <c r="G36" s="13"/>
      <c r="H36" s="13"/>
      <c r="I36" s="181"/>
      <c r="J36" s="336"/>
      <c r="L36" s="41"/>
      <c r="M36" s="170"/>
      <c r="N36" s="13"/>
      <c r="O36" s="13"/>
      <c r="P36" s="40"/>
      <c r="R36" s="5"/>
    </row>
    <row r="37" spans="1:18" ht="15.75">
      <c r="A37" s="99" t="s">
        <v>169</v>
      </c>
      <c r="B37" s="169">
        <f t="shared" ref="B37:B49" si="3">C37/$C$58</f>
        <v>0</v>
      </c>
      <c r="C37" s="252">
        <v>0</v>
      </c>
      <c r="D37" s="353">
        <f t="shared" ref="D37:D50" si="4">C37/$H$68</f>
        <v>0</v>
      </c>
      <c r="E37" s="13"/>
      <c r="F37" s="102" t="s">
        <v>18</v>
      </c>
      <c r="G37" s="259">
        <v>6.83E-2</v>
      </c>
      <c r="H37" s="259">
        <v>6.83E-2</v>
      </c>
      <c r="I37" s="181"/>
      <c r="J37" s="336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177</v>
      </c>
      <c r="B38" s="169">
        <f t="shared" si="3"/>
        <v>9.9047845375152786E-3</v>
      </c>
      <c r="C38" s="252">
        <v>1024</v>
      </c>
      <c r="D38" s="353">
        <f t="shared" si="4"/>
        <v>5.3894736842105262</v>
      </c>
      <c r="E38" s="13"/>
      <c r="F38" s="102" t="s">
        <v>19</v>
      </c>
      <c r="G38" s="260">
        <v>0.01</v>
      </c>
      <c r="H38" s="260">
        <v>0.01</v>
      </c>
      <c r="I38" s="181"/>
      <c r="J38" s="336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170</v>
      </c>
      <c r="B39" s="169">
        <f t="shared" si="3"/>
        <v>0</v>
      </c>
      <c r="C39" s="252">
        <v>0</v>
      </c>
      <c r="D39" s="353">
        <f t="shared" si="4"/>
        <v>0</v>
      </c>
      <c r="E39" s="13"/>
      <c r="F39" s="106" t="s">
        <v>332</v>
      </c>
      <c r="G39" s="108">
        <f>Debt!E64</f>
        <v>7.8299999999999995E-2</v>
      </c>
      <c r="H39" s="108">
        <f>SUM(H37:H38)</f>
        <v>7.8299999999999995E-2</v>
      </c>
      <c r="I39" s="181"/>
      <c r="J39" s="336"/>
      <c r="L39" s="117" t="s">
        <v>27</v>
      </c>
      <c r="M39" s="13"/>
      <c r="N39" s="278">
        <v>15</v>
      </c>
      <c r="O39" s="268" t="s">
        <v>28</v>
      </c>
      <c r="P39" s="191">
        <v>0</v>
      </c>
      <c r="R39" s="3"/>
    </row>
    <row r="40" spans="1:18" ht="15.75">
      <c r="A40" s="102" t="s">
        <v>171</v>
      </c>
      <c r="B40" s="169">
        <f t="shared" si="3"/>
        <v>0</v>
      </c>
      <c r="C40" s="252">
        <v>0</v>
      </c>
      <c r="D40" s="353">
        <f t="shared" si="4"/>
        <v>0</v>
      </c>
      <c r="E40" s="13"/>
      <c r="F40" s="102"/>
      <c r="G40" s="98"/>
      <c r="H40" s="98"/>
      <c r="I40" s="98"/>
      <c r="J40" s="189"/>
      <c r="L40" s="117" t="s">
        <v>258</v>
      </c>
      <c r="M40" s="13"/>
      <c r="N40" s="278">
        <v>5</v>
      </c>
      <c r="O40" s="268" t="s">
        <v>30</v>
      </c>
      <c r="P40" s="191">
        <v>0</v>
      </c>
      <c r="R40" s="3"/>
    </row>
    <row r="41" spans="1:18" ht="15.75">
      <c r="A41" s="99" t="s">
        <v>172</v>
      </c>
      <c r="B41" s="169">
        <f t="shared" si="3"/>
        <v>0</v>
      </c>
      <c r="C41" s="252">
        <v>0</v>
      </c>
      <c r="D41" s="353">
        <f t="shared" si="4"/>
        <v>0</v>
      </c>
      <c r="E41" s="13"/>
      <c r="F41" s="102" t="s">
        <v>131</v>
      </c>
      <c r="G41" s="258">
        <v>4028.6613183722961</v>
      </c>
      <c r="H41" s="258">
        <v>6</v>
      </c>
      <c r="I41" s="98" t="s">
        <v>132</v>
      </c>
      <c r="J41" s="190"/>
      <c r="L41" s="117" t="s">
        <v>29</v>
      </c>
      <c r="M41" s="13"/>
      <c r="N41" s="278">
        <v>20</v>
      </c>
      <c r="O41" s="268" t="s">
        <v>30</v>
      </c>
      <c r="P41" s="191">
        <v>0</v>
      </c>
      <c r="R41" s="347"/>
    </row>
    <row r="42" spans="1:18" ht="15.75">
      <c r="A42" s="99" t="s">
        <v>181</v>
      </c>
      <c r="B42" s="169">
        <f t="shared" si="3"/>
        <v>9.6726411499172636E-3</v>
      </c>
      <c r="C42" s="252">
        <v>1000</v>
      </c>
      <c r="D42" s="353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173</v>
      </c>
      <c r="B43" s="169">
        <f t="shared" si="3"/>
        <v>0</v>
      </c>
      <c r="C43" s="252">
        <v>0</v>
      </c>
      <c r="D43" s="353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174</v>
      </c>
      <c r="B44" s="169">
        <f t="shared" si="3"/>
        <v>0</v>
      </c>
      <c r="C44" s="252">
        <v>0</v>
      </c>
      <c r="D44" s="353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8">
        <v>30</v>
      </c>
      <c r="O44" s="268" t="s">
        <v>30</v>
      </c>
      <c r="P44" s="192">
        <v>0.1</v>
      </c>
    </row>
    <row r="45" spans="1:18" ht="15.75">
      <c r="A45" s="99" t="s">
        <v>178</v>
      </c>
      <c r="B45" s="169">
        <f t="shared" si="3"/>
        <v>1.9345282299834527E-4</v>
      </c>
      <c r="C45" s="252">
        <v>20</v>
      </c>
      <c r="D45" s="353">
        <f t="shared" si="4"/>
        <v>0.10526315789473684</v>
      </c>
      <c r="E45" s="13"/>
      <c r="F45" s="360" t="s">
        <v>118</v>
      </c>
      <c r="G45" s="13"/>
      <c r="H45" s="13"/>
      <c r="I45" s="13"/>
      <c r="J45" s="40"/>
      <c r="L45" s="117" t="s">
        <v>258</v>
      </c>
      <c r="M45" s="13"/>
      <c r="N45" s="278">
        <v>5</v>
      </c>
      <c r="O45" s="268" t="s">
        <v>30</v>
      </c>
      <c r="P45" s="191">
        <v>0</v>
      </c>
    </row>
    <row r="46" spans="1:18" ht="16.5" thickBot="1">
      <c r="A46" s="102" t="s">
        <v>222</v>
      </c>
      <c r="B46" s="169">
        <f t="shared" si="3"/>
        <v>1.6584524008699742E-2</v>
      </c>
      <c r="C46" s="200">
        <f>IDC!H34</f>
        <v>1714.5807180949332</v>
      </c>
      <c r="D46" s="353">
        <f t="shared" si="4"/>
        <v>9.0241090426049109</v>
      </c>
      <c r="E46" s="13"/>
      <c r="F46" s="331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9">
        <v>20</v>
      </c>
      <c r="O46" s="271" t="s">
        <v>30</v>
      </c>
      <c r="P46" s="193">
        <v>0</v>
      </c>
    </row>
    <row r="47" spans="1:18" ht="16.5" thickBot="1">
      <c r="A47" s="102" t="s">
        <v>185</v>
      </c>
      <c r="B47" s="169">
        <f t="shared" si="3"/>
        <v>0</v>
      </c>
      <c r="C47" s="252">
        <v>0</v>
      </c>
      <c r="D47" s="353">
        <f t="shared" si="4"/>
        <v>0</v>
      </c>
      <c r="E47" s="13"/>
      <c r="F47" s="102" t="s">
        <v>12</v>
      </c>
      <c r="G47" s="262">
        <v>0.5</v>
      </c>
      <c r="H47" s="145">
        <f>G47*C11</f>
        <v>11799.834232230212</v>
      </c>
      <c r="I47" s="13"/>
      <c r="J47" s="40"/>
    </row>
    <row r="48" spans="1:18" ht="16.5" thickBot="1">
      <c r="A48" s="102" t="s">
        <v>280</v>
      </c>
      <c r="B48" s="169">
        <f t="shared" si="3"/>
        <v>3.0333402646140539E-2</v>
      </c>
      <c r="C48" s="200">
        <f>SUM(C22:C33)*N55</f>
        <v>3136</v>
      </c>
      <c r="D48" s="353">
        <f t="shared" si="4"/>
        <v>16.505263157894738</v>
      </c>
      <c r="E48" s="64"/>
      <c r="F48" s="104" t="s">
        <v>13</v>
      </c>
      <c r="G48" s="274">
        <f>1-G47</f>
        <v>0.5</v>
      </c>
      <c r="H48" s="146">
        <f>G48*C11</f>
        <v>11799.834232230212</v>
      </c>
      <c r="I48" s="42"/>
      <c r="J48" s="81"/>
      <c r="L48" s="94" t="s">
        <v>389</v>
      </c>
      <c r="M48" s="115"/>
      <c r="N48" s="285"/>
      <c r="O48" s="286"/>
      <c r="P48" s="370"/>
    </row>
    <row r="49" spans="1:16" ht="16.5" thickBot="1">
      <c r="A49" s="96" t="s">
        <v>186</v>
      </c>
      <c r="B49" s="185">
        <f t="shared" si="3"/>
        <v>0</v>
      </c>
      <c r="C49" s="253">
        <v>0</v>
      </c>
      <c r="D49" s="354">
        <f t="shared" si="4"/>
        <v>0</v>
      </c>
      <c r="E49" s="43"/>
      <c r="L49" s="183"/>
      <c r="M49" s="177"/>
      <c r="N49" s="158"/>
      <c r="O49" s="6"/>
      <c r="P49" s="369"/>
    </row>
    <row r="50" spans="1:16" ht="15.75">
      <c r="A50" s="102" t="s">
        <v>109</v>
      </c>
      <c r="B50" s="169">
        <f>SUM(B37:B49)</f>
        <v>6.6688805165271176E-2</v>
      </c>
      <c r="C50" s="200">
        <f>SUM(C37:C49)</f>
        <v>6894.5807180949332</v>
      </c>
      <c r="D50" s="353">
        <f t="shared" si="4"/>
        <v>36.287266937341755</v>
      </c>
      <c r="E50" s="13"/>
      <c r="F50" s="94" t="s">
        <v>205</v>
      </c>
      <c r="G50" s="114"/>
      <c r="H50" s="120"/>
      <c r="I50" s="205"/>
      <c r="J50" s="39"/>
      <c r="L50" s="117" t="s">
        <v>135</v>
      </c>
      <c r="M50" s="6"/>
      <c r="N50" s="267">
        <v>0.35</v>
      </c>
      <c r="O50" s="6"/>
      <c r="P50" s="369"/>
    </row>
    <row r="51" spans="1:16" ht="15.75">
      <c r="A51" s="41"/>
      <c r="B51" s="13"/>
      <c r="C51" s="200"/>
      <c r="D51" s="356"/>
      <c r="E51" s="85"/>
      <c r="F51" s="41"/>
      <c r="G51" s="13"/>
      <c r="H51" s="13"/>
      <c r="I51" s="111"/>
      <c r="J51" s="40"/>
      <c r="L51" s="117" t="s">
        <v>294</v>
      </c>
      <c r="M51" s="6"/>
      <c r="N51" s="264">
        <v>7.0000000000000007E-2</v>
      </c>
      <c r="O51" s="371" t="s">
        <v>240</v>
      </c>
      <c r="P51" s="369"/>
    </row>
    <row r="52" spans="1:16" ht="15.75">
      <c r="A52" s="99" t="s">
        <v>102</v>
      </c>
      <c r="B52" s="13"/>
      <c r="C52" s="200"/>
      <c r="D52" s="355"/>
      <c r="E52" s="85"/>
      <c r="F52" s="105" t="s">
        <v>311</v>
      </c>
      <c r="G52" s="13"/>
      <c r="H52" s="13"/>
      <c r="I52" s="13"/>
      <c r="J52" s="40"/>
      <c r="L52" s="117" t="s">
        <v>260</v>
      </c>
      <c r="M52" s="6"/>
      <c r="N52" s="264">
        <v>0</v>
      </c>
      <c r="O52" s="371" t="s">
        <v>240</v>
      </c>
      <c r="P52" s="369"/>
    </row>
    <row r="53" spans="1:16" ht="15.75">
      <c r="A53" s="99" t="s">
        <v>175</v>
      </c>
      <c r="B53" s="169">
        <f>C53/$C$58</f>
        <v>0</v>
      </c>
      <c r="C53" s="252">
        <v>0</v>
      </c>
      <c r="D53" s="353">
        <f>C53/$H$68</f>
        <v>0</v>
      </c>
      <c r="E53" s="13"/>
      <c r="F53" s="102" t="s">
        <v>313</v>
      </c>
      <c r="G53" s="13"/>
      <c r="H53" s="256">
        <v>3</v>
      </c>
      <c r="I53" s="111"/>
      <c r="J53" s="40"/>
      <c r="L53" s="117" t="s">
        <v>215</v>
      </c>
      <c r="M53" s="6"/>
      <c r="N53" s="264">
        <v>0</v>
      </c>
      <c r="O53" s="371" t="s">
        <v>240</v>
      </c>
      <c r="P53" s="369"/>
    </row>
    <row r="54" spans="1:16" ht="15.75">
      <c r="A54" s="99" t="s">
        <v>176</v>
      </c>
      <c r="B54" s="169">
        <f>C54/$C$58</f>
        <v>0</v>
      </c>
      <c r="C54" s="252">
        <v>0</v>
      </c>
      <c r="D54" s="353">
        <f>C54/$H$68</f>
        <v>0</v>
      </c>
      <c r="E54" s="13"/>
      <c r="F54" s="102" t="s">
        <v>424</v>
      </c>
      <c r="G54" s="13"/>
      <c r="H54" s="255">
        <v>4.75</v>
      </c>
      <c r="I54" s="13"/>
      <c r="J54" s="40"/>
      <c r="L54" s="117" t="s">
        <v>245</v>
      </c>
      <c r="M54" s="13"/>
      <c r="N54" s="264">
        <v>1.4999999999999999E-2</v>
      </c>
      <c r="O54" s="371" t="s">
        <v>240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3">
        <f>C55/$H$68</f>
        <v>0</v>
      </c>
      <c r="E55" s="13"/>
      <c r="F55" s="41"/>
      <c r="G55" s="13"/>
      <c r="H55" s="13"/>
      <c r="I55" s="13"/>
      <c r="J55" s="40"/>
      <c r="L55" s="118" t="s">
        <v>281</v>
      </c>
      <c r="M55" s="42"/>
      <c r="N55" s="281">
        <v>0.08</v>
      </c>
      <c r="O55" s="372" t="s">
        <v>240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3">
        <f>C56/$H$68</f>
        <v>0</v>
      </c>
      <c r="E56" s="13"/>
      <c r="F56" s="105" t="s">
        <v>314</v>
      </c>
      <c r="G56" s="13"/>
      <c r="H56" s="13"/>
      <c r="I56" s="13"/>
      <c r="J56" s="40"/>
    </row>
    <row r="57" spans="1:16" ht="15.75">
      <c r="A57" s="41"/>
      <c r="B57" s="13"/>
      <c r="C57" s="13"/>
      <c r="D57" s="356"/>
      <c r="E57" s="13"/>
      <c r="F57" s="102" t="s">
        <v>313</v>
      </c>
      <c r="G57" s="13"/>
      <c r="H57" s="280">
        <f>H19-H53</f>
        <v>27</v>
      </c>
      <c r="I57" s="111"/>
      <c r="J57" s="40"/>
    </row>
    <row r="58" spans="1:16" ht="16.5" thickBot="1">
      <c r="A58" s="188" t="s">
        <v>104</v>
      </c>
      <c r="B58" s="184">
        <f>B56+B50+B34</f>
        <v>1</v>
      </c>
      <c r="C58" s="201">
        <f>C56+C50+C34</f>
        <v>103384.37914742176</v>
      </c>
      <c r="D58" s="357">
        <f>C58/$H$68</f>
        <v>544.1283113022198</v>
      </c>
      <c r="E58" s="13"/>
      <c r="F58" s="102" t="s">
        <v>424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432</v>
      </c>
      <c r="G60" s="98"/>
      <c r="H60" s="155">
        <f>P17</f>
        <v>0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8" t="s">
        <v>278</v>
      </c>
      <c r="B62" s="349"/>
      <c r="C62" s="350">
        <f>D58</f>
        <v>544.1283113022198</v>
      </c>
      <c r="D62" s="40"/>
      <c r="E62" s="13"/>
      <c r="F62" s="104" t="s">
        <v>125</v>
      </c>
      <c r="G62" s="42"/>
      <c r="H62" s="282">
        <f>H68*H72</f>
        <v>285000</v>
      </c>
      <c r="I62" s="206"/>
      <c r="J62" s="81"/>
    </row>
    <row r="63" spans="1:16" ht="13.5" thickBot="1">
      <c r="A63" s="529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</v>
      </c>
      <c r="D65" s="358">
        <f>Debt!E69</f>
        <v>1.2999999999999978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133</v>
      </c>
      <c r="G66" s="13"/>
      <c r="H66" s="223">
        <f>H12*H13</f>
        <v>190</v>
      </c>
      <c r="I66" s="13"/>
      <c r="J66" s="40"/>
    </row>
    <row r="67" spans="1:10" ht="15.75">
      <c r="A67" s="105" t="s">
        <v>343</v>
      </c>
      <c r="B67" s="13"/>
      <c r="C67" s="13"/>
      <c r="D67" s="40"/>
      <c r="E67" s="13"/>
      <c r="F67" s="105" t="s">
        <v>91</v>
      </c>
      <c r="G67" s="13"/>
      <c r="H67" s="346">
        <v>0</v>
      </c>
      <c r="I67" s="13"/>
      <c r="J67" s="40"/>
    </row>
    <row r="68" spans="1:10" ht="15.75">
      <c r="A68" s="102" t="s">
        <v>384</v>
      </c>
      <c r="B68" s="98"/>
      <c r="C68" s="147">
        <f>'Returns Analysis'!C39</f>
        <v>0.12342732548713684</v>
      </c>
      <c r="D68" s="40"/>
      <c r="E68" s="13"/>
      <c r="F68" s="119" t="s">
        <v>317</v>
      </c>
      <c r="G68" s="43"/>
      <c r="H68" s="365">
        <f>SUM(H66:H67)</f>
        <v>190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0.1298811137676239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0.12543025612831118</v>
      </c>
      <c r="D70" s="103"/>
      <c r="E70" s="13"/>
      <c r="F70" s="102" t="s">
        <v>360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0.12699522376060488</v>
      </c>
      <c r="D71" s="103"/>
      <c r="E71" s="13"/>
      <c r="F71" s="102" t="s">
        <v>274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179</v>
      </c>
      <c r="G72" s="42"/>
      <c r="H72" s="263">
        <v>1500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IS!C32</f>
        <v>5555.1656179523234</v>
      </c>
      <c r="C74" s="112">
        <f>IS!D32</f>
        <v>9521.6667736325526</v>
      </c>
      <c r="D74" s="167">
        <f>IS!E32</f>
        <v>9484.8339736325561</v>
      </c>
      <c r="E74" s="98"/>
    </row>
    <row r="75" spans="1:10" ht="15.75">
      <c r="A75" s="102" t="s">
        <v>100</v>
      </c>
      <c r="B75" s="112">
        <f>IS!C45</f>
        <v>-254.9306265824107</v>
      </c>
      <c r="C75" s="112">
        <f>IS!D45</f>
        <v>-402.58398307440052</v>
      </c>
      <c r="D75" s="167">
        <f>IS!E45</f>
        <v>-369.87847814491698</v>
      </c>
      <c r="E75" s="98"/>
    </row>
    <row r="76" spans="1:10" ht="15.75">
      <c r="A76" s="102" t="s">
        <v>101</v>
      </c>
      <c r="B76" s="112">
        <f>'Returns Analysis'!C13</f>
        <v>3468.508732887145</v>
      </c>
      <c r="C76" s="112">
        <f>'Returns Analysis'!D13</f>
        <v>3325.9106939599988</v>
      </c>
      <c r="D76" s="167">
        <f>'Returns Analysis'!E13</f>
        <v>3377.6309559056699</v>
      </c>
      <c r="E76" s="13"/>
    </row>
    <row r="77" spans="1:10" ht="16.5" thickBot="1">
      <c r="A77" s="104" t="s">
        <v>373</v>
      </c>
      <c r="B77" s="113">
        <f>'Returns Analysis'!C21</f>
        <v>3107.6025793456647</v>
      </c>
      <c r="C77" s="113">
        <f>'Returns Analysis'!D21</f>
        <v>2197.7395139717228</v>
      </c>
      <c r="D77" s="194">
        <f>'Returns Analysis'!E21</f>
        <v>2181.7440154115193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3" zoomScale="75" zoomScaleNormal="75" workbookViewId="0">
      <selection activeCell="B31" sqref="B3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410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1">
        <f>YEAR(Assumptions!H17)</f>
        <v>2001</v>
      </c>
      <c r="E8" s="521">
        <f t="shared" ref="E8:X8" si="2">D8+1</f>
        <v>2002</v>
      </c>
      <c r="F8" s="521">
        <f t="shared" si="2"/>
        <v>2003</v>
      </c>
      <c r="G8" s="521">
        <f t="shared" si="2"/>
        <v>2004</v>
      </c>
      <c r="H8" s="521">
        <f t="shared" si="2"/>
        <v>2005</v>
      </c>
      <c r="I8" s="521">
        <f t="shared" si="2"/>
        <v>2006</v>
      </c>
      <c r="J8" s="521">
        <f t="shared" si="2"/>
        <v>2007</v>
      </c>
      <c r="K8" s="521">
        <f t="shared" si="2"/>
        <v>2008</v>
      </c>
      <c r="L8" s="521">
        <f t="shared" si="2"/>
        <v>2009</v>
      </c>
      <c r="M8" s="521">
        <f t="shared" si="2"/>
        <v>2010</v>
      </c>
      <c r="N8" s="521">
        <f t="shared" si="2"/>
        <v>2011</v>
      </c>
      <c r="O8" s="521">
        <f t="shared" si="2"/>
        <v>2012</v>
      </c>
      <c r="P8" s="521">
        <f t="shared" si="2"/>
        <v>2013</v>
      </c>
      <c r="Q8" s="521">
        <f t="shared" si="2"/>
        <v>2014</v>
      </c>
      <c r="R8" s="521">
        <f t="shared" si="2"/>
        <v>2015</v>
      </c>
      <c r="S8" s="521">
        <f t="shared" si="2"/>
        <v>2016</v>
      </c>
      <c r="T8" s="521">
        <f t="shared" si="2"/>
        <v>2017</v>
      </c>
      <c r="U8" s="521">
        <f t="shared" si="2"/>
        <v>2018</v>
      </c>
      <c r="V8" s="521">
        <f t="shared" si="2"/>
        <v>2019</v>
      </c>
      <c r="W8" s="521">
        <f t="shared" si="2"/>
        <v>2020</v>
      </c>
      <c r="X8" s="521">
        <f t="shared" si="2"/>
        <v>2021</v>
      </c>
      <c r="Y8" s="521">
        <f>X8+1</f>
        <v>2022</v>
      </c>
      <c r="Z8" s="521">
        <f t="shared" ref="Z8:AG8" si="3">Y8+1</f>
        <v>2023</v>
      </c>
      <c r="AA8" s="521">
        <f t="shared" si="3"/>
        <v>2024</v>
      </c>
      <c r="AB8" s="521">
        <f t="shared" si="3"/>
        <v>2025</v>
      </c>
      <c r="AC8" s="521">
        <f t="shared" si="3"/>
        <v>2026</v>
      </c>
      <c r="AD8" s="521">
        <f t="shared" si="3"/>
        <v>2027</v>
      </c>
      <c r="AE8" s="521">
        <f t="shared" si="3"/>
        <v>2028</v>
      </c>
      <c r="AF8" s="521">
        <f t="shared" si="3"/>
        <v>2029</v>
      </c>
      <c r="AG8" s="521">
        <f t="shared" si="3"/>
        <v>2030</v>
      </c>
      <c r="AH8" s="521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8" t="s">
        <v>423</v>
      </c>
      <c r="C10" s="13"/>
      <c r="D10" s="364"/>
      <c r="E10" s="364"/>
      <c r="F10" s="364"/>
      <c r="G10" s="364"/>
      <c r="H10" s="364"/>
      <c r="I10" s="364"/>
      <c r="J10" s="364"/>
      <c r="K10" s="364"/>
      <c r="L10" s="364"/>
      <c r="M10" s="364"/>
      <c r="N10" s="364"/>
      <c r="O10" s="364"/>
      <c r="P10" s="364"/>
      <c r="Q10" s="364"/>
      <c r="R10" s="364"/>
      <c r="S10" s="364"/>
      <c r="T10" s="364"/>
      <c r="U10" s="364"/>
      <c r="V10" s="364"/>
      <c r="W10" s="364"/>
      <c r="X10" s="364"/>
      <c r="Y10" s="364"/>
      <c r="Z10" s="364"/>
      <c r="AA10" s="364"/>
      <c r="AB10" s="364"/>
      <c r="AC10" s="364"/>
      <c r="AD10" s="364"/>
      <c r="AE10" s="364"/>
      <c r="AF10" s="364"/>
      <c r="AG10" s="364"/>
      <c r="AH10" s="36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9"/>
      <c r="C11" s="13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4"/>
      <c r="Y11" s="364"/>
      <c r="Z11" s="364"/>
      <c r="AA11" s="364"/>
      <c r="AB11" s="364"/>
      <c r="AC11" s="364"/>
      <c r="AD11" s="364"/>
      <c r="AE11" s="364"/>
      <c r="AF11" s="364"/>
      <c r="AG11" s="364"/>
      <c r="AH11" s="36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312</v>
      </c>
      <c r="C12" s="13"/>
      <c r="D12" s="500">
        <f>Assumptions!$H$54</f>
        <v>4.75</v>
      </c>
      <c r="E12" s="500">
        <f>Assumptions!$H$54</f>
        <v>4.75</v>
      </c>
      <c r="F12" s="500">
        <f>Assumptions!$H$54</f>
        <v>4.75</v>
      </c>
      <c r="G12" s="500">
        <f>Assumptions!$H$54</f>
        <v>4.75</v>
      </c>
      <c r="H12" s="500">
        <f>Assumptions!$H$54</f>
        <v>4.75</v>
      </c>
      <c r="I12" s="500">
        <f>Assumptions!$H$54</f>
        <v>4.75</v>
      </c>
      <c r="J12" s="500">
        <f>Assumptions!$H$54</f>
        <v>4.75</v>
      </c>
      <c r="K12" s="500">
        <f>Assumptions!$H$54</f>
        <v>4.75</v>
      </c>
      <c r="L12" s="500">
        <f>Assumptions!$H$54</f>
        <v>4.75</v>
      </c>
      <c r="M12" s="500">
        <f>Assumptions!$H$54</f>
        <v>4.75</v>
      </c>
      <c r="N12" s="500">
        <f>Assumptions!$H$54</f>
        <v>4.75</v>
      </c>
      <c r="O12" s="500">
        <f>Assumptions!$H$54</f>
        <v>4.75</v>
      </c>
      <c r="P12" s="500">
        <f>Assumptions!$H$54</f>
        <v>4.75</v>
      </c>
      <c r="Q12" s="500">
        <f>Assumptions!$H$54</f>
        <v>4.75</v>
      </c>
      <c r="R12" s="500">
        <f>Assumptions!$H$54</f>
        <v>4.75</v>
      </c>
      <c r="S12" s="500">
        <f>Assumptions!$H$54</f>
        <v>4.75</v>
      </c>
      <c r="T12" s="500">
        <f>Assumptions!$H$54</f>
        <v>4.75</v>
      </c>
      <c r="U12" s="500">
        <f>Assumptions!$H$54</f>
        <v>4.75</v>
      </c>
      <c r="V12" s="500">
        <f>Assumptions!$H$54</f>
        <v>4.75</v>
      </c>
      <c r="W12" s="500">
        <f>Assumptions!$H$54</f>
        <v>4.75</v>
      </c>
      <c r="X12" s="500">
        <f>Assumptions!$H$54</f>
        <v>4.75</v>
      </c>
      <c r="Y12" s="500">
        <f>Assumptions!$H$54</f>
        <v>4.75</v>
      </c>
      <c r="Z12" s="500">
        <f>Assumptions!$H$54</f>
        <v>4.75</v>
      </c>
      <c r="AA12" s="500">
        <f>Assumptions!$H$54</f>
        <v>4.75</v>
      </c>
      <c r="AB12" s="500">
        <f>Assumptions!$H$54</f>
        <v>4.75</v>
      </c>
      <c r="AC12" s="500">
        <f>Assumptions!$H$54</f>
        <v>4.75</v>
      </c>
      <c r="AD12" s="500">
        <f>Assumptions!$H$54</f>
        <v>4.75</v>
      </c>
      <c r="AE12" s="500">
        <f>Assumptions!$H$54</f>
        <v>4.75</v>
      </c>
      <c r="AF12" s="500">
        <f>Assumptions!$H$54</f>
        <v>4.75</v>
      </c>
      <c r="AG12" s="500">
        <f>Assumptions!$H$54</f>
        <v>4.75</v>
      </c>
      <c r="AH12" s="500">
        <f>Assumptions!$H$54</f>
        <v>4.75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364"/>
      <c r="O13" s="364"/>
      <c r="P13" s="364"/>
      <c r="Q13" s="364"/>
      <c r="R13" s="364"/>
      <c r="S13" s="364"/>
      <c r="T13" s="364"/>
      <c r="U13" s="364"/>
      <c r="V13" s="364"/>
      <c r="W13" s="364"/>
      <c r="X13" s="364"/>
      <c r="Y13" s="364"/>
      <c r="Z13" s="364"/>
      <c r="AA13" s="364"/>
      <c r="AB13" s="364"/>
      <c r="AC13" s="364"/>
      <c r="AD13" s="364"/>
      <c r="AE13" s="364"/>
      <c r="AF13" s="364"/>
      <c r="AG13" s="364"/>
      <c r="AH13" s="364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321</v>
      </c>
      <c r="C14" s="13"/>
      <c r="D14" s="364"/>
      <c r="E14" s="364"/>
      <c r="F14" s="364"/>
      <c r="G14" s="364"/>
      <c r="H14" s="364"/>
      <c r="I14" s="364"/>
      <c r="J14" s="364"/>
      <c r="K14" s="364"/>
      <c r="L14" s="364"/>
      <c r="M14" s="364"/>
      <c r="N14" s="364"/>
      <c r="O14" s="364"/>
      <c r="P14" s="364"/>
      <c r="Q14" s="364"/>
      <c r="R14" s="364"/>
      <c r="S14" s="364"/>
      <c r="T14" s="364"/>
      <c r="U14" s="364"/>
      <c r="V14" s="364"/>
      <c r="W14" s="364"/>
      <c r="X14" s="364"/>
      <c r="Y14" s="364"/>
      <c r="Z14" s="364"/>
      <c r="AA14" s="364"/>
      <c r="AB14" s="364"/>
      <c r="AC14" s="364"/>
      <c r="AD14" s="364"/>
      <c r="AE14" s="364"/>
      <c r="AF14" s="364"/>
      <c r="AG14" s="364"/>
      <c r="AH14" s="364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248</v>
      </c>
      <c r="C15" s="12"/>
      <c r="D15" s="501">
        <v>5.4933333333333332</v>
      </c>
      <c r="E15" s="501">
        <v>5.6581333333333328</v>
      </c>
      <c r="F15" s="501">
        <v>5.6457561666666676</v>
      </c>
      <c r="G15" s="501">
        <v>5.7213364508333333</v>
      </c>
      <c r="H15" s="501">
        <v>5.6997641986416658</v>
      </c>
      <c r="I15" s="501">
        <v>5.7712527665568336</v>
      </c>
      <c r="J15" s="501">
        <v>5.8419008607681322</v>
      </c>
      <c r="K15" s="501">
        <v>5.9115937131422074</v>
      </c>
      <c r="L15" s="501">
        <v>6.088941524536474</v>
      </c>
      <c r="M15" s="501">
        <v>6.1596167386605574</v>
      </c>
      <c r="N15" s="501">
        <v>6.3444052408203753</v>
      </c>
      <c r="O15" s="501">
        <v>6.4159239908078041</v>
      </c>
      <c r="P15" s="501">
        <v>6.6084017105320383</v>
      </c>
      <c r="Q15" s="501">
        <v>6.680604618110074</v>
      </c>
      <c r="R15" s="501">
        <v>6.7511921386033125</v>
      </c>
      <c r="S15" s="501">
        <v>6.8200023661698452</v>
      </c>
      <c r="T15" s="501">
        <v>6.8868651344656273</v>
      </c>
      <c r="U15" s="501">
        <v>6.951601666729605</v>
      </c>
      <c r="V15" s="501">
        <v>7.014024212308402</v>
      </c>
      <c r="W15" s="501">
        <v>7.0739356691218687</v>
      </c>
      <c r="X15" s="501">
        <v>7.1311291915530655</v>
      </c>
      <c r="Y15" s="501">
        <v>7.1853877832279265</v>
      </c>
      <c r="Z15" s="501">
        <v>7.2396463749027831</v>
      </c>
      <c r="AA15" s="501">
        <v>7.2939049665776494</v>
      </c>
      <c r="AB15" s="501">
        <v>7.3481635582525087</v>
      </c>
      <c r="AC15" s="501">
        <v>7.402422149927367</v>
      </c>
      <c r="AD15" s="501">
        <v>7.4566807416022245</v>
      </c>
      <c r="AE15" s="501">
        <v>7.5109393332770908</v>
      </c>
      <c r="AF15" s="501">
        <v>7.5651979249519501</v>
      </c>
      <c r="AG15" s="501">
        <v>7.6194565166268085</v>
      </c>
      <c r="AH15" s="501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249</v>
      </c>
      <c r="C16" s="12"/>
      <c r="D16" s="501">
        <v>4.3775000000000004</v>
      </c>
      <c r="E16" s="501">
        <v>4.5088249999999999</v>
      </c>
      <c r="F16" s="501">
        <v>4.7351503333333334</v>
      </c>
      <c r="G16" s="501">
        <v>4.8772048433333328</v>
      </c>
      <c r="H16" s="501">
        <v>5.023520988633333</v>
      </c>
      <c r="I16" s="501">
        <v>5.1742266182923329</v>
      </c>
      <c r="J16" s="501">
        <v>5.3294534168411039</v>
      </c>
      <c r="K16" s="501">
        <v>5.2782086724483994</v>
      </c>
      <c r="L16" s="501">
        <v>5.2190927353169778</v>
      </c>
      <c r="M16" s="501">
        <v>5.0396864225404565</v>
      </c>
      <c r="N16" s="501">
        <v>4.9601713700959298</v>
      </c>
      <c r="O16" s="501">
        <v>4.8713496967244438</v>
      </c>
      <c r="P16" s="501">
        <v>4.8951123781718797</v>
      </c>
      <c r="Q16" s="501">
        <v>4.9159166057791106</v>
      </c>
      <c r="R16" s="501">
        <v>4.8037328678523572</v>
      </c>
      <c r="S16" s="501">
        <v>4.8141193172963614</v>
      </c>
      <c r="T16" s="501">
        <v>4.8208055941259396</v>
      </c>
      <c r="U16" s="501">
        <v>4.9654297619497179</v>
      </c>
      <c r="V16" s="501">
        <v>5.114392654808209</v>
      </c>
      <c r="W16" s="501">
        <v>5.117315164896671</v>
      </c>
      <c r="X16" s="501">
        <v>5.27083461984357</v>
      </c>
      <c r="Y16" s="501">
        <v>5.4289596584388775</v>
      </c>
      <c r="Z16" s="501">
        <v>5.5870846970341832</v>
      </c>
      <c r="AA16" s="501">
        <v>5.7452097356294916</v>
      </c>
      <c r="AB16" s="501">
        <v>5.9033347742247999</v>
      </c>
      <c r="AC16" s="501">
        <v>6.0614598128201083</v>
      </c>
      <c r="AD16" s="501">
        <v>6.2195848514154086</v>
      </c>
      <c r="AE16" s="501">
        <v>6.377709890010717</v>
      </c>
      <c r="AF16" s="501">
        <v>6.5358349286060253</v>
      </c>
      <c r="AG16" s="501">
        <v>6.6939599672013337</v>
      </c>
      <c r="AH16" s="501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246</v>
      </c>
      <c r="C17" s="12"/>
      <c r="D17" s="502">
        <v>0</v>
      </c>
      <c r="E17" s="502">
        <v>0</v>
      </c>
      <c r="F17" s="502">
        <v>0</v>
      </c>
      <c r="G17" s="502">
        <v>0</v>
      </c>
      <c r="H17" s="502">
        <v>0</v>
      </c>
      <c r="I17" s="502">
        <v>0</v>
      </c>
      <c r="J17" s="502">
        <v>0</v>
      </c>
      <c r="K17" s="502">
        <v>0</v>
      </c>
      <c r="L17" s="502">
        <v>0</v>
      </c>
      <c r="M17" s="502">
        <v>0</v>
      </c>
      <c r="N17" s="502">
        <v>0</v>
      </c>
      <c r="O17" s="502">
        <v>0</v>
      </c>
      <c r="P17" s="502">
        <v>0</v>
      </c>
      <c r="Q17" s="502">
        <v>0</v>
      </c>
      <c r="R17" s="502">
        <v>0</v>
      </c>
      <c r="S17" s="502">
        <v>0</v>
      </c>
      <c r="T17" s="502">
        <v>0</v>
      </c>
      <c r="U17" s="502">
        <v>0</v>
      </c>
      <c r="V17" s="502">
        <v>0</v>
      </c>
      <c r="W17" s="502">
        <v>0</v>
      </c>
      <c r="X17" s="502">
        <v>0</v>
      </c>
      <c r="Y17" s="502">
        <v>0</v>
      </c>
      <c r="Z17" s="502">
        <v>0</v>
      </c>
      <c r="AA17" s="502">
        <v>0</v>
      </c>
      <c r="AB17" s="502">
        <v>0</v>
      </c>
      <c r="AC17" s="502">
        <v>0</v>
      </c>
      <c r="AD17" s="502">
        <v>0</v>
      </c>
      <c r="AE17" s="502">
        <v>0</v>
      </c>
      <c r="AF17" s="502">
        <v>0</v>
      </c>
      <c r="AG17" s="502">
        <v>0</v>
      </c>
      <c r="AH17" s="502">
        <v>0</v>
      </c>
      <c r="AI17" s="503"/>
      <c r="AJ17" s="503"/>
      <c r="AK17" s="503"/>
      <c r="AL17" s="503"/>
      <c r="AM17" s="503"/>
      <c r="AN17" s="503"/>
      <c r="AO17" s="503"/>
      <c r="AP17" s="503"/>
      <c r="AQ17" s="503"/>
      <c r="AR17" s="503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4">
        <v>0</v>
      </c>
      <c r="E18" s="504">
        <v>0</v>
      </c>
      <c r="F18" s="504">
        <v>0</v>
      </c>
      <c r="G18" s="504">
        <v>0</v>
      </c>
      <c r="H18" s="504">
        <v>0</v>
      </c>
      <c r="I18" s="504">
        <v>0</v>
      </c>
      <c r="J18" s="504">
        <v>0</v>
      </c>
      <c r="K18" s="504">
        <v>0</v>
      </c>
      <c r="L18" s="504">
        <v>0</v>
      </c>
      <c r="M18" s="504">
        <v>0</v>
      </c>
      <c r="N18" s="504">
        <v>0</v>
      </c>
      <c r="O18" s="504">
        <v>0</v>
      </c>
      <c r="P18" s="504">
        <v>0</v>
      </c>
      <c r="Q18" s="504">
        <v>0</v>
      </c>
      <c r="R18" s="504">
        <v>0</v>
      </c>
      <c r="S18" s="504">
        <v>0</v>
      </c>
      <c r="T18" s="504">
        <v>0</v>
      </c>
      <c r="U18" s="504">
        <v>0</v>
      </c>
      <c r="V18" s="504">
        <v>0</v>
      </c>
      <c r="W18" s="504">
        <v>0</v>
      </c>
      <c r="X18" s="504">
        <v>0</v>
      </c>
      <c r="Y18" s="504">
        <v>0</v>
      </c>
      <c r="Z18" s="504">
        <v>0</v>
      </c>
      <c r="AA18" s="504">
        <v>0</v>
      </c>
      <c r="AB18" s="504">
        <v>0</v>
      </c>
      <c r="AC18" s="504">
        <v>0</v>
      </c>
      <c r="AD18" s="504">
        <v>0</v>
      </c>
      <c r="AE18" s="504">
        <v>0</v>
      </c>
      <c r="AF18" s="504">
        <v>0</v>
      </c>
      <c r="AG18" s="504">
        <v>0</v>
      </c>
      <c r="AH18" s="504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5">
        <f>Assumptions!V13</f>
        <v>1</v>
      </c>
      <c r="B19" s="13" t="s">
        <v>124</v>
      </c>
      <c r="C19" s="506"/>
      <c r="D19" s="507">
        <f t="shared" ref="D19:AH19" si="4">CHOOSE($A$19,D15,D16,D17,D18)</f>
        <v>5.4933333333333332</v>
      </c>
      <c r="E19" s="507">
        <f t="shared" si="4"/>
        <v>5.6581333333333328</v>
      </c>
      <c r="F19" s="507">
        <f t="shared" si="4"/>
        <v>5.6457561666666676</v>
      </c>
      <c r="G19" s="507">
        <f t="shared" si="4"/>
        <v>5.7213364508333333</v>
      </c>
      <c r="H19" s="507">
        <f t="shared" si="4"/>
        <v>5.6997641986416658</v>
      </c>
      <c r="I19" s="507">
        <f t="shared" si="4"/>
        <v>5.7712527665568336</v>
      </c>
      <c r="J19" s="507">
        <f t="shared" si="4"/>
        <v>5.8419008607681322</v>
      </c>
      <c r="K19" s="507">
        <f t="shared" si="4"/>
        <v>5.9115937131422074</v>
      </c>
      <c r="L19" s="507">
        <f t="shared" si="4"/>
        <v>6.088941524536474</v>
      </c>
      <c r="M19" s="507">
        <f t="shared" si="4"/>
        <v>6.1596167386605574</v>
      </c>
      <c r="N19" s="507">
        <f t="shared" si="4"/>
        <v>6.3444052408203753</v>
      </c>
      <c r="O19" s="507">
        <f t="shared" si="4"/>
        <v>6.4159239908078041</v>
      </c>
      <c r="P19" s="507">
        <f t="shared" si="4"/>
        <v>6.6084017105320383</v>
      </c>
      <c r="Q19" s="507">
        <f t="shared" si="4"/>
        <v>6.680604618110074</v>
      </c>
      <c r="R19" s="507">
        <f t="shared" si="4"/>
        <v>6.7511921386033125</v>
      </c>
      <c r="S19" s="507">
        <f t="shared" si="4"/>
        <v>6.8200023661698452</v>
      </c>
      <c r="T19" s="507">
        <f t="shared" si="4"/>
        <v>6.8868651344656273</v>
      </c>
      <c r="U19" s="507">
        <f t="shared" si="4"/>
        <v>6.951601666729605</v>
      </c>
      <c r="V19" s="507">
        <f t="shared" si="4"/>
        <v>7.014024212308402</v>
      </c>
      <c r="W19" s="507">
        <f t="shared" si="4"/>
        <v>7.0739356691218687</v>
      </c>
      <c r="X19" s="507">
        <f t="shared" si="4"/>
        <v>7.1311291915530655</v>
      </c>
      <c r="Y19" s="507">
        <f t="shared" si="4"/>
        <v>7.1853877832279265</v>
      </c>
      <c r="Z19" s="507">
        <f t="shared" si="4"/>
        <v>7.2396463749027831</v>
      </c>
      <c r="AA19" s="507">
        <f t="shared" si="4"/>
        <v>7.2939049665776494</v>
      </c>
      <c r="AB19" s="507">
        <f t="shared" si="4"/>
        <v>7.3481635582525087</v>
      </c>
      <c r="AC19" s="507">
        <f t="shared" si="4"/>
        <v>7.402422149927367</v>
      </c>
      <c r="AD19" s="507">
        <f t="shared" si="4"/>
        <v>7.4566807416022245</v>
      </c>
      <c r="AE19" s="507">
        <f t="shared" si="4"/>
        <v>7.5109393332770908</v>
      </c>
      <c r="AF19" s="507">
        <f t="shared" si="4"/>
        <v>7.5651979249519501</v>
      </c>
      <c r="AG19" s="507">
        <f t="shared" si="4"/>
        <v>7.6194565166268085</v>
      </c>
      <c r="AH19" s="507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6"/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9"/>
      <c r="Z20" s="510"/>
      <c r="AA20" s="510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315</v>
      </c>
      <c r="C21" s="506"/>
      <c r="D21" s="511">
        <f>IF(AND(C7&lt;$D$7+Assumptions!$H$53,D7&lt;$D$7+Assumptions!$H$53),D12,IF(AND(C7&lt;$D$7+Assumptions!$H$53,D7&gt;$D$7+Assumptions!$H$53),D12*(1-$D$7)+D19*$D$7,D19))</f>
        <v>4.75</v>
      </c>
      <c r="E21" s="512">
        <f>IF(AND(D7&lt;$D$7+Assumptions!$H$53,E7&lt;$D$7+Assumptions!$H$53),E12,IF(AND(D7&lt;$D$7+Assumptions!$H$53,E7&gt;=$D$7+Assumptions!$H$53),E12*(1-$D$7)+E19*$D$7,E19))</f>
        <v>4.75</v>
      </c>
      <c r="F21" s="512">
        <f>IF(AND(E7&lt;$D$7+Assumptions!$H$53,F7&lt;$D$7+Assumptions!$H$53),F12,IF(AND(E7&lt;$D$7+Assumptions!$H$53,F7&gt;=$D$7+Assumptions!$H$53),F12*(1-$D$7)+F19*$D$7,F19))</f>
        <v>4.75</v>
      </c>
      <c r="G21" s="512">
        <f>IF(AND(F7&lt;$D$7+Assumptions!$H$53,G7&lt;$D$7+Assumptions!$H$53),G12,IF(AND(F7&lt;$D$7+Assumptions!$H$53,G7&gt;=$D$7+Assumptions!$H$53),G12*(1-$D$7)+G19*$D$7,G19))</f>
        <v>5.316612929652778</v>
      </c>
      <c r="H21" s="512">
        <f>IF(AND(G7&lt;$D$7+Assumptions!$H$53,H7&lt;$D$7+Assumptions!$H$53),H12,IF(AND(G7&lt;$D$7+Assumptions!$H$53,H7&gt;=$D$7+Assumptions!$H$53),H12*(1-$D$7)+H19*$D$7,H19))</f>
        <v>5.6997641986416658</v>
      </c>
      <c r="I21" s="512">
        <f>IF(AND(H7&lt;$D$7+Assumptions!$H$53,I7&lt;$D$7+Assumptions!$H$53),I12,IF(AND(H7&lt;$D$7+Assumptions!$H$53,I7&gt;=$D$7+Assumptions!$H$53),I12*(1-$D$7)+I19*$D$7,I19))</f>
        <v>5.7712527665568336</v>
      </c>
      <c r="J21" s="512">
        <f>IF(AND(I7&lt;$D$7+Assumptions!$H$53,J7&lt;$D$7+Assumptions!$H$53),J12,IF(AND(I7&lt;$D$7+Assumptions!$H$53,J7&gt;=$D$7+Assumptions!$H$53),J12*(1-$D$7)+J19*$D$7,J19))</f>
        <v>5.8419008607681322</v>
      </c>
      <c r="K21" s="512">
        <f>IF(AND(J7&lt;$D$7+Assumptions!$H$53,K7&lt;$D$7+Assumptions!$H$53),K12,IF(AND(J7&lt;$D$7+Assumptions!$H$53,K7&gt;=$D$7+Assumptions!$H$53),K12*(1-$D$7)+K19*$D$7,K19))</f>
        <v>5.9115937131422074</v>
      </c>
      <c r="L21" s="512">
        <f>IF(AND(K7&lt;$D$7+Assumptions!$H$53,L7&lt;$D$7+Assumptions!$H$53),L12,IF(AND(K7&lt;$D$7+Assumptions!$H$53,L7&gt;=$D$7+Assumptions!$H$53),L12*(1-$D$7)+L19*$D$7,L19))</f>
        <v>6.088941524536474</v>
      </c>
      <c r="M21" s="512">
        <f>IF(AND(L7&lt;$D$7+Assumptions!$H$53,M7&lt;$D$7+Assumptions!$H$53),M12,IF(AND(L7&lt;$D$7+Assumptions!$H$53,M7&gt;=$D$7+Assumptions!$H$53),M12*(1-$D$7)+M19*$D$7,M19))</f>
        <v>6.1596167386605574</v>
      </c>
      <c r="N21" s="512">
        <f>IF(AND(M7&lt;$D$7+Assumptions!$H$53,N7&lt;$D$7+Assumptions!$H$53),N12,IF(AND(M7&lt;$D$7+Assumptions!$H$53,N7&gt;=$D$7+Assumptions!$H$53),N12*(1-$D$7)+N19*$D$7,N19))</f>
        <v>6.3444052408203753</v>
      </c>
      <c r="O21" s="512">
        <f>IF(AND(N7&lt;$D$7+Assumptions!$H$53,O7&lt;$D$7+Assumptions!$H$53),O12,IF(AND(N7&lt;$D$7+Assumptions!$H$53,O7&gt;=$D$7+Assumptions!$H$53),O12*(1-$D$7)+O19*$D$7,O19))</f>
        <v>6.4159239908078041</v>
      </c>
      <c r="P21" s="512">
        <f>IF(AND(O7&lt;$D$7+Assumptions!$H$53,P7&lt;$D$7+Assumptions!$H$53),P12,IF(AND(O7&lt;$D$7+Assumptions!$H$53,P7&gt;=$D$7+Assumptions!$H$53),P12*(1-$D$7)+P19*$D$7,P19))</f>
        <v>6.6084017105320383</v>
      </c>
      <c r="Q21" s="512">
        <f>IF(AND(P7&lt;$D$7+Assumptions!$H$53,Q7&lt;$D$7+Assumptions!$H$53),Q12,IF(AND(P7&lt;$D$7+Assumptions!$H$53,Q7&gt;=$D$7+Assumptions!$H$53),Q12*(1-$D$7)+Q19*$D$7,Q19))</f>
        <v>6.680604618110074</v>
      </c>
      <c r="R21" s="513">
        <f>IF(AND(Q7&lt;$D$7+Assumptions!$H$53,R7&lt;$D$7+Assumptions!$H$53),R12,IF(AND(Q7&lt;$D$7+Assumptions!$H$53,R7&gt;=$D$7+Assumptions!$H$53),R12*(1-$D$7)+R19*$D$7,R19))</f>
        <v>6.7511921386033125</v>
      </c>
      <c r="S21" s="511">
        <f>IF(AND(R7&lt;$D$7+Assumptions!$H$53,S7&lt;$D$7+Assumptions!$H$53),S12,IF(AND(R7&lt;$D$7+Assumptions!$H$53,S7&gt;=$D$7+Assumptions!$H$53),S12*(1-$D$7)+S19*$D$7,S19))</f>
        <v>6.8200023661698452</v>
      </c>
      <c r="T21" s="512">
        <f>IF(AND(S7&lt;$D$7+Assumptions!$H$53,T7&lt;$D$7+Assumptions!$H$53),T12,IF(AND(S7&lt;$D$7+Assumptions!$H$53,T7&gt;=$D$7+Assumptions!$H$53),T12*(1-$D$7)+T19*$D$7,T19))</f>
        <v>6.8868651344656273</v>
      </c>
      <c r="U21" s="512">
        <f>IF(AND(T7&lt;$D$7+Assumptions!$H$53,U7&lt;$D$7+Assumptions!$H$53),U12,IF(AND(T7&lt;$D$7+Assumptions!$H$53,U7&gt;=$D$7+Assumptions!$H$53),U12*(1-$D$7)+U19*$D$7,U19))</f>
        <v>6.951601666729605</v>
      </c>
      <c r="V21" s="512">
        <f>IF(AND(U7&lt;$D$7+Assumptions!$H$53,V7&lt;$D$7+Assumptions!$H$53),V12,IF(AND(U7&lt;$D$7+Assumptions!$H$53,V7&gt;=$D$7+Assumptions!$H$53),V12*(1-$D$7)+V19*$D$7,V19))</f>
        <v>7.014024212308402</v>
      </c>
      <c r="W21" s="512">
        <f>IF(AND(V7&lt;$D$7+Assumptions!$H$53,W7&lt;$D$7+Assumptions!$H$53),W12,IF(AND(V7&lt;$D$7+Assumptions!$H$53,W7&gt;=$D$7+Assumptions!$H$53),W12*(1-$D$7)+W19*$D$7,W19))</f>
        <v>7.0739356691218687</v>
      </c>
      <c r="X21" s="512">
        <f>IF(AND(W7&lt;$D$7+Assumptions!$H$53,X7&lt;$D$7+Assumptions!$H$53),X12,IF(AND(W7&lt;$D$7+Assumptions!$H$53,X7&gt;=$D$7+Assumptions!$H$53),X12*(1-$D$7)+X19*$D$7,X19))</f>
        <v>7.1311291915530655</v>
      </c>
      <c r="Y21" s="512">
        <f>IF(AND(X7&lt;$D$7+Assumptions!$H$53,Y7&lt;$D$7+Assumptions!$H$53),Y12,IF(AND(X7&lt;$D$7+Assumptions!$H$53,Y7&gt;=$D$7+Assumptions!$H$53),Y12*(1-$D$7)+Y19*$D$7,Y19))</f>
        <v>7.1853877832279265</v>
      </c>
      <c r="Z21" s="512">
        <f>IF(AND(Y7&lt;$D$7+Assumptions!$H$53,Z7&lt;$D$7+Assumptions!$H$53),Z12,IF(AND(Y7&lt;$D$7+Assumptions!$H$53,Z7&gt;=$D$7+Assumptions!$H$53),Z12*(1-$D$7)+Z19*$D$7,Z19))</f>
        <v>7.2396463749027831</v>
      </c>
      <c r="AA21" s="512">
        <f>IF(AND(Z7&lt;$D$7+Assumptions!$H$53,AA7&lt;$D$7+Assumptions!$H$53),AA12,IF(AND(Z7&lt;$D$7+Assumptions!$H$53,AA7&gt;=$D$7+Assumptions!$H$53),AA12*(1-$D$7)+AA19*$D$7,AA19))</f>
        <v>7.2939049665776494</v>
      </c>
      <c r="AB21" s="512">
        <f>IF(AND(AA7&lt;$D$7+Assumptions!$H$53,AB7&lt;$D$7+Assumptions!$H$53),AB12,IF(AND(AA7&lt;$D$7+Assumptions!$H$53,AB7&gt;=$D$7+Assumptions!$H$53),AB12*(1-$D$7)+AB19*$D$7,AB19))</f>
        <v>7.3481635582525087</v>
      </c>
      <c r="AC21" s="512">
        <f>IF(AND(AB7&lt;$D$7+Assumptions!$H$53,AC7&lt;$D$7+Assumptions!$H$53),AC12,IF(AND(AB7&lt;$D$7+Assumptions!$H$53,AC7&gt;=$D$7+Assumptions!$H$53),AC12*(1-$D$7)+AC19*$D$7,AC19))</f>
        <v>7.402422149927367</v>
      </c>
      <c r="AD21" s="512">
        <f>IF(AND(AC7&lt;$D$7+Assumptions!$H$53,AD7&lt;$D$7+Assumptions!$H$53),AD12,IF(AND(AC7&lt;$D$7+Assumptions!$H$53,AD7&gt;=$D$7+Assumptions!$H$53),AD12*(1-$D$7)+AD19*$D$7,AD19))</f>
        <v>7.4566807416022245</v>
      </c>
      <c r="AE21" s="512">
        <f>IF(AND(AD7&lt;$D$7+Assumptions!$H$53,AE7&lt;$D$7+Assumptions!$H$53),AE12,IF(AND(AD7&lt;$D$7+Assumptions!$H$53,AE7&gt;=$D$7+Assumptions!$H$53),AE12*(1-$D$7)+AE19*$D$7,AE19))</f>
        <v>7.5109393332770908</v>
      </c>
      <c r="AF21" s="512">
        <f>IF(AND(AE7&lt;$D$7+Assumptions!$H$53,AF7&lt;$D$7+Assumptions!$H$53),AF12,IF(AND(AE7&lt;$D$7+Assumptions!$H$53,AF7&gt;=$D$7+Assumptions!$H$53),AF12*(1-$D$7)+AF19*$D$7,AF19))</f>
        <v>7.5651979249519501</v>
      </c>
      <c r="AG21" s="512">
        <f>IF(AND(AF7&lt;$D$7+Assumptions!$H$53,AG7&lt;$D$7+Assumptions!$H$53),AG12,IF(AND(AF7&lt;$D$7+Assumptions!$H$53,AG7&gt;=$D$7+Assumptions!$H$53),AG12*(1-$D$7)+AG19*$D$7,AG19))</f>
        <v>7.6194565166268085</v>
      </c>
      <c r="AH21" s="513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6"/>
      <c r="D22" s="508"/>
      <c r="E22" s="508"/>
      <c r="F22" s="508"/>
      <c r="G22" s="508"/>
      <c r="H22" s="508"/>
      <c r="I22" s="508"/>
      <c r="J22" s="508"/>
      <c r="K22" s="508"/>
      <c r="L22" s="508"/>
      <c r="M22" s="508"/>
      <c r="N22" s="508"/>
      <c r="O22" s="508"/>
      <c r="P22" s="508"/>
      <c r="Q22" s="508"/>
      <c r="R22" s="508"/>
      <c r="S22" s="508"/>
      <c r="T22" s="508"/>
      <c r="U22" s="508"/>
      <c r="V22" s="508"/>
      <c r="W22" s="508"/>
      <c r="X22" s="508"/>
      <c r="Y22" s="509"/>
      <c r="Z22" s="510"/>
      <c r="AA22" s="510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8" t="s">
        <v>400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441</v>
      </c>
      <c r="C25" s="514"/>
      <c r="D25" s="502">
        <f>GCurve!I8</f>
        <v>3.2287916666666665</v>
      </c>
      <c r="E25" s="502">
        <f>GCurve!I9</f>
        <v>3.1855000000000007</v>
      </c>
      <c r="F25" s="502">
        <f>GCurve!I10</f>
        <v>3.1967083333333335</v>
      </c>
      <c r="G25" s="502">
        <f>GCurve!I11</f>
        <v>3.2458750000000003</v>
      </c>
      <c r="H25" s="502">
        <f>GCurve!I12</f>
        <v>3.3050416666666664</v>
      </c>
      <c r="I25" s="502">
        <f>GCurve!I13</f>
        <v>3.3679583333333336</v>
      </c>
      <c r="J25" s="502">
        <f>GCurve!I14</f>
        <v>3.4329583333333336</v>
      </c>
      <c r="K25" s="502">
        <f>GCurve!I15</f>
        <v>3.5029583333333334</v>
      </c>
      <c r="L25" s="502">
        <f>GCurve!I16</f>
        <v>3.5779583333333336</v>
      </c>
      <c r="M25" s="502">
        <f>GCurve!I17</f>
        <v>3.6579583333333332</v>
      </c>
      <c r="N25" s="502">
        <f>GCurve!I18</f>
        <v>3.7429583333333336</v>
      </c>
      <c r="O25" s="502">
        <f>GCurve!I19</f>
        <v>3.8329583333333335</v>
      </c>
      <c r="P25" s="502">
        <f>GCurve!I20</f>
        <v>3.9279583333333328</v>
      </c>
      <c r="Q25" s="502">
        <f>GCurve!I21</f>
        <v>4.0279583333333333</v>
      </c>
      <c r="R25" s="502">
        <f>GCurve!I22</f>
        <v>4.1329583333333337</v>
      </c>
      <c r="S25" s="502">
        <f>GCurve!I23</f>
        <v>4.2429583333333332</v>
      </c>
      <c r="T25" s="502">
        <f>GCurve!I24</f>
        <v>4.3579583333333334</v>
      </c>
      <c r="U25" s="502">
        <f>GCurve!I25</f>
        <v>4.4779583333333335</v>
      </c>
      <c r="V25" s="502">
        <f>GCurve!I26</f>
        <v>4.6029583333333335</v>
      </c>
      <c r="W25" s="502">
        <f>GCurve!I27</f>
        <v>4.7180322916666668</v>
      </c>
      <c r="X25" s="502">
        <f>GCurve!I28</f>
        <v>4.8359830989583328</v>
      </c>
      <c r="Y25" s="502">
        <v>2.2000000000000002</v>
      </c>
      <c r="Z25" s="502">
        <v>2.2000000000000002</v>
      </c>
      <c r="AA25" s="502">
        <v>2.2000000000000002</v>
      </c>
      <c r="AB25" s="502">
        <v>2.2000000000000002</v>
      </c>
      <c r="AC25" s="502">
        <v>2.2000000000000002</v>
      </c>
      <c r="AD25" s="502">
        <v>2.2000000000000002</v>
      </c>
      <c r="AE25" s="502">
        <v>2.2000000000000002</v>
      </c>
      <c r="AF25" s="502">
        <v>2.2000000000000002</v>
      </c>
      <c r="AG25" s="502">
        <v>2.2000000000000002</v>
      </c>
      <c r="AH25" s="502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243</v>
      </c>
      <c r="C26" s="13"/>
      <c r="D26" s="502">
        <v>2.5</v>
      </c>
      <c r="E26" s="502">
        <v>2.5</v>
      </c>
      <c r="F26" s="502">
        <v>2.5</v>
      </c>
      <c r="G26" s="502">
        <v>2.5</v>
      </c>
      <c r="H26" s="502">
        <v>2.5</v>
      </c>
      <c r="I26" s="502">
        <v>2.5</v>
      </c>
      <c r="J26" s="502">
        <v>2.5</v>
      </c>
      <c r="K26" s="502">
        <v>2.5</v>
      </c>
      <c r="L26" s="502">
        <v>2.5</v>
      </c>
      <c r="M26" s="502">
        <v>2.5</v>
      </c>
      <c r="N26" s="502">
        <v>2.5</v>
      </c>
      <c r="O26" s="502">
        <v>2.5</v>
      </c>
      <c r="P26" s="502">
        <v>2.5</v>
      </c>
      <c r="Q26" s="502">
        <v>2.5</v>
      </c>
      <c r="R26" s="502">
        <v>2.5</v>
      </c>
      <c r="S26" s="502">
        <v>2.5</v>
      </c>
      <c r="T26" s="502">
        <v>2.5</v>
      </c>
      <c r="U26" s="502">
        <v>2.5</v>
      </c>
      <c r="V26" s="502">
        <v>2.5</v>
      </c>
      <c r="W26" s="502">
        <v>2.5</v>
      </c>
      <c r="X26" s="502">
        <v>2.5</v>
      </c>
      <c r="Y26" s="502">
        <v>2.5</v>
      </c>
      <c r="Z26" s="502">
        <v>2.5</v>
      </c>
      <c r="AA26" s="502">
        <v>2.5</v>
      </c>
      <c r="AB26" s="502">
        <v>2.5</v>
      </c>
      <c r="AC26" s="502">
        <v>2.5</v>
      </c>
      <c r="AD26" s="502">
        <v>2.5</v>
      </c>
      <c r="AE26" s="502">
        <v>2.5</v>
      </c>
      <c r="AF26" s="502">
        <v>2.5</v>
      </c>
      <c r="AG26" s="502">
        <v>2.5</v>
      </c>
      <c r="AH26" s="502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5">
        <v>1.5</v>
      </c>
      <c r="E27" s="515">
        <v>1.5</v>
      </c>
      <c r="F27" s="515">
        <v>1.5</v>
      </c>
      <c r="G27" s="515">
        <v>1.5</v>
      </c>
      <c r="H27" s="515">
        <v>1.5</v>
      </c>
      <c r="I27" s="515">
        <v>1.5</v>
      </c>
      <c r="J27" s="515">
        <v>1.5</v>
      </c>
      <c r="K27" s="515">
        <v>1.5</v>
      </c>
      <c r="L27" s="515">
        <v>1.5</v>
      </c>
      <c r="M27" s="515">
        <v>1.5</v>
      </c>
      <c r="N27" s="515">
        <v>1.5</v>
      </c>
      <c r="O27" s="515">
        <v>1.5</v>
      </c>
      <c r="P27" s="515">
        <v>1.5</v>
      </c>
      <c r="Q27" s="515">
        <v>1.5</v>
      </c>
      <c r="R27" s="515">
        <v>1.5</v>
      </c>
      <c r="S27" s="515">
        <v>1.5</v>
      </c>
      <c r="T27" s="515">
        <v>1.5</v>
      </c>
      <c r="U27" s="515">
        <v>1.5</v>
      </c>
      <c r="V27" s="515">
        <v>1.5</v>
      </c>
      <c r="W27" s="515">
        <v>1.5</v>
      </c>
      <c r="X27" s="515">
        <v>1.5</v>
      </c>
      <c r="Y27" s="515">
        <v>1.5</v>
      </c>
      <c r="Z27" s="515">
        <v>1.5</v>
      </c>
      <c r="AA27" s="515">
        <v>1.5</v>
      </c>
      <c r="AB27" s="515">
        <v>1.5</v>
      </c>
      <c r="AC27" s="515">
        <v>1.5</v>
      </c>
      <c r="AD27" s="515">
        <v>1.5</v>
      </c>
      <c r="AE27" s="515">
        <v>1.5</v>
      </c>
      <c r="AF27" s="515">
        <v>1.5</v>
      </c>
      <c r="AG27" s="515">
        <v>1.5</v>
      </c>
      <c r="AH27" s="515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244</v>
      </c>
      <c r="C28" s="13"/>
      <c r="D28" s="516">
        <f>Assumptions!$N$54</f>
        <v>1.4999999999999999E-2</v>
      </c>
      <c r="E28" s="516">
        <f>Assumptions!$N$54</f>
        <v>1.4999999999999999E-2</v>
      </c>
      <c r="F28" s="516">
        <f>Assumptions!$N$54</f>
        <v>1.4999999999999999E-2</v>
      </c>
      <c r="G28" s="516">
        <f>Assumptions!$N$54</f>
        <v>1.4999999999999999E-2</v>
      </c>
      <c r="H28" s="516">
        <f>Assumptions!$N$54</f>
        <v>1.4999999999999999E-2</v>
      </c>
      <c r="I28" s="516">
        <f>Assumptions!$N$54</f>
        <v>1.4999999999999999E-2</v>
      </c>
      <c r="J28" s="516">
        <f>Assumptions!$N$54</f>
        <v>1.4999999999999999E-2</v>
      </c>
      <c r="K28" s="516">
        <f>Assumptions!$N$54</f>
        <v>1.4999999999999999E-2</v>
      </c>
      <c r="L28" s="516">
        <f>Assumptions!$N$54</f>
        <v>1.4999999999999999E-2</v>
      </c>
      <c r="M28" s="516">
        <f>Assumptions!$N$54</f>
        <v>1.4999999999999999E-2</v>
      </c>
      <c r="N28" s="516">
        <f>Assumptions!$N$54</f>
        <v>1.4999999999999999E-2</v>
      </c>
      <c r="O28" s="516">
        <f>Assumptions!$N$54</f>
        <v>1.4999999999999999E-2</v>
      </c>
      <c r="P28" s="516">
        <f>Assumptions!$N$54</f>
        <v>1.4999999999999999E-2</v>
      </c>
      <c r="Q28" s="516">
        <f>Assumptions!$N$54</f>
        <v>1.4999999999999999E-2</v>
      </c>
      <c r="R28" s="516">
        <f>Assumptions!$N$54</f>
        <v>1.4999999999999999E-2</v>
      </c>
      <c r="S28" s="516">
        <f>Assumptions!$N$54</f>
        <v>1.4999999999999999E-2</v>
      </c>
      <c r="T28" s="516">
        <f>Assumptions!$N$54</f>
        <v>1.4999999999999999E-2</v>
      </c>
      <c r="U28" s="516">
        <f>Assumptions!$N$54</f>
        <v>1.4999999999999999E-2</v>
      </c>
      <c r="V28" s="516">
        <f>Assumptions!$N$54</f>
        <v>1.4999999999999999E-2</v>
      </c>
      <c r="W28" s="516">
        <f>Assumptions!$N$54</f>
        <v>1.4999999999999999E-2</v>
      </c>
      <c r="X28" s="516">
        <f>Assumptions!$N$54</f>
        <v>1.4999999999999999E-2</v>
      </c>
      <c r="Y28" s="516">
        <f>Assumptions!$N$54</f>
        <v>1.4999999999999999E-2</v>
      </c>
      <c r="Z28" s="516">
        <f>Assumptions!$N$54</f>
        <v>1.4999999999999999E-2</v>
      </c>
      <c r="AA28" s="516">
        <f>Assumptions!$N$54</f>
        <v>1.4999999999999999E-2</v>
      </c>
      <c r="AB28" s="516">
        <f>Assumptions!$N$54</f>
        <v>1.4999999999999999E-2</v>
      </c>
      <c r="AC28" s="516">
        <f>Assumptions!$N$54</f>
        <v>1.4999999999999999E-2</v>
      </c>
      <c r="AD28" s="516">
        <f>Assumptions!$N$54</f>
        <v>1.4999999999999999E-2</v>
      </c>
      <c r="AE28" s="516">
        <f>Assumptions!$N$54</f>
        <v>1.4999999999999999E-2</v>
      </c>
      <c r="AF28" s="516">
        <f>Assumptions!$N$54</f>
        <v>1.4999999999999999E-2</v>
      </c>
      <c r="AG28" s="516">
        <f>Assumptions!$N$54</f>
        <v>1.4999999999999999E-2</v>
      </c>
      <c r="AH28" s="516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5">
        <f>Assumptions!U13</f>
        <v>1</v>
      </c>
      <c r="B30" s="43" t="s">
        <v>241</v>
      </c>
      <c r="C30" s="12"/>
      <c r="D30" s="517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7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7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7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7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7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7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7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7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7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7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7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7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7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7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7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7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7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7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7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7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7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7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7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7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7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7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7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7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7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7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8" t="s">
        <v>401</v>
      </c>
      <c r="C33" s="13"/>
      <c r="D33" s="364"/>
      <c r="E33" s="364"/>
      <c r="F33" s="364"/>
      <c r="G33" s="364"/>
      <c r="H33" s="364"/>
      <c r="I33" s="364"/>
      <c r="J33" s="364"/>
      <c r="K33" s="364"/>
      <c r="L33" s="364"/>
      <c r="M33" s="364"/>
      <c r="N33" s="364"/>
      <c r="O33" s="364"/>
      <c r="P33" s="364"/>
      <c r="Q33" s="364"/>
      <c r="R33" s="364"/>
      <c r="S33" s="364"/>
      <c r="T33" s="364"/>
      <c r="U33" s="364"/>
      <c r="V33" s="364"/>
      <c r="W33" s="364"/>
      <c r="X33" s="364"/>
      <c r="Y33" s="364"/>
      <c r="Z33" s="364"/>
      <c r="AA33" s="364"/>
      <c r="AB33" s="364"/>
      <c r="AC33" s="364"/>
      <c r="AD33" s="364"/>
      <c r="AE33" s="364"/>
      <c r="AF33" s="364"/>
      <c r="AG33" s="364"/>
      <c r="AH33" s="364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242</v>
      </c>
      <c r="C34" s="12"/>
      <c r="D34" s="503">
        <f>D44*'Price_Technical Assumption'!D30/1000</f>
        <v>33.5923485</v>
      </c>
      <c r="E34" s="503">
        <f>E44*'Price_Technical Assumption'!E30/1000</f>
        <v>33.141942000000007</v>
      </c>
      <c r="F34" s="503">
        <f>F44*'Price_Technical Assumption'!F30/1000</f>
        <v>33.258553500000005</v>
      </c>
      <c r="G34" s="503">
        <f>G44*'Price_Technical Assumption'!G30/1000</f>
        <v>33.770083499999998</v>
      </c>
      <c r="H34" s="503">
        <f>H44*'Price_Technical Assumption'!H30/1000</f>
        <v>34.385653500000004</v>
      </c>
      <c r="I34" s="503">
        <f>I44*'Price_Technical Assumption'!I30/1000</f>
        <v>35.040238500000001</v>
      </c>
      <c r="J34" s="503">
        <f>J44*'Price_Technical Assumption'!J30/1000</f>
        <v>35.7164985</v>
      </c>
      <c r="K34" s="503">
        <f>K44*'Price_Technical Assumption'!K30/1000</f>
        <v>36.444778499999998</v>
      </c>
      <c r="L34" s="503">
        <f>L44*'Price_Technical Assumption'!L30/1000</f>
        <v>37.225078500000002</v>
      </c>
      <c r="M34" s="503">
        <f>M44*'Price_Technical Assumption'!M30/1000</f>
        <v>38.057398499999998</v>
      </c>
      <c r="N34" s="503">
        <f>N44*'Price_Technical Assumption'!N30/1000</f>
        <v>38.9417385</v>
      </c>
      <c r="O34" s="503">
        <f>O44*'Price_Technical Assumption'!O30/1000</f>
        <v>39.8780985</v>
      </c>
      <c r="P34" s="503">
        <f>P44*'Price_Technical Assumption'!P30/1000</f>
        <v>40.866478499999999</v>
      </c>
      <c r="Q34" s="503">
        <f>Q44*'Price_Technical Assumption'!Q30/1000</f>
        <v>41.906878499999998</v>
      </c>
      <c r="R34" s="503">
        <f>R44*'Price_Technical Assumption'!R30/1000</f>
        <v>42.999298500000002</v>
      </c>
      <c r="S34" s="503">
        <f>S44*'Price_Technical Assumption'!S30/1000</f>
        <v>44.143738499999998</v>
      </c>
      <c r="T34" s="503">
        <f>T44*'Price_Technical Assumption'!T30/1000</f>
        <v>45.3401985</v>
      </c>
      <c r="U34" s="503">
        <f>U44*'Price_Technical Assumption'!U30/1000</f>
        <v>46.5886785</v>
      </c>
      <c r="V34" s="503">
        <f>V44*'Price_Technical Assumption'!V30/1000</f>
        <v>47.8891785</v>
      </c>
      <c r="W34" s="503">
        <f>W44*'Price_Technical Assumption'!W30/1000</f>
        <v>49.086407962500004</v>
      </c>
      <c r="X34" s="503">
        <f>X44*'Price_Technical Assumption'!X30/1000</f>
        <v>50.313568161562493</v>
      </c>
      <c r="Y34" s="503">
        <f>Y44*'Price_Technical Assumption'!Y30/1000</f>
        <v>22.888800000000003</v>
      </c>
      <c r="Z34" s="503">
        <f>Z44*'Price_Technical Assumption'!Z30/1000</f>
        <v>22.888800000000003</v>
      </c>
      <c r="AA34" s="503">
        <f>AA44*'Price_Technical Assumption'!AA30/1000</f>
        <v>22.888800000000003</v>
      </c>
      <c r="AB34" s="503">
        <f>AB44*'Price_Technical Assumption'!AB30/1000</f>
        <v>22.888800000000003</v>
      </c>
      <c r="AC34" s="503">
        <f>AC44*'Price_Technical Assumption'!AC30/1000</f>
        <v>22.888800000000003</v>
      </c>
      <c r="AD34" s="503">
        <f>AD44*'Price_Technical Assumption'!AD30/1000</f>
        <v>22.888800000000003</v>
      </c>
      <c r="AE34" s="503">
        <f>AE44*'Price_Technical Assumption'!AE30/1000</f>
        <v>22.888800000000003</v>
      </c>
      <c r="AF34" s="503">
        <f>AF44*'Price_Technical Assumption'!AF30/1000</f>
        <v>22.888800000000003</v>
      </c>
      <c r="AG34" s="503">
        <f>AG44*'Price_Technical Assumption'!AG30/1000</f>
        <v>22.888800000000003</v>
      </c>
      <c r="AH34" s="503">
        <f>AH44*'Price_Technical Assumption'!AH30/1000</f>
        <v>22.888800000000003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420</v>
      </c>
      <c r="C35" s="483"/>
      <c r="D35" s="520">
        <f>Assumptions!$H$60*(1+Assumptions!$N$11)^(D7)</f>
        <v>0</v>
      </c>
      <c r="E35" s="520">
        <f>Assumptions!$H$60*(1+Assumptions!$N$11)^(E7)</f>
        <v>0</v>
      </c>
      <c r="F35" s="520">
        <f>Assumptions!$H$60*(1+Assumptions!$N$11)^(F7)</f>
        <v>0</v>
      </c>
      <c r="G35" s="520">
        <f>Assumptions!$H$60*(1+Assumptions!$N$11)^(G7)</f>
        <v>0</v>
      </c>
      <c r="H35" s="520">
        <f>Assumptions!$H$60*(1+Assumptions!$N$11)^(H7)</f>
        <v>0</v>
      </c>
      <c r="I35" s="520">
        <f>Assumptions!$H$60*(1+Assumptions!$N$11)^(I7)</f>
        <v>0</v>
      </c>
      <c r="J35" s="520">
        <f>Assumptions!$H$60*(1+Assumptions!$N$11)^(J7)</f>
        <v>0</v>
      </c>
      <c r="K35" s="520">
        <f>Assumptions!$H$60*(1+Assumptions!$N$11)^(K7)</f>
        <v>0</v>
      </c>
      <c r="L35" s="520">
        <f>Assumptions!$H$60*(1+Assumptions!$N$11)^(L7)</f>
        <v>0</v>
      </c>
      <c r="M35" s="520">
        <f>Assumptions!$H$60*(1+Assumptions!$N$11)^(M7)</f>
        <v>0</v>
      </c>
      <c r="N35" s="520">
        <f>Assumptions!$H$60*(1+Assumptions!$N$11)^(N7)</f>
        <v>0</v>
      </c>
      <c r="O35" s="520">
        <f>Assumptions!$H$60*(1+Assumptions!$N$11)^(O7)</f>
        <v>0</v>
      </c>
      <c r="P35" s="520">
        <f>Assumptions!$H$60*(1+Assumptions!$N$11)^(P7)</f>
        <v>0</v>
      </c>
      <c r="Q35" s="520">
        <f>Assumptions!$H$60*(1+Assumptions!$N$11)^(Q7)</f>
        <v>0</v>
      </c>
      <c r="R35" s="520">
        <f>Assumptions!$H$60*(1+Assumptions!$N$11)^(R7)</f>
        <v>0</v>
      </c>
      <c r="S35" s="520">
        <f>Assumptions!$H$60*(1+Assumptions!$N$11)^(S7)</f>
        <v>0</v>
      </c>
      <c r="T35" s="520">
        <f>Assumptions!$H$60*(1+Assumptions!$N$11)^(T7)</f>
        <v>0</v>
      </c>
      <c r="U35" s="520">
        <f>Assumptions!$H$60*(1+Assumptions!$N$11)^(U7)</f>
        <v>0</v>
      </c>
      <c r="V35" s="520">
        <f>Assumptions!$H$60*(1+Assumptions!$N$11)^(V7)</f>
        <v>0</v>
      </c>
      <c r="W35" s="520">
        <f>Assumptions!$H$60*(1+Assumptions!$N$11)^(W7)</f>
        <v>0</v>
      </c>
      <c r="X35" s="520">
        <f>Assumptions!$H$60*(1+Assumptions!$N$11)^(X7)</f>
        <v>0</v>
      </c>
      <c r="Y35" s="520">
        <f>Assumptions!$H$60*(1+Assumptions!$N$11)^(Y7)</f>
        <v>0</v>
      </c>
      <c r="Z35" s="520">
        <f>Assumptions!$H$60*(1+Assumptions!$N$11)^(Z7)</f>
        <v>0</v>
      </c>
      <c r="AA35" s="520">
        <f>Assumptions!$H$60*(1+Assumptions!$N$11)^(AA7)</f>
        <v>0</v>
      </c>
      <c r="AB35" s="520">
        <f>Assumptions!$H$60*(1+Assumptions!$N$11)^(AB7)</f>
        <v>0</v>
      </c>
      <c r="AC35" s="520">
        <f>Assumptions!$H$60*(1+Assumptions!$N$11)^(AC7)</f>
        <v>0</v>
      </c>
      <c r="AD35" s="520">
        <f>Assumptions!$H$60*(1+Assumptions!$N$11)^(AD7)</f>
        <v>0</v>
      </c>
      <c r="AE35" s="520">
        <f>Assumptions!$H$60*(1+Assumptions!$N$11)^(AE7)</f>
        <v>0</v>
      </c>
      <c r="AF35" s="520">
        <f>Assumptions!$H$60*(1+Assumptions!$N$11)^(AF7)</f>
        <v>0</v>
      </c>
      <c r="AG35" s="520">
        <f>Assumptions!$H$60*(1+Assumptions!$N$11)^(AG7)</f>
        <v>0</v>
      </c>
      <c r="AH35" s="520">
        <f>Assumptions!$H$60*(1+Assumptions!$N$11)^(AH7)</f>
        <v>0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429</v>
      </c>
      <c r="C36" s="12"/>
      <c r="D36" s="500">
        <f>SUM(D34:D35)</f>
        <v>33.5923485</v>
      </c>
      <c r="E36" s="500">
        <f t="shared" ref="E36:AH36" si="5">SUM(E34:E35)</f>
        <v>33.141942000000007</v>
      </c>
      <c r="F36" s="500">
        <f t="shared" si="5"/>
        <v>33.258553500000005</v>
      </c>
      <c r="G36" s="500">
        <f t="shared" si="5"/>
        <v>33.770083499999998</v>
      </c>
      <c r="H36" s="500">
        <f t="shared" si="5"/>
        <v>34.385653500000004</v>
      </c>
      <c r="I36" s="500">
        <f t="shared" si="5"/>
        <v>35.040238500000001</v>
      </c>
      <c r="J36" s="500">
        <f t="shared" si="5"/>
        <v>35.7164985</v>
      </c>
      <c r="K36" s="500">
        <f t="shared" si="5"/>
        <v>36.444778499999998</v>
      </c>
      <c r="L36" s="500">
        <f t="shared" si="5"/>
        <v>37.225078500000002</v>
      </c>
      <c r="M36" s="500">
        <f t="shared" si="5"/>
        <v>38.057398499999998</v>
      </c>
      <c r="N36" s="500">
        <f t="shared" si="5"/>
        <v>38.9417385</v>
      </c>
      <c r="O36" s="500">
        <f t="shared" si="5"/>
        <v>39.8780985</v>
      </c>
      <c r="P36" s="500">
        <f t="shared" si="5"/>
        <v>40.866478499999999</v>
      </c>
      <c r="Q36" s="500">
        <f t="shared" si="5"/>
        <v>41.906878499999998</v>
      </c>
      <c r="R36" s="500">
        <f t="shared" si="5"/>
        <v>42.999298500000002</v>
      </c>
      <c r="S36" s="500">
        <f t="shared" si="5"/>
        <v>44.143738499999998</v>
      </c>
      <c r="T36" s="500">
        <f t="shared" si="5"/>
        <v>45.3401985</v>
      </c>
      <c r="U36" s="500">
        <f t="shared" si="5"/>
        <v>46.5886785</v>
      </c>
      <c r="V36" s="500">
        <f t="shared" si="5"/>
        <v>47.8891785</v>
      </c>
      <c r="W36" s="500">
        <f t="shared" si="5"/>
        <v>49.086407962500004</v>
      </c>
      <c r="X36" s="500">
        <f t="shared" si="5"/>
        <v>50.313568161562493</v>
      </c>
      <c r="Y36" s="500">
        <f t="shared" si="5"/>
        <v>22.888800000000003</v>
      </c>
      <c r="Z36" s="500">
        <f t="shared" si="5"/>
        <v>22.888800000000003</v>
      </c>
      <c r="AA36" s="500">
        <f t="shared" si="5"/>
        <v>22.888800000000003</v>
      </c>
      <c r="AB36" s="500">
        <f t="shared" si="5"/>
        <v>22.888800000000003</v>
      </c>
      <c r="AC36" s="500">
        <f t="shared" si="5"/>
        <v>22.888800000000003</v>
      </c>
      <c r="AD36" s="500">
        <f t="shared" si="5"/>
        <v>22.888800000000003</v>
      </c>
      <c r="AE36" s="500">
        <f t="shared" si="5"/>
        <v>22.888800000000003</v>
      </c>
      <c r="AF36" s="500">
        <f t="shared" si="5"/>
        <v>22.888800000000003</v>
      </c>
      <c r="AG36" s="500">
        <f t="shared" si="5"/>
        <v>22.888800000000003</v>
      </c>
      <c r="AH36" s="500">
        <f t="shared" si="5"/>
        <v>22.888800000000003</v>
      </c>
      <c r="AI36" s="503"/>
      <c r="AJ36" s="503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3"/>
      <c r="E37" s="503"/>
      <c r="F37" s="503"/>
      <c r="G37" s="503"/>
      <c r="H37" s="503"/>
      <c r="I37" s="503"/>
      <c r="J37" s="503"/>
      <c r="K37" s="503"/>
      <c r="L37" s="503"/>
      <c r="M37" s="503"/>
      <c r="N37" s="503"/>
      <c r="O37" s="503"/>
      <c r="P37" s="503"/>
      <c r="Q37" s="503"/>
      <c r="R37" s="503"/>
      <c r="S37" s="503"/>
      <c r="T37" s="503"/>
      <c r="U37" s="503"/>
      <c r="V37" s="503"/>
      <c r="W37" s="503"/>
      <c r="X37" s="503"/>
      <c r="Y37" s="503"/>
      <c r="Z37" s="503"/>
      <c r="AA37" s="503"/>
      <c r="AB37" s="503"/>
      <c r="AC37" s="503"/>
      <c r="AD37" s="503"/>
      <c r="AE37" s="503"/>
      <c r="AF37" s="503"/>
      <c r="AG37" s="503"/>
      <c r="AH37" s="503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5" t="str">
        <f>Assumptions!W14</f>
        <v>Pass-through</v>
      </c>
      <c r="B38" s="43" t="s">
        <v>250</v>
      </c>
      <c r="C38" s="12"/>
      <c r="D38" s="517">
        <f>IF($A$38="Pass-through",D36,D34)</f>
        <v>33.5923485</v>
      </c>
      <c r="E38" s="518">
        <f t="shared" ref="E38:AH38" si="6">IF($A$38="Pass-through",E36,E34)</f>
        <v>33.141942000000007</v>
      </c>
      <c r="F38" s="518">
        <f t="shared" si="6"/>
        <v>33.258553500000005</v>
      </c>
      <c r="G38" s="518">
        <f t="shared" si="6"/>
        <v>33.770083499999998</v>
      </c>
      <c r="H38" s="518">
        <f t="shared" si="6"/>
        <v>34.385653500000004</v>
      </c>
      <c r="I38" s="518">
        <f t="shared" si="6"/>
        <v>35.040238500000001</v>
      </c>
      <c r="J38" s="518">
        <f t="shared" si="6"/>
        <v>35.7164985</v>
      </c>
      <c r="K38" s="518">
        <f t="shared" si="6"/>
        <v>36.444778499999998</v>
      </c>
      <c r="L38" s="518">
        <f t="shared" si="6"/>
        <v>37.225078500000002</v>
      </c>
      <c r="M38" s="518">
        <f t="shared" si="6"/>
        <v>38.057398499999998</v>
      </c>
      <c r="N38" s="518">
        <f t="shared" si="6"/>
        <v>38.9417385</v>
      </c>
      <c r="O38" s="518">
        <f t="shared" si="6"/>
        <v>39.8780985</v>
      </c>
      <c r="P38" s="518">
        <f t="shared" si="6"/>
        <v>40.866478499999999</v>
      </c>
      <c r="Q38" s="518">
        <f t="shared" si="6"/>
        <v>41.906878499999998</v>
      </c>
      <c r="R38" s="519">
        <f t="shared" si="6"/>
        <v>42.999298500000002</v>
      </c>
      <c r="S38" s="517">
        <f t="shared" si="6"/>
        <v>44.143738499999998</v>
      </c>
      <c r="T38" s="518">
        <f t="shared" si="6"/>
        <v>45.3401985</v>
      </c>
      <c r="U38" s="518">
        <f t="shared" si="6"/>
        <v>46.5886785</v>
      </c>
      <c r="V38" s="518">
        <f t="shared" si="6"/>
        <v>47.8891785</v>
      </c>
      <c r="W38" s="518">
        <f t="shared" si="6"/>
        <v>49.086407962500004</v>
      </c>
      <c r="X38" s="518">
        <f t="shared" si="6"/>
        <v>50.313568161562493</v>
      </c>
      <c r="Y38" s="518">
        <f t="shared" si="6"/>
        <v>22.888800000000003</v>
      </c>
      <c r="Z38" s="518">
        <f t="shared" si="6"/>
        <v>22.888800000000003</v>
      </c>
      <c r="AA38" s="518">
        <f t="shared" si="6"/>
        <v>22.888800000000003</v>
      </c>
      <c r="AB38" s="518">
        <f t="shared" si="6"/>
        <v>22.888800000000003</v>
      </c>
      <c r="AC38" s="518">
        <f t="shared" si="6"/>
        <v>22.888800000000003</v>
      </c>
      <c r="AD38" s="518">
        <f t="shared" si="6"/>
        <v>22.888800000000003</v>
      </c>
      <c r="AE38" s="518">
        <f t="shared" si="6"/>
        <v>22.888800000000003</v>
      </c>
      <c r="AF38" s="518">
        <f t="shared" si="6"/>
        <v>22.888800000000003</v>
      </c>
      <c r="AG38" s="518">
        <f t="shared" si="6"/>
        <v>22.888800000000003</v>
      </c>
      <c r="AH38" s="519">
        <f t="shared" si="6"/>
        <v>22.888800000000003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8" t="s">
        <v>411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412</v>
      </c>
      <c r="C42" s="12"/>
      <c r="D42" s="65">
        <f>Assumptions!$H$14</f>
        <v>10200</v>
      </c>
      <c r="E42" s="65">
        <f>Assumptions!$H$14</f>
        <v>10200</v>
      </c>
      <c r="F42" s="65">
        <f>Assumptions!$H$14</f>
        <v>10200</v>
      </c>
      <c r="G42" s="65">
        <f>Assumptions!$H$14</f>
        <v>10200</v>
      </c>
      <c r="H42" s="65">
        <f>Assumptions!$H$14</f>
        <v>10200</v>
      </c>
      <c r="I42" s="65">
        <f>Assumptions!$H$14</f>
        <v>10200</v>
      </c>
      <c r="J42" s="65">
        <f>Assumptions!$H$14</f>
        <v>10200</v>
      </c>
      <c r="K42" s="65">
        <f>Assumptions!$H$14</f>
        <v>10200</v>
      </c>
      <c r="L42" s="65">
        <f>Assumptions!$H$14</f>
        <v>10200</v>
      </c>
      <c r="M42" s="65">
        <f>Assumptions!$H$14</f>
        <v>10200</v>
      </c>
      <c r="N42" s="65">
        <f>Assumptions!$H$14</f>
        <v>10200</v>
      </c>
      <c r="O42" s="65">
        <f>Assumptions!$H$14</f>
        <v>10200</v>
      </c>
      <c r="P42" s="65">
        <f>Assumptions!$H$14</f>
        <v>10200</v>
      </c>
      <c r="Q42" s="65">
        <f>Assumptions!$H$14</f>
        <v>10200</v>
      </c>
      <c r="R42" s="65">
        <f>Assumptions!$H$14</f>
        <v>10200</v>
      </c>
      <c r="S42" s="65">
        <f>Assumptions!$H$14</f>
        <v>10200</v>
      </c>
      <c r="T42" s="65">
        <f>Assumptions!$H$14</f>
        <v>10200</v>
      </c>
      <c r="U42" s="65">
        <f>Assumptions!$H$14</f>
        <v>10200</v>
      </c>
      <c r="V42" s="65">
        <f>Assumptions!$H$14</f>
        <v>10200</v>
      </c>
      <c r="W42" s="65">
        <f>Assumptions!$H$14</f>
        <v>10200</v>
      </c>
      <c r="X42" s="65">
        <f>Assumptions!$H$14</f>
        <v>10200</v>
      </c>
      <c r="Y42" s="65">
        <f>Assumptions!$H$14</f>
        <v>10200</v>
      </c>
      <c r="Z42" s="65">
        <f>Assumptions!$H$14</f>
        <v>10200</v>
      </c>
      <c r="AA42" s="65">
        <f>Assumptions!$H$14</f>
        <v>10200</v>
      </c>
      <c r="AB42" s="65">
        <f>Assumptions!$H$14</f>
        <v>10200</v>
      </c>
      <c r="AC42" s="65">
        <f>Assumptions!$H$14</f>
        <v>10200</v>
      </c>
      <c r="AD42" s="65">
        <f>Assumptions!$H$14</f>
        <v>10200</v>
      </c>
      <c r="AE42" s="65">
        <f>Assumptions!$H$14</f>
        <v>10200</v>
      </c>
      <c r="AF42" s="65">
        <f>Assumptions!$H$14</f>
        <v>10200</v>
      </c>
      <c r="AG42" s="65">
        <f>Assumptions!$H$14</f>
        <v>10200</v>
      </c>
      <c r="AH42" s="65">
        <f>Assumptions!$H$14</f>
        <v>10200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414</v>
      </c>
      <c r="C43" s="12"/>
      <c r="D43" s="525">
        <v>0.02</v>
      </c>
      <c r="E43" s="525">
        <v>0.02</v>
      </c>
      <c r="F43" s="525">
        <v>0.02</v>
      </c>
      <c r="G43" s="525">
        <v>0.02</v>
      </c>
      <c r="H43" s="525">
        <v>0.02</v>
      </c>
      <c r="I43" s="525">
        <v>0.02</v>
      </c>
      <c r="J43" s="525">
        <v>0.02</v>
      </c>
      <c r="K43" s="525">
        <v>0.02</v>
      </c>
      <c r="L43" s="525">
        <v>0.02</v>
      </c>
      <c r="M43" s="525">
        <v>0.02</v>
      </c>
      <c r="N43" s="525">
        <v>0.02</v>
      </c>
      <c r="O43" s="525">
        <v>0.02</v>
      </c>
      <c r="P43" s="525">
        <v>0.02</v>
      </c>
      <c r="Q43" s="525">
        <v>0.02</v>
      </c>
      <c r="R43" s="525">
        <v>0.02</v>
      </c>
      <c r="S43" s="525">
        <v>0.02</v>
      </c>
      <c r="T43" s="525">
        <v>0.02</v>
      </c>
      <c r="U43" s="525">
        <v>0.02</v>
      </c>
      <c r="V43" s="525">
        <v>0.02</v>
      </c>
      <c r="W43" s="525">
        <v>0.02</v>
      </c>
      <c r="X43" s="525">
        <v>0.02</v>
      </c>
      <c r="Y43" s="525">
        <v>0.02</v>
      </c>
      <c r="Z43" s="525">
        <v>0.02</v>
      </c>
      <c r="AA43" s="525">
        <v>0.02</v>
      </c>
      <c r="AB43" s="525">
        <v>0.02</v>
      </c>
      <c r="AC43" s="525">
        <v>0.02</v>
      </c>
      <c r="AD43" s="525">
        <v>0.02</v>
      </c>
      <c r="AE43" s="525">
        <v>0.02</v>
      </c>
      <c r="AF43" s="525">
        <v>0.02</v>
      </c>
      <c r="AG43" s="525">
        <v>0.02</v>
      </c>
      <c r="AH43" s="525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413</v>
      </c>
      <c r="C44" s="12"/>
      <c r="D44" s="522">
        <f>D42*(1+D43)</f>
        <v>10404</v>
      </c>
      <c r="E44" s="523">
        <f t="shared" ref="E44:AH44" si="7">E42*(1+E43)</f>
        <v>10404</v>
      </c>
      <c r="F44" s="523">
        <f t="shared" si="7"/>
        <v>10404</v>
      </c>
      <c r="G44" s="523">
        <f t="shared" si="7"/>
        <v>10404</v>
      </c>
      <c r="H44" s="523">
        <f t="shared" si="7"/>
        <v>10404</v>
      </c>
      <c r="I44" s="523">
        <f t="shared" si="7"/>
        <v>10404</v>
      </c>
      <c r="J44" s="523">
        <f t="shared" si="7"/>
        <v>10404</v>
      </c>
      <c r="K44" s="523">
        <f t="shared" si="7"/>
        <v>10404</v>
      </c>
      <c r="L44" s="523">
        <f t="shared" si="7"/>
        <v>10404</v>
      </c>
      <c r="M44" s="523">
        <f t="shared" si="7"/>
        <v>10404</v>
      </c>
      <c r="N44" s="523">
        <f t="shared" si="7"/>
        <v>10404</v>
      </c>
      <c r="O44" s="523">
        <f t="shared" si="7"/>
        <v>10404</v>
      </c>
      <c r="P44" s="523">
        <f t="shared" si="7"/>
        <v>10404</v>
      </c>
      <c r="Q44" s="523">
        <f t="shared" si="7"/>
        <v>10404</v>
      </c>
      <c r="R44" s="524">
        <f t="shared" si="7"/>
        <v>10404</v>
      </c>
      <c r="S44" s="522">
        <f t="shared" si="7"/>
        <v>10404</v>
      </c>
      <c r="T44" s="523">
        <f t="shared" si="7"/>
        <v>10404</v>
      </c>
      <c r="U44" s="523">
        <f t="shared" si="7"/>
        <v>10404</v>
      </c>
      <c r="V44" s="523">
        <f t="shared" si="7"/>
        <v>10404</v>
      </c>
      <c r="W44" s="523">
        <f t="shared" si="7"/>
        <v>10404</v>
      </c>
      <c r="X44" s="523">
        <f t="shared" si="7"/>
        <v>10404</v>
      </c>
      <c r="Y44" s="523">
        <f t="shared" si="7"/>
        <v>10404</v>
      </c>
      <c r="Z44" s="523">
        <f t="shared" si="7"/>
        <v>10404</v>
      </c>
      <c r="AA44" s="523">
        <f t="shared" si="7"/>
        <v>10404</v>
      </c>
      <c r="AB44" s="523">
        <f t="shared" si="7"/>
        <v>10404</v>
      </c>
      <c r="AC44" s="523">
        <f t="shared" si="7"/>
        <v>10404</v>
      </c>
      <c r="AD44" s="523">
        <f t="shared" si="7"/>
        <v>10404</v>
      </c>
      <c r="AE44" s="523">
        <f t="shared" si="7"/>
        <v>10404</v>
      </c>
      <c r="AF44" s="523">
        <f t="shared" si="7"/>
        <v>10404</v>
      </c>
      <c r="AG44" s="523">
        <f t="shared" si="7"/>
        <v>10404</v>
      </c>
      <c r="AH44" s="524">
        <f t="shared" si="7"/>
        <v>10404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6"/>
      <c r="D3" s="536" t="s">
        <v>438</v>
      </c>
    </row>
    <row r="4" spans="3:9">
      <c r="C4" s="536" t="s">
        <v>188</v>
      </c>
      <c r="D4" s="536" t="s">
        <v>439</v>
      </c>
    </row>
    <row r="5" spans="3:9">
      <c r="C5" s="537">
        <v>36586</v>
      </c>
      <c r="D5" s="538">
        <v>3.1789999999999998</v>
      </c>
    </row>
    <row r="6" spans="3:9">
      <c r="C6" s="537">
        <v>36617</v>
      </c>
      <c r="D6" s="538">
        <v>3.0345</v>
      </c>
    </row>
    <row r="7" spans="3:9">
      <c r="C7" s="537">
        <v>36647</v>
      </c>
      <c r="D7" s="538">
        <v>2.8849999999999998</v>
      </c>
      <c r="H7" s="539" t="s">
        <v>23</v>
      </c>
      <c r="I7" s="539" t="s">
        <v>440</v>
      </c>
    </row>
    <row r="8" spans="3:9">
      <c r="C8" s="537">
        <v>36678</v>
      </c>
      <c r="D8" s="538">
        <v>2.8755000000000002</v>
      </c>
      <c r="G8">
        <v>1</v>
      </c>
      <c r="H8">
        <v>2001</v>
      </c>
      <c r="I8" s="538">
        <f>E26</f>
        <v>3.2287916666666665</v>
      </c>
    </row>
    <row r="9" spans="3:9">
      <c r="C9" s="537">
        <v>36708</v>
      </c>
      <c r="D9" s="538">
        <v>2.948</v>
      </c>
      <c r="G9">
        <v>2</v>
      </c>
      <c r="H9">
        <v>2002</v>
      </c>
      <c r="I9" s="538">
        <f>E38</f>
        <v>3.1855000000000007</v>
      </c>
    </row>
    <row r="10" spans="3:9">
      <c r="C10" s="537">
        <v>36739</v>
      </c>
      <c r="D10" s="538">
        <v>2.9860000000000002</v>
      </c>
      <c r="G10">
        <v>3</v>
      </c>
      <c r="H10">
        <v>2003</v>
      </c>
      <c r="I10" s="538">
        <f>E50</f>
        <v>3.1967083333333335</v>
      </c>
    </row>
    <row r="11" spans="3:9">
      <c r="C11" s="537">
        <v>36770</v>
      </c>
      <c r="D11" s="538">
        <v>2.9119999999999999</v>
      </c>
      <c r="G11">
        <v>4</v>
      </c>
      <c r="H11">
        <v>2004</v>
      </c>
      <c r="I11" s="538">
        <f>E62</f>
        <v>3.2458750000000003</v>
      </c>
    </row>
    <row r="12" spans="3:9">
      <c r="C12" s="537">
        <v>36800</v>
      </c>
      <c r="D12" s="538">
        <v>2.9530000000000003</v>
      </c>
      <c r="G12">
        <v>5</v>
      </c>
      <c r="H12">
        <v>2005</v>
      </c>
      <c r="I12" s="538">
        <f>E74</f>
        <v>3.3050416666666664</v>
      </c>
    </row>
    <row r="13" spans="3:9">
      <c r="C13" s="537">
        <v>36831</v>
      </c>
      <c r="D13" s="538">
        <v>3.4805000000000001</v>
      </c>
      <c r="G13">
        <v>6</v>
      </c>
      <c r="H13">
        <v>2006</v>
      </c>
      <c r="I13" s="538">
        <f>E86</f>
        <v>3.3679583333333336</v>
      </c>
    </row>
    <row r="14" spans="3:9">
      <c r="C14" s="537">
        <v>36861</v>
      </c>
      <c r="D14" s="538">
        <v>3.9580000000000002</v>
      </c>
      <c r="G14">
        <v>7</v>
      </c>
      <c r="H14">
        <v>2007</v>
      </c>
      <c r="I14" s="538">
        <f>E98</f>
        <v>3.4329583333333336</v>
      </c>
    </row>
    <row r="15" spans="3:9">
      <c r="C15" s="537">
        <v>36892</v>
      </c>
      <c r="D15" s="538">
        <v>4.2229999999999999</v>
      </c>
      <c r="G15">
        <v>8</v>
      </c>
      <c r="H15">
        <v>2008</v>
      </c>
      <c r="I15" s="538">
        <f>E110</f>
        <v>3.5029583333333334</v>
      </c>
    </row>
    <row r="16" spans="3:9">
      <c r="C16" s="537">
        <v>36923</v>
      </c>
      <c r="D16" s="538">
        <v>4.0955000000000004</v>
      </c>
      <c r="G16">
        <v>9</v>
      </c>
      <c r="H16">
        <v>2009</v>
      </c>
      <c r="I16" s="538">
        <f>E122</f>
        <v>3.5779583333333336</v>
      </c>
    </row>
    <row r="17" spans="3:9">
      <c r="C17" s="537">
        <v>36951</v>
      </c>
      <c r="D17" s="538">
        <v>3.5080000000000005</v>
      </c>
      <c r="G17">
        <v>10</v>
      </c>
      <c r="H17">
        <v>2010</v>
      </c>
      <c r="I17" s="538">
        <f>E134</f>
        <v>3.6579583333333332</v>
      </c>
    </row>
    <row r="18" spans="3:9">
      <c r="C18" s="537">
        <v>36982</v>
      </c>
      <c r="D18" s="538">
        <v>2.9380000000000002</v>
      </c>
      <c r="G18">
        <v>11</v>
      </c>
      <c r="H18">
        <v>2011</v>
      </c>
      <c r="I18" s="538">
        <f>E146</f>
        <v>3.7429583333333336</v>
      </c>
    </row>
    <row r="19" spans="3:9">
      <c r="C19" s="537">
        <v>37012</v>
      </c>
      <c r="D19" s="538">
        <v>2.7885</v>
      </c>
      <c r="G19">
        <v>12</v>
      </c>
      <c r="H19">
        <v>2012</v>
      </c>
      <c r="I19" s="538">
        <f>E158</f>
        <v>3.8329583333333335</v>
      </c>
    </row>
    <row r="20" spans="3:9">
      <c r="C20" s="537">
        <v>37043</v>
      </c>
      <c r="D20" s="538">
        <v>2.7905000000000002</v>
      </c>
      <c r="G20">
        <v>13</v>
      </c>
      <c r="H20">
        <v>2013</v>
      </c>
      <c r="I20" s="538">
        <f>E170</f>
        <v>3.9279583333333328</v>
      </c>
    </row>
    <row r="21" spans="3:9">
      <c r="C21" s="537">
        <v>37073</v>
      </c>
      <c r="D21" s="538">
        <v>2.8034999999999997</v>
      </c>
      <c r="G21">
        <v>14</v>
      </c>
      <c r="H21">
        <v>2014</v>
      </c>
      <c r="I21" s="538">
        <f>E182</f>
        <v>4.0279583333333333</v>
      </c>
    </row>
    <row r="22" spans="3:9">
      <c r="C22" s="537">
        <v>37104</v>
      </c>
      <c r="D22" s="538">
        <v>2.8405</v>
      </c>
      <c r="G22">
        <v>15</v>
      </c>
      <c r="H22">
        <v>2015</v>
      </c>
      <c r="I22" s="538">
        <f>E194</f>
        <v>4.1329583333333337</v>
      </c>
    </row>
    <row r="23" spans="3:9">
      <c r="C23" s="537">
        <v>37135</v>
      </c>
      <c r="D23" s="538">
        <v>2.8134999999999999</v>
      </c>
      <c r="G23">
        <v>16</v>
      </c>
      <c r="H23">
        <v>2016</v>
      </c>
      <c r="I23" s="538">
        <f>E206</f>
        <v>4.2429583333333332</v>
      </c>
    </row>
    <row r="24" spans="3:9">
      <c r="C24" s="537">
        <v>37165</v>
      </c>
      <c r="D24" s="538">
        <v>2.8479999999999999</v>
      </c>
      <c r="G24">
        <v>17</v>
      </c>
      <c r="H24">
        <v>2017</v>
      </c>
      <c r="I24" s="538">
        <f>E218</f>
        <v>4.3579583333333334</v>
      </c>
    </row>
    <row r="25" spans="3:9">
      <c r="C25" s="537">
        <v>37196</v>
      </c>
      <c r="D25" s="538">
        <v>3.3245</v>
      </c>
      <c r="G25">
        <v>18</v>
      </c>
      <c r="H25">
        <v>2018</v>
      </c>
      <c r="I25" s="538">
        <f>E230</f>
        <v>4.4779583333333335</v>
      </c>
    </row>
    <row r="26" spans="3:9">
      <c r="C26" s="537">
        <v>37226</v>
      </c>
      <c r="D26" s="538">
        <v>3.7720000000000002</v>
      </c>
      <c r="E26" s="538">
        <f>AVERAGE(D15:D26)</f>
        <v>3.2287916666666665</v>
      </c>
      <c r="G26">
        <v>19</v>
      </c>
      <c r="H26">
        <v>2019</v>
      </c>
      <c r="I26" s="538">
        <f>E242</f>
        <v>4.6029583333333335</v>
      </c>
    </row>
    <row r="27" spans="3:9">
      <c r="C27" s="537">
        <v>37257</v>
      </c>
      <c r="D27" s="538">
        <v>4.2</v>
      </c>
      <c r="G27">
        <v>20</v>
      </c>
      <c r="H27">
        <v>2020</v>
      </c>
      <c r="I27" s="538">
        <f>I26*(1+0.025)</f>
        <v>4.7180322916666668</v>
      </c>
    </row>
    <row r="28" spans="3:9">
      <c r="C28" s="537">
        <v>37288</v>
      </c>
      <c r="D28" s="538">
        <v>3.9950000000000001</v>
      </c>
      <c r="G28">
        <v>21</v>
      </c>
      <c r="H28">
        <v>2021</v>
      </c>
      <c r="I28" s="538">
        <f>I27*(1+0.025)</f>
        <v>4.8359830989583328</v>
      </c>
    </row>
    <row r="29" spans="3:9">
      <c r="C29" s="537">
        <v>37316</v>
      </c>
      <c r="D29" s="538">
        <v>3.3730000000000002</v>
      </c>
    </row>
    <row r="30" spans="3:9">
      <c r="C30" s="537">
        <v>37347</v>
      </c>
      <c r="D30" s="538">
        <v>2.9039999999999999</v>
      </c>
    </row>
    <row r="31" spans="3:9">
      <c r="C31" s="537">
        <v>37377</v>
      </c>
      <c r="D31" s="538">
        <v>2.7774999999999999</v>
      </c>
    </row>
    <row r="32" spans="3:9">
      <c r="C32" s="537">
        <v>37408</v>
      </c>
      <c r="D32" s="538">
        <v>2.7795000000000001</v>
      </c>
    </row>
    <row r="33" spans="3:5">
      <c r="C33" s="537">
        <v>37438</v>
      </c>
      <c r="D33" s="538">
        <v>2.7864999999999998</v>
      </c>
    </row>
    <row r="34" spans="3:5">
      <c r="C34" s="537">
        <v>37469</v>
      </c>
      <c r="D34" s="538">
        <v>2.8275000000000001</v>
      </c>
    </row>
    <row r="35" spans="3:5">
      <c r="C35" s="537">
        <v>37500</v>
      </c>
      <c r="D35" s="538">
        <v>2.7995000000000001</v>
      </c>
    </row>
    <row r="36" spans="3:5">
      <c r="C36" s="537">
        <v>37530</v>
      </c>
      <c r="D36" s="538">
        <v>2.8330000000000002</v>
      </c>
    </row>
    <row r="37" spans="3:5">
      <c r="C37" s="537">
        <v>37561</v>
      </c>
      <c r="D37" s="538">
        <v>3.2790000000000004</v>
      </c>
    </row>
    <row r="38" spans="3:5">
      <c r="C38" s="537">
        <v>37591</v>
      </c>
      <c r="D38" s="538">
        <v>3.6715000000000009</v>
      </c>
      <c r="E38" s="538">
        <f>AVERAGE(D27:D38)</f>
        <v>3.1855000000000007</v>
      </c>
    </row>
    <row r="39" spans="3:5">
      <c r="C39" s="537">
        <v>37622</v>
      </c>
      <c r="D39" s="538">
        <v>4.1025</v>
      </c>
    </row>
    <row r="40" spans="3:5">
      <c r="C40" s="537">
        <v>37653</v>
      </c>
      <c r="D40" s="538">
        <v>3.9045000000000001</v>
      </c>
    </row>
    <row r="41" spans="3:5">
      <c r="C41" s="537">
        <v>37681</v>
      </c>
      <c r="D41" s="538">
        <v>3.3654999999999999</v>
      </c>
    </row>
    <row r="42" spans="3:5">
      <c r="C42" s="537">
        <v>37712</v>
      </c>
      <c r="D42" s="538">
        <v>2.9390000000000001</v>
      </c>
    </row>
    <row r="43" spans="3:5">
      <c r="C43" s="537">
        <v>37742</v>
      </c>
      <c r="D43" s="538">
        <v>2.8125</v>
      </c>
    </row>
    <row r="44" spans="3:5">
      <c r="C44" s="537">
        <v>37773</v>
      </c>
      <c r="D44" s="538">
        <v>2.8145000000000002</v>
      </c>
    </row>
    <row r="45" spans="3:5">
      <c r="C45" s="537">
        <v>37803</v>
      </c>
      <c r="D45" s="538">
        <v>2.8214999999999999</v>
      </c>
    </row>
    <row r="46" spans="3:5">
      <c r="C46" s="537">
        <v>37834</v>
      </c>
      <c r="D46" s="538">
        <v>2.8624999999999998</v>
      </c>
    </row>
    <row r="47" spans="3:5">
      <c r="C47" s="537">
        <v>37865</v>
      </c>
      <c r="D47" s="538">
        <v>2.8344999999999998</v>
      </c>
    </row>
    <row r="48" spans="3:5">
      <c r="C48" s="537">
        <v>37895</v>
      </c>
      <c r="D48" s="538">
        <v>2.8679999999999999</v>
      </c>
    </row>
    <row r="49" spans="3:5">
      <c r="C49" s="537">
        <v>37926</v>
      </c>
      <c r="D49" s="538">
        <v>3.319</v>
      </c>
    </row>
    <row r="50" spans="3:5">
      <c r="C50" s="537">
        <v>37956</v>
      </c>
      <c r="D50" s="538">
        <v>3.7165000000000008</v>
      </c>
      <c r="E50" s="538">
        <f>AVERAGE(D39:D50)</f>
        <v>3.1967083333333335</v>
      </c>
    </row>
    <row r="51" spans="3:5">
      <c r="C51" s="537">
        <v>37987</v>
      </c>
      <c r="D51" s="538">
        <v>4.1624999999999996</v>
      </c>
    </row>
    <row r="52" spans="3:5">
      <c r="C52" s="537">
        <v>38018</v>
      </c>
      <c r="D52" s="538">
        <v>3.9645000000000001</v>
      </c>
    </row>
    <row r="53" spans="3:5">
      <c r="C53" s="537">
        <v>38047</v>
      </c>
      <c r="D53" s="538">
        <v>3.4154999999999998</v>
      </c>
    </row>
    <row r="54" spans="3:5">
      <c r="C54" s="537">
        <v>38078</v>
      </c>
      <c r="D54" s="538">
        <v>2.9839999999999995</v>
      </c>
    </row>
    <row r="55" spans="3:5">
      <c r="C55" s="537">
        <v>38108</v>
      </c>
      <c r="D55" s="538">
        <v>2.8574999999999999</v>
      </c>
    </row>
    <row r="56" spans="3:5">
      <c r="C56" s="537">
        <v>38139</v>
      </c>
      <c r="D56" s="538">
        <v>2.8594999999999997</v>
      </c>
    </row>
    <row r="57" spans="3:5">
      <c r="C57" s="537">
        <v>38169</v>
      </c>
      <c r="D57" s="538">
        <v>2.8664999999999998</v>
      </c>
    </row>
    <row r="58" spans="3:5">
      <c r="C58" s="537">
        <v>38200</v>
      </c>
      <c r="D58" s="538">
        <v>2.9075000000000002</v>
      </c>
    </row>
    <row r="59" spans="3:5">
      <c r="C59" s="537">
        <v>38231</v>
      </c>
      <c r="D59" s="538">
        <v>2.8794999999999997</v>
      </c>
    </row>
    <row r="60" spans="3:5">
      <c r="C60" s="537">
        <v>38261</v>
      </c>
      <c r="D60" s="538">
        <v>2.9130000000000003</v>
      </c>
    </row>
    <row r="61" spans="3:5">
      <c r="C61" s="537">
        <v>38292</v>
      </c>
      <c r="D61" s="538">
        <v>3.3690000000000007</v>
      </c>
    </row>
    <row r="62" spans="3:5">
      <c r="C62" s="537">
        <v>38322</v>
      </c>
      <c r="D62" s="538">
        <v>3.7715000000000005</v>
      </c>
      <c r="E62" s="538">
        <f>AVERAGE(D51:D62)</f>
        <v>3.2458750000000003</v>
      </c>
    </row>
    <row r="63" spans="3:5">
      <c r="C63" s="537">
        <v>38353</v>
      </c>
      <c r="D63" s="538">
        <v>4.2324999999999999</v>
      </c>
    </row>
    <row r="64" spans="3:5">
      <c r="C64" s="537">
        <v>38384</v>
      </c>
      <c r="D64" s="538">
        <v>4.0344999999999995</v>
      </c>
    </row>
    <row r="65" spans="3:5">
      <c r="C65" s="537">
        <v>38412</v>
      </c>
      <c r="D65" s="538">
        <v>3.4755000000000003</v>
      </c>
    </row>
    <row r="66" spans="3:5">
      <c r="C66" s="537">
        <v>38443</v>
      </c>
      <c r="D66" s="538">
        <v>3.0389999999999997</v>
      </c>
    </row>
    <row r="67" spans="3:5">
      <c r="C67" s="537">
        <v>38473</v>
      </c>
      <c r="D67" s="538">
        <v>2.9125000000000001</v>
      </c>
    </row>
    <row r="68" spans="3:5">
      <c r="C68" s="537">
        <v>38504</v>
      </c>
      <c r="D68" s="538">
        <v>2.9144999999999999</v>
      </c>
    </row>
    <row r="69" spans="3:5">
      <c r="C69" s="537">
        <v>38534</v>
      </c>
      <c r="D69" s="538">
        <v>2.9214999999999995</v>
      </c>
    </row>
    <row r="70" spans="3:5">
      <c r="C70" s="537">
        <v>38565</v>
      </c>
      <c r="D70" s="538">
        <v>2.9624999999999999</v>
      </c>
    </row>
    <row r="71" spans="3:5">
      <c r="C71" s="537">
        <v>38596</v>
      </c>
      <c r="D71" s="538">
        <v>2.9344999999999999</v>
      </c>
    </row>
    <row r="72" spans="3:5">
      <c r="C72" s="537">
        <v>38626</v>
      </c>
      <c r="D72" s="538">
        <v>2.968</v>
      </c>
    </row>
    <row r="73" spans="3:5">
      <c r="C73" s="537">
        <v>38657</v>
      </c>
      <c r="D73" s="538">
        <v>3.4290000000000003</v>
      </c>
    </row>
    <row r="74" spans="3:5">
      <c r="C74" s="537">
        <v>38687</v>
      </c>
      <c r="D74" s="538">
        <v>3.8365000000000005</v>
      </c>
      <c r="E74" s="538">
        <f>AVERAGE(D63:D74)</f>
        <v>3.3050416666666664</v>
      </c>
    </row>
    <row r="75" spans="3:5">
      <c r="C75" s="537">
        <v>38718</v>
      </c>
      <c r="D75" s="538">
        <v>4.3075000000000001</v>
      </c>
    </row>
    <row r="76" spans="3:5">
      <c r="C76" s="537">
        <v>38749</v>
      </c>
      <c r="D76" s="538">
        <v>4.1094999999999997</v>
      </c>
    </row>
    <row r="77" spans="3:5">
      <c r="C77" s="537">
        <v>38777</v>
      </c>
      <c r="D77" s="538">
        <v>3.5405000000000002</v>
      </c>
    </row>
    <row r="78" spans="3:5">
      <c r="C78" s="537">
        <v>38808</v>
      </c>
      <c r="D78" s="538">
        <v>3.0989999999999998</v>
      </c>
    </row>
    <row r="79" spans="3:5">
      <c r="C79" s="537">
        <v>38838</v>
      </c>
      <c r="D79" s="538">
        <v>2.9725000000000001</v>
      </c>
    </row>
    <row r="80" spans="3:5">
      <c r="C80" s="537">
        <v>38869</v>
      </c>
      <c r="D80" s="538">
        <v>2.9744999999999999</v>
      </c>
    </row>
    <row r="81" spans="3:5">
      <c r="C81" s="537">
        <v>38899</v>
      </c>
      <c r="D81" s="538">
        <v>2.9814999999999996</v>
      </c>
    </row>
    <row r="82" spans="3:5">
      <c r="C82" s="537">
        <v>38930</v>
      </c>
      <c r="D82" s="538">
        <v>3.0225</v>
      </c>
    </row>
    <row r="83" spans="3:5">
      <c r="C83" s="537">
        <v>38961</v>
      </c>
      <c r="D83" s="538">
        <v>2.9944999999999999</v>
      </c>
    </row>
    <row r="84" spans="3:5">
      <c r="C84" s="537">
        <v>38991</v>
      </c>
      <c r="D84" s="538">
        <v>3.028</v>
      </c>
    </row>
    <row r="85" spans="3:5">
      <c r="C85" s="537">
        <v>39022</v>
      </c>
      <c r="D85" s="538">
        <v>3.4890000000000003</v>
      </c>
    </row>
    <row r="86" spans="3:5">
      <c r="C86" s="537">
        <v>39052</v>
      </c>
      <c r="D86" s="538">
        <v>3.8965000000000005</v>
      </c>
      <c r="E86" s="538">
        <f>AVERAGE(D75:D86)</f>
        <v>3.3679583333333336</v>
      </c>
    </row>
    <row r="87" spans="3:5">
      <c r="C87" s="537">
        <v>39083</v>
      </c>
      <c r="D87" s="538">
        <v>4.3724999999999996</v>
      </c>
    </row>
    <row r="88" spans="3:5">
      <c r="C88" s="537">
        <v>39114</v>
      </c>
      <c r="D88" s="538">
        <v>4.1744999999999992</v>
      </c>
    </row>
    <row r="89" spans="3:5">
      <c r="C89" s="537">
        <v>39142</v>
      </c>
      <c r="D89" s="538">
        <v>3.6055000000000001</v>
      </c>
    </row>
    <row r="90" spans="3:5">
      <c r="C90" s="537">
        <v>39173</v>
      </c>
      <c r="D90" s="538">
        <v>3.1640000000000001</v>
      </c>
    </row>
    <row r="91" spans="3:5">
      <c r="C91" s="537">
        <v>39203</v>
      </c>
      <c r="D91" s="538">
        <v>3.0375000000000001</v>
      </c>
    </row>
    <row r="92" spans="3:5">
      <c r="C92" s="537">
        <v>39234</v>
      </c>
      <c r="D92" s="538">
        <v>3.0394999999999999</v>
      </c>
    </row>
    <row r="93" spans="3:5">
      <c r="C93" s="537">
        <v>39264</v>
      </c>
      <c r="D93" s="538">
        <v>3.0465000000000004</v>
      </c>
    </row>
    <row r="94" spans="3:5">
      <c r="C94" s="537">
        <v>39295</v>
      </c>
      <c r="D94" s="538">
        <v>3.0874999999999999</v>
      </c>
    </row>
    <row r="95" spans="3:5">
      <c r="C95" s="537">
        <v>39326</v>
      </c>
      <c r="D95" s="538">
        <v>3.0594999999999999</v>
      </c>
    </row>
    <row r="96" spans="3:5">
      <c r="C96" s="537">
        <v>39356</v>
      </c>
      <c r="D96" s="538">
        <v>3.093</v>
      </c>
    </row>
    <row r="97" spans="3:5">
      <c r="C97" s="537">
        <v>39387</v>
      </c>
      <c r="D97" s="538">
        <v>3.5540000000000003</v>
      </c>
    </row>
    <row r="98" spans="3:5">
      <c r="C98" s="537">
        <v>39417</v>
      </c>
      <c r="D98" s="538">
        <v>3.9615000000000009</v>
      </c>
      <c r="E98" s="538">
        <f>AVERAGE(D87:D98)</f>
        <v>3.4329583333333336</v>
      </c>
    </row>
    <row r="99" spans="3:5">
      <c r="C99" s="537">
        <v>39448</v>
      </c>
      <c r="D99" s="538">
        <v>4.4424999999999999</v>
      </c>
    </row>
    <row r="100" spans="3:5">
      <c r="C100" s="537">
        <v>39479</v>
      </c>
      <c r="D100" s="538">
        <v>4.2444999999999995</v>
      </c>
    </row>
    <row r="101" spans="3:5">
      <c r="C101" s="537">
        <v>39508</v>
      </c>
      <c r="D101" s="538">
        <v>3.6755</v>
      </c>
    </row>
    <row r="102" spans="3:5">
      <c r="C102" s="537">
        <v>39539</v>
      </c>
      <c r="D102" s="538">
        <v>3.2340000000000004</v>
      </c>
    </row>
    <row r="103" spans="3:5">
      <c r="C103" s="537">
        <v>39569</v>
      </c>
      <c r="D103" s="538">
        <v>3.1074999999999999</v>
      </c>
    </row>
    <row r="104" spans="3:5">
      <c r="C104" s="537">
        <v>39600</v>
      </c>
      <c r="D104" s="538">
        <v>3.1094999999999997</v>
      </c>
    </row>
    <row r="105" spans="3:5">
      <c r="C105" s="537">
        <v>39630</v>
      </c>
      <c r="D105" s="538">
        <v>3.1165000000000003</v>
      </c>
    </row>
    <row r="106" spans="3:5">
      <c r="C106" s="537">
        <v>39661</v>
      </c>
      <c r="D106" s="538">
        <v>3.1575000000000002</v>
      </c>
    </row>
    <row r="107" spans="3:5">
      <c r="C107" s="537">
        <v>39692</v>
      </c>
      <c r="D107" s="538">
        <v>3.1294999999999997</v>
      </c>
    </row>
    <row r="108" spans="3:5">
      <c r="C108" s="537">
        <v>39722</v>
      </c>
      <c r="D108" s="538">
        <v>3.1630000000000003</v>
      </c>
    </row>
    <row r="109" spans="3:5">
      <c r="C109" s="537">
        <v>39753</v>
      </c>
      <c r="D109" s="538">
        <v>3.6240000000000006</v>
      </c>
    </row>
    <row r="110" spans="3:5">
      <c r="C110" s="537">
        <v>39783</v>
      </c>
      <c r="D110" s="538">
        <v>4.0315000000000003</v>
      </c>
      <c r="E110" s="538">
        <f>AVERAGE(D99:D110)</f>
        <v>3.5029583333333334</v>
      </c>
    </row>
    <row r="111" spans="3:5">
      <c r="C111" s="537">
        <v>39814</v>
      </c>
      <c r="D111" s="538">
        <v>4.5175000000000001</v>
      </c>
    </row>
    <row r="112" spans="3:5">
      <c r="C112" s="537">
        <v>39845</v>
      </c>
      <c r="D112" s="538">
        <v>4.3194999999999997</v>
      </c>
    </row>
    <row r="113" spans="3:5">
      <c r="C113" s="537">
        <v>39873</v>
      </c>
      <c r="D113" s="538">
        <v>3.7505000000000002</v>
      </c>
    </row>
    <row r="114" spans="3:5">
      <c r="C114" s="537">
        <v>39904</v>
      </c>
      <c r="D114" s="538">
        <v>3.3090000000000002</v>
      </c>
    </row>
    <row r="115" spans="3:5">
      <c r="C115" s="537">
        <v>39934</v>
      </c>
      <c r="D115" s="538">
        <v>3.1825000000000001</v>
      </c>
    </row>
    <row r="116" spans="3:5">
      <c r="C116" s="537">
        <v>39965</v>
      </c>
      <c r="D116" s="538">
        <v>3.1844999999999999</v>
      </c>
    </row>
    <row r="117" spans="3:5">
      <c r="C117" s="537">
        <v>39995</v>
      </c>
      <c r="D117" s="538">
        <v>3.1915000000000004</v>
      </c>
    </row>
    <row r="118" spans="3:5">
      <c r="C118" s="537">
        <v>40026</v>
      </c>
      <c r="D118" s="538">
        <v>3.2324999999999999</v>
      </c>
    </row>
    <row r="119" spans="3:5">
      <c r="C119" s="537">
        <v>40057</v>
      </c>
      <c r="D119" s="538">
        <v>3.2044999999999999</v>
      </c>
    </row>
    <row r="120" spans="3:5">
      <c r="C120" s="537">
        <v>40087</v>
      </c>
      <c r="D120" s="538">
        <v>3.238</v>
      </c>
    </row>
    <row r="121" spans="3:5">
      <c r="C121" s="537">
        <v>40118</v>
      </c>
      <c r="D121" s="538">
        <v>3.6990000000000003</v>
      </c>
    </row>
    <row r="122" spans="3:5">
      <c r="C122" s="537">
        <v>40148</v>
      </c>
      <c r="D122" s="538">
        <v>4.1065000000000005</v>
      </c>
      <c r="E122" s="538">
        <f>AVERAGE(D111:D122)</f>
        <v>3.5779583333333336</v>
      </c>
    </row>
    <row r="123" spans="3:5">
      <c r="C123" s="537">
        <v>40179</v>
      </c>
      <c r="D123" s="538">
        <v>4.5975000000000001</v>
      </c>
    </row>
    <row r="124" spans="3:5">
      <c r="C124" s="537">
        <v>40210</v>
      </c>
      <c r="D124" s="538">
        <v>4.3994999999999997</v>
      </c>
    </row>
    <row r="125" spans="3:5">
      <c r="C125" s="537">
        <v>40238</v>
      </c>
      <c r="D125" s="538">
        <v>3.8305000000000002</v>
      </c>
    </row>
    <row r="126" spans="3:5">
      <c r="C126" s="537">
        <v>40269</v>
      </c>
      <c r="D126" s="538">
        <v>3.3890000000000002</v>
      </c>
    </row>
    <row r="127" spans="3:5">
      <c r="C127" s="537">
        <v>40299</v>
      </c>
      <c r="D127" s="538">
        <v>3.2625000000000002</v>
      </c>
    </row>
    <row r="128" spans="3:5">
      <c r="C128" s="537">
        <v>40330</v>
      </c>
      <c r="D128" s="538">
        <v>3.2645</v>
      </c>
    </row>
    <row r="129" spans="3:5">
      <c r="C129" s="537">
        <v>40360</v>
      </c>
      <c r="D129" s="538">
        <v>3.2715000000000001</v>
      </c>
    </row>
    <row r="130" spans="3:5">
      <c r="C130" s="537">
        <v>40391</v>
      </c>
      <c r="D130" s="538">
        <v>3.3125</v>
      </c>
    </row>
    <row r="131" spans="3:5">
      <c r="C131" s="537">
        <v>40422</v>
      </c>
      <c r="D131" s="538">
        <v>3.2845</v>
      </c>
    </row>
    <row r="132" spans="3:5">
      <c r="C132" s="537">
        <v>40452</v>
      </c>
      <c r="D132" s="538">
        <v>3.3180000000000001</v>
      </c>
    </row>
    <row r="133" spans="3:5">
      <c r="C133" s="537">
        <v>40483</v>
      </c>
      <c r="D133" s="538">
        <v>3.7790000000000004</v>
      </c>
    </row>
    <row r="134" spans="3:5">
      <c r="C134" s="537">
        <v>40513</v>
      </c>
      <c r="D134" s="538">
        <v>4.1865000000000006</v>
      </c>
      <c r="E134" s="538">
        <f>AVERAGE(D123:D134)</f>
        <v>3.6579583333333332</v>
      </c>
    </row>
    <row r="135" spans="3:5">
      <c r="C135" s="537">
        <v>40544</v>
      </c>
      <c r="D135" s="538">
        <v>4.6825000000000001</v>
      </c>
    </row>
    <row r="136" spans="3:5">
      <c r="C136" s="537">
        <v>40575</v>
      </c>
      <c r="D136" s="538">
        <v>4.4844999999999997</v>
      </c>
    </row>
    <row r="137" spans="3:5">
      <c r="C137" s="537">
        <v>40603</v>
      </c>
      <c r="D137" s="538">
        <v>3.9155000000000002</v>
      </c>
    </row>
    <row r="138" spans="3:5">
      <c r="C138" s="537">
        <v>40634</v>
      </c>
      <c r="D138" s="538">
        <v>3.4740000000000002</v>
      </c>
    </row>
    <row r="139" spans="3:5">
      <c r="C139" s="537">
        <v>40664</v>
      </c>
      <c r="D139" s="538">
        <v>3.3475000000000001</v>
      </c>
    </row>
    <row r="140" spans="3:5">
      <c r="C140" s="537">
        <v>40695</v>
      </c>
      <c r="D140" s="538">
        <v>3.3494999999999999</v>
      </c>
    </row>
    <row r="141" spans="3:5">
      <c r="C141" s="537">
        <v>40725</v>
      </c>
      <c r="D141" s="538">
        <v>3.3565000000000005</v>
      </c>
    </row>
    <row r="142" spans="3:5">
      <c r="C142" s="537">
        <v>40756</v>
      </c>
      <c r="D142" s="538">
        <v>3.3975</v>
      </c>
    </row>
    <row r="143" spans="3:5">
      <c r="C143" s="537">
        <v>40787</v>
      </c>
      <c r="D143" s="538">
        <v>3.3694999999999999</v>
      </c>
    </row>
    <row r="144" spans="3:5">
      <c r="C144" s="537">
        <v>40817</v>
      </c>
      <c r="D144" s="538">
        <v>3.403</v>
      </c>
    </row>
    <row r="145" spans="3:5">
      <c r="C145" s="537">
        <v>40848</v>
      </c>
      <c r="D145" s="538">
        <v>3.8640000000000003</v>
      </c>
    </row>
    <row r="146" spans="3:5">
      <c r="C146" s="537">
        <v>40878</v>
      </c>
      <c r="D146" s="538">
        <v>4.2715000000000005</v>
      </c>
      <c r="E146" s="538">
        <f>AVERAGE(D135:D146)</f>
        <v>3.7429583333333336</v>
      </c>
    </row>
    <row r="147" spans="3:5">
      <c r="C147" s="537">
        <v>40909</v>
      </c>
      <c r="D147" s="538">
        <v>4.7725</v>
      </c>
    </row>
    <row r="148" spans="3:5">
      <c r="C148" s="537">
        <v>40940</v>
      </c>
      <c r="D148" s="538">
        <v>4.5744999999999996</v>
      </c>
    </row>
    <row r="149" spans="3:5">
      <c r="C149" s="537">
        <v>40969</v>
      </c>
      <c r="D149" s="538">
        <v>4.0054999999999996</v>
      </c>
    </row>
    <row r="150" spans="3:5">
      <c r="C150" s="537">
        <v>41000</v>
      </c>
      <c r="D150" s="538">
        <v>3.5640000000000005</v>
      </c>
    </row>
    <row r="151" spans="3:5">
      <c r="C151" s="537">
        <v>41030</v>
      </c>
      <c r="D151" s="538">
        <v>3.4375</v>
      </c>
    </row>
    <row r="152" spans="3:5">
      <c r="C152" s="537">
        <v>41061</v>
      </c>
      <c r="D152" s="538">
        <v>3.4394999999999998</v>
      </c>
    </row>
    <row r="153" spans="3:5">
      <c r="C153" s="537">
        <v>41091</v>
      </c>
      <c r="D153" s="538">
        <v>3.4465000000000003</v>
      </c>
    </row>
    <row r="154" spans="3:5">
      <c r="C154" s="537">
        <v>41122</v>
      </c>
      <c r="D154" s="538">
        <v>3.4874999999999998</v>
      </c>
    </row>
    <row r="155" spans="3:5">
      <c r="C155" s="537">
        <v>41153</v>
      </c>
      <c r="D155" s="538">
        <v>3.4594999999999998</v>
      </c>
    </row>
    <row r="156" spans="3:5">
      <c r="C156" s="537">
        <v>41183</v>
      </c>
      <c r="D156" s="538">
        <v>3.4929999999999999</v>
      </c>
    </row>
    <row r="157" spans="3:5">
      <c r="C157" s="537">
        <v>41214</v>
      </c>
      <c r="D157" s="538">
        <v>3.9540000000000006</v>
      </c>
    </row>
    <row r="158" spans="3:5">
      <c r="C158" s="537">
        <v>41244</v>
      </c>
      <c r="D158" s="538">
        <v>4.3615000000000004</v>
      </c>
      <c r="E158" s="538">
        <f>AVERAGE(D147:D158)</f>
        <v>3.8329583333333335</v>
      </c>
    </row>
    <row r="159" spans="3:5">
      <c r="C159" s="537">
        <v>41275</v>
      </c>
      <c r="D159" s="538">
        <v>4.8674999999999997</v>
      </c>
    </row>
    <row r="160" spans="3:5">
      <c r="C160" s="537">
        <v>41306</v>
      </c>
      <c r="D160" s="538">
        <v>4.6694999999999993</v>
      </c>
    </row>
    <row r="161" spans="3:5">
      <c r="C161" s="537">
        <v>41334</v>
      </c>
      <c r="D161" s="538">
        <v>4.1005000000000003</v>
      </c>
    </row>
    <row r="162" spans="3:5">
      <c r="C162" s="537">
        <v>41365</v>
      </c>
      <c r="D162" s="538">
        <v>3.6590000000000003</v>
      </c>
    </row>
    <row r="163" spans="3:5">
      <c r="C163" s="537">
        <v>41395</v>
      </c>
      <c r="D163" s="538">
        <v>3.5325000000000002</v>
      </c>
    </row>
    <row r="164" spans="3:5">
      <c r="C164" s="537">
        <v>41426</v>
      </c>
      <c r="D164" s="538">
        <v>3.5345</v>
      </c>
    </row>
    <row r="165" spans="3:5">
      <c r="C165" s="537">
        <v>41456</v>
      </c>
      <c r="D165" s="538">
        <v>3.5415000000000001</v>
      </c>
    </row>
    <row r="166" spans="3:5">
      <c r="C166" s="537">
        <v>41487</v>
      </c>
      <c r="D166" s="538">
        <v>3.5825</v>
      </c>
    </row>
    <row r="167" spans="3:5">
      <c r="C167" s="537">
        <v>41518</v>
      </c>
      <c r="D167" s="538">
        <v>3.5545</v>
      </c>
    </row>
    <row r="168" spans="3:5">
      <c r="C168" s="537">
        <v>41548</v>
      </c>
      <c r="D168" s="538">
        <v>3.5880000000000001</v>
      </c>
    </row>
    <row r="169" spans="3:5">
      <c r="C169" s="537">
        <v>41579</v>
      </c>
      <c r="D169" s="538">
        <v>4.0490000000000004</v>
      </c>
    </row>
    <row r="170" spans="3:5">
      <c r="C170" s="537">
        <v>41609</v>
      </c>
      <c r="D170" s="538">
        <v>4.4565000000000001</v>
      </c>
      <c r="E170" s="538">
        <f>AVERAGE(D159:D170)</f>
        <v>3.9279583333333328</v>
      </c>
    </row>
    <row r="171" spans="3:5">
      <c r="C171" s="537">
        <v>41640</v>
      </c>
      <c r="D171" s="538">
        <v>4.9675000000000002</v>
      </c>
    </row>
    <row r="172" spans="3:5">
      <c r="C172" s="537">
        <v>41671</v>
      </c>
      <c r="D172" s="538">
        <v>4.7694999999999999</v>
      </c>
    </row>
    <row r="173" spans="3:5">
      <c r="C173" s="537">
        <v>41699</v>
      </c>
      <c r="D173" s="538">
        <v>4.2005000000000008</v>
      </c>
    </row>
    <row r="174" spans="3:5">
      <c r="C174" s="537">
        <v>41730</v>
      </c>
      <c r="D174" s="538">
        <v>3.7590000000000003</v>
      </c>
    </row>
    <row r="175" spans="3:5">
      <c r="C175" s="537">
        <v>41760</v>
      </c>
      <c r="D175" s="538">
        <v>3.6324999999999998</v>
      </c>
    </row>
    <row r="176" spans="3:5">
      <c r="C176" s="537">
        <v>41791</v>
      </c>
      <c r="D176" s="538">
        <v>3.6345000000000001</v>
      </c>
    </row>
    <row r="177" spans="3:5">
      <c r="C177" s="537">
        <v>41821</v>
      </c>
      <c r="D177" s="538">
        <v>3.6415000000000002</v>
      </c>
    </row>
    <row r="178" spans="3:5">
      <c r="C178" s="537">
        <v>41852</v>
      </c>
      <c r="D178" s="538">
        <v>3.6825000000000001</v>
      </c>
    </row>
    <row r="179" spans="3:5">
      <c r="C179" s="537">
        <v>41883</v>
      </c>
      <c r="D179" s="538">
        <v>3.6545000000000001</v>
      </c>
    </row>
    <row r="180" spans="3:5">
      <c r="C180" s="537">
        <v>41913</v>
      </c>
      <c r="D180" s="538">
        <v>3.6880000000000002</v>
      </c>
    </row>
    <row r="181" spans="3:5">
      <c r="C181" s="537">
        <v>41944</v>
      </c>
      <c r="D181" s="538">
        <v>4.149</v>
      </c>
    </row>
    <row r="182" spans="3:5">
      <c r="C182" s="537">
        <v>41974</v>
      </c>
      <c r="D182" s="538">
        <v>4.5565000000000007</v>
      </c>
      <c r="E182" s="538">
        <f>AVERAGE(D171:D182)</f>
        <v>4.0279583333333333</v>
      </c>
    </row>
    <row r="183" spans="3:5">
      <c r="C183" s="537">
        <v>42005</v>
      </c>
      <c r="D183" s="538">
        <v>5.0724999999999998</v>
      </c>
    </row>
    <row r="184" spans="3:5">
      <c r="C184" s="537">
        <v>42036</v>
      </c>
      <c r="D184" s="538">
        <v>4.8744999999999994</v>
      </c>
    </row>
    <row r="185" spans="3:5">
      <c r="C185" s="537">
        <v>42064</v>
      </c>
      <c r="D185" s="538">
        <v>4.3055000000000003</v>
      </c>
    </row>
    <row r="186" spans="3:5">
      <c r="C186" s="537">
        <v>42095</v>
      </c>
      <c r="D186" s="538">
        <v>3.8640000000000003</v>
      </c>
    </row>
    <row r="187" spans="3:5">
      <c r="C187" s="537">
        <v>42125</v>
      </c>
      <c r="D187" s="538">
        <v>3.7374999999999998</v>
      </c>
    </row>
    <row r="188" spans="3:5">
      <c r="C188" s="537">
        <v>42156</v>
      </c>
      <c r="D188" s="538">
        <v>3.7395</v>
      </c>
    </row>
    <row r="189" spans="3:5">
      <c r="C189" s="537">
        <v>42186</v>
      </c>
      <c r="D189" s="538">
        <v>3.7465000000000002</v>
      </c>
    </row>
    <row r="190" spans="3:5">
      <c r="C190" s="537">
        <v>42217</v>
      </c>
      <c r="D190" s="538">
        <v>3.7875000000000001</v>
      </c>
    </row>
    <row r="191" spans="3:5">
      <c r="C191" s="537">
        <v>42248</v>
      </c>
      <c r="D191" s="538">
        <v>3.7595000000000001</v>
      </c>
    </row>
    <row r="192" spans="3:5">
      <c r="C192" s="537">
        <v>42278</v>
      </c>
      <c r="D192" s="538">
        <v>3.7930000000000001</v>
      </c>
    </row>
    <row r="193" spans="3:5">
      <c r="C193" s="537">
        <v>42309</v>
      </c>
      <c r="D193" s="538">
        <v>4.2540000000000004</v>
      </c>
    </row>
    <row r="194" spans="3:5">
      <c r="C194" s="537">
        <v>42339</v>
      </c>
      <c r="D194" s="538">
        <v>4.6615000000000002</v>
      </c>
      <c r="E194" s="538">
        <f>AVERAGE(D183:D194)</f>
        <v>4.1329583333333337</v>
      </c>
    </row>
    <row r="195" spans="3:5">
      <c r="C195" s="537">
        <v>42370</v>
      </c>
      <c r="D195" s="538">
        <v>5.1825000000000001</v>
      </c>
    </row>
    <row r="196" spans="3:5">
      <c r="C196" s="537">
        <v>42401</v>
      </c>
      <c r="D196" s="538">
        <v>4.9844999999999997</v>
      </c>
    </row>
    <row r="197" spans="3:5">
      <c r="C197" s="537">
        <v>42430</v>
      </c>
      <c r="D197" s="538">
        <v>4.4155000000000006</v>
      </c>
    </row>
    <row r="198" spans="3:5">
      <c r="C198" s="537">
        <v>42461</v>
      </c>
      <c r="D198" s="538">
        <v>3.9740000000000002</v>
      </c>
    </row>
    <row r="199" spans="3:5">
      <c r="C199" s="537">
        <v>42491</v>
      </c>
      <c r="D199" s="538">
        <v>3.8475000000000001</v>
      </c>
    </row>
    <row r="200" spans="3:5">
      <c r="C200" s="537">
        <v>42522</v>
      </c>
      <c r="D200" s="538">
        <v>3.8494999999999999</v>
      </c>
    </row>
    <row r="201" spans="3:5">
      <c r="C201" s="537">
        <v>42552</v>
      </c>
      <c r="D201" s="538">
        <v>3.8565000000000005</v>
      </c>
    </row>
    <row r="202" spans="3:5">
      <c r="C202" s="537">
        <v>42583</v>
      </c>
      <c r="D202" s="538">
        <v>3.8975</v>
      </c>
    </row>
    <row r="203" spans="3:5">
      <c r="C203" s="537">
        <v>42614</v>
      </c>
      <c r="D203" s="538">
        <v>3.8694999999999999</v>
      </c>
    </row>
    <row r="204" spans="3:5">
      <c r="C204" s="537">
        <v>42644</v>
      </c>
      <c r="D204" s="538">
        <v>3.903</v>
      </c>
    </row>
    <row r="205" spans="3:5">
      <c r="C205" s="537">
        <v>42675</v>
      </c>
      <c r="D205" s="538">
        <v>4.3639999999999999</v>
      </c>
    </row>
    <row r="206" spans="3:5">
      <c r="C206" s="537">
        <v>42705</v>
      </c>
      <c r="D206" s="538">
        <v>4.7715000000000005</v>
      </c>
      <c r="E206" s="538">
        <f>AVERAGE(D195:D206)</f>
        <v>4.2429583333333332</v>
      </c>
    </row>
    <row r="207" spans="3:5">
      <c r="C207" s="537">
        <v>42736</v>
      </c>
      <c r="D207" s="538">
        <v>5.2975000000000003</v>
      </c>
    </row>
    <row r="208" spans="3:5">
      <c r="C208" s="537">
        <v>42767</v>
      </c>
      <c r="D208" s="538">
        <v>5.0994999999999999</v>
      </c>
    </row>
    <row r="209" spans="3:5">
      <c r="C209" s="537">
        <v>42795</v>
      </c>
      <c r="D209" s="538">
        <v>4.5305000000000009</v>
      </c>
    </row>
    <row r="210" spans="3:5">
      <c r="C210" s="537">
        <v>42826</v>
      </c>
      <c r="D210" s="538">
        <v>4.0890000000000004</v>
      </c>
    </row>
    <row r="211" spans="3:5">
      <c r="C211" s="537">
        <v>42856</v>
      </c>
      <c r="D211" s="538">
        <v>3.9624999999999999</v>
      </c>
    </row>
    <row r="212" spans="3:5">
      <c r="C212" s="537">
        <v>42887</v>
      </c>
      <c r="D212" s="538">
        <v>3.9645000000000001</v>
      </c>
    </row>
    <row r="213" spans="3:5">
      <c r="C213" s="537">
        <v>42917</v>
      </c>
      <c r="D213" s="538">
        <v>3.9715000000000003</v>
      </c>
    </row>
    <row r="214" spans="3:5">
      <c r="C214" s="537">
        <v>42948</v>
      </c>
      <c r="D214" s="538">
        <v>4.0125000000000002</v>
      </c>
    </row>
    <row r="215" spans="3:5">
      <c r="C215" s="537">
        <v>42979</v>
      </c>
      <c r="D215" s="538">
        <v>3.9844999999999997</v>
      </c>
    </row>
    <row r="216" spans="3:5">
      <c r="C216" s="537">
        <v>43009</v>
      </c>
      <c r="D216" s="538">
        <v>4.0179999999999998</v>
      </c>
    </row>
    <row r="217" spans="3:5">
      <c r="C217" s="537">
        <v>43040</v>
      </c>
      <c r="D217" s="538">
        <v>4.4790000000000001</v>
      </c>
    </row>
    <row r="218" spans="3:5">
      <c r="C218" s="537">
        <v>43070</v>
      </c>
      <c r="D218" s="538">
        <v>4.8865000000000007</v>
      </c>
      <c r="E218" s="538">
        <f>AVERAGE(D207:D218)</f>
        <v>4.3579583333333334</v>
      </c>
    </row>
    <row r="219" spans="3:5">
      <c r="C219" s="537">
        <v>43101</v>
      </c>
      <c r="D219" s="538">
        <v>5.4175000000000004</v>
      </c>
    </row>
    <row r="220" spans="3:5">
      <c r="C220" s="537">
        <v>43132</v>
      </c>
      <c r="D220" s="538">
        <v>5.2194999999999991</v>
      </c>
    </row>
    <row r="221" spans="3:5">
      <c r="C221" s="537">
        <v>43160</v>
      </c>
      <c r="D221" s="538">
        <v>4.6505000000000001</v>
      </c>
    </row>
    <row r="222" spans="3:5">
      <c r="C222" s="537">
        <v>43191</v>
      </c>
      <c r="D222" s="538">
        <v>4.2090000000000005</v>
      </c>
    </row>
    <row r="223" spans="3:5">
      <c r="C223" s="537">
        <v>43221</v>
      </c>
      <c r="D223" s="538">
        <v>4.0824999999999996</v>
      </c>
    </row>
    <row r="224" spans="3:5">
      <c r="C224" s="537">
        <v>43252</v>
      </c>
      <c r="D224" s="538">
        <v>4.0844999999999994</v>
      </c>
    </row>
    <row r="225" spans="3:5">
      <c r="C225" s="537">
        <v>43282</v>
      </c>
      <c r="D225" s="538">
        <v>4.0914999999999999</v>
      </c>
    </row>
    <row r="226" spans="3:5">
      <c r="C226" s="537">
        <v>43313</v>
      </c>
      <c r="D226" s="538">
        <v>4.1325000000000003</v>
      </c>
    </row>
    <row r="227" spans="3:5">
      <c r="C227" s="537">
        <v>43344</v>
      </c>
      <c r="D227" s="538">
        <v>4.1044999999999998</v>
      </c>
    </row>
    <row r="228" spans="3:5">
      <c r="C228" s="537">
        <v>43374</v>
      </c>
      <c r="D228" s="538">
        <v>4.1379999999999999</v>
      </c>
    </row>
    <row r="229" spans="3:5">
      <c r="C229" s="537">
        <v>43405</v>
      </c>
      <c r="D229" s="538">
        <v>4.5990000000000002</v>
      </c>
    </row>
    <row r="230" spans="3:5">
      <c r="C230" s="537">
        <v>43435</v>
      </c>
      <c r="D230" s="538">
        <v>5.0065000000000008</v>
      </c>
      <c r="E230" s="538">
        <f>AVERAGE(D219:D230)</f>
        <v>4.4779583333333335</v>
      </c>
    </row>
    <row r="231" spans="3:5">
      <c r="C231" s="537">
        <v>43466</v>
      </c>
      <c r="D231" s="538">
        <v>5.5425000000000004</v>
      </c>
    </row>
    <row r="232" spans="3:5">
      <c r="C232" s="537">
        <v>43497</v>
      </c>
      <c r="D232" s="538">
        <v>5.3444999999999991</v>
      </c>
    </row>
    <row r="233" spans="3:5">
      <c r="C233" s="537">
        <v>43525</v>
      </c>
      <c r="D233" s="538">
        <v>4.7755000000000001</v>
      </c>
    </row>
    <row r="234" spans="3:5">
      <c r="C234" s="537">
        <v>43556</v>
      </c>
      <c r="D234" s="538">
        <v>4.3340000000000005</v>
      </c>
    </row>
    <row r="235" spans="3:5">
      <c r="C235" s="537">
        <v>43586</v>
      </c>
      <c r="D235" s="538">
        <v>4.2074999999999996</v>
      </c>
    </row>
    <row r="236" spans="3:5">
      <c r="C236" s="537">
        <v>43617</v>
      </c>
      <c r="D236" s="538">
        <v>4.2094999999999994</v>
      </c>
    </row>
    <row r="237" spans="3:5">
      <c r="C237" s="537">
        <v>43647</v>
      </c>
      <c r="D237" s="538">
        <v>4.2164999999999999</v>
      </c>
    </row>
    <row r="238" spans="3:5">
      <c r="C238" s="537">
        <v>43678</v>
      </c>
      <c r="D238" s="538">
        <v>4.2575000000000003</v>
      </c>
    </row>
    <row r="239" spans="3:5">
      <c r="C239" s="537">
        <v>43709</v>
      </c>
      <c r="D239" s="538">
        <v>4.2294999999999998</v>
      </c>
    </row>
    <row r="240" spans="3:5">
      <c r="C240" s="537">
        <v>43739</v>
      </c>
      <c r="D240" s="538">
        <v>4.2629999999999999</v>
      </c>
    </row>
    <row r="241" spans="3:5">
      <c r="C241" s="537">
        <v>43770</v>
      </c>
      <c r="D241" s="538">
        <v>4.7240000000000002</v>
      </c>
    </row>
    <row r="242" spans="3:5">
      <c r="C242" s="537">
        <v>43800</v>
      </c>
      <c r="D242" s="538">
        <v>5.1315000000000008</v>
      </c>
      <c r="E242" s="538">
        <f>AVERAGE(D231:D242)</f>
        <v>4.6029583333333335</v>
      </c>
    </row>
    <row r="243" spans="3:5">
      <c r="C243" s="537">
        <v>43831</v>
      </c>
      <c r="D243" s="538">
        <v>5.6725000000000003</v>
      </c>
    </row>
    <row r="244" spans="3:5">
      <c r="C244" s="537">
        <v>43862</v>
      </c>
      <c r="D244" s="538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C23" sqref="C23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3">
        <v>37256</v>
      </c>
      <c r="D8" s="373">
        <v>37621</v>
      </c>
      <c r="E8" s="373">
        <v>37986</v>
      </c>
      <c r="F8" s="373">
        <v>38352</v>
      </c>
      <c r="G8" s="373">
        <v>38717</v>
      </c>
      <c r="H8" s="373">
        <v>39082</v>
      </c>
      <c r="I8" s="373">
        <v>39447</v>
      </c>
      <c r="J8" s="373">
        <v>39813</v>
      </c>
      <c r="K8" s="373">
        <v>40178</v>
      </c>
      <c r="L8" s="373">
        <v>40543</v>
      </c>
      <c r="M8" s="373">
        <v>40908</v>
      </c>
      <c r="N8" s="373">
        <v>41274</v>
      </c>
      <c r="O8" s="373">
        <v>41639</v>
      </c>
      <c r="P8" s="373">
        <v>42004</v>
      </c>
      <c r="Q8" s="373">
        <v>42369</v>
      </c>
      <c r="R8" s="373">
        <v>42735</v>
      </c>
      <c r="S8" s="373">
        <v>43100</v>
      </c>
      <c r="T8" s="373">
        <v>43465</v>
      </c>
      <c r="U8" s="373">
        <v>43830</v>
      </c>
      <c r="V8" s="373">
        <v>44196</v>
      </c>
      <c r="W8" s="373">
        <v>44561</v>
      </c>
      <c r="X8" s="373">
        <v>44926</v>
      </c>
      <c r="Y8" s="373">
        <v>45291</v>
      </c>
      <c r="Z8" s="373">
        <v>45657</v>
      </c>
      <c r="AA8" s="373">
        <v>46022</v>
      </c>
      <c r="AB8" s="373">
        <v>46387</v>
      </c>
      <c r="AC8" s="373">
        <v>46752</v>
      </c>
      <c r="AD8" s="373">
        <v>47118</v>
      </c>
      <c r="AE8" s="373">
        <v>47483</v>
      </c>
      <c r="AF8" s="373">
        <v>47848</v>
      </c>
      <c r="AG8" s="373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6317.5</v>
      </c>
      <c r="D10" s="74">
        <f>IF(D6&lt;Assumptions!$H$19,12*'Price_Technical Assumption'!E21*Assumptions!$H$68,IF(AND(C6&lt;Assumptions!$H$19,D6&gt;Assumptions!$H$19),(1-$C$6)*12*'Price_Technical Assumption'!E21*Assumptions!$H$68,0))</f>
        <v>10830</v>
      </c>
      <c r="E10" s="74">
        <f>IF(E6&lt;Assumptions!$H$19,12*'Price_Technical Assumption'!F21*Assumptions!$H$68,IF(AND(D6&lt;Assumptions!$H$19,E6&gt;Assumptions!$H$19),(1-$C$6)*12*'Price_Technical Assumption'!F21*Assumptions!$H$68,0))</f>
        <v>10830</v>
      </c>
      <c r="F10" s="74">
        <f>IF(F6&lt;Assumptions!$H$19,12*'Price_Technical Assumption'!G21*Assumptions!$H$68,IF(AND(E6&lt;Assumptions!$H$19,F6&gt;Assumptions!$H$19),(1-$C$6)*12*'Price_Technical Assumption'!G21*Assumptions!$H$68,0))</f>
        <v>12121.877479608334</v>
      </c>
      <c r="G10" s="74">
        <f>IF(G6&lt;Assumptions!$H$19,12*'Price_Technical Assumption'!H21*Assumptions!$H$68,IF(AND(F6&lt;Assumptions!$H$19,G6&gt;Assumptions!$H$19),(1-$C$6)*12*'Price_Technical Assumption'!H21*Assumptions!$H$68,0))</f>
        <v>12995.462372902997</v>
      </c>
      <c r="H10" s="74">
        <f>IF(H6&lt;Assumptions!$H$19,12*'Price_Technical Assumption'!I21*Assumptions!$H$68,IF(AND(G6&lt;Assumptions!$H$19,H6&gt;Assumptions!$H$19),(1-$C$6)*12*'Price_Technical Assumption'!I21*Assumptions!$H$68,0))</f>
        <v>13158.45630774958</v>
      </c>
      <c r="I10" s="74">
        <f>IF(I6&lt;Assumptions!$H$19,12*'Price_Technical Assumption'!J21*Assumptions!$H$68,IF(AND(H6&lt;Assumptions!$H$19,I6&gt;Assumptions!$H$19),(1-$C$6)*12*'Price_Technical Assumption'!J21*Assumptions!$H$68,0))</f>
        <v>13319.533962551342</v>
      </c>
      <c r="J10" s="74">
        <f>IF(J6&lt;Assumptions!$H$19,12*'Price_Technical Assumption'!K21*Assumptions!$H$68,IF(AND(I6&lt;Assumptions!$H$19,J6&gt;Assumptions!$H$19),(1-$C$6)*12*'Price_Technical Assumption'!K21*Assumptions!$H$68,0))</f>
        <v>13478.433665964234</v>
      </c>
      <c r="K10" s="74">
        <f>IF(K6&lt;Assumptions!$H$19,12*'Price_Technical Assumption'!L21*Assumptions!$H$68,IF(AND(J6&lt;Assumptions!$H$19,K6&gt;Assumptions!$H$19),(1-$C$6)*12*'Price_Technical Assumption'!L21*Assumptions!$H$68,0))</f>
        <v>13882.786675943162</v>
      </c>
      <c r="L10" s="74">
        <f>IF(L6&lt;Assumptions!$H$19,12*'Price_Technical Assumption'!M21*Assumptions!$H$68,IF(AND(K6&lt;Assumptions!$H$19,L6&gt;Assumptions!$H$19),(1-$C$6)*12*'Price_Technical Assumption'!M21*Assumptions!$H$68,0))</f>
        <v>14043.926164146071</v>
      </c>
      <c r="M10" s="74">
        <f>IF(M6&lt;Assumptions!$H$19,12*'Price_Technical Assumption'!N21*Assumptions!$H$68,IF(AND(L6&lt;Assumptions!$H$19,M6&gt;Assumptions!$H$19),(1-$C$6)*12*'Price_Technical Assumption'!N21*Assumptions!$H$68,0))</f>
        <v>14465.243949070456</v>
      </c>
      <c r="N10" s="74">
        <f>IF(N6&lt;Assumptions!$H$19,12*'Price_Technical Assumption'!O21*Assumptions!$H$68,IF(AND(M6&lt;Assumptions!$H$19,N6&gt;Assumptions!$H$19),(1-$C$6)*12*'Price_Technical Assumption'!O21*Assumptions!$H$68,0))</f>
        <v>14628.306699041792</v>
      </c>
      <c r="O10" s="74">
        <f>IF(O6&lt;Assumptions!$H$19,12*'Price_Technical Assumption'!P21*Assumptions!$H$68,IF(AND(N6&lt;Assumptions!$H$19,O6&gt;Assumptions!$H$19),(1-$C$6)*12*'Price_Technical Assumption'!P21*Assumptions!$H$68,0))</f>
        <v>15067.155900013047</v>
      </c>
      <c r="P10" s="74">
        <f>IF(P6&lt;Assumptions!$H$19,12*'Price_Technical Assumption'!Q21*Assumptions!$H$68,IF(AND(O6&lt;Assumptions!$H$19,P6&gt;Assumptions!$H$19),(1-$C$6)*12*'Price_Technical Assumption'!Q21*Assumptions!$H$68,0))</f>
        <v>15231.778529290968</v>
      </c>
      <c r="Q10" s="74">
        <f>IF(Q6&lt;Assumptions!$H$19,12*'Price_Technical Assumption'!R21*Assumptions!$H$68,IF(AND(P6&lt;Assumptions!$H$19,Q6&gt;Assumptions!$H$19),(1-$C$6)*12*'Price_Technical Assumption'!R21*Assumptions!$H$68,0))</f>
        <v>15392.718076015553</v>
      </c>
      <c r="R10" s="74">
        <f>IF(R6&lt;Assumptions!$H$19,12*'Price_Technical Assumption'!S21*Assumptions!$H$68,IF(AND(Q6&lt;Assumptions!$H$19,R6&gt;Assumptions!$H$19),(1-$C$6)*12*'Price_Technical Assumption'!S21*Assumptions!$H$68,0))</f>
        <v>15549.605394867247</v>
      </c>
      <c r="S10" s="74">
        <f>IF(S6&lt;Assumptions!$H$19,12*'Price_Technical Assumption'!T21*Assumptions!$H$68,IF(AND(R6&lt;Assumptions!$H$19,S6&gt;Assumptions!$H$19),(1-$C$6)*12*'Price_Technical Assumption'!T21*Assumptions!$H$68,0))</f>
        <v>15702.052506581631</v>
      </c>
      <c r="T10" s="74">
        <f>IF(T6&lt;Assumptions!$H$19,12*'Price_Technical Assumption'!U21*Assumptions!$H$68,IF(AND(S6&lt;Assumptions!$H$19,T6&gt;Assumptions!$H$19),(1-$C$6)*12*'Price_Technical Assumption'!U21*Assumptions!$H$68,0))</f>
        <v>15849.6518001435</v>
      </c>
      <c r="U10" s="74">
        <f>IF(U6&lt;Assumptions!$H$19,12*'Price_Technical Assumption'!V21*Assumptions!$H$68,IF(AND(T6&lt;Assumptions!$H$19,U6&gt;Assumptions!$H$19),(1-$C$6)*12*'Price_Technical Assumption'!V21*Assumptions!$H$68,0))</f>
        <v>15991.975204063156</v>
      </c>
      <c r="V10" s="74">
        <f>IF(V6&lt;Assumptions!$H$19,12*'Price_Technical Assumption'!W21*Assumptions!$H$68,IF(AND(U6&lt;Assumptions!$H$19,V6&gt;Assumptions!$H$19),(1-$C$6)*12*'Price_Technical Assumption'!W21*Assumptions!$H$68,0))</f>
        <v>16128.573325597859</v>
      </c>
      <c r="W10" s="74">
        <f>IF(W6&lt;Assumptions!$H$19,12*'Price_Technical Assumption'!X21*Assumptions!$H$68,IF(AND(V6&lt;Assumptions!$H$19,W6&gt;Assumptions!$H$19),(1-$C$6)*12*'Price_Technical Assumption'!X21*Assumptions!$H$68,0))</f>
        <v>16258.97455674099</v>
      </c>
      <c r="X10" s="74">
        <f>IF(X6&lt;Assumptions!$H$19,12*'Price_Technical Assumption'!Y21*Assumptions!$H$68,IF(AND(W6&lt;Assumptions!$H$19,X6&gt;Assumptions!$H$19),(1-$C$6)*12*'Price_Technical Assumption'!Y21*Assumptions!$H$68,0))</f>
        <v>16382.684145759671</v>
      </c>
      <c r="Y10" s="74">
        <f>IF(Y6&lt;Assumptions!$H$19,12*'Price_Technical Assumption'!Z21*Assumptions!$H$68,IF(AND(X6&lt;Assumptions!$H$19,Y6&gt;Assumptions!$H$19),(1-$C$6)*12*'Price_Technical Assumption'!Z21*Assumptions!$H$68,0))</f>
        <v>16506.393734778347</v>
      </c>
      <c r="Z10" s="74">
        <f>IF(Z6&lt;Assumptions!$H$19,12*'Price_Technical Assumption'!AA21*Assumptions!$H$68,IF(AND(Y6&lt;Assumptions!$H$19,Z6&gt;Assumptions!$H$19),(1-$C$6)*12*'Price_Technical Assumption'!AA21*Assumptions!$H$68,0))</f>
        <v>16630.103323797041</v>
      </c>
      <c r="AA10" s="74">
        <f>IF(AA6&lt;Assumptions!$H$19,12*'Price_Technical Assumption'!AB21*Assumptions!$H$68,IF(AND(Z6&lt;Assumptions!$H$19,AA6&gt;Assumptions!$H$19),(1-$C$6)*12*'Price_Technical Assumption'!AB21*Assumptions!$H$68,0))</f>
        <v>16753.81291281572</v>
      </c>
      <c r="AB10" s="74">
        <f>IF(AB6&lt;Assumptions!$H$19,12*'Price_Technical Assumption'!AC21*Assumptions!$H$68,IF(AND(AA6&lt;Assumptions!$H$19,AB6&gt;Assumptions!$H$19),(1-$C$6)*12*'Price_Technical Assumption'!AC21*Assumptions!$H$68,0))</f>
        <v>16877.522501834395</v>
      </c>
      <c r="AC10" s="74">
        <f>IF(AC6&lt;Assumptions!$H$19,12*'Price_Technical Assumption'!AD21*Assumptions!$H$68,IF(AND(AB6&lt;Assumptions!$H$19,AC6&gt;Assumptions!$H$19),(1-$C$6)*12*'Price_Technical Assumption'!AD21*Assumptions!$H$68,0))</f>
        <v>17001.232090853071</v>
      </c>
      <c r="AD10" s="74">
        <f>IF(AD6&lt;Assumptions!$H$19,12*'Price_Technical Assumption'!AE21*Assumptions!$H$68,IF(AND(AC6&lt;Assumptions!$H$19,AD6&gt;Assumptions!$H$19),(1-$C$6)*12*'Price_Technical Assumption'!AE21*Assumptions!$H$68,0))</f>
        <v>17124.941679871768</v>
      </c>
      <c r="AE10" s="74">
        <f>IF(AE6&lt;Assumptions!$H$19,12*'Price_Technical Assumption'!AF21*Assumptions!$H$68,IF(AND(AD6&lt;Assumptions!$H$19,AE6&gt;Assumptions!$H$19),(1-$C$6)*12*'Price_Technical Assumption'!AF21*Assumptions!$H$68,0))</f>
        <v>17248.651268890448</v>
      </c>
      <c r="AF10" s="74">
        <f>IF(AF6&lt;Assumptions!$H$19,12*'Price_Technical Assumption'!AG21*Assumptions!$H$68,IF(AND(AE6&lt;Assumptions!$H$19,AF6&gt;Assumptions!$H$19),(1-$C$6)*12*'Price_Technical Assumption'!AG21*Assumptions!$H$68,0))</f>
        <v>17372.360857909123</v>
      </c>
      <c r="AG10" s="74">
        <f>IF(AG6&lt;Assumptions!$H$19,12*'Price_Technical Assumption'!AH21*Assumptions!$H$68,IF(AND(AF6&lt;Assumptions!$H$19,AG6&gt;Assumptions!$H$19),(1-$C$6)*12*'Price_Technical Assumption'!AH21*Assumptions!$H$68,0))</f>
        <v>7290.0293528865841</v>
      </c>
    </row>
    <row r="11" spans="1:33">
      <c r="A11" s="3" t="s">
        <v>122</v>
      </c>
      <c r="C11" s="74">
        <f>'Price_Technical Assumption'!D38*Assumptions!$H$62/1000</f>
        <v>9573.8193224999995</v>
      </c>
      <c r="D11" s="74">
        <f>'Price_Technical Assumption'!E38*Assumptions!$H$62/1000</f>
        <v>9445.4534700000022</v>
      </c>
      <c r="E11" s="74">
        <f>'Price_Technical Assumption'!F38*Assumptions!$H$62/1000</f>
        <v>9478.6877475000001</v>
      </c>
      <c r="F11" s="74">
        <f>'Price_Technical Assumption'!G38*Assumptions!$H$62/1000</f>
        <v>9624.4737974999989</v>
      </c>
      <c r="G11" s="74">
        <f>'Price_Technical Assumption'!H38*Assumptions!$H$62/1000</f>
        <v>9799.9112475000002</v>
      </c>
      <c r="H11" s="74">
        <f>'Price_Technical Assumption'!I38*Assumptions!$H$62/1000</f>
        <v>9986.4679725000005</v>
      </c>
      <c r="I11" s="74">
        <f>'Price_Technical Assumption'!J38*Assumptions!$H$62/1000</f>
        <v>10179.2020725</v>
      </c>
      <c r="J11" s="74">
        <f>'Price_Technical Assumption'!K38*Assumptions!$H$62/1000</f>
        <v>10386.761872499999</v>
      </c>
      <c r="K11" s="74">
        <f>'Price_Technical Assumption'!L38*Assumptions!$H$62/1000</f>
        <v>10609.1473725</v>
      </c>
      <c r="L11" s="74">
        <f>'Price_Technical Assumption'!M38*Assumptions!$H$62/1000</f>
        <v>10846.358572499999</v>
      </c>
      <c r="M11" s="74">
        <f>'Price_Technical Assumption'!N38*Assumptions!$H$62/1000</f>
        <v>11098.3954725</v>
      </c>
      <c r="N11" s="74">
        <f>'Price_Technical Assumption'!O38*Assumptions!$H$62/1000</f>
        <v>11365.258072499999</v>
      </c>
      <c r="O11" s="74">
        <f>'Price_Technical Assumption'!P38*Assumptions!$H$62/1000</f>
        <v>11646.946372500001</v>
      </c>
      <c r="P11" s="74">
        <f>'Price_Technical Assumption'!Q38*Assumptions!$H$62/1000</f>
        <v>11943.460372499998</v>
      </c>
      <c r="Q11" s="74">
        <f>'Price_Technical Assumption'!R38*Assumptions!$H$62/1000</f>
        <v>12254.8000725</v>
      </c>
      <c r="R11" s="74">
        <f>'Price_Technical Assumption'!S38*Assumptions!$H$62/1000</f>
        <v>12580.9654725</v>
      </c>
      <c r="S11" s="74">
        <f>'Price_Technical Assumption'!T38*Assumptions!$H$62/1000</f>
        <v>12921.956572499999</v>
      </c>
      <c r="T11" s="74">
        <f>'Price_Technical Assumption'!U38*Assumptions!$H$62/1000</f>
        <v>13277.7733725</v>
      </c>
      <c r="U11" s="74">
        <f>'Price_Technical Assumption'!V38*Assumptions!$H$62/1000</f>
        <v>13648.4158725</v>
      </c>
      <c r="V11" s="74">
        <f>'Price_Technical Assumption'!W38*Assumptions!$H$62/1000</f>
        <v>13989.626269312501</v>
      </c>
      <c r="W11" s="74">
        <f>'Price_Technical Assumption'!X38*Assumptions!$H$62/1000</f>
        <v>14339.36692604531</v>
      </c>
      <c r="X11" s="74">
        <f>'Price_Technical Assumption'!Y38*Assumptions!$H$62/1000</f>
        <v>6523.3080000000009</v>
      </c>
      <c r="Y11" s="74">
        <f>'Price_Technical Assumption'!Z38*Assumptions!$H$62/1000</f>
        <v>6523.3080000000009</v>
      </c>
      <c r="Z11" s="74">
        <f>'Price_Technical Assumption'!AA38*Assumptions!$H$62/1000</f>
        <v>6523.3080000000009</v>
      </c>
      <c r="AA11" s="74">
        <f>'Price_Technical Assumption'!AB38*Assumptions!$H$62/1000</f>
        <v>6523.3080000000009</v>
      </c>
      <c r="AB11" s="74">
        <f>'Price_Technical Assumption'!AC38*Assumptions!$H$62/1000</f>
        <v>6523.3080000000009</v>
      </c>
      <c r="AC11" s="74">
        <f>'Price_Technical Assumption'!AD38*Assumptions!$H$62/1000</f>
        <v>6523.3080000000009</v>
      </c>
      <c r="AD11" s="74">
        <f>'Price_Technical Assumption'!AE38*Assumptions!$H$62/1000</f>
        <v>6523.3080000000009</v>
      </c>
      <c r="AE11" s="74">
        <f>'Price_Technical Assumption'!AF38*Assumptions!$H$62/1000</f>
        <v>6523.3080000000009</v>
      </c>
      <c r="AF11" s="74">
        <f>'Price_Technical Assumption'!AG38*Assumptions!$H$62/1000</f>
        <v>6523.3080000000009</v>
      </c>
      <c r="AG11" s="74">
        <f>'Price_Technical Assumption'!AH38*Assumptions!$H$62/1000</f>
        <v>6523.3080000000009</v>
      </c>
    </row>
    <row r="12" spans="1:33">
      <c r="A12" s="211" t="s">
        <v>123</v>
      </c>
      <c r="C12" s="374">
        <v>0</v>
      </c>
      <c r="D12" s="374">
        <v>0</v>
      </c>
      <c r="E12" s="374">
        <v>0</v>
      </c>
      <c r="F12" s="374">
        <v>0</v>
      </c>
      <c r="G12" s="374">
        <v>0</v>
      </c>
      <c r="H12" s="374">
        <v>0</v>
      </c>
      <c r="I12" s="374">
        <v>0</v>
      </c>
      <c r="J12" s="374">
        <v>0</v>
      </c>
      <c r="K12" s="374">
        <v>0</v>
      </c>
      <c r="L12" s="374">
        <v>0</v>
      </c>
      <c r="M12" s="374">
        <v>0</v>
      </c>
      <c r="N12" s="374">
        <v>0</v>
      </c>
      <c r="O12" s="374">
        <v>0</v>
      </c>
      <c r="P12" s="374">
        <v>0</v>
      </c>
      <c r="Q12" s="374">
        <v>0</v>
      </c>
      <c r="R12" s="374">
        <v>0</v>
      </c>
      <c r="S12" s="374">
        <v>0</v>
      </c>
      <c r="T12" s="374">
        <v>0</v>
      </c>
      <c r="U12" s="374">
        <v>0</v>
      </c>
      <c r="V12" s="374">
        <v>0</v>
      </c>
      <c r="W12" s="374">
        <v>0</v>
      </c>
      <c r="X12" s="374">
        <v>0</v>
      </c>
      <c r="Y12" s="374">
        <v>0</v>
      </c>
      <c r="Z12" s="374">
        <v>0</v>
      </c>
      <c r="AA12" s="374">
        <v>0</v>
      </c>
      <c r="AB12" s="374">
        <v>0</v>
      </c>
      <c r="AC12" s="374">
        <v>0</v>
      </c>
      <c r="AD12" s="374">
        <v>0</v>
      </c>
      <c r="AE12" s="374">
        <v>0</v>
      </c>
      <c r="AF12" s="374">
        <v>0</v>
      </c>
      <c r="AG12" s="374">
        <v>0</v>
      </c>
    </row>
    <row r="13" spans="1:33">
      <c r="A13" s="174" t="s">
        <v>42</v>
      </c>
      <c r="C13" s="65">
        <f t="shared" ref="C13:AG13" si="0">SUM(C10:C12)</f>
        <v>15891.3193225</v>
      </c>
      <c r="D13" s="65">
        <f t="shared" si="0"/>
        <v>20275.45347</v>
      </c>
      <c r="E13" s="65">
        <f t="shared" si="0"/>
        <v>20308.6877475</v>
      </c>
      <c r="F13" s="65">
        <f t="shared" si="0"/>
        <v>21746.351277108333</v>
      </c>
      <c r="G13" s="65">
        <f t="shared" si="0"/>
        <v>22795.373620402999</v>
      </c>
      <c r="H13" s="65">
        <f t="shared" si="0"/>
        <v>23144.924280249579</v>
      </c>
      <c r="I13" s="65">
        <f t="shared" si="0"/>
        <v>23498.736035051341</v>
      </c>
      <c r="J13" s="65">
        <f t="shared" si="0"/>
        <v>23865.195538464235</v>
      </c>
      <c r="K13" s="65">
        <f t="shared" si="0"/>
        <v>24491.93404844316</v>
      </c>
      <c r="L13" s="65">
        <f t="shared" si="0"/>
        <v>24890.28473664607</v>
      </c>
      <c r="M13" s="65">
        <f t="shared" si="0"/>
        <v>25563.639421570457</v>
      </c>
      <c r="N13" s="65">
        <f t="shared" si="0"/>
        <v>25993.564771541791</v>
      </c>
      <c r="O13" s="65">
        <f t="shared" si="0"/>
        <v>26714.102272513046</v>
      </c>
      <c r="P13" s="65">
        <f t="shared" si="0"/>
        <v>27175.238901790966</v>
      </c>
      <c r="Q13" s="65">
        <f t="shared" si="0"/>
        <v>27647.518148515555</v>
      </c>
      <c r="R13" s="65">
        <f t="shared" si="0"/>
        <v>28130.570867367249</v>
      </c>
      <c r="S13" s="65">
        <f t="shared" si="0"/>
        <v>28624.009079081632</v>
      </c>
      <c r="T13" s="65">
        <f t="shared" si="0"/>
        <v>29127.4251726435</v>
      </c>
      <c r="U13" s="65">
        <f t="shared" si="0"/>
        <v>29640.391076563155</v>
      </c>
      <c r="V13" s="65">
        <f t="shared" si="0"/>
        <v>30118.199594910358</v>
      </c>
      <c r="W13" s="65">
        <f t="shared" si="0"/>
        <v>30598.341482786302</v>
      </c>
      <c r="X13" s="65">
        <f t="shared" si="0"/>
        <v>22905.992145759672</v>
      </c>
      <c r="Y13" s="65">
        <f t="shared" si="0"/>
        <v>23029.701734778348</v>
      </c>
      <c r="Z13" s="65">
        <f t="shared" si="0"/>
        <v>23153.411323797041</v>
      </c>
      <c r="AA13" s="65">
        <f t="shared" si="0"/>
        <v>23277.120912815721</v>
      </c>
      <c r="AB13" s="65">
        <f t="shared" si="0"/>
        <v>23400.830501834396</v>
      </c>
      <c r="AC13" s="65">
        <f t="shared" si="0"/>
        <v>23524.540090853072</v>
      </c>
      <c r="AD13" s="65">
        <f t="shared" si="0"/>
        <v>23648.249679871769</v>
      </c>
      <c r="AE13" s="65">
        <f t="shared" si="0"/>
        <v>23771.959268890449</v>
      </c>
      <c r="AF13" s="65">
        <f t="shared" si="0"/>
        <v>23895.668857909124</v>
      </c>
      <c r="AG13" s="65">
        <f t="shared" si="0"/>
        <v>13813.337352886585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9573.8193224999995</v>
      </c>
      <c r="D16" s="221">
        <f>Assumptions!$H$62*'Price_Technical Assumption'!E30*'Price_Technical Assumption'!E44/1000000</f>
        <v>9445.4534700000022</v>
      </c>
      <c r="E16" s="221">
        <f>Assumptions!$H$62*'Price_Technical Assumption'!F30*'Price_Technical Assumption'!F44/1000000</f>
        <v>9478.6877475000001</v>
      </c>
      <c r="F16" s="221">
        <f>Assumptions!$H$62*'Price_Technical Assumption'!G30*'Price_Technical Assumption'!G44/1000000</f>
        <v>9624.4737975000025</v>
      </c>
      <c r="G16" s="221">
        <f>Assumptions!$H$62*'Price_Technical Assumption'!H30*'Price_Technical Assumption'!H44/1000000</f>
        <v>9799.9112474999984</v>
      </c>
      <c r="H16" s="221">
        <f>Assumptions!$H$62*'Price_Technical Assumption'!I30*'Price_Technical Assumption'!I44/1000000</f>
        <v>9986.4679725000024</v>
      </c>
      <c r="I16" s="221">
        <f>Assumptions!$H$62*'Price_Technical Assumption'!J30*'Price_Technical Assumption'!J44/1000000</f>
        <v>10179.202072500002</v>
      </c>
      <c r="J16" s="221">
        <f>Assumptions!$H$62*'Price_Technical Assumption'!K30*'Price_Technical Assumption'!K44/1000000</f>
        <v>10386.761872499999</v>
      </c>
      <c r="K16" s="221">
        <f>Assumptions!$H$62*'Price_Technical Assumption'!L30*'Price_Technical Assumption'!L44/1000000</f>
        <v>10609.147372500001</v>
      </c>
      <c r="L16" s="221">
        <f>Assumptions!$H$62*'Price_Technical Assumption'!M30*'Price_Technical Assumption'!M44/1000000</f>
        <v>10846.358572499999</v>
      </c>
      <c r="M16" s="221">
        <f>Assumptions!$H$62*'Price_Technical Assumption'!N30*'Price_Technical Assumption'!N44/1000000</f>
        <v>11098.3954725</v>
      </c>
      <c r="N16" s="221">
        <f>Assumptions!$H$62*'Price_Technical Assumption'!O30*'Price_Technical Assumption'!O44/1000000</f>
        <v>11365.258072500001</v>
      </c>
      <c r="O16" s="221">
        <f>Assumptions!$H$62*'Price_Technical Assumption'!P30*'Price_Technical Assumption'!P44/1000000</f>
        <v>11646.946372499999</v>
      </c>
      <c r="P16" s="221">
        <f>Assumptions!$H$62*'Price_Technical Assumption'!Q30*'Price_Technical Assumption'!Q44/1000000</f>
        <v>11943.4603725</v>
      </c>
      <c r="Q16" s="221">
        <f>Assumptions!$H$62*'Price_Technical Assumption'!R30*'Price_Technical Assumption'!R44/1000000</f>
        <v>12254.8000725</v>
      </c>
      <c r="R16" s="221">
        <f>Assumptions!$H$62*'Price_Technical Assumption'!S30*'Price_Technical Assumption'!S44/1000000</f>
        <v>12580.9654725</v>
      </c>
      <c r="S16" s="221">
        <f>Assumptions!$H$62*'Price_Technical Assumption'!T30*'Price_Technical Assumption'!T44/1000000</f>
        <v>12921.956572499999</v>
      </c>
      <c r="T16" s="221">
        <f>Assumptions!$H$62*'Price_Technical Assumption'!U30*'Price_Technical Assumption'!U44/1000000</f>
        <v>13277.7733725</v>
      </c>
      <c r="U16" s="221">
        <f>Assumptions!$H$62*'Price_Technical Assumption'!V30*'Price_Technical Assumption'!V44/1000000</f>
        <v>13648.4158725</v>
      </c>
      <c r="V16" s="221">
        <f>Assumptions!$H$62*'Price_Technical Assumption'!W30*'Price_Technical Assumption'!W44/1000000</f>
        <v>13989.626269312501</v>
      </c>
      <c r="W16" s="221">
        <f>Assumptions!$H$62*'Price_Technical Assumption'!X30*'Price_Technical Assumption'!X44/1000000</f>
        <v>14339.366926045312</v>
      </c>
      <c r="X16" s="221">
        <f>Assumptions!$H$62*'Price_Technical Assumption'!Y30*'Price_Technical Assumption'!Y44/1000000</f>
        <v>6523.308</v>
      </c>
      <c r="Y16" s="221">
        <f>Assumptions!$H$62*'Price_Technical Assumption'!Z30*'Price_Technical Assumption'!Z44/1000000</f>
        <v>6523.308</v>
      </c>
      <c r="Z16" s="221">
        <f>Assumptions!$H$62*'Price_Technical Assumption'!AA30*'Price_Technical Assumption'!AA44/1000000</f>
        <v>6523.308</v>
      </c>
      <c r="AA16" s="221">
        <f>Assumptions!$H$62*'Price_Technical Assumption'!AB30*'Price_Technical Assumption'!AB44/1000000</f>
        <v>6523.308</v>
      </c>
      <c r="AB16" s="221">
        <f>Assumptions!$H$62*'Price_Technical Assumption'!AC30*'Price_Technical Assumption'!AC44/1000000</f>
        <v>6523.308</v>
      </c>
      <c r="AC16" s="221">
        <f>Assumptions!$H$62*'Price_Technical Assumption'!AD30*'Price_Technical Assumption'!AD44/1000000</f>
        <v>6523.308</v>
      </c>
      <c r="AD16" s="221">
        <f>Assumptions!$H$62*'Price_Technical Assumption'!AE30*'Price_Technical Assumption'!AE44/1000000</f>
        <v>6523.308</v>
      </c>
      <c r="AE16" s="221">
        <f>Assumptions!$H$62*'Price_Technical Assumption'!AF30*'Price_Technical Assumption'!AF44/1000000</f>
        <v>6523.308</v>
      </c>
      <c r="AF16" s="221">
        <f>Assumptions!$H$62*'Price_Technical Assumption'!AG30*'Price_Technical Assumption'!AG44/1000000</f>
        <v>6523.308</v>
      </c>
      <c r="AG16" s="221">
        <f>Assumptions!$H$62*'Price_Technical Assumption'!AH30*'Price_Technical Assumption'!AH44/1000000</f>
        <v>6523.308</v>
      </c>
    </row>
    <row r="17" spans="1:47">
      <c r="A17" s="3" t="s">
        <v>208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254</v>
      </c>
      <c r="C18" s="221">
        <f>+(Assumptions!$P$15*Assumptions!$H$62)/1000*(1+Assumptions!$N$11)^IS!C6</f>
        <v>0</v>
      </c>
      <c r="D18" s="74">
        <f>C18*(1+Assumptions!$N$11)</f>
        <v>0</v>
      </c>
      <c r="E18" s="74">
        <f>D18*(1+Assumptions!$N$11)</f>
        <v>0</v>
      </c>
      <c r="F18" s="74">
        <f>E18*(1+Assumptions!$N$11)</f>
        <v>0</v>
      </c>
      <c r="G18" s="74">
        <f>F18*(1+Assumptions!$N$11)</f>
        <v>0</v>
      </c>
      <c r="H18" s="74">
        <f>G18*(1+Assumptions!$N$11)</f>
        <v>0</v>
      </c>
      <c r="I18" s="74">
        <f>H18*(1+Assumptions!$N$11)</f>
        <v>0</v>
      </c>
      <c r="J18" s="74">
        <f>I18*(1+Assumptions!$N$11)</f>
        <v>0</v>
      </c>
      <c r="K18" s="74">
        <f>J18*(1+Assumptions!$N$11)</f>
        <v>0</v>
      </c>
      <c r="L18" s="74">
        <f>K18*(1+Assumptions!$N$11)</f>
        <v>0</v>
      </c>
      <c r="M18" s="74">
        <f>L18*(1+Assumptions!$N$11)</f>
        <v>0</v>
      </c>
      <c r="N18" s="74">
        <f>M18*(1+Assumptions!$N$11)</f>
        <v>0</v>
      </c>
      <c r="O18" s="74">
        <f>N18*(1+Assumptions!$N$11)</f>
        <v>0</v>
      </c>
      <c r="P18" s="74">
        <f>O18*(1+Assumptions!$N$11)</f>
        <v>0</v>
      </c>
      <c r="Q18" s="74">
        <f>P18*(1+Assumptions!$N$11)</f>
        <v>0</v>
      </c>
      <c r="R18" s="74">
        <f>Q18*(1+Assumptions!$N$11)</f>
        <v>0</v>
      </c>
      <c r="S18" s="74">
        <f>R18*(1+Assumptions!$N$11)</f>
        <v>0</v>
      </c>
      <c r="T18" s="74">
        <f>S18*(1+Assumptions!$N$11)</f>
        <v>0</v>
      </c>
      <c r="U18" s="74">
        <f>T18*(1+Assumptions!$N$11)</f>
        <v>0</v>
      </c>
      <c r="V18" s="74">
        <f>U18*(1+Assumptions!$N$11)</f>
        <v>0</v>
      </c>
      <c r="W18" s="74">
        <f>V18*(1+Assumptions!$N$11)</f>
        <v>0</v>
      </c>
      <c r="X18" s="74">
        <f>W18*(1+Assumptions!$N$11)</f>
        <v>0</v>
      </c>
      <c r="Y18" s="74">
        <f>X18*(1+Assumptions!$N$11)</f>
        <v>0</v>
      </c>
      <c r="Z18" s="74">
        <f>Y18*(1+Assumptions!$N$11)</f>
        <v>0</v>
      </c>
      <c r="AA18" s="74">
        <f>Z18*(1+Assumptions!$N$11)</f>
        <v>0</v>
      </c>
      <c r="AB18" s="74">
        <f>AA18*(1+Assumptions!$N$11)</f>
        <v>0</v>
      </c>
      <c r="AC18" s="74">
        <f>AB18*(1+Assumptions!$N$11)</f>
        <v>0</v>
      </c>
      <c r="AD18" s="74">
        <f>AC18*(1+Assumptions!$N$11)</f>
        <v>0</v>
      </c>
      <c r="AE18" s="74">
        <f>AD18*(1+Assumptions!$N$11)</f>
        <v>0</v>
      </c>
      <c r="AF18" s="74">
        <f>AE18*(1+Assumptions!$N$11)</f>
        <v>0</v>
      </c>
      <c r="AG18" s="74">
        <f>AF18*(1+Assumptions!$N$11)</f>
        <v>0</v>
      </c>
    </row>
    <row r="19" spans="1:47">
      <c r="A19" s="3" t="s">
        <v>255</v>
      </c>
      <c r="C19" s="74">
        <f>Assumptions!$P$16*Assumptions!$H$62/1000*(1+Assumptions!$N$11)^IS!C6</f>
        <v>0</v>
      </c>
      <c r="D19" s="74">
        <f>C19*(1+Assumptions!$N$11)</f>
        <v>0</v>
      </c>
      <c r="E19" s="74">
        <f>D19*(1+Assumptions!$N$11)</f>
        <v>0</v>
      </c>
      <c r="F19" s="74">
        <f>E19*(1+Assumptions!$N$11)</f>
        <v>0</v>
      </c>
      <c r="G19" s="74">
        <f>F19*(1+Assumptions!$N$11)</f>
        <v>0</v>
      </c>
      <c r="H19" s="74">
        <f>G19*(1+Assumptions!$N$11)</f>
        <v>0</v>
      </c>
      <c r="I19" s="74">
        <f>H19*(1+Assumptions!$N$11)</f>
        <v>0</v>
      </c>
      <c r="J19" s="74">
        <f>I19*(1+Assumptions!$N$11)</f>
        <v>0</v>
      </c>
      <c r="K19" s="74">
        <f>J19*(1+Assumptions!$N$11)</f>
        <v>0</v>
      </c>
      <c r="L19" s="74">
        <f>K19*(1+Assumptions!$N$11)</f>
        <v>0</v>
      </c>
      <c r="M19" s="74">
        <f>L19*(1+Assumptions!$N$11)</f>
        <v>0</v>
      </c>
      <c r="N19" s="74">
        <f>M19*(1+Assumptions!$N$11)</f>
        <v>0</v>
      </c>
      <c r="O19" s="74">
        <f>N19*(1+Assumptions!$N$11)</f>
        <v>0</v>
      </c>
      <c r="P19" s="74">
        <f>O19*(1+Assumptions!$N$11)</f>
        <v>0</v>
      </c>
      <c r="Q19" s="74">
        <f>P19*(1+Assumptions!$N$11)</f>
        <v>0</v>
      </c>
      <c r="R19" s="74">
        <f>Q19*(1+Assumptions!$N$11)</f>
        <v>0</v>
      </c>
      <c r="S19" s="74">
        <f>R19*(1+Assumptions!$N$11)</f>
        <v>0</v>
      </c>
      <c r="T19" s="74">
        <f>S19*(1+Assumptions!$N$11)</f>
        <v>0</v>
      </c>
      <c r="U19" s="74">
        <f>T19*(1+Assumptions!$N$11)</f>
        <v>0</v>
      </c>
      <c r="V19" s="74">
        <f>U19*(1+Assumptions!$N$11)</f>
        <v>0</v>
      </c>
      <c r="W19" s="74">
        <f>V19*(1+Assumptions!$N$11)</f>
        <v>0</v>
      </c>
      <c r="X19" s="74">
        <f>W19*(1+Assumptions!$N$11)</f>
        <v>0</v>
      </c>
      <c r="Y19" s="74">
        <f>X19*(1+Assumptions!$N$11)</f>
        <v>0</v>
      </c>
      <c r="Z19" s="74">
        <f>Y19*(1+Assumptions!$N$11)</f>
        <v>0</v>
      </c>
      <c r="AA19" s="74">
        <f>Z19*(1+Assumptions!$N$11)</f>
        <v>0</v>
      </c>
      <c r="AB19" s="74">
        <f>AA19*(1+Assumptions!$N$11)</f>
        <v>0</v>
      </c>
      <c r="AC19" s="74">
        <f>AB19*(1+Assumptions!$N$11)</f>
        <v>0</v>
      </c>
      <c r="AD19" s="74">
        <f>AC19*(1+Assumptions!$N$11)</f>
        <v>0</v>
      </c>
      <c r="AE19" s="74">
        <f>AD19*(1+Assumptions!$N$11)</f>
        <v>0</v>
      </c>
      <c r="AF19" s="74">
        <f>AE19*(1+Assumptions!$N$11)</f>
        <v>0</v>
      </c>
      <c r="AG19" s="74">
        <f>AF19*(1+Assumptions!$N$11)</f>
        <v>0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359</v>
      </c>
      <c r="C22" s="74">
        <f>+Assumptions!N22</f>
        <v>48</v>
      </c>
      <c r="D22" s="74">
        <f>+Assumptions!N22*(1+Assumptions!$N$11)</f>
        <v>49.44</v>
      </c>
      <c r="E22" s="74">
        <f>D22*(1+Assumptions!$N$11)</f>
        <v>50.923200000000001</v>
      </c>
      <c r="F22" s="74">
        <f>E22*(1+Assumptions!$N$11)</f>
        <v>52.450896</v>
      </c>
      <c r="G22" s="74">
        <f>F22*(1+Assumptions!$N$11)</f>
        <v>54.024422880000003</v>
      </c>
      <c r="H22" s="74">
        <f>G22*(1+Assumptions!$N$11)</f>
        <v>55.645155566400007</v>
      </c>
      <c r="I22" s="74">
        <f>H22*(1+Assumptions!$N$11)</f>
        <v>57.314510233392006</v>
      </c>
      <c r="J22" s="74">
        <f>I22*(1+Assumptions!$N$11)</f>
        <v>59.033945540393766</v>
      </c>
      <c r="K22" s="74">
        <f>J22*(1+Assumptions!$N$11)</f>
        <v>60.804963906605579</v>
      </c>
      <c r="L22" s="74">
        <f>K22*(1+Assumptions!$N$11)</f>
        <v>62.629112823803744</v>
      </c>
      <c r="M22" s="74">
        <f>L22*(1+Assumptions!$N$11)</f>
        <v>64.507986208517863</v>
      </c>
      <c r="N22" s="74">
        <f>M22*(1+Assumptions!$N$11)</f>
        <v>66.443225794773397</v>
      </c>
      <c r="O22" s="74">
        <f>N22*(1+Assumptions!$N$11)</f>
        <v>68.436522568616596</v>
      </c>
      <c r="P22" s="74">
        <f>O22*(1+Assumptions!$N$11)</f>
        <v>70.489618245675089</v>
      </c>
      <c r="Q22" s="74">
        <f>P22*(1+Assumptions!$N$11)</f>
        <v>72.604306793045339</v>
      </c>
      <c r="R22" s="74">
        <f>Q22*(1+Assumptions!$N$11)</f>
        <v>74.782435996836696</v>
      </c>
      <c r="S22" s="74">
        <f>R22*(1+Assumptions!$N$11)</f>
        <v>77.025909076741797</v>
      </c>
      <c r="T22" s="74">
        <f>S22*(1+Assumptions!$N$11)</f>
        <v>79.336686349044058</v>
      </c>
      <c r="U22" s="74">
        <f>T22*(1+Assumptions!$N$11)</f>
        <v>81.716786939515387</v>
      </c>
      <c r="V22" s="74">
        <f>U22*(1+Assumptions!$N$11)</f>
        <v>84.168290547700849</v>
      </c>
      <c r="W22" s="74">
        <f>V22*(1+Assumptions!$N$11)</f>
        <v>86.693339264131879</v>
      </c>
      <c r="X22" s="74">
        <f>W22*(1+Assumptions!$N$11)</f>
        <v>89.294139442055837</v>
      </c>
      <c r="Y22" s="74">
        <f>X22*(1+Assumptions!$N$11)</f>
        <v>91.972963625317519</v>
      </c>
      <c r="Z22" s="74">
        <f>Y22*(1+Assumptions!$N$11)</f>
        <v>94.732152534077045</v>
      </c>
      <c r="AA22" s="74">
        <f>Z22*(1+Assumptions!$N$11)</f>
        <v>97.574117110099365</v>
      </c>
      <c r="AB22" s="74">
        <f>AA22*(1+Assumptions!$N$11)</f>
        <v>100.50134062340234</v>
      </c>
      <c r="AC22" s="74">
        <f>AB22*(1+Assumptions!$N$11)</f>
        <v>103.51638084210441</v>
      </c>
      <c r="AD22" s="74">
        <f>AC22*(1+Assumptions!$N$11)</f>
        <v>106.62187226736755</v>
      </c>
      <c r="AE22" s="74">
        <f>AD22*(1+Assumptions!$N$11)</f>
        <v>109.82052843538858</v>
      </c>
      <c r="AF22" s="74">
        <f>AE22*(1+Assumptions!$N$11)</f>
        <v>113.11514428845024</v>
      </c>
      <c r="AG22" s="74">
        <f>AF22*(1+Assumptions!$N$11)</f>
        <v>116.50859861710374</v>
      </c>
    </row>
    <row r="23" spans="1:47" ht="14.25" customHeight="1">
      <c r="A23" s="3" t="s">
        <v>220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195">
        <v>0</v>
      </c>
      <c r="AG23" s="195">
        <v>0</v>
      </c>
    </row>
    <row r="24" spans="1:47">
      <c r="A24" s="5" t="s">
        <v>210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214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47.001048714343462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33.572177653102464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10336.153704547676</v>
      </c>
      <c r="D30" s="65">
        <f t="shared" si="1"/>
        <v>10753.786696367448</v>
      </c>
      <c r="E30" s="65">
        <f t="shared" si="1"/>
        <v>10823.853773867444</v>
      </c>
      <c r="F30" s="65">
        <f t="shared" si="1"/>
        <v>11007.57760786745</v>
      </c>
      <c r="G30" s="65">
        <f t="shared" si="1"/>
        <v>11222.090975387444</v>
      </c>
      <c r="H30" s="65">
        <f t="shared" si="1"/>
        <v>11448.895895433048</v>
      </c>
      <c r="I30" s="65">
        <f t="shared" si="1"/>
        <v>11683.085636330015</v>
      </c>
      <c r="J30" s="65">
        <f t="shared" si="1"/>
        <v>11933.344746453889</v>
      </c>
      <c r="K30" s="65">
        <f t="shared" si="1"/>
        <v>12199.710535881484</v>
      </c>
      <c r="L30" s="65">
        <f t="shared" si="1"/>
        <v>12482.221433991906</v>
      </c>
      <c r="M30" s="65">
        <f t="shared" si="1"/>
        <v>12780.91702304564</v>
      </c>
      <c r="N30" s="65">
        <f t="shared" si="1"/>
        <v>13095.838072770986</v>
      </c>
      <c r="O30" s="65">
        <f t="shared" si="1"/>
        <v>13427.026575988089</v>
      </c>
      <c r="P30" s="65">
        <f t="shared" si="1"/>
        <v>13774.525785301712</v>
      </c>
      <c r="Q30" s="65">
        <f t="shared" si="1"/>
        <v>14138.380250894741</v>
      </c>
      <c r="R30" s="65">
        <f t="shared" si="1"/>
        <v>14518.635859455559</v>
      </c>
      <c r="S30" s="65">
        <f t="shared" si="1"/>
        <v>14868.338825558858</v>
      </c>
      <c r="T30" s="65">
        <f t="shared" si="1"/>
        <v>15247.967750167929</v>
      </c>
      <c r="U30" s="65">
        <f t="shared" si="1"/>
        <v>15677.716081497969</v>
      </c>
      <c r="V30" s="65">
        <f t="shared" si="1"/>
        <v>16079.805484580407</v>
      </c>
      <c r="W30" s="65">
        <f t="shared" si="1"/>
        <v>16492.251517771252</v>
      </c>
      <c r="X30" s="65">
        <f t="shared" si="1"/>
        <v>8740.7791294777217</v>
      </c>
      <c r="Y30" s="65">
        <f t="shared" ref="Y30:AG30" si="2">SUM(Y16:Y29)</f>
        <v>8807.3032633620533</v>
      </c>
      <c r="Z30" s="65">
        <f t="shared" si="2"/>
        <v>8875.8231212629144</v>
      </c>
      <c r="AA30" s="65">
        <f t="shared" si="2"/>
        <v>8946.3985749008025</v>
      </c>
      <c r="AB30" s="65">
        <f t="shared" si="2"/>
        <v>9019.0912921478266</v>
      </c>
      <c r="AC30" s="65">
        <f t="shared" si="2"/>
        <v>9093.9647909122596</v>
      </c>
      <c r="AD30" s="65">
        <f t="shared" si="2"/>
        <v>9171.0844946396301</v>
      </c>
      <c r="AE30" s="65">
        <f t="shared" si="2"/>
        <v>9250.5177894788158</v>
      </c>
      <c r="AF30" s="65">
        <f t="shared" si="2"/>
        <v>9332.3340831631831</v>
      </c>
      <c r="AG30" s="65">
        <f t="shared" si="2"/>
        <v>9416.604865658077</v>
      </c>
    </row>
    <row r="31" spans="1:47">
      <c r="A31" s="4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  <c r="AB31" s="375"/>
      <c r="AC31" s="375"/>
      <c r="AD31" s="375"/>
      <c r="AE31" s="375"/>
      <c r="AF31" s="375"/>
      <c r="AG31" s="375"/>
    </row>
    <row r="32" spans="1:47">
      <c r="A32" s="1" t="s">
        <v>49</v>
      </c>
      <c r="C32" s="124">
        <f t="shared" ref="C32:X32" si="3">C13-C30</f>
        <v>5555.1656179523234</v>
      </c>
      <c r="D32" s="124">
        <f t="shared" si="3"/>
        <v>9521.6667736325526</v>
      </c>
      <c r="E32" s="124">
        <f t="shared" si="3"/>
        <v>9484.8339736325561</v>
      </c>
      <c r="F32" s="124">
        <f t="shared" si="3"/>
        <v>10738.773669240883</v>
      </c>
      <c r="G32" s="124">
        <f t="shared" si="3"/>
        <v>11573.282645015555</v>
      </c>
      <c r="H32" s="124">
        <f t="shared" si="3"/>
        <v>11696.028384816531</v>
      </c>
      <c r="I32" s="124">
        <f t="shared" si="3"/>
        <v>11815.650398721325</v>
      </c>
      <c r="J32" s="124">
        <f t="shared" si="3"/>
        <v>11931.850792010346</v>
      </c>
      <c r="K32" s="124">
        <f t="shared" si="3"/>
        <v>12292.223512561675</v>
      </c>
      <c r="L32" s="124">
        <f t="shared" si="3"/>
        <v>12408.063302654164</v>
      </c>
      <c r="M32" s="124">
        <f t="shared" si="3"/>
        <v>12782.722398524817</v>
      </c>
      <c r="N32" s="124">
        <f t="shared" si="3"/>
        <v>12897.726698770804</v>
      </c>
      <c r="O32" s="124">
        <f t="shared" si="3"/>
        <v>13287.075696524957</v>
      </c>
      <c r="P32" s="124">
        <f t="shared" si="3"/>
        <v>13400.713116489254</v>
      </c>
      <c r="Q32" s="124">
        <f t="shared" si="3"/>
        <v>13509.137897620814</v>
      </c>
      <c r="R32" s="124">
        <f t="shared" si="3"/>
        <v>13611.93500791169</v>
      </c>
      <c r="S32" s="124">
        <f t="shared" si="3"/>
        <v>13755.670253522774</v>
      </c>
      <c r="T32" s="124">
        <f t="shared" si="3"/>
        <v>13879.457422475571</v>
      </c>
      <c r="U32" s="124">
        <f t="shared" si="3"/>
        <v>13962.674995065187</v>
      </c>
      <c r="V32" s="124">
        <f t="shared" si="3"/>
        <v>14038.394110329951</v>
      </c>
      <c r="W32" s="124">
        <f t="shared" si="3"/>
        <v>14106.08996501505</v>
      </c>
      <c r="X32" s="124">
        <f t="shared" si="3"/>
        <v>14165.21301628195</v>
      </c>
      <c r="Y32" s="124">
        <f t="shared" ref="Y32:AG32" si="4">Y13-Y30</f>
        <v>14222.398471416294</v>
      </c>
      <c r="Z32" s="124">
        <f t="shared" si="4"/>
        <v>14277.588202534127</v>
      </c>
      <c r="AA32" s="124">
        <f t="shared" si="4"/>
        <v>14330.722337914918</v>
      </c>
      <c r="AB32" s="124">
        <f t="shared" si="4"/>
        <v>14381.73920968657</v>
      </c>
      <c r="AC32" s="124">
        <f t="shared" si="4"/>
        <v>14430.575299940812</v>
      </c>
      <c r="AD32" s="124">
        <f t="shared" si="4"/>
        <v>14477.165185232139</v>
      </c>
      <c r="AE32" s="124">
        <f t="shared" si="4"/>
        <v>14521.441479411633</v>
      </c>
      <c r="AF32" s="124">
        <f t="shared" si="4"/>
        <v>14563.334774745941</v>
      </c>
      <c r="AG32" s="124">
        <f t="shared" si="4"/>
        <v>4396.732487228508</v>
      </c>
    </row>
    <row r="33" spans="1:33">
      <c r="A33" s="1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5"/>
      <c r="R33" s="375"/>
      <c r="S33" s="375"/>
      <c r="T33" s="375"/>
      <c r="U33" s="375"/>
      <c r="V33" s="375"/>
      <c r="W33" s="375"/>
      <c r="X33" s="375"/>
      <c r="Y33" s="375"/>
      <c r="Z33" s="375"/>
      <c r="AA33" s="375"/>
      <c r="AB33" s="375"/>
      <c r="AC33" s="375"/>
      <c r="AD33" s="375"/>
      <c r="AE33" s="375"/>
      <c r="AF33" s="375"/>
      <c r="AG33" s="375"/>
    </row>
    <row r="34" spans="1:33">
      <c r="A34" s="3" t="s">
        <v>50</v>
      </c>
      <c r="C34" s="65">
        <f>Depreciation!D48</f>
        <v>2340.8299684132144</v>
      </c>
      <c r="D34" s="65">
        <f>Depreciation!E48</f>
        <v>4012.8513744226525</v>
      </c>
      <c r="E34" s="65">
        <f>Depreciation!F48</f>
        <v>4012.8513744226525</v>
      </c>
      <c r="F34" s="65">
        <f>Depreciation!G48</f>
        <v>4012.8513744226525</v>
      </c>
      <c r="G34" s="65">
        <f>Depreciation!H48</f>
        <v>4012.8513744226525</v>
      </c>
      <c r="H34" s="65">
        <f>Depreciation!I48</f>
        <v>3408.518041089319</v>
      </c>
      <c r="I34" s="65">
        <f>Depreciation!J48</f>
        <v>2976.8513744226525</v>
      </c>
      <c r="J34" s="65">
        <f>Depreciation!K48</f>
        <v>2976.8513744226525</v>
      </c>
      <c r="K34" s="65">
        <f>Depreciation!L48</f>
        <v>2976.8513744226525</v>
      </c>
      <c r="L34" s="65">
        <f>Depreciation!M48</f>
        <v>2976.8513744226525</v>
      </c>
      <c r="M34" s="65">
        <f>Depreciation!N48</f>
        <v>2976.8513744226525</v>
      </c>
      <c r="N34" s="65">
        <f>Depreciation!O48</f>
        <v>2976.8513744226525</v>
      </c>
      <c r="O34" s="65">
        <f>Depreciation!P48</f>
        <v>2976.8513744226525</v>
      </c>
      <c r="P34" s="65">
        <f>Depreciation!Q48</f>
        <v>2976.8513744226525</v>
      </c>
      <c r="Q34" s="65">
        <f>Depreciation!R48</f>
        <v>2976.8513744226525</v>
      </c>
      <c r="R34" s="65">
        <f>Depreciation!S48</f>
        <v>2976.8513744226525</v>
      </c>
      <c r="S34" s="65">
        <f>Depreciation!T48</f>
        <v>2976.8513744226525</v>
      </c>
      <c r="T34" s="65">
        <f>Depreciation!U48</f>
        <v>2976.8513744226525</v>
      </c>
      <c r="U34" s="65">
        <f>Depreciation!V48</f>
        <v>2976.8513744226525</v>
      </c>
      <c r="V34" s="65">
        <f>Depreciation!W48</f>
        <v>2976.8513744226525</v>
      </c>
      <c r="W34" s="65">
        <f>Depreciation!X48</f>
        <v>2976.8513744226525</v>
      </c>
      <c r="X34" s="65">
        <f>Depreciation!Y48</f>
        <v>2976.8513744226525</v>
      </c>
      <c r="Y34" s="65">
        <f>Depreciation!Z48</f>
        <v>2976.8513744226525</v>
      </c>
      <c r="Z34" s="65">
        <f>Depreciation!AA48</f>
        <v>2976.8513744226525</v>
      </c>
      <c r="AA34" s="65">
        <f>Depreciation!AB48</f>
        <v>2976.8513744226525</v>
      </c>
      <c r="AB34" s="65">
        <f>Depreciation!AC48</f>
        <v>2976.8513744226525</v>
      </c>
      <c r="AC34" s="65">
        <f>Depreciation!AD48</f>
        <v>2976.8513744226525</v>
      </c>
      <c r="AD34" s="65">
        <f>Depreciation!AE48</f>
        <v>2976.8513744226525</v>
      </c>
      <c r="AE34" s="65">
        <f>Depreciation!AF48</f>
        <v>2976.8513744226525</v>
      </c>
      <c r="AF34" s="65">
        <f>Depreciation!AG48</f>
        <v>2976.8513744226525</v>
      </c>
      <c r="AG34" s="65">
        <f>Depreciation!AH48</f>
        <v>1240.3547393427716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3214.335649539109</v>
      </c>
      <c r="D36" s="124">
        <f t="shared" ref="D36:X36" si="5">D32-D34</f>
        <v>5508.8153992098996</v>
      </c>
      <c r="E36" s="124">
        <f t="shared" si="5"/>
        <v>5471.9825992099031</v>
      </c>
      <c r="F36" s="124">
        <f t="shared" si="5"/>
        <v>6725.9222948182305</v>
      </c>
      <c r="G36" s="124">
        <f t="shared" si="5"/>
        <v>7560.4312705929024</v>
      </c>
      <c r="H36" s="124">
        <f t="shared" si="5"/>
        <v>8287.5103437272119</v>
      </c>
      <c r="I36" s="124">
        <f t="shared" si="5"/>
        <v>8838.7990242986725</v>
      </c>
      <c r="J36" s="124">
        <f t="shared" si="5"/>
        <v>8954.9994175876927</v>
      </c>
      <c r="K36" s="124">
        <f t="shared" si="5"/>
        <v>9315.3721381390224</v>
      </c>
      <c r="L36" s="124">
        <f t="shared" si="5"/>
        <v>9431.2119282315107</v>
      </c>
      <c r="M36" s="124">
        <f t="shared" si="5"/>
        <v>9805.8710241021636</v>
      </c>
      <c r="N36" s="124">
        <f t="shared" si="5"/>
        <v>9920.8753243481515</v>
      </c>
      <c r="O36" s="124">
        <f t="shared" si="5"/>
        <v>10310.224322102304</v>
      </c>
      <c r="P36" s="124">
        <f t="shared" si="5"/>
        <v>10423.861742066601</v>
      </c>
      <c r="Q36" s="124">
        <f t="shared" si="5"/>
        <v>10532.286523198161</v>
      </c>
      <c r="R36" s="124">
        <f t="shared" si="5"/>
        <v>10635.083633489037</v>
      </c>
      <c r="S36" s="124">
        <f t="shared" si="5"/>
        <v>10778.818879100121</v>
      </c>
      <c r="T36" s="124">
        <f t="shared" si="5"/>
        <v>10902.606048052918</v>
      </c>
      <c r="U36" s="124">
        <f t="shared" si="5"/>
        <v>10985.823620642534</v>
      </c>
      <c r="V36" s="124">
        <f t="shared" si="5"/>
        <v>11061.542735907298</v>
      </c>
      <c r="W36" s="124">
        <f t="shared" si="5"/>
        <v>11129.238590592397</v>
      </c>
      <c r="X36" s="124">
        <f t="shared" si="5"/>
        <v>11188.361641859297</v>
      </c>
      <c r="Y36" s="124">
        <f t="shared" ref="Y36:AG36" si="6">Y32-Y34</f>
        <v>11245.547096993641</v>
      </c>
      <c r="Z36" s="124">
        <f t="shared" si="6"/>
        <v>11300.736828111474</v>
      </c>
      <c r="AA36" s="124">
        <f t="shared" si="6"/>
        <v>11353.870963492265</v>
      </c>
      <c r="AB36" s="124">
        <f t="shared" si="6"/>
        <v>11404.887835263917</v>
      </c>
      <c r="AC36" s="124">
        <f t="shared" si="6"/>
        <v>11453.723925518159</v>
      </c>
      <c r="AD36" s="124">
        <f t="shared" si="6"/>
        <v>11500.313810809486</v>
      </c>
      <c r="AE36" s="124">
        <f t="shared" si="6"/>
        <v>11544.59010498898</v>
      </c>
      <c r="AF36" s="124">
        <f t="shared" si="6"/>
        <v>11586.483400323288</v>
      </c>
      <c r="AG36" s="124">
        <f t="shared" si="6"/>
        <v>3156.3777478857364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138</v>
      </c>
      <c r="C38" s="65">
        <f>Debt!B57</f>
        <v>3636.0571161766784</v>
      </c>
      <c r="D38" s="65">
        <f>Debt!C57</f>
        <v>6174.7938658342182</v>
      </c>
      <c r="E38" s="65">
        <f>Debt!D57</f>
        <v>6083.857666447152</v>
      </c>
      <c r="F38" s="65">
        <f>Debt!E57</f>
        <v>5958.7464431602302</v>
      </c>
      <c r="G38" s="65">
        <f>Debt!F57</f>
        <v>5764.9092427830301</v>
      </c>
      <c r="H38" s="65">
        <f>Debt!G57</f>
        <v>5518.2179473843225</v>
      </c>
      <c r="I38" s="65">
        <f>Debt!H57</f>
        <v>5238.7196223463998</v>
      </c>
      <c r="J38" s="65">
        <f>Debt!I57</f>
        <v>4930.2980918493267</v>
      </c>
      <c r="K38" s="65">
        <f>Debt!J57</f>
        <v>4582.9681872248429</v>
      </c>
      <c r="L38" s="65">
        <f>Debt!K57</f>
        <v>4194.3031100227927</v>
      </c>
      <c r="M38" s="65">
        <f>Debt!L57</f>
        <v>3759.5116979894533</v>
      </c>
      <c r="N38" s="65">
        <f>Debt!M57</f>
        <v>3275.6943664227479</v>
      </c>
      <c r="O38" s="65">
        <f>Debt!N57</f>
        <v>2736.1608079640469</v>
      </c>
      <c r="P38" s="65">
        <f>Debt!O57</f>
        <v>2139.2852155656547</v>
      </c>
      <c r="Q38" s="65">
        <f>Debt!P57</f>
        <v>1485.5384398676247</v>
      </c>
      <c r="R38" s="65">
        <f>Debt!Q57</f>
        <v>773.87397570486019</v>
      </c>
      <c r="S38" s="65">
        <f>Debt!R57</f>
        <v>99.078882567396221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0</v>
      </c>
      <c r="Y38" s="65">
        <f>Debt!X57</f>
        <v>0</v>
      </c>
      <c r="Z38" s="65">
        <f>Debt!Y57</f>
        <v>0</v>
      </c>
      <c r="AA38" s="65">
        <f>Debt!Z57</f>
        <v>0</v>
      </c>
      <c r="AB38" s="65">
        <f>Debt!AA57</f>
        <v>0</v>
      </c>
      <c r="AC38" s="65">
        <f>Debt!AB57</f>
        <v>0</v>
      </c>
      <c r="AD38" s="65">
        <f>Debt!AC57</f>
        <v>0</v>
      </c>
      <c r="AE38" s="65">
        <f>Debt!AD57</f>
        <v>0</v>
      </c>
      <c r="AF38" s="65">
        <f>Debt!AE57</f>
        <v>0</v>
      </c>
      <c r="AG38" s="65">
        <f>Debt!AF57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216</v>
      </c>
      <c r="C40" s="124">
        <f>C36-C38</f>
        <v>-421.72146663756939</v>
      </c>
      <c r="D40" s="124">
        <f t="shared" ref="D40:X40" si="7">D36-D38</f>
        <v>-665.97846662431857</v>
      </c>
      <c r="E40" s="124">
        <f t="shared" si="7"/>
        <v>-611.87506723724891</v>
      </c>
      <c r="F40" s="124">
        <f t="shared" si="7"/>
        <v>767.17585165800028</v>
      </c>
      <c r="G40" s="124">
        <f t="shared" si="7"/>
        <v>1795.5220278098723</v>
      </c>
      <c r="H40" s="124">
        <f t="shared" si="7"/>
        <v>2769.2923963428893</v>
      </c>
      <c r="I40" s="124">
        <f t="shared" si="7"/>
        <v>3600.0794019522727</v>
      </c>
      <c r="J40" s="124">
        <f t="shared" si="7"/>
        <v>4024.701325738366</v>
      </c>
      <c r="K40" s="124">
        <f t="shared" si="7"/>
        <v>4732.4039509141794</v>
      </c>
      <c r="L40" s="124">
        <f t="shared" si="7"/>
        <v>5236.908818208718</v>
      </c>
      <c r="M40" s="124">
        <f t="shared" si="7"/>
        <v>6046.3593261127098</v>
      </c>
      <c r="N40" s="124">
        <f t="shared" si="7"/>
        <v>6645.1809579254041</v>
      </c>
      <c r="O40" s="124">
        <f t="shared" si="7"/>
        <v>7574.0635141382572</v>
      </c>
      <c r="P40" s="124">
        <f t="shared" si="7"/>
        <v>8284.5765265009468</v>
      </c>
      <c r="Q40" s="124">
        <f t="shared" si="7"/>
        <v>9046.7480833305362</v>
      </c>
      <c r="R40" s="124">
        <f t="shared" si="7"/>
        <v>9861.2096577841767</v>
      </c>
      <c r="S40" s="124">
        <f t="shared" si="7"/>
        <v>10679.739996532726</v>
      </c>
      <c r="T40" s="124">
        <f t="shared" si="7"/>
        <v>10902.606048052918</v>
      </c>
      <c r="U40" s="124">
        <f t="shared" si="7"/>
        <v>10985.823620642534</v>
      </c>
      <c r="V40" s="124">
        <f t="shared" si="7"/>
        <v>11061.542735907298</v>
      </c>
      <c r="W40" s="124">
        <f t="shared" si="7"/>
        <v>11129.238590592397</v>
      </c>
      <c r="X40" s="124">
        <f t="shared" si="7"/>
        <v>11188.361641859297</v>
      </c>
      <c r="Y40" s="124">
        <f t="shared" ref="Y40:AG40" si="8">Y36-Y38</f>
        <v>11245.547096993641</v>
      </c>
      <c r="Z40" s="124">
        <f t="shared" si="8"/>
        <v>11300.736828111474</v>
      </c>
      <c r="AA40" s="124">
        <f t="shared" si="8"/>
        <v>11353.870963492265</v>
      </c>
      <c r="AB40" s="124">
        <f t="shared" si="8"/>
        <v>11404.887835263917</v>
      </c>
      <c r="AC40" s="124">
        <f t="shared" si="8"/>
        <v>11453.723925518159</v>
      </c>
      <c r="AD40" s="124">
        <f t="shared" si="8"/>
        <v>11500.313810809486</v>
      </c>
      <c r="AE40" s="124">
        <f t="shared" si="8"/>
        <v>11544.59010498898</v>
      </c>
      <c r="AF40" s="124">
        <f t="shared" si="8"/>
        <v>11586.483400323288</v>
      </c>
      <c r="AG40" s="124">
        <f t="shared" si="8"/>
        <v>3156.3777478857364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1">
        <f>Assumptions!N51</f>
        <v>7.0000000000000007E-2</v>
      </c>
      <c r="C42" s="74">
        <f>-C40*$B$42</f>
        <v>29.520502664629859</v>
      </c>
      <c r="D42" s="74">
        <f t="shared" ref="D42:AG42" si="9">-D40*$B$42</f>
        <v>46.618492663702305</v>
      </c>
      <c r="E42" s="74">
        <f t="shared" si="9"/>
        <v>42.831254706607425</v>
      </c>
      <c r="F42" s="74">
        <f t="shared" si="9"/>
        <v>-53.702309616060028</v>
      </c>
      <c r="G42" s="74">
        <f t="shared" si="9"/>
        <v>-125.68654194669107</v>
      </c>
      <c r="H42" s="74">
        <f t="shared" si="9"/>
        <v>-193.85046774400226</v>
      </c>
      <c r="I42" s="74">
        <f t="shared" si="9"/>
        <v>-252.00555813665912</v>
      </c>
      <c r="J42" s="74">
        <f t="shared" si="9"/>
        <v>-281.72909280168562</v>
      </c>
      <c r="K42" s="74">
        <f t="shared" si="9"/>
        <v>-331.26827656399257</v>
      </c>
      <c r="L42" s="74">
        <f t="shared" si="9"/>
        <v>-366.58361727461028</v>
      </c>
      <c r="M42" s="74">
        <f t="shared" si="9"/>
        <v>-423.24515282788974</v>
      </c>
      <c r="N42" s="74">
        <f t="shared" si="9"/>
        <v>-465.16266705477835</v>
      </c>
      <c r="O42" s="74">
        <f t="shared" si="9"/>
        <v>-530.18444598967801</v>
      </c>
      <c r="P42" s="74">
        <f t="shared" si="9"/>
        <v>-579.9203568550663</v>
      </c>
      <c r="Q42" s="74">
        <f t="shared" si="9"/>
        <v>-633.27236583313754</v>
      </c>
      <c r="R42" s="74">
        <f t="shared" si="9"/>
        <v>-690.28467604489242</v>
      </c>
      <c r="S42" s="74">
        <f t="shared" si="9"/>
        <v>-747.58179975729092</v>
      </c>
      <c r="T42" s="74">
        <f t="shared" si="9"/>
        <v>-763.18242336370429</v>
      </c>
      <c r="U42" s="74">
        <f t="shared" si="9"/>
        <v>-769.00765344497745</v>
      </c>
      <c r="V42" s="74">
        <f t="shared" si="9"/>
        <v>-774.30799151351096</v>
      </c>
      <c r="W42" s="74">
        <f t="shared" si="9"/>
        <v>-779.04670134146784</v>
      </c>
      <c r="X42" s="74">
        <f t="shared" si="9"/>
        <v>-783.18531493015087</v>
      </c>
      <c r="Y42" s="74">
        <f t="shared" si="9"/>
        <v>-787.18829678955501</v>
      </c>
      <c r="Z42" s="74">
        <f t="shared" si="9"/>
        <v>-791.05157796780327</v>
      </c>
      <c r="AA42" s="74">
        <f t="shared" si="9"/>
        <v>-794.77096744445862</v>
      </c>
      <c r="AB42" s="74">
        <f t="shared" si="9"/>
        <v>-798.34214846847419</v>
      </c>
      <c r="AC42" s="74">
        <f t="shared" si="9"/>
        <v>-801.76067478627124</v>
      </c>
      <c r="AD42" s="74">
        <f t="shared" si="9"/>
        <v>-805.02196675666414</v>
      </c>
      <c r="AE42" s="74">
        <f t="shared" si="9"/>
        <v>-808.12130734922869</v>
      </c>
      <c r="AF42" s="74">
        <f t="shared" si="9"/>
        <v>-811.0538380226302</v>
      </c>
      <c r="AG42" s="74">
        <f t="shared" si="9"/>
        <v>-220.94644235200158</v>
      </c>
    </row>
    <row r="43" spans="1:33">
      <c r="A43" s="3" t="s">
        <v>53</v>
      </c>
      <c r="B43" s="351">
        <f>Assumptions!N50</f>
        <v>0.35</v>
      </c>
      <c r="C43" s="74">
        <f t="shared" ref="C43:AG43" si="10">(C40+C42)*-$B$43</f>
        <v>137.27033739052882</v>
      </c>
      <c r="D43" s="74">
        <f t="shared" si="10"/>
        <v>216.77599088621568</v>
      </c>
      <c r="E43" s="74">
        <f t="shared" si="10"/>
        <v>199.16533438572452</v>
      </c>
      <c r="F43" s="74">
        <f t="shared" si="10"/>
        <v>-249.71573971467907</v>
      </c>
      <c r="G43" s="74">
        <f t="shared" si="10"/>
        <v>-584.44242005211345</v>
      </c>
      <c r="H43" s="74">
        <f t="shared" si="10"/>
        <v>-901.4046750096104</v>
      </c>
      <c r="I43" s="74">
        <f t="shared" si="10"/>
        <v>-1171.8258453354647</v>
      </c>
      <c r="J43" s="74">
        <f t="shared" si="10"/>
        <v>-1310.040281527838</v>
      </c>
      <c r="K43" s="74">
        <f t="shared" si="10"/>
        <v>-1540.3974860225651</v>
      </c>
      <c r="L43" s="74">
        <f t="shared" si="10"/>
        <v>-1704.6138203269377</v>
      </c>
      <c r="M43" s="74">
        <f t="shared" si="10"/>
        <v>-1968.0899606496869</v>
      </c>
      <c r="N43" s="74">
        <f t="shared" si="10"/>
        <v>-2163.0064018047187</v>
      </c>
      <c r="O43" s="74">
        <f t="shared" si="10"/>
        <v>-2465.3576738520023</v>
      </c>
      <c r="P43" s="74">
        <f t="shared" si="10"/>
        <v>-2696.629659376058</v>
      </c>
      <c r="Q43" s="74">
        <f t="shared" si="10"/>
        <v>-2944.7165011240891</v>
      </c>
      <c r="R43" s="74">
        <f t="shared" si="10"/>
        <v>-3209.8237436087493</v>
      </c>
      <c r="S43" s="74">
        <f t="shared" si="10"/>
        <v>-3476.2553688714024</v>
      </c>
      <c r="T43" s="74">
        <f t="shared" si="10"/>
        <v>-3548.7982686412247</v>
      </c>
      <c r="U43" s="74">
        <f t="shared" si="10"/>
        <v>-3575.8855885191442</v>
      </c>
      <c r="V43" s="74">
        <f t="shared" si="10"/>
        <v>-3600.5321605378253</v>
      </c>
      <c r="W43" s="74">
        <f t="shared" si="10"/>
        <v>-3622.5671612378251</v>
      </c>
      <c r="X43" s="74">
        <f t="shared" si="10"/>
        <v>-3641.811714425201</v>
      </c>
      <c r="Y43" s="74">
        <f t="shared" si="10"/>
        <v>-3660.42558007143</v>
      </c>
      <c r="Z43" s="74">
        <f t="shared" si="10"/>
        <v>-3678.3898375502849</v>
      </c>
      <c r="AA43" s="74">
        <f t="shared" si="10"/>
        <v>-3695.6849986167322</v>
      </c>
      <c r="AB43" s="74">
        <f t="shared" si="10"/>
        <v>-3712.2909903784043</v>
      </c>
      <c r="AC43" s="74">
        <f t="shared" si="10"/>
        <v>-3728.1871377561602</v>
      </c>
      <c r="AD43" s="74">
        <f t="shared" si="10"/>
        <v>-3743.3521454184879</v>
      </c>
      <c r="AE43" s="74">
        <f t="shared" si="10"/>
        <v>-3757.7640791739127</v>
      </c>
      <c r="AF43" s="74">
        <f t="shared" si="10"/>
        <v>-3771.4003468052301</v>
      </c>
      <c r="AG43" s="74">
        <f t="shared" si="10"/>
        <v>-1027.400956936807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6">
        <f t="shared" ref="C45:AG45" si="11">C40+C42+C43</f>
        <v>-254.9306265824107</v>
      </c>
      <c r="D45" s="376">
        <f t="shared" si="11"/>
        <v>-402.58398307440052</v>
      </c>
      <c r="E45" s="376">
        <f t="shared" si="11"/>
        <v>-369.87847814491698</v>
      </c>
      <c r="F45" s="376">
        <f t="shared" si="11"/>
        <v>463.75780232726117</v>
      </c>
      <c r="G45" s="376">
        <f t="shared" si="11"/>
        <v>1085.3930658110678</v>
      </c>
      <c r="H45" s="376">
        <f t="shared" si="11"/>
        <v>1674.0372535892766</v>
      </c>
      <c r="I45" s="376">
        <f t="shared" si="11"/>
        <v>2176.2479984801489</v>
      </c>
      <c r="J45" s="376">
        <f t="shared" si="11"/>
        <v>2432.9319514088425</v>
      </c>
      <c r="K45" s="376">
        <f t="shared" si="11"/>
        <v>2860.7381883276212</v>
      </c>
      <c r="L45" s="376">
        <f t="shared" si="11"/>
        <v>3165.7113806071702</v>
      </c>
      <c r="M45" s="376">
        <f t="shared" si="11"/>
        <v>3655.0242126351332</v>
      </c>
      <c r="N45" s="376">
        <f t="shared" si="11"/>
        <v>4017.0118890659069</v>
      </c>
      <c r="O45" s="376">
        <f t="shared" si="11"/>
        <v>4578.5213942965765</v>
      </c>
      <c r="P45" s="376">
        <f t="shared" si="11"/>
        <v>5008.0265102698222</v>
      </c>
      <c r="Q45" s="376">
        <f t="shared" si="11"/>
        <v>5468.7592163733098</v>
      </c>
      <c r="R45" s="376">
        <f t="shared" si="11"/>
        <v>5961.1012381305354</v>
      </c>
      <c r="S45" s="376">
        <f t="shared" si="11"/>
        <v>6455.9028279040331</v>
      </c>
      <c r="T45" s="376">
        <f t="shared" si="11"/>
        <v>6590.625356047989</v>
      </c>
      <c r="U45" s="376">
        <f t="shared" si="11"/>
        <v>6640.9303786784112</v>
      </c>
      <c r="V45" s="376">
        <f t="shared" si="11"/>
        <v>6686.7025838559621</v>
      </c>
      <c r="W45" s="376">
        <f t="shared" si="11"/>
        <v>6727.6247280131047</v>
      </c>
      <c r="X45" s="376">
        <f t="shared" si="11"/>
        <v>6763.364612503945</v>
      </c>
      <c r="Y45" s="376">
        <f t="shared" si="11"/>
        <v>6797.933220132657</v>
      </c>
      <c r="Z45" s="376">
        <f t="shared" si="11"/>
        <v>6831.2954125933866</v>
      </c>
      <c r="AA45" s="376">
        <f t="shared" si="11"/>
        <v>6863.4149974310749</v>
      </c>
      <c r="AB45" s="376">
        <f t="shared" si="11"/>
        <v>6894.2546964170378</v>
      </c>
      <c r="AC45" s="376">
        <f t="shared" si="11"/>
        <v>6923.7761129757273</v>
      </c>
      <c r="AD45" s="376">
        <f t="shared" si="11"/>
        <v>6951.9396986343345</v>
      </c>
      <c r="AE45" s="376">
        <f t="shared" si="11"/>
        <v>6978.7047184658386</v>
      </c>
      <c r="AF45" s="376">
        <f t="shared" si="11"/>
        <v>7004.0292154954277</v>
      </c>
      <c r="AG45" s="376">
        <f t="shared" si="11"/>
        <v>1908.0303485969278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77"/>
      <c r="AA49" s="377"/>
      <c r="AB49" s="377"/>
      <c r="AC49" s="377"/>
      <c r="AD49" s="377"/>
      <c r="AE49" s="377"/>
      <c r="AF49" s="377"/>
      <c r="AG49" s="377"/>
    </row>
    <row r="50" spans="1:33">
      <c r="A50" s="11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7"/>
      <c r="T50" s="377"/>
      <c r="U50" s="377"/>
      <c r="V50" s="377"/>
      <c r="W50" s="377"/>
      <c r="X50" s="377"/>
      <c r="Y50" s="377"/>
      <c r="Z50" s="377"/>
      <c r="AA50" s="377"/>
      <c r="AB50" s="377"/>
      <c r="AC50" s="377"/>
      <c r="AD50" s="377"/>
      <c r="AE50" s="377"/>
      <c r="AF50" s="377"/>
      <c r="AG50" s="377"/>
    </row>
    <row r="51" spans="1:33">
      <c r="C51" s="377"/>
      <c r="D51" s="377"/>
      <c r="E51" s="377"/>
      <c r="F51" s="377"/>
      <c r="G51" s="377"/>
    </row>
    <row r="52" spans="1:33">
      <c r="C52" s="6"/>
      <c r="D52" s="6"/>
      <c r="E52" s="6"/>
      <c r="F52" s="6"/>
      <c r="G52" s="6"/>
    </row>
    <row r="53" spans="1:33">
      <c r="C53" s="377"/>
      <c r="D53" s="377"/>
      <c r="E53" s="377"/>
      <c r="F53" s="377"/>
      <c r="G53" s="377"/>
    </row>
    <row r="54" spans="1:33">
      <c r="C54" s="377"/>
      <c r="D54" s="377"/>
      <c r="E54" s="377"/>
      <c r="F54" s="377"/>
      <c r="G54" s="377"/>
    </row>
    <row r="55" spans="1:33">
      <c r="C55" s="377"/>
      <c r="D55" s="377"/>
      <c r="E55" s="377"/>
      <c r="F55" s="377"/>
      <c r="G55" s="377"/>
    </row>
    <row r="56" spans="1:33">
      <c r="C56" s="377"/>
      <c r="D56" s="377"/>
      <c r="E56" s="377"/>
      <c r="F56" s="377"/>
      <c r="G56" s="377"/>
    </row>
    <row r="57" spans="1:33">
      <c r="C57" s="377"/>
      <c r="D57" s="377"/>
      <c r="E57" s="377"/>
      <c r="F57" s="377"/>
      <c r="G57" s="377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8"/>
      <c r="D60" s="378"/>
      <c r="E60" s="378"/>
      <c r="F60" s="378"/>
      <c r="G60" s="6"/>
    </row>
    <row r="61" spans="1:33">
      <c r="C61" s="6"/>
      <c r="D61" s="6"/>
      <c r="E61" s="6"/>
      <c r="F61" s="6"/>
      <c r="G61" s="6"/>
    </row>
    <row r="62" spans="1:33">
      <c r="C62" s="378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140</v>
      </c>
      <c r="B4" s="8"/>
      <c r="C4" s="8"/>
    </row>
    <row r="6" spans="1:60">
      <c r="C6" s="321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2" t="s">
        <v>259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3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141</v>
      </c>
      <c r="B9" s="12"/>
      <c r="C9" s="324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4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142</v>
      </c>
      <c r="B11" s="12"/>
      <c r="C11" s="325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4"/>
      <c r="AJ11" s="314"/>
      <c r="AK11" s="314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4"/>
      <c r="AX11" s="314"/>
      <c r="AY11" s="314"/>
      <c r="AZ11" s="314"/>
      <c r="BA11" s="314"/>
      <c r="BB11" s="314"/>
      <c r="BC11" s="314"/>
      <c r="BD11" s="314"/>
      <c r="BE11" s="314"/>
      <c r="BF11" s="314"/>
      <c r="BG11" s="314"/>
      <c r="BH11" s="314"/>
    </row>
    <row r="12" spans="1:60">
      <c r="A12" s="23" t="s">
        <v>143</v>
      </c>
      <c r="B12" s="12"/>
      <c r="C12" s="325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4"/>
      <c r="AJ12" s="314"/>
      <c r="AK12" s="314"/>
      <c r="AL12" s="314"/>
      <c r="AM12" s="314"/>
      <c r="AN12" s="314"/>
      <c r="AO12" s="314"/>
      <c r="AP12" s="314"/>
      <c r="AQ12" s="314"/>
      <c r="AR12" s="314"/>
      <c r="AS12" s="314"/>
      <c r="AT12" s="314"/>
      <c r="AU12" s="314"/>
      <c r="AV12" s="314"/>
      <c r="AW12" s="314"/>
      <c r="AX12" s="314"/>
      <c r="AY12" s="314"/>
      <c r="AZ12" s="314"/>
      <c r="BA12" s="314"/>
      <c r="BB12" s="314"/>
      <c r="BC12" s="314"/>
      <c r="BD12" s="314"/>
      <c r="BE12" s="314"/>
      <c r="BF12" s="314"/>
      <c r="BG12" s="314"/>
      <c r="BH12" s="314"/>
    </row>
    <row r="13" spans="1:60">
      <c r="A13" s="23" t="s">
        <v>144</v>
      </c>
      <c r="B13" s="12"/>
      <c r="C13" s="325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4"/>
      <c r="AJ13" s="314"/>
      <c r="AK13" s="314"/>
      <c r="AL13" s="314"/>
      <c r="AM13" s="314"/>
      <c r="AN13" s="314"/>
      <c r="AO13" s="314"/>
      <c r="AP13" s="314"/>
      <c r="AQ13" s="314"/>
      <c r="AR13" s="314"/>
      <c r="AS13" s="314"/>
      <c r="AT13" s="314"/>
      <c r="AU13" s="314"/>
      <c r="AV13" s="314"/>
      <c r="AW13" s="314"/>
      <c r="AX13" s="314"/>
      <c r="AY13" s="314"/>
      <c r="AZ13" s="314"/>
      <c r="BA13" s="314"/>
      <c r="BB13" s="314"/>
      <c r="BC13" s="314"/>
      <c r="BD13" s="314"/>
      <c r="BE13" s="314"/>
      <c r="BF13" s="314"/>
      <c r="BG13" s="314"/>
      <c r="BH13" s="314"/>
    </row>
    <row r="14" spans="1:60">
      <c r="A14" s="23" t="s">
        <v>145</v>
      </c>
      <c r="B14" s="12"/>
      <c r="C14" s="325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4"/>
      <c r="AJ14" s="314"/>
      <c r="AK14" s="314"/>
      <c r="AL14" s="314"/>
      <c r="AM14" s="314"/>
      <c r="AN14" s="314"/>
      <c r="AO14" s="314"/>
      <c r="AP14" s="314"/>
      <c r="AQ14" s="314"/>
      <c r="AR14" s="314"/>
      <c r="AS14" s="314"/>
      <c r="AT14" s="314"/>
      <c r="AU14" s="314"/>
      <c r="AV14" s="314"/>
      <c r="AW14" s="314"/>
      <c r="AX14" s="314"/>
      <c r="AY14" s="314"/>
      <c r="AZ14" s="314"/>
      <c r="BA14" s="314"/>
      <c r="BB14" s="314"/>
      <c r="BC14" s="314"/>
      <c r="BD14" s="314"/>
      <c r="BE14" s="314"/>
      <c r="BF14" s="314"/>
      <c r="BG14" s="314"/>
      <c r="BH14" s="314"/>
    </row>
    <row r="15" spans="1:60">
      <c r="A15" s="313" t="s">
        <v>146</v>
      </c>
      <c r="B15" s="58"/>
      <c r="C15" s="326">
        <v>0</v>
      </c>
      <c r="D15" s="313">
        <v>0</v>
      </c>
      <c r="E15" s="313">
        <v>0</v>
      </c>
      <c r="F15" s="313">
        <v>0</v>
      </c>
      <c r="G15" s="313">
        <v>0</v>
      </c>
      <c r="H15" s="313">
        <v>0</v>
      </c>
      <c r="I15" s="313">
        <v>0</v>
      </c>
      <c r="J15" s="313">
        <v>0</v>
      </c>
      <c r="K15" s="313">
        <v>0</v>
      </c>
      <c r="L15" s="313">
        <v>0</v>
      </c>
      <c r="M15" s="313">
        <v>0</v>
      </c>
      <c r="N15" s="313">
        <v>0</v>
      </c>
      <c r="O15" s="313">
        <v>0</v>
      </c>
      <c r="P15" s="313">
        <v>0</v>
      </c>
      <c r="Q15" s="313">
        <v>0</v>
      </c>
      <c r="R15" s="313">
        <v>0</v>
      </c>
      <c r="S15" s="313">
        <v>0</v>
      </c>
      <c r="T15" s="313">
        <v>0</v>
      </c>
      <c r="U15" s="313">
        <v>0</v>
      </c>
      <c r="V15" s="313">
        <v>0</v>
      </c>
      <c r="W15" s="313">
        <v>0</v>
      </c>
      <c r="X15" s="313">
        <v>0</v>
      </c>
      <c r="Y15" s="313">
        <v>0</v>
      </c>
      <c r="Z15" s="313">
        <v>0</v>
      </c>
      <c r="AA15" s="313">
        <v>0</v>
      </c>
      <c r="AB15" s="313">
        <v>0</v>
      </c>
      <c r="AC15" s="313">
        <v>0</v>
      </c>
      <c r="AD15" s="313">
        <v>0</v>
      </c>
      <c r="AE15" s="313">
        <v>0</v>
      </c>
      <c r="AF15" s="313">
        <v>0</v>
      </c>
      <c r="AG15" s="313">
        <v>0</v>
      </c>
      <c r="AH15" s="313">
        <v>0</v>
      </c>
      <c r="AI15" s="314"/>
      <c r="AJ15" s="314"/>
      <c r="AK15" s="314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4"/>
      <c r="AX15" s="314"/>
      <c r="AY15" s="314"/>
      <c r="AZ15" s="314"/>
      <c r="BA15" s="314"/>
      <c r="BB15" s="314"/>
      <c r="BC15" s="314"/>
      <c r="BD15" s="314"/>
      <c r="BE15" s="314"/>
      <c r="BF15" s="314"/>
      <c r="BG15" s="314"/>
      <c r="BH15" s="314"/>
    </row>
    <row r="16" spans="1:60">
      <c r="A16" s="23" t="s">
        <v>147</v>
      </c>
      <c r="B16" s="12"/>
      <c r="C16" s="325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4"/>
      <c r="AJ16" s="314"/>
      <c r="AK16" s="314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  <c r="BG16" s="314"/>
      <c r="BH16" s="314"/>
    </row>
    <row r="17" spans="1:60">
      <c r="A17" s="13"/>
      <c r="B17" s="12"/>
      <c r="C17" s="325"/>
      <c r="D17" s="18"/>
      <c r="E17" s="18"/>
      <c r="F17" s="314"/>
      <c r="G17" s="314"/>
      <c r="H17" s="314"/>
      <c r="I17" s="314"/>
      <c r="J17" s="314"/>
      <c r="K17" s="314"/>
      <c r="L17" s="314"/>
      <c r="M17" s="314"/>
      <c r="N17" s="314"/>
      <c r="O17" s="314"/>
      <c r="P17" s="314"/>
      <c r="Q17" s="314"/>
      <c r="R17" s="314"/>
      <c r="S17" s="314"/>
      <c r="T17" s="314"/>
      <c r="U17" s="314"/>
      <c r="V17" s="314"/>
      <c r="W17" s="314"/>
      <c r="X17" s="314"/>
      <c r="Y17" s="314"/>
      <c r="Z17" s="151"/>
      <c r="AA17" s="151"/>
      <c r="AB17" s="314"/>
      <c r="AC17" s="314"/>
      <c r="AD17" s="314"/>
      <c r="AE17" s="314"/>
      <c r="AF17" s="314"/>
      <c r="AG17" s="314"/>
      <c r="AH17" s="314"/>
      <c r="AI17" s="314"/>
      <c r="AJ17" s="314"/>
      <c r="AK17" s="314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4"/>
      <c r="AX17" s="314"/>
      <c r="AY17" s="314"/>
      <c r="AZ17" s="314"/>
      <c r="BA17" s="314"/>
      <c r="BB17" s="314"/>
      <c r="BC17" s="314"/>
      <c r="BD17" s="314"/>
      <c r="BE17" s="314"/>
      <c r="BF17" s="314"/>
      <c r="BG17" s="314"/>
      <c r="BH17" s="314"/>
    </row>
    <row r="18" spans="1:60">
      <c r="A18" s="23" t="s">
        <v>148</v>
      </c>
      <c r="B18" s="12"/>
      <c r="C18" s="325">
        <f>Assumptions!C58</f>
        <v>103384.37914742176</v>
      </c>
      <c r="D18" s="18">
        <f>Depreciation!$B$48</f>
        <v>104408.37914742176</v>
      </c>
      <c r="E18" s="18">
        <f>Depreciation!$B$48</f>
        <v>104408.37914742176</v>
      </c>
      <c r="F18" s="18">
        <f>Depreciation!$B$48</f>
        <v>104408.37914742176</v>
      </c>
      <c r="G18" s="18">
        <f>Depreciation!$B$48</f>
        <v>104408.37914742176</v>
      </c>
      <c r="H18" s="18">
        <f>Depreciation!$B$48</f>
        <v>104408.37914742176</v>
      </c>
      <c r="I18" s="18">
        <f>Depreciation!$B$48</f>
        <v>104408.37914742176</v>
      </c>
      <c r="J18" s="18">
        <f>Depreciation!$B$48</f>
        <v>104408.37914742176</v>
      </c>
      <c r="K18" s="18">
        <f>Depreciation!$B$48</f>
        <v>104408.37914742176</v>
      </c>
      <c r="L18" s="18">
        <f>Depreciation!$B$48</f>
        <v>104408.37914742176</v>
      </c>
      <c r="M18" s="18">
        <f>Depreciation!$B$48</f>
        <v>104408.37914742176</v>
      </c>
      <c r="N18" s="18">
        <f>Depreciation!$B$48</f>
        <v>104408.37914742176</v>
      </c>
      <c r="O18" s="18">
        <f>Depreciation!$B$48</f>
        <v>104408.37914742176</v>
      </c>
      <c r="P18" s="18">
        <f>Depreciation!$B$48</f>
        <v>104408.37914742176</v>
      </c>
      <c r="Q18" s="18">
        <f>Depreciation!$B$48</f>
        <v>104408.37914742176</v>
      </c>
      <c r="R18" s="18">
        <f>Depreciation!$B$48</f>
        <v>104408.37914742176</v>
      </c>
      <c r="S18" s="18">
        <f>Depreciation!$B$48</f>
        <v>104408.37914742176</v>
      </c>
      <c r="T18" s="18">
        <f>Depreciation!$B$48</f>
        <v>104408.37914742176</v>
      </c>
      <c r="U18" s="18">
        <f>Depreciation!$B$48</f>
        <v>104408.37914742176</v>
      </c>
      <c r="V18" s="18">
        <f>Depreciation!$B$48</f>
        <v>104408.37914742176</v>
      </c>
      <c r="W18" s="18">
        <f>Depreciation!$B$48</f>
        <v>104408.37914742176</v>
      </c>
      <c r="X18" s="18">
        <f>Depreciation!$B$48</f>
        <v>104408.37914742176</v>
      </c>
      <c r="Y18" s="18">
        <f>Depreciation!$B$48</f>
        <v>104408.37914742176</v>
      </c>
      <c r="Z18" s="18">
        <f>Depreciation!$B$48</f>
        <v>104408.37914742176</v>
      </c>
      <c r="AA18" s="18">
        <f>Depreciation!$B$48</f>
        <v>104408.37914742176</v>
      </c>
      <c r="AB18" s="18">
        <f>Depreciation!$B$48</f>
        <v>104408.37914742176</v>
      </c>
      <c r="AC18" s="18">
        <f>Depreciation!$B$48</f>
        <v>104408.37914742176</v>
      </c>
      <c r="AD18" s="18">
        <f>Depreciation!$B$48</f>
        <v>104408.37914742176</v>
      </c>
      <c r="AE18" s="18">
        <f>Depreciation!$B$48</f>
        <v>104408.37914742176</v>
      </c>
      <c r="AF18" s="18">
        <f>Depreciation!$B$48</f>
        <v>104408.37914742176</v>
      </c>
      <c r="AG18" s="18">
        <f>Depreciation!$B$48</f>
        <v>104408.37914742176</v>
      </c>
      <c r="AH18" s="18">
        <f>Depreciation!$B$48</f>
        <v>104408.37914742176</v>
      </c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314"/>
      <c r="AU18" s="314"/>
      <c r="AV18" s="314"/>
      <c r="AW18" s="314"/>
      <c r="AX18" s="314"/>
      <c r="AY18" s="314"/>
      <c r="AZ18" s="314"/>
      <c r="BA18" s="314"/>
      <c r="BB18" s="314"/>
      <c r="BC18" s="314"/>
      <c r="BD18" s="314"/>
      <c r="BE18" s="314"/>
      <c r="BF18" s="314"/>
      <c r="BG18" s="314"/>
      <c r="BH18" s="314"/>
    </row>
    <row r="19" spans="1:60">
      <c r="A19" s="23" t="s">
        <v>149</v>
      </c>
      <c r="B19" s="13"/>
      <c r="C19" s="327">
        <v>0</v>
      </c>
      <c r="D19" s="315">
        <f>SUM(Depreciation!$D$48:D48)</f>
        <v>2340.8299684132144</v>
      </c>
      <c r="E19" s="315">
        <f>SUM(Depreciation!$D$48:E48)</f>
        <v>6353.6813428358673</v>
      </c>
      <c r="F19" s="315">
        <f>SUM(Depreciation!$D$48:F48)</f>
        <v>10366.53271725852</v>
      </c>
      <c r="G19" s="315">
        <f>SUM(Depreciation!$D$48:G48)</f>
        <v>14379.384091681173</v>
      </c>
      <c r="H19" s="315">
        <f>SUM(Depreciation!$D$48:H48)</f>
        <v>18392.235466103826</v>
      </c>
      <c r="I19" s="315">
        <f>SUM(Depreciation!$D$48:I48)</f>
        <v>21800.753507193145</v>
      </c>
      <c r="J19" s="315">
        <f>SUM(Depreciation!$D$48:J48)</f>
        <v>24777.604881615796</v>
      </c>
      <c r="K19" s="315">
        <f>SUM(Depreciation!$D$48:K48)</f>
        <v>27754.456256038447</v>
      </c>
      <c r="L19" s="315">
        <f>SUM(Depreciation!$D$48:L48)</f>
        <v>30731.307630461099</v>
      </c>
      <c r="M19" s="315">
        <f>SUM(Depreciation!$D$48:M48)</f>
        <v>33708.159004883753</v>
      </c>
      <c r="N19" s="315">
        <f>SUM(Depreciation!$D$48:N48)</f>
        <v>36685.010379306405</v>
      </c>
      <c r="O19" s="315">
        <f>SUM(Depreciation!$D$48:O48)</f>
        <v>39661.861753729056</v>
      </c>
      <c r="P19" s="315">
        <f>SUM(Depreciation!$D$48:P48)</f>
        <v>42638.713128151707</v>
      </c>
      <c r="Q19" s="315">
        <f>SUM(Depreciation!$D$48:Q48)</f>
        <v>45615.564502574358</v>
      </c>
      <c r="R19" s="315">
        <f>SUM(Depreciation!$D$48:R48)</f>
        <v>48592.415876997009</v>
      </c>
      <c r="S19" s="315">
        <f>SUM(Depreciation!$D$48:S48)</f>
        <v>51569.26725141966</v>
      </c>
      <c r="T19" s="315">
        <f>SUM(Depreciation!$D$48:T48)</f>
        <v>54546.118625842311</v>
      </c>
      <c r="U19" s="315">
        <f>SUM(Depreciation!$D$48:U48)</f>
        <v>57522.970000264962</v>
      </c>
      <c r="V19" s="315">
        <f>SUM(Depreciation!$D$48:V48)</f>
        <v>60499.821374687614</v>
      </c>
      <c r="W19" s="315">
        <f>SUM(Depreciation!$D$48:W48)</f>
        <v>63476.672749110265</v>
      </c>
      <c r="X19" s="315">
        <f>SUM(Depreciation!$D$48:X48)</f>
        <v>66453.524123532916</v>
      </c>
      <c r="Y19" s="315">
        <f>SUM(Depreciation!$D$48:Y48)</f>
        <v>69430.375497955567</v>
      </c>
      <c r="Z19" s="315">
        <f>SUM(Depreciation!$D$48:Z48)</f>
        <v>72407.226872378218</v>
      </c>
      <c r="AA19" s="315">
        <f>SUM(Depreciation!$D$48:AA48)</f>
        <v>75384.078246800869</v>
      </c>
      <c r="AB19" s="315">
        <f>SUM(Depreciation!$D$48:AB48)</f>
        <v>78360.92962122352</v>
      </c>
      <c r="AC19" s="315">
        <f>SUM(Depreciation!$D$48:AC48)</f>
        <v>81337.780995646172</v>
      </c>
      <c r="AD19" s="315">
        <f>SUM(Depreciation!$D$48:AD48)</f>
        <v>84314.632370068823</v>
      </c>
      <c r="AE19" s="315">
        <f>SUM(Depreciation!$D$48:AE48)</f>
        <v>87291.483744491474</v>
      </c>
      <c r="AF19" s="315">
        <f>SUM(Depreciation!$D$48:AF48)</f>
        <v>90268.335118914125</v>
      </c>
      <c r="AG19" s="315">
        <f>SUM(Depreciation!$D$48:AG48)</f>
        <v>93245.186493336776</v>
      </c>
      <c r="AH19" s="315">
        <f>SUM(Depreciation!$D$48:AH48)</f>
        <v>94485.541232679549</v>
      </c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  <c r="BG19" s="314"/>
      <c r="BH19" s="314"/>
    </row>
    <row r="20" spans="1:60">
      <c r="A20" s="23" t="s">
        <v>150</v>
      </c>
      <c r="B20" s="13"/>
      <c r="C20" s="328">
        <f>C18-C19</f>
        <v>103384.37914742176</v>
      </c>
      <c r="D20" s="23">
        <f>D18-D19</f>
        <v>102067.54917900855</v>
      </c>
      <c r="E20" s="23">
        <f t="shared" ref="E20:AH20" si="2">E18-E19</f>
        <v>98054.697804585885</v>
      </c>
      <c r="F20" s="23">
        <f t="shared" si="2"/>
        <v>94041.846430163234</v>
      </c>
      <c r="G20" s="23">
        <f t="shared" si="2"/>
        <v>90028.995055740583</v>
      </c>
      <c r="H20" s="23">
        <f t="shared" si="2"/>
        <v>86016.143681317932</v>
      </c>
      <c r="I20" s="23">
        <f t="shared" si="2"/>
        <v>82607.625640228609</v>
      </c>
      <c r="J20" s="23">
        <f t="shared" si="2"/>
        <v>79630.774265805958</v>
      </c>
      <c r="K20" s="23">
        <f t="shared" si="2"/>
        <v>76653.922891383307</v>
      </c>
      <c r="L20" s="23">
        <f t="shared" si="2"/>
        <v>73677.071516960656</v>
      </c>
      <c r="M20" s="23">
        <f t="shared" si="2"/>
        <v>70700.220142538004</v>
      </c>
      <c r="N20" s="23">
        <f t="shared" si="2"/>
        <v>67723.368768115353</v>
      </c>
      <c r="O20" s="23">
        <f t="shared" si="2"/>
        <v>64746.517393692702</v>
      </c>
      <c r="P20" s="23">
        <f t="shared" si="2"/>
        <v>61769.666019270051</v>
      </c>
      <c r="Q20" s="23">
        <f t="shared" si="2"/>
        <v>58792.8146448474</v>
      </c>
      <c r="R20" s="23">
        <f t="shared" si="2"/>
        <v>55815.963270424749</v>
      </c>
      <c r="S20" s="23">
        <f t="shared" si="2"/>
        <v>52839.111896002098</v>
      </c>
      <c r="T20" s="23">
        <f t="shared" si="2"/>
        <v>49862.260521579447</v>
      </c>
      <c r="U20" s="23">
        <f t="shared" si="2"/>
        <v>46885.409147156795</v>
      </c>
      <c r="V20" s="23">
        <f t="shared" si="2"/>
        <v>43908.557772734144</v>
      </c>
      <c r="W20" s="23">
        <f t="shared" si="2"/>
        <v>40931.706398311493</v>
      </c>
      <c r="X20" s="23">
        <f t="shared" si="2"/>
        <v>37954.855023888842</v>
      </c>
      <c r="Y20" s="23">
        <f t="shared" si="2"/>
        <v>34978.003649466191</v>
      </c>
      <c r="Z20" s="23">
        <f t="shared" si="2"/>
        <v>32001.15227504354</v>
      </c>
      <c r="AA20" s="23">
        <f t="shared" si="2"/>
        <v>29024.300900620889</v>
      </c>
      <c r="AB20" s="23">
        <f t="shared" si="2"/>
        <v>26047.449526198237</v>
      </c>
      <c r="AC20" s="23">
        <f t="shared" si="2"/>
        <v>23070.598151775586</v>
      </c>
      <c r="AD20" s="23">
        <f t="shared" si="2"/>
        <v>20093.746777352935</v>
      </c>
      <c r="AE20" s="23">
        <f t="shared" si="2"/>
        <v>17116.895402930284</v>
      </c>
      <c r="AF20" s="23">
        <f t="shared" si="2"/>
        <v>14140.044028507633</v>
      </c>
      <c r="AG20" s="23">
        <f t="shared" si="2"/>
        <v>11163.192654084982</v>
      </c>
      <c r="AH20" s="23">
        <f t="shared" si="2"/>
        <v>9922.8379147422093</v>
      </c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  <c r="AS20" s="314"/>
      <c r="AT20" s="314"/>
      <c r="AU20" s="314"/>
      <c r="AV20" s="314"/>
      <c r="AW20" s="314"/>
      <c r="AX20" s="314"/>
      <c r="AY20" s="314"/>
      <c r="AZ20" s="314"/>
      <c r="BA20" s="314"/>
      <c r="BB20" s="314"/>
      <c r="BC20" s="314"/>
      <c r="BD20" s="314"/>
      <c r="BE20" s="314"/>
      <c r="BF20" s="314"/>
      <c r="BG20" s="314"/>
      <c r="BH20" s="314"/>
    </row>
    <row r="21" spans="1:60">
      <c r="A21" s="23"/>
      <c r="B21" s="13"/>
      <c r="C21" s="328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314"/>
      <c r="AU21" s="314"/>
      <c r="AV21" s="314"/>
      <c r="AW21" s="314"/>
      <c r="AX21" s="314"/>
      <c r="AY21" s="314"/>
      <c r="AZ21" s="314"/>
      <c r="BA21" s="314"/>
      <c r="BB21" s="314"/>
      <c r="BC21" s="314"/>
      <c r="BD21" s="314"/>
      <c r="BE21" s="314"/>
      <c r="BF21" s="314"/>
      <c r="BG21" s="314"/>
      <c r="BH21" s="314"/>
    </row>
    <row r="22" spans="1:60">
      <c r="A22" s="23" t="s">
        <v>151</v>
      </c>
      <c r="B22" s="13"/>
      <c r="C22" s="325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E22" s="314"/>
      <c r="BF22" s="314"/>
      <c r="BG22" s="314"/>
      <c r="BH22" s="314"/>
    </row>
    <row r="23" spans="1:60">
      <c r="A23" s="23" t="s">
        <v>152</v>
      </c>
      <c r="B23" s="13"/>
      <c r="C23" s="329">
        <v>0</v>
      </c>
      <c r="D23" s="316">
        <v>0</v>
      </c>
      <c r="E23" s="316">
        <v>0</v>
      </c>
      <c r="F23" s="316">
        <v>0</v>
      </c>
      <c r="G23" s="316">
        <v>0</v>
      </c>
      <c r="H23" s="316">
        <v>0</v>
      </c>
      <c r="I23" s="316">
        <v>0</v>
      </c>
      <c r="J23" s="316">
        <v>0</v>
      </c>
      <c r="K23" s="316">
        <v>0</v>
      </c>
      <c r="L23" s="316">
        <v>0</v>
      </c>
      <c r="M23" s="316">
        <v>0</v>
      </c>
      <c r="N23" s="316">
        <v>0</v>
      </c>
      <c r="O23" s="316">
        <v>0</v>
      </c>
      <c r="P23" s="316">
        <v>0</v>
      </c>
      <c r="Q23" s="316">
        <v>0</v>
      </c>
      <c r="R23" s="316">
        <v>0</v>
      </c>
      <c r="S23" s="316">
        <v>0</v>
      </c>
      <c r="T23" s="316">
        <v>0</v>
      </c>
      <c r="U23" s="316">
        <v>0</v>
      </c>
      <c r="V23" s="316">
        <v>0</v>
      </c>
      <c r="W23" s="316">
        <v>0</v>
      </c>
      <c r="X23" s="316">
        <v>0</v>
      </c>
      <c r="Y23" s="316">
        <v>0</v>
      </c>
      <c r="Z23" s="316">
        <v>0</v>
      </c>
      <c r="AA23" s="316">
        <v>0</v>
      </c>
      <c r="AB23" s="316">
        <v>0</v>
      </c>
      <c r="AC23" s="316">
        <v>0</v>
      </c>
      <c r="AD23" s="316">
        <v>0</v>
      </c>
      <c r="AE23" s="316">
        <v>0</v>
      </c>
      <c r="AF23" s="316">
        <v>0</v>
      </c>
      <c r="AG23" s="316">
        <v>0</v>
      </c>
      <c r="AH23" s="316">
        <v>0</v>
      </c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4"/>
      <c r="BA23" s="314"/>
      <c r="BB23" s="314"/>
      <c r="BC23" s="314"/>
      <c r="BD23" s="314"/>
      <c r="BE23" s="314"/>
      <c r="BF23" s="314"/>
      <c r="BG23" s="314"/>
      <c r="BH23" s="314"/>
    </row>
    <row r="24" spans="1:60">
      <c r="A24" s="13"/>
      <c r="B24" s="13"/>
      <c r="C24" s="328"/>
      <c r="D24" s="23"/>
      <c r="E24" s="23"/>
      <c r="F24" s="317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151"/>
      <c r="AA24" s="151"/>
      <c r="AB24" s="314"/>
      <c r="AC24" s="314"/>
      <c r="AD24" s="314"/>
      <c r="AE24" s="314"/>
      <c r="AF24" s="314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314"/>
      <c r="AW24" s="314"/>
      <c r="AX24" s="314"/>
      <c r="AY24" s="314"/>
      <c r="AZ24" s="314"/>
      <c r="BA24" s="314"/>
      <c r="BB24" s="314"/>
      <c r="BC24" s="314"/>
      <c r="BD24" s="314"/>
      <c r="BE24" s="314"/>
      <c r="BF24" s="314"/>
      <c r="BG24" s="314"/>
      <c r="BH24" s="314"/>
    </row>
    <row r="25" spans="1:60">
      <c r="A25" s="134" t="s">
        <v>153</v>
      </c>
      <c r="B25" s="13"/>
      <c r="C25" s="328">
        <f>SUM(C16,C20,C22,C23)</f>
        <v>103384.37914742176</v>
      </c>
      <c r="D25" s="23">
        <f>SUM(D16,D20,D22,D23)</f>
        <v>102067.54917900855</v>
      </c>
      <c r="E25" s="23">
        <f t="shared" ref="E25:AH25" si="3">SUM(E16,E20,E22,E23)</f>
        <v>98054.697804585885</v>
      </c>
      <c r="F25" s="23">
        <f t="shared" si="3"/>
        <v>94041.846430163234</v>
      </c>
      <c r="G25" s="23">
        <f t="shared" si="3"/>
        <v>90028.995055740583</v>
      </c>
      <c r="H25" s="23">
        <f t="shared" si="3"/>
        <v>86016.143681317932</v>
      </c>
      <c r="I25" s="23">
        <f t="shared" si="3"/>
        <v>82607.625640228609</v>
      </c>
      <c r="J25" s="23">
        <f t="shared" si="3"/>
        <v>79630.774265805958</v>
      </c>
      <c r="K25" s="23">
        <f t="shared" si="3"/>
        <v>76653.922891383307</v>
      </c>
      <c r="L25" s="23">
        <f t="shared" si="3"/>
        <v>73677.071516960656</v>
      </c>
      <c r="M25" s="23">
        <f t="shared" si="3"/>
        <v>70700.220142538004</v>
      </c>
      <c r="N25" s="23">
        <f t="shared" si="3"/>
        <v>67723.368768115353</v>
      </c>
      <c r="O25" s="23">
        <f t="shared" si="3"/>
        <v>64746.517393692702</v>
      </c>
      <c r="P25" s="23">
        <f t="shared" si="3"/>
        <v>61769.666019270051</v>
      </c>
      <c r="Q25" s="23">
        <f t="shared" si="3"/>
        <v>58792.8146448474</v>
      </c>
      <c r="R25" s="23">
        <f t="shared" si="3"/>
        <v>55815.963270424749</v>
      </c>
      <c r="S25" s="23">
        <f t="shared" si="3"/>
        <v>52839.111896002098</v>
      </c>
      <c r="T25" s="23">
        <f t="shared" si="3"/>
        <v>49862.260521579447</v>
      </c>
      <c r="U25" s="23">
        <f t="shared" si="3"/>
        <v>46885.409147156795</v>
      </c>
      <c r="V25" s="23">
        <f t="shared" si="3"/>
        <v>43908.557772734144</v>
      </c>
      <c r="W25" s="23">
        <f t="shared" si="3"/>
        <v>40931.706398311493</v>
      </c>
      <c r="X25" s="23">
        <f t="shared" si="3"/>
        <v>37954.855023888842</v>
      </c>
      <c r="Y25" s="23">
        <f t="shared" si="3"/>
        <v>34978.003649466191</v>
      </c>
      <c r="Z25" s="23">
        <f t="shared" si="3"/>
        <v>32001.15227504354</v>
      </c>
      <c r="AA25" s="23">
        <f t="shared" si="3"/>
        <v>29024.300900620889</v>
      </c>
      <c r="AB25" s="23">
        <f t="shared" si="3"/>
        <v>26047.449526198237</v>
      </c>
      <c r="AC25" s="23">
        <f t="shared" si="3"/>
        <v>23070.598151775586</v>
      </c>
      <c r="AD25" s="23">
        <f t="shared" si="3"/>
        <v>20093.746777352935</v>
      </c>
      <c r="AE25" s="23">
        <f t="shared" si="3"/>
        <v>17116.895402930284</v>
      </c>
      <c r="AF25" s="23">
        <f t="shared" si="3"/>
        <v>14140.044028507633</v>
      </c>
      <c r="AG25" s="23">
        <f t="shared" si="3"/>
        <v>11163.192654084982</v>
      </c>
      <c r="AH25" s="23">
        <f t="shared" si="3"/>
        <v>9922.8379147422093</v>
      </c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314"/>
      <c r="AX25" s="314"/>
      <c r="AY25" s="314"/>
      <c r="AZ25" s="314"/>
      <c r="BA25" s="314"/>
      <c r="BB25" s="314"/>
      <c r="BC25" s="314"/>
      <c r="BD25" s="314"/>
      <c r="BE25" s="314"/>
      <c r="BF25" s="314"/>
      <c r="BG25" s="314"/>
      <c r="BH25" s="314"/>
    </row>
    <row r="26" spans="1:60">
      <c r="A26" s="13"/>
      <c r="B26" s="13"/>
      <c r="C26" s="328"/>
      <c r="D26" s="23"/>
      <c r="E26" s="23"/>
      <c r="F26" s="317"/>
      <c r="G26" s="314"/>
      <c r="H26" s="314"/>
      <c r="I26" s="314"/>
      <c r="J26" s="314"/>
      <c r="K26" s="314"/>
      <c r="L26" s="314"/>
      <c r="M26" s="314"/>
      <c r="N26" s="314"/>
      <c r="O26" s="314"/>
      <c r="P26" s="314"/>
      <c r="Q26" s="314"/>
      <c r="R26" s="314"/>
      <c r="S26" s="314"/>
      <c r="T26" s="314"/>
      <c r="U26" s="314"/>
      <c r="V26" s="314"/>
      <c r="W26" s="314"/>
      <c r="X26" s="314"/>
      <c r="Y26" s="314"/>
      <c r="Z26" s="151"/>
      <c r="AA26" s="151"/>
      <c r="AB26" s="314"/>
      <c r="AC26" s="314"/>
      <c r="AD26" s="314"/>
      <c r="AE26" s="314"/>
      <c r="AF26" s="314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4"/>
      <c r="BA26" s="314"/>
      <c r="BB26" s="314"/>
      <c r="BC26" s="314"/>
      <c r="BD26" s="314"/>
      <c r="BE26" s="314"/>
      <c r="BF26" s="314"/>
      <c r="BG26" s="314"/>
      <c r="BH26" s="314"/>
    </row>
    <row r="27" spans="1:60">
      <c r="A27" s="13"/>
      <c r="B27" s="13"/>
      <c r="C27" s="328"/>
      <c r="D27" s="23"/>
      <c r="E27" s="23"/>
      <c r="F27" s="317"/>
      <c r="G27" s="314"/>
      <c r="H27" s="314"/>
      <c r="I27" s="314"/>
      <c r="J27" s="314"/>
      <c r="K27" s="314"/>
      <c r="L27" s="314"/>
      <c r="M27" s="314"/>
      <c r="N27" s="314"/>
      <c r="O27" s="314"/>
      <c r="P27" s="314"/>
      <c r="Q27" s="314"/>
      <c r="R27" s="314"/>
      <c r="S27" s="314"/>
      <c r="T27" s="314"/>
      <c r="U27" s="314"/>
      <c r="V27" s="314"/>
      <c r="W27" s="314"/>
      <c r="X27" s="314"/>
      <c r="Y27" s="314"/>
      <c r="Z27" s="151"/>
      <c r="AA27" s="151"/>
      <c r="AB27" s="314"/>
      <c r="AC27" s="314"/>
      <c r="AD27" s="314"/>
      <c r="AE27" s="314"/>
      <c r="AF27" s="314"/>
      <c r="AG27" s="314"/>
      <c r="AH27" s="314"/>
      <c r="AI27" s="314"/>
      <c r="AJ27" s="314"/>
      <c r="AK27" s="314"/>
      <c r="AL27" s="314"/>
      <c r="AM27" s="314"/>
      <c r="AN27" s="314"/>
      <c r="AO27" s="314"/>
      <c r="AP27" s="314"/>
      <c r="AQ27" s="314"/>
      <c r="AR27" s="314"/>
      <c r="AS27" s="314"/>
      <c r="AT27" s="314"/>
      <c r="AU27" s="314"/>
      <c r="AV27" s="314"/>
      <c r="AW27" s="314"/>
      <c r="AX27" s="314"/>
      <c r="AY27" s="314"/>
      <c r="AZ27" s="314"/>
      <c r="BA27" s="314"/>
      <c r="BB27" s="314"/>
      <c r="BC27" s="314"/>
      <c r="BD27" s="314"/>
      <c r="BE27" s="314"/>
      <c r="BF27" s="314"/>
      <c r="BG27" s="314"/>
      <c r="BH27" s="314"/>
    </row>
    <row r="28" spans="1:60">
      <c r="A28" s="134" t="s">
        <v>154</v>
      </c>
      <c r="B28" s="13"/>
      <c r="C28" s="328"/>
      <c r="D28" s="23"/>
      <c r="E28" s="23"/>
      <c r="F28" s="317"/>
      <c r="G28" s="314"/>
      <c r="H28" s="314"/>
      <c r="I28" s="314"/>
      <c r="J28" s="314"/>
      <c r="K28" s="314"/>
      <c r="L28" s="314"/>
      <c r="M28" s="314"/>
      <c r="N28" s="314"/>
      <c r="O28" s="314"/>
      <c r="P28" s="314"/>
      <c r="Q28" s="314"/>
      <c r="R28" s="314"/>
      <c r="S28" s="314"/>
      <c r="T28" s="314"/>
      <c r="U28" s="314"/>
      <c r="V28" s="314"/>
      <c r="W28" s="314"/>
      <c r="X28" s="314"/>
      <c r="Y28" s="314"/>
      <c r="Z28" s="151"/>
      <c r="AA28" s="151"/>
      <c r="AB28" s="314"/>
      <c r="AC28" s="314"/>
      <c r="AD28" s="314"/>
      <c r="AE28" s="314"/>
      <c r="AF28" s="314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314"/>
      <c r="BB28" s="314"/>
      <c r="BC28" s="314"/>
      <c r="BD28" s="314"/>
      <c r="BE28" s="314"/>
      <c r="BF28" s="314"/>
      <c r="BG28" s="314"/>
      <c r="BH28" s="314"/>
    </row>
    <row r="29" spans="1:60">
      <c r="A29" s="134"/>
      <c r="B29" s="13"/>
      <c r="C29" s="328"/>
      <c r="D29" s="23"/>
      <c r="E29" s="23"/>
      <c r="F29" s="317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314"/>
      <c r="S29" s="314"/>
      <c r="T29" s="314"/>
      <c r="U29" s="314"/>
      <c r="V29" s="314"/>
      <c r="W29" s="314"/>
      <c r="X29" s="314"/>
      <c r="Y29" s="314"/>
      <c r="Z29" s="151"/>
      <c r="AA29" s="151"/>
      <c r="AB29" s="314"/>
      <c r="AC29" s="314"/>
      <c r="AD29" s="314"/>
      <c r="AE29" s="314"/>
      <c r="AF29" s="314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314"/>
      <c r="BB29" s="314"/>
      <c r="BC29" s="314"/>
      <c r="BD29" s="314"/>
      <c r="BE29" s="314"/>
      <c r="BF29" s="314"/>
      <c r="BG29" s="314"/>
      <c r="BH29" s="314"/>
    </row>
    <row r="30" spans="1:60">
      <c r="A30" s="23" t="s">
        <v>155</v>
      </c>
      <c r="C30" s="325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4"/>
      <c r="AJ30" s="314"/>
      <c r="AK30" s="314"/>
      <c r="AL30" s="314"/>
      <c r="AM30" s="314"/>
      <c r="AN30" s="314"/>
      <c r="AO30" s="314"/>
      <c r="AP30" s="314"/>
      <c r="AQ30" s="314"/>
      <c r="AR30" s="314"/>
      <c r="AS30" s="314"/>
      <c r="AT30" s="314"/>
      <c r="AU30" s="314"/>
      <c r="AV30" s="314"/>
      <c r="AW30" s="314"/>
      <c r="AX30" s="314"/>
      <c r="AY30" s="314"/>
      <c r="AZ30" s="314"/>
      <c r="BA30" s="314"/>
      <c r="BB30" s="314"/>
      <c r="BC30" s="314"/>
      <c r="BD30" s="314"/>
      <c r="BE30" s="314"/>
      <c r="BF30" s="314"/>
      <c r="BG30" s="314"/>
      <c r="BH30" s="314"/>
    </row>
    <row r="31" spans="1:60">
      <c r="A31" s="23" t="s">
        <v>156</v>
      </c>
      <c r="C31" s="325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4"/>
      <c r="AJ31" s="314"/>
      <c r="AK31" s="314"/>
      <c r="AL31" s="314"/>
      <c r="AM31" s="314"/>
      <c r="AN31" s="314"/>
      <c r="AO31" s="314"/>
      <c r="AP31" s="314"/>
      <c r="AQ31" s="314"/>
      <c r="AR31" s="314"/>
      <c r="AS31" s="314"/>
      <c r="AT31" s="314"/>
      <c r="AU31" s="314"/>
      <c r="AV31" s="314"/>
      <c r="AW31" s="314"/>
      <c r="AX31" s="314"/>
      <c r="AY31" s="314"/>
      <c r="AZ31" s="314"/>
      <c r="BA31" s="314"/>
      <c r="BB31" s="314"/>
      <c r="BC31" s="314"/>
      <c r="BD31" s="314"/>
      <c r="BE31" s="314"/>
      <c r="BF31" s="314"/>
      <c r="BG31" s="314"/>
      <c r="BH31" s="314"/>
    </row>
    <row r="32" spans="1:60">
      <c r="A32" s="23" t="s">
        <v>157</v>
      </c>
      <c r="C32" s="328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4"/>
      <c r="AZ32" s="314"/>
      <c r="BA32" s="314"/>
      <c r="BB32" s="314"/>
      <c r="BC32" s="314"/>
      <c r="BD32" s="314"/>
      <c r="BE32" s="314"/>
      <c r="BF32" s="314"/>
      <c r="BG32" s="314"/>
      <c r="BH32" s="314"/>
    </row>
    <row r="33" spans="1:60">
      <c r="A33" s="23" t="s">
        <v>158</v>
      </c>
      <c r="C33" s="325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4"/>
      <c r="AJ33" s="314"/>
      <c r="AK33" s="314"/>
      <c r="AL33" s="314"/>
      <c r="AM33" s="314"/>
      <c r="AN33" s="314"/>
      <c r="AO33" s="314"/>
      <c r="AP33" s="314"/>
      <c r="AQ33" s="314"/>
      <c r="AR33" s="314"/>
      <c r="AS33" s="314"/>
      <c r="AT33" s="314"/>
      <c r="AU33" s="314"/>
      <c r="AV33" s="314"/>
      <c r="AW33" s="314"/>
      <c r="AX33" s="314"/>
      <c r="AY33" s="314"/>
      <c r="AZ33" s="314"/>
      <c r="BA33" s="314"/>
      <c r="BB33" s="314"/>
      <c r="BC33" s="314"/>
      <c r="BD33" s="314"/>
      <c r="BE33" s="314"/>
      <c r="BF33" s="314"/>
      <c r="BG33" s="314"/>
      <c r="BH33" s="314"/>
    </row>
    <row r="34" spans="1:60">
      <c r="A34" s="23" t="s">
        <v>159</v>
      </c>
      <c r="C34" s="328">
        <f>Assumptions!C12</f>
        <v>79784.710682961333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</row>
    <row r="35" spans="1:60">
      <c r="A35" s="23" t="s">
        <v>160</v>
      </c>
      <c r="C35" s="327">
        <v>0</v>
      </c>
      <c r="D35" s="315">
        <v>0</v>
      </c>
      <c r="E35" s="315">
        <v>0</v>
      </c>
      <c r="F35" s="318">
        <v>0</v>
      </c>
      <c r="G35" s="319">
        <v>0</v>
      </c>
      <c r="H35" s="319">
        <v>0</v>
      </c>
      <c r="I35" s="319">
        <v>0</v>
      </c>
      <c r="J35" s="319">
        <v>0</v>
      </c>
      <c r="K35" s="319">
        <v>0</v>
      </c>
      <c r="L35" s="319">
        <v>0</v>
      </c>
      <c r="M35" s="319">
        <v>0</v>
      </c>
      <c r="N35" s="319">
        <v>0</v>
      </c>
      <c r="O35" s="319">
        <v>0</v>
      </c>
      <c r="P35" s="319">
        <v>0</v>
      </c>
      <c r="Q35" s="319">
        <v>0</v>
      </c>
      <c r="R35" s="319">
        <v>0</v>
      </c>
      <c r="S35" s="319">
        <v>0</v>
      </c>
      <c r="T35" s="319">
        <v>0</v>
      </c>
      <c r="U35" s="319">
        <v>0</v>
      </c>
      <c r="V35" s="319">
        <v>0</v>
      </c>
      <c r="W35" s="319">
        <v>0</v>
      </c>
      <c r="X35" s="319">
        <v>0</v>
      </c>
      <c r="Y35" s="319">
        <v>0</v>
      </c>
      <c r="Z35" s="320">
        <v>0</v>
      </c>
      <c r="AA35" s="320">
        <v>0</v>
      </c>
      <c r="AB35" s="319">
        <v>0</v>
      </c>
      <c r="AC35" s="319">
        <v>0</v>
      </c>
      <c r="AD35" s="319">
        <v>0</v>
      </c>
      <c r="AE35" s="319">
        <v>0</v>
      </c>
      <c r="AF35" s="319">
        <v>0</v>
      </c>
      <c r="AG35" s="319">
        <v>0</v>
      </c>
      <c r="AH35" s="319">
        <v>0</v>
      </c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</row>
    <row r="36" spans="1:60">
      <c r="A36" s="23"/>
      <c r="C36" s="328"/>
      <c r="D36" s="23"/>
      <c r="E36" s="23"/>
      <c r="F36" s="317"/>
      <c r="G36" s="314"/>
      <c r="H36" s="314"/>
      <c r="I36" s="314"/>
      <c r="J36" s="314"/>
      <c r="K36" s="314"/>
      <c r="L36" s="314"/>
      <c r="M36" s="314"/>
      <c r="N36" s="314"/>
      <c r="O36" s="314"/>
      <c r="P36" s="314"/>
      <c r="Q36" s="314"/>
      <c r="R36" s="314"/>
      <c r="S36" s="314"/>
      <c r="T36" s="314"/>
      <c r="U36" s="314"/>
      <c r="V36" s="314"/>
      <c r="W36" s="314"/>
      <c r="X36" s="314"/>
      <c r="Y36" s="314"/>
      <c r="Z36" s="151"/>
      <c r="AA36" s="151"/>
      <c r="AB36" s="314"/>
      <c r="AC36" s="314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</row>
    <row r="37" spans="1:60">
      <c r="A37" s="134" t="s">
        <v>161</v>
      </c>
      <c r="B37" s="13"/>
      <c r="C37" s="328">
        <f>SUM(C30:C35)</f>
        <v>79784.710682961333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</row>
    <row r="38" spans="1:60">
      <c r="A38" s="23"/>
      <c r="B38" s="13"/>
      <c r="C38" s="328"/>
      <c r="D38" s="23"/>
      <c r="E38" s="23"/>
      <c r="F38" s="317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14"/>
      <c r="Z38" s="151"/>
      <c r="AA38" s="151"/>
      <c r="AB38" s="314"/>
      <c r="AC38" s="314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</row>
    <row r="39" spans="1:60">
      <c r="A39" s="134" t="s">
        <v>162</v>
      </c>
      <c r="B39" s="13"/>
      <c r="C39" s="328"/>
      <c r="D39" s="23"/>
      <c r="E39" s="23"/>
      <c r="F39" s="317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14"/>
      <c r="Y39" s="314"/>
      <c r="Z39" s="151"/>
      <c r="AA39" s="151"/>
      <c r="AB39" s="314"/>
      <c r="AC39" s="314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</row>
    <row r="40" spans="1:60">
      <c r="A40" s="134"/>
      <c r="B40" s="13"/>
      <c r="C40" s="328"/>
      <c r="D40" s="23"/>
      <c r="E40" s="23"/>
      <c r="F40" s="317"/>
      <c r="G40" s="314"/>
      <c r="H40" s="314"/>
      <c r="I40" s="314"/>
      <c r="J40" s="314"/>
      <c r="K40" s="314"/>
      <c r="L40" s="314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151"/>
      <c r="AA40" s="151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</row>
    <row r="41" spans="1:60">
      <c r="A41" s="23" t="s">
        <v>163</v>
      </c>
      <c r="C41" s="328">
        <f>Assumptions!$C$11</f>
        <v>23599.668464460425</v>
      </c>
      <c r="D41" s="23">
        <f>Assumptions!$C$11</f>
        <v>23599.668464460425</v>
      </c>
      <c r="E41" s="23">
        <f>Assumptions!$C$11</f>
        <v>23599.668464460425</v>
      </c>
      <c r="F41" s="23">
        <f>Assumptions!$C$11</f>
        <v>23599.668464460425</v>
      </c>
      <c r="G41" s="23">
        <f>Assumptions!$C$11</f>
        <v>23599.668464460425</v>
      </c>
      <c r="H41" s="23">
        <f>Assumptions!$C$11</f>
        <v>23599.668464460425</v>
      </c>
      <c r="I41" s="23">
        <f>Assumptions!$C$11</f>
        <v>23599.668464460425</v>
      </c>
      <c r="J41" s="23">
        <f>Assumptions!$C$11</f>
        <v>23599.668464460425</v>
      </c>
      <c r="K41" s="23">
        <f>Assumptions!$C$11</f>
        <v>23599.668464460425</v>
      </c>
      <c r="L41" s="23">
        <f>Assumptions!$C$11</f>
        <v>23599.668464460425</v>
      </c>
      <c r="M41" s="23">
        <f>Assumptions!$C$11</f>
        <v>23599.668464460425</v>
      </c>
      <c r="N41" s="23">
        <f>Assumptions!$C$11</f>
        <v>23599.668464460425</v>
      </c>
      <c r="O41" s="23">
        <f>Assumptions!$C$11</f>
        <v>23599.668464460425</v>
      </c>
      <c r="P41" s="23">
        <f>Assumptions!$C$11</f>
        <v>23599.668464460425</v>
      </c>
      <c r="Q41" s="23">
        <f>Assumptions!$C$11</f>
        <v>23599.668464460425</v>
      </c>
      <c r="R41" s="23">
        <f>Assumptions!$C$11</f>
        <v>23599.668464460425</v>
      </c>
      <c r="S41" s="23">
        <f>Assumptions!$C$11</f>
        <v>23599.668464460425</v>
      </c>
      <c r="T41" s="23">
        <f>Assumptions!$C$11</f>
        <v>23599.668464460425</v>
      </c>
      <c r="U41" s="23">
        <f>Assumptions!$C$11</f>
        <v>23599.668464460425</v>
      </c>
      <c r="V41" s="23">
        <f>Assumptions!$C$11</f>
        <v>23599.668464460425</v>
      </c>
      <c r="W41" s="23">
        <f>Assumptions!$C$11</f>
        <v>23599.668464460425</v>
      </c>
      <c r="X41" s="23">
        <f>Assumptions!$C$11</f>
        <v>23599.668464460425</v>
      </c>
      <c r="Y41" s="23">
        <f>Assumptions!$C$11</f>
        <v>23599.668464460425</v>
      </c>
      <c r="Z41" s="23">
        <f>Assumptions!$C$11</f>
        <v>23599.668464460425</v>
      </c>
      <c r="AA41" s="23">
        <f>Assumptions!$C$11</f>
        <v>23599.668464460425</v>
      </c>
      <c r="AB41" s="23">
        <f>Assumptions!$C$11</f>
        <v>23599.668464460425</v>
      </c>
      <c r="AC41" s="23">
        <f>Assumptions!$C$11</f>
        <v>23599.668464460425</v>
      </c>
      <c r="AD41" s="23">
        <f>Assumptions!$C$11</f>
        <v>23599.668464460425</v>
      </c>
      <c r="AE41" s="23">
        <f>Assumptions!$C$11</f>
        <v>23599.668464460425</v>
      </c>
      <c r="AF41" s="23">
        <f>Assumptions!$C$11</f>
        <v>23599.668464460425</v>
      </c>
      <c r="AG41" s="23">
        <f>Assumptions!$C$11</f>
        <v>23599.668464460425</v>
      </c>
      <c r="AH41" s="23">
        <f>Assumptions!$C$11</f>
        <v>23599.668464460425</v>
      </c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</row>
    <row r="42" spans="1:60">
      <c r="A42" s="23" t="s">
        <v>164</v>
      </c>
      <c r="C42" s="327" t="e">
        <f>IS!B45-'Returns Analysis'!#REF!</f>
        <v>#REF!</v>
      </c>
      <c r="D42" s="315" t="e">
        <f>IS!C45-'Returns Analysis'!#REF!</f>
        <v>#REF!</v>
      </c>
      <c r="E42" s="315" t="e">
        <f>IS!D45-'Returns Analysis'!#REF!</f>
        <v>#REF!</v>
      </c>
      <c r="F42" s="315" t="e">
        <f>IS!E45-'Returns Analysis'!#REF!</f>
        <v>#REF!</v>
      </c>
      <c r="G42" s="315" t="e">
        <f>IS!F45-'Returns Analysis'!#REF!</f>
        <v>#REF!</v>
      </c>
      <c r="H42" s="315" t="e">
        <f>IS!G45-'Returns Analysis'!#REF!</f>
        <v>#REF!</v>
      </c>
      <c r="I42" s="315" t="e">
        <f>IS!H45-'Returns Analysis'!#REF!</f>
        <v>#REF!</v>
      </c>
      <c r="J42" s="315" t="e">
        <f>IS!I45-'Returns Analysis'!#REF!</f>
        <v>#REF!</v>
      </c>
      <c r="K42" s="315" t="e">
        <f>IS!J45-'Returns Analysis'!#REF!</f>
        <v>#REF!</v>
      </c>
      <c r="L42" s="315" t="e">
        <f>IS!K45-'Returns Analysis'!#REF!</f>
        <v>#REF!</v>
      </c>
      <c r="M42" s="315" t="e">
        <f>IS!L45-'Returns Analysis'!#REF!</f>
        <v>#REF!</v>
      </c>
      <c r="N42" s="315" t="e">
        <f>IS!M45-'Returns Analysis'!#REF!</f>
        <v>#REF!</v>
      </c>
      <c r="O42" s="315" t="e">
        <f>IS!N45-'Returns Analysis'!#REF!</f>
        <v>#REF!</v>
      </c>
      <c r="P42" s="315" t="e">
        <f>IS!O45-'Returns Analysis'!#REF!</f>
        <v>#REF!</v>
      </c>
      <c r="Q42" s="315" t="e">
        <f>IS!P45-'Returns Analysis'!#REF!</f>
        <v>#REF!</v>
      </c>
      <c r="R42" s="315" t="e">
        <f>IS!Q45-'Returns Analysis'!#REF!</f>
        <v>#REF!</v>
      </c>
      <c r="S42" s="315" t="e">
        <f>IS!R45-'Returns Analysis'!#REF!</f>
        <v>#REF!</v>
      </c>
      <c r="T42" s="315" t="e">
        <f>IS!S45-'Returns Analysis'!#REF!</f>
        <v>#REF!</v>
      </c>
      <c r="U42" s="315" t="e">
        <f>IS!T45-'Returns Analysis'!#REF!</f>
        <v>#REF!</v>
      </c>
      <c r="V42" s="315" t="e">
        <f>IS!U45-'Returns Analysis'!#REF!</f>
        <v>#REF!</v>
      </c>
      <c r="W42" s="315" t="e">
        <f>IS!V45-'Returns Analysis'!#REF!</f>
        <v>#REF!</v>
      </c>
      <c r="X42" s="315" t="e">
        <f>IS!W45-'Returns Analysis'!#REF!</f>
        <v>#REF!</v>
      </c>
      <c r="Y42" s="315" t="e">
        <f>IS!X45-'Returns Analysis'!#REF!</f>
        <v>#REF!</v>
      </c>
      <c r="Z42" s="315" t="e">
        <f>IS!Y45-'Returns Analysis'!#REF!</f>
        <v>#REF!</v>
      </c>
      <c r="AA42" s="315" t="e">
        <f>IS!Z45-'Returns Analysis'!#REF!</f>
        <v>#REF!</v>
      </c>
      <c r="AB42" s="315" t="e">
        <f>IS!AA45-'Returns Analysis'!#REF!</f>
        <v>#REF!</v>
      </c>
      <c r="AC42" s="315" t="e">
        <f>IS!AB45-'Returns Analysis'!#REF!</f>
        <v>#REF!</v>
      </c>
      <c r="AD42" s="315" t="e">
        <f>IS!AC45-'Returns Analysis'!#REF!</f>
        <v>#REF!</v>
      </c>
      <c r="AE42" s="315" t="e">
        <f>IS!AD45-'Returns Analysis'!#REF!</f>
        <v>#REF!</v>
      </c>
      <c r="AF42" s="315" t="e">
        <f>IS!AE45-'Returns Analysis'!#REF!</f>
        <v>#REF!</v>
      </c>
      <c r="AG42" s="315" t="e">
        <f>IS!AF45-'Returns Analysis'!#REF!</f>
        <v>#REF!</v>
      </c>
      <c r="AH42" s="315" t="e">
        <f>IS!AG45-'Returns Analysis'!#REF!</f>
        <v>#REF!</v>
      </c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</row>
    <row r="43" spans="1:60">
      <c r="A43" s="23" t="s">
        <v>165</v>
      </c>
      <c r="C43" s="328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</row>
    <row r="44" spans="1:60">
      <c r="A44" s="13"/>
      <c r="B44" s="13"/>
      <c r="C44" s="328"/>
      <c r="D44" s="23"/>
      <c r="E44" s="23"/>
      <c r="F44" s="317"/>
      <c r="G44" s="314"/>
      <c r="H44" s="31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151"/>
      <c r="AA44" s="151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</row>
    <row r="45" spans="1:60">
      <c r="A45" s="134" t="s">
        <v>166</v>
      </c>
      <c r="B45" s="13"/>
      <c r="C45" s="328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4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  <c r="BB45" s="314"/>
      <c r="BC45" s="314"/>
      <c r="BD45" s="314"/>
      <c r="BE45" s="314"/>
      <c r="BF45" s="314"/>
      <c r="BG45" s="314"/>
      <c r="BH45" s="314"/>
    </row>
    <row r="46" spans="1:60">
      <c r="A46" s="23"/>
      <c r="B46" s="13"/>
      <c r="C46" s="328"/>
      <c r="D46" s="23"/>
      <c r="E46" s="23"/>
      <c r="F46" s="317"/>
      <c r="G46" s="314"/>
      <c r="H46" s="314"/>
      <c r="I46" s="314"/>
      <c r="J46" s="314"/>
      <c r="K46" s="314"/>
      <c r="L46" s="314"/>
      <c r="M46" s="314"/>
      <c r="N46" s="314"/>
      <c r="O46" s="314"/>
      <c r="P46" s="314"/>
      <c r="Q46" s="314"/>
      <c r="R46" s="314"/>
      <c r="S46" s="314"/>
      <c r="T46" s="314"/>
      <c r="U46" s="314"/>
      <c r="V46" s="314"/>
      <c r="W46" s="314"/>
      <c r="X46" s="314"/>
      <c r="Y46" s="314"/>
      <c r="Z46" s="151"/>
      <c r="AA46" s="151"/>
      <c r="AB46" s="314"/>
      <c r="AC46" s="314"/>
      <c r="AD46" s="314"/>
      <c r="AE46" s="314"/>
      <c r="AF46" s="314"/>
      <c r="AG46" s="314"/>
      <c r="AH46" s="314"/>
      <c r="AI46" s="314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  <c r="BB46" s="314"/>
      <c r="BC46" s="314"/>
      <c r="BD46" s="314"/>
      <c r="BE46" s="314"/>
      <c r="BF46" s="314"/>
      <c r="BG46" s="314"/>
      <c r="BH46" s="314"/>
    </row>
    <row r="47" spans="1:60">
      <c r="A47" s="134" t="s">
        <v>167</v>
      </c>
      <c r="B47" s="13"/>
      <c r="C47" s="328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4"/>
      <c r="AJ47" s="314"/>
      <c r="AK47" s="314"/>
      <c r="AL47" s="314"/>
      <c r="AM47" s="314"/>
      <c r="AN47" s="314"/>
      <c r="AO47" s="314"/>
      <c r="AP47" s="314"/>
      <c r="AQ47" s="314"/>
      <c r="AR47" s="314"/>
      <c r="AS47" s="314"/>
      <c r="AT47" s="314"/>
      <c r="AU47" s="314"/>
      <c r="AV47" s="314"/>
      <c r="AW47" s="314"/>
      <c r="AX47" s="314"/>
      <c r="AY47" s="314"/>
      <c r="AZ47" s="314"/>
      <c r="BA47" s="314"/>
      <c r="BB47" s="314"/>
      <c r="BC47" s="314"/>
      <c r="BD47" s="314"/>
      <c r="BE47" s="314"/>
      <c r="BF47" s="314"/>
      <c r="BG47" s="314"/>
      <c r="BH47" s="314"/>
    </row>
    <row r="48" spans="1:60">
      <c r="A48" s="13"/>
      <c r="B48" s="13"/>
      <c r="C48" s="23"/>
      <c r="D48" s="23"/>
      <c r="E48" s="23"/>
      <c r="F48" s="317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14"/>
      <c r="Z48" s="151"/>
      <c r="AA48" s="151"/>
      <c r="AB48" s="314"/>
      <c r="AC48" s="314"/>
      <c r="AD48" s="314"/>
      <c r="AE48" s="314"/>
      <c r="AF48" s="314"/>
      <c r="AG48" s="314"/>
      <c r="AH48" s="314"/>
      <c r="AI48" s="314"/>
      <c r="AJ48" s="314"/>
      <c r="AK48" s="314"/>
      <c r="AL48" s="314"/>
      <c r="AM48" s="314"/>
      <c r="AN48" s="314"/>
      <c r="AO48" s="314"/>
      <c r="AP48" s="314"/>
      <c r="AQ48" s="314"/>
      <c r="AR48" s="314"/>
      <c r="AS48" s="314"/>
      <c r="AT48" s="314"/>
      <c r="AU48" s="314"/>
      <c r="AV48" s="314"/>
      <c r="AW48" s="314"/>
      <c r="AX48" s="314"/>
      <c r="AY48" s="314"/>
      <c r="AZ48" s="314"/>
      <c r="BA48" s="314"/>
      <c r="BB48" s="314"/>
      <c r="BC48" s="314"/>
      <c r="BD48" s="314"/>
      <c r="BE48" s="314"/>
      <c r="BF48" s="314"/>
      <c r="BG48" s="314"/>
      <c r="BH48" s="314"/>
    </row>
    <row r="49" spans="1:60">
      <c r="A49" s="13"/>
      <c r="B49" s="13"/>
      <c r="C49" s="23"/>
      <c r="D49" s="23"/>
      <c r="E49" s="23"/>
      <c r="F49" s="317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151"/>
      <c r="AA49" s="151"/>
      <c r="AB49" s="314"/>
      <c r="AC49" s="314"/>
      <c r="AD49" s="314"/>
      <c r="AE49" s="314"/>
      <c r="AF49" s="314"/>
      <c r="AG49" s="314"/>
      <c r="AH49" s="314"/>
      <c r="AI49" s="314"/>
      <c r="AJ49" s="314"/>
      <c r="AK49" s="314"/>
      <c r="AL49" s="314"/>
      <c r="AM49" s="314"/>
      <c r="AN49" s="314"/>
      <c r="AO49" s="314"/>
      <c r="AP49" s="314"/>
      <c r="AQ49" s="314"/>
      <c r="AR49" s="314"/>
      <c r="AS49" s="314"/>
      <c r="AT49" s="314"/>
      <c r="AU49" s="314"/>
      <c r="AV49" s="314"/>
      <c r="AW49" s="314"/>
      <c r="AX49" s="314"/>
      <c r="AY49" s="314"/>
      <c r="AZ49" s="314"/>
      <c r="BA49" s="314"/>
      <c r="BB49" s="314"/>
      <c r="BC49" s="314"/>
      <c r="BD49" s="314"/>
      <c r="BE49" s="314"/>
      <c r="BF49" s="314"/>
      <c r="BG49" s="314"/>
      <c r="BH49" s="314"/>
    </row>
    <row r="50" spans="1:60">
      <c r="A50" s="13"/>
      <c r="B50" s="13"/>
      <c r="C50" s="23"/>
      <c r="D50" s="23"/>
      <c r="E50" s="23"/>
      <c r="F50" s="317"/>
      <c r="G50" s="314"/>
      <c r="H50" s="314"/>
      <c r="I50" s="314"/>
      <c r="J50" s="314"/>
      <c r="K50" s="314"/>
      <c r="L50" s="314"/>
      <c r="M50" s="314"/>
      <c r="N50" s="314"/>
      <c r="O50" s="314"/>
      <c r="P50" s="314"/>
      <c r="Q50" s="314"/>
      <c r="R50" s="314"/>
      <c r="S50" s="314"/>
      <c r="T50" s="314"/>
      <c r="U50" s="314"/>
      <c r="V50" s="314"/>
      <c r="W50" s="314"/>
      <c r="X50" s="314"/>
      <c r="Y50" s="314"/>
      <c r="Z50" s="151"/>
      <c r="AA50" s="151"/>
      <c r="AB50" s="314"/>
      <c r="AC50" s="314"/>
      <c r="AD50" s="314"/>
      <c r="AE50" s="314"/>
      <c r="AF50" s="314"/>
      <c r="AG50" s="314"/>
      <c r="AH50" s="314"/>
      <c r="AI50" s="314"/>
      <c r="AJ50" s="314"/>
      <c r="AK50" s="314"/>
      <c r="AL50" s="314"/>
      <c r="AM50" s="314"/>
      <c r="AN50" s="314"/>
      <c r="AO50" s="314"/>
      <c r="AP50" s="314"/>
      <c r="AQ50" s="314"/>
      <c r="AR50" s="314"/>
      <c r="AS50" s="314"/>
      <c r="AT50" s="314"/>
      <c r="AU50" s="314"/>
      <c r="AV50" s="314"/>
      <c r="AW50" s="314"/>
      <c r="AX50" s="314"/>
      <c r="AY50" s="314"/>
      <c r="AZ50" s="314"/>
      <c r="BA50" s="314"/>
      <c r="BB50" s="314"/>
      <c r="BC50" s="314"/>
      <c r="BD50" s="314"/>
      <c r="BE50" s="314"/>
      <c r="BF50" s="314"/>
      <c r="BG50" s="314"/>
      <c r="BH50" s="314"/>
    </row>
    <row r="51" spans="1:60">
      <c r="A51" s="13"/>
      <c r="B51" s="13"/>
      <c r="C51" s="23"/>
      <c r="D51" s="23"/>
      <c r="E51" s="23"/>
      <c r="F51" s="317"/>
      <c r="G51" s="314"/>
      <c r="H51" s="314"/>
      <c r="I51" s="314"/>
      <c r="J51" s="314"/>
      <c r="K51" s="314"/>
      <c r="L51" s="314"/>
      <c r="M51" s="314"/>
      <c r="N51" s="314"/>
      <c r="O51" s="314"/>
      <c r="P51" s="314"/>
      <c r="Q51" s="314"/>
      <c r="R51" s="314"/>
      <c r="S51" s="314"/>
      <c r="T51" s="314"/>
      <c r="U51" s="314"/>
      <c r="V51" s="314"/>
      <c r="W51" s="314"/>
      <c r="X51" s="314"/>
      <c r="Y51" s="314"/>
      <c r="Z51" s="151"/>
      <c r="AA51" s="151"/>
      <c r="AB51" s="314"/>
      <c r="AC51" s="314"/>
      <c r="AD51" s="314"/>
      <c r="AE51" s="314"/>
      <c r="AF51" s="314"/>
      <c r="AG51" s="314"/>
      <c r="AH51" s="314"/>
      <c r="AI51" s="314"/>
      <c r="AJ51" s="314"/>
      <c r="AK51" s="314"/>
      <c r="AL51" s="314"/>
      <c r="AM51" s="314"/>
      <c r="AN51" s="314"/>
      <c r="AO51" s="314"/>
      <c r="AP51" s="314"/>
      <c r="AQ51" s="314"/>
      <c r="AR51" s="314"/>
      <c r="AS51" s="314"/>
      <c r="AT51" s="314"/>
      <c r="AU51" s="314"/>
      <c r="AV51" s="314"/>
      <c r="AW51" s="314"/>
      <c r="AX51" s="314"/>
      <c r="AY51" s="314"/>
      <c r="AZ51" s="314"/>
      <c r="BA51" s="314"/>
      <c r="BB51" s="314"/>
      <c r="BC51" s="314"/>
      <c r="BD51" s="314"/>
      <c r="BE51" s="314"/>
      <c r="BF51" s="314"/>
      <c r="BG51" s="314"/>
      <c r="BH51" s="314"/>
    </row>
    <row r="52" spans="1:60">
      <c r="A52" s="13"/>
      <c r="B52" s="13"/>
      <c r="C52" s="23"/>
      <c r="D52" s="23"/>
      <c r="E52" s="23"/>
      <c r="F52" s="317"/>
      <c r="G52" s="314"/>
      <c r="H52" s="314"/>
      <c r="I52" s="314"/>
      <c r="J52" s="314"/>
      <c r="K52" s="314"/>
      <c r="L52" s="314"/>
      <c r="M52" s="314"/>
      <c r="N52" s="314"/>
      <c r="O52" s="314"/>
      <c r="P52" s="314"/>
      <c r="Q52" s="314"/>
      <c r="R52" s="314"/>
      <c r="S52" s="314"/>
      <c r="T52" s="314"/>
      <c r="U52" s="314"/>
      <c r="V52" s="314"/>
      <c r="W52" s="314"/>
      <c r="X52" s="314"/>
      <c r="Y52" s="314"/>
      <c r="Z52" s="151"/>
      <c r="AA52" s="151"/>
      <c r="AB52" s="314"/>
      <c r="AC52" s="314"/>
      <c r="AD52" s="314"/>
      <c r="AE52" s="314"/>
      <c r="AF52" s="314"/>
      <c r="AG52" s="314"/>
      <c r="AH52" s="314"/>
      <c r="AI52" s="314"/>
      <c r="AJ52" s="314"/>
      <c r="AK52" s="314"/>
      <c r="AL52" s="314"/>
      <c r="AM52" s="314"/>
      <c r="AN52" s="314"/>
      <c r="AO52" s="314"/>
      <c r="AP52" s="314"/>
      <c r="AQ52" s="314"/>
      <c r="AR52" s="314"/>
      <c r="AS52" s="314"/>
      <c r="AT52" s="314"/>
      <c r="AU52" s="314"/>
      <c r="AV52" s="314"/>
      <c r="AW52" s="314"/>
      <c r="AX52" s="314"/>
      <c r="AY52" s="314"/>
      <c r="AZ52" s="314"/>
      <c r="BA52" s="314"/>
      <c r="BB52" s="314"/>
      <c r="BC52" s="314"/>
      <c r="BD52" s="314"/>
      <c r="BE52" s="314"/>
      <c r="BF52" s="314"/>
      <c r="BG52" s="314"/>
      <c r="BH52" s="314"/>
    </row>
    <row r="53" spans="1:60">
      <c r="A53" s="13"/>
      <c r="B53" s="13"/>
      <c r="C53" s="23"/>
      <c r="D53" s="23"/>
      <c r="E53" s="23"/>
      <c r="F53" s="317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151"/>
      <c r="AA53" s="151"/>
      <c r="AB53" s="314"/>
      <c r="AC53" s="314"/>
      <c r="AD53" s="314"/>
      <c r="AE53" s="314"/>
      <c r="AF53" s="314"/>
      <c r="AG53" s="314"/>
      <c r="AH53" s="314"/>
      <c r="AI53" s="314"/>
      <c r="AJ53" s="314"/>
      <c r="AK53" s="314"/>
      <c r="AL53" s="314"/>
      <c r="AM53" s="314"/>
      <c r="AN53" s="314"/>
      <c r="AO53" s="314"/>
      <c r="AP53" s="314"/>
      <c r="AQ53" s="314"/>
      <c r="AR53" s="314"/>
      <c r="AS53" s="314"/>
      <c r="AT53" s="314"/>
      <c r="AU53" s="314"/>
      <c r="AV53" s="314"/>
      <c r="AW53" s="314"/>
      <c r="AX53" s="314"/>
      <c r="AY53" s="314"/>
      <c r="AZ53" s="314"/>
      <c r="BA53" s="314"/>
      <c r="BB53" s="314"/>
      <c r="BC53" s="314"/>
      <c r="BD53" s="314"/>
      <c r="BE53" s="314"/>
      <c r="BF53" s="314"/>
      <c r="BG53" s="314"/>
      <c r="BH53" s="314"/>
    </row>
    <row r="54" spans="1:60">
      <c r="A54" s="13"/>
      <c r="B54" s="13"/>
      <c r="C54" s="23"/>
      <c r="D54" s="23"/>
      <c r="E54" s="23"/>
      <c r="F54" s="317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14"/>
      <c r="Z54" s="151"/>
      <c r="AA54" s="151"/>
      <c r="AB54" s="314"/>
      <c r="AC54" s="314"/>
      <c r="AD54" s="314"/>
      <c r="AE54" s="314"/>
      <c r="AF54" s="314"/>
      <c r="AG54" s="314"/>
      <c r="AH54" s="314"/>
      <c r="AI54" s="314"/>
      <c r="AJ54" s="314"/>
      <c r="AK54" s="314"/>
      <c r="AL54" s="314"/>
      <c r="AM54" s="314"/>
      <c r="AN54" s="314"/>
      <c r="AO54" s="314"/>
      <c r="AP54" s="314"/>
      <c r="AQ54" s="314"/>
      <c r="AR54" s="314"/>
      <c r="AS54" s="314"/>
      <c r="AT54" s="314"/>
      <c r="AU54" s="314"/>
      <c r="AV54" s="314"/>
      <c r="AW54" s="314"/>
      <c r="AX54" s="314"/>
      <c r="AY54" s="314"/>
      <c r="AZ54" s="314"/>
      <c r="BA54" s="314"/>
      <c r="BB54" s="314"/>
      <c r="BC54" s="314"/>
      <c r="BD54" s="314"/>
      <c r="BE54" s="314"/>
      <c r="BF54" s="314"/>
      <c r="BG54" s="314"/>
      <c r="BH54" s="314"/>
    </row>
    <row r="55" spans="1:60">
      <c r="A55" s="13"/>
      <c r="B55" s="181"/>
      <c r="C55" s="317"/>
      <c r="D55" s="317"/>
      <c r="E55" s="317"/>
      <c r="F55" s="317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14"/>
      <c r="Y55" s="314"/>
      <c r="Z55" s="151"/>
      <c r="AA55" s="151"/>
      <c r="AB55" s="314"/>
      <c r="AC55" s="314"/>
      <c r="AD55" s="314"/>
      <c r="AE55" s="314"/>
      <c r="AF55" s="314"/>
      <c r="AG55" s="314"/>
      <c r="AH55" s="314"/>
      <c r="AI55" s="314"/>
      <c r="AJ55" s="314"/>
      <c r="AK55" s="314"/>
      <c r="AL55" s="314"/>
      <c r="AM55" s="314"/>
      <c r="AN55" s="314"/>
      <c r="AO55" s="314"/>
      <c r="AP55" s="314"/>
      <c r="AQ55" s="314"/>
      <c r="AR55" s="314"/>
      <c r="AS55" s="314"/>
      <c r="AT55" s="314"/>
      <c r="AU55" s="314"/>
      <c r="AV55" s="314"/>
      <c r="AW55" s="314"/>
      <c r="AX55" s="314"/>
      <c r="AY55" s="314"/>
      <c r="AZ55" s="314"/>
      <c r="BA55" s="314"/>
      <c r="BB55" s="314"/>
      <c r="BC55" s="314"/>
      <c r="BD55" s="314"/>
      <c r="BE55" s="314"/>
      <c r="BF55" s="314"/>
      <c r="BG55" s="314"/>
      <c r="BH55" s="314"/>
    </row>
    <row r="56" spans="1:60">
      <c r="A56" s="13"/>
      <c r="B56" s="181"/>
      <c r="C56" s="317"/>
      <c r="D56" s="317"/>
      <c r="E56" s="317"/>
      <c r="F56" s="317"/>
      <c r="G56" s="314"/>
      <c r="H56" s="314"/>
      <c r="I56" s="314"/>
      <c r="J56" s="314"/>
      <c r="K56" s="314"/>
      <c r="L56" s="314"/>
      <c r="M56" s="314"/>
      <c r="N56" s="314"/>
      <c r="O56" s="314"/>
      <c r="P56" s="314"/>
      <c r="Q56" s="314"/>
      <c r="R56" s="314"/>
      <c r="S56" s="314"/>
      <c r="T56" s="314"/>
      <c r="U56" s="314"/>
      <c r="V56" s="314"/>
      <c r="W56" s="314"/>
      <c r="X56" s="314"/>
      <c r="Y56" s="314"/>
      <c r="Z56" s="151"/>
      <c r="AA56" s="151"/>
      <c r="AB56" s="314"/>
      <c r="AC56" s="314"/>
      <c r="AD56" s="314"/>
      <c r="AE56" s="314"/>
      <c r="AF56" s="314"/>
      <c r="AG56" s="314"/>
      <c r="AH56" s="314"/>
      <c r="AI56" s="314"/>
      <c r="AJ56" s="314"/>
      <c r="AK56" s="314"/>
      <c r="AL56" s="314"/>
      <c r="AM56" s="314"/>
      <c r="AN56" s="314"/>
      <c r="AO56" s="314"/>
      <c r="AP56" s="314"/>
      <c r="AQ56" s="314"/>
      <c r="AR56" s="314"/>
      <c r="AS56" s="314"/>
      <c r="AT56" s="314"/>
      <c r="AU56" s="314"/>
      <c r="AV56" s="314"/>
      <c r="AW56" s="314"/>
      <c r="AX56" s="314"/>
      <c r="AY56" s="314"/>
      <c r="AZ56" s="314"/>
      <c r="BA56" s="314"/>
      <c r="BB56" s="314"/>
      <c r="BC56" s="314"/>
      <c r="BD56" s="314"/>
      <c r="BE56" s="314"/>
      <c r="BF56" s="314"/>
      <c r="BG56" s="314"/>
      <c r="BH56" s="314"/>
    </row>
    <row r="57" spans="1:60">
      <c r="A57" s="13"/>
      <c r="B57" s="181"/>
      <c r="C57" s="317"/>
      <c r="D57" s="317"/>
      <c r="E57" s="317"/>
      <c r="F57" s="317"/>
      <c r="G57" s="314"/>
      <c r="H57" s="314"/>
      <c r="I57" s="314"/>
      <c r="J57" s="314"/>
      <c r="K57" s="314"/>
      <c r="L57" s="314"/>
      <c r="M57" s="314"/>
      <c r="N57" s="314"/>
      <c r="O57" s="314"/>
      <c r="P57" s="314"/>
      <c r="Q57" s="314"/>
      <c r="R57" s="314"/>
      <c r="S57" s="314"/>
      <c r="T57" s="314"/>
      <c r="U57" s="314"/>
      <c r="V57" s="314"/>
      <c r="W57" s="314"/>
      <c r="X57" s="314"/>
      <c r="Y57" s="314"/>
      <c r="Z57" s="151"/>
      <c r="AA57" s="151"/>
      <c r="AB57" s="314"/>
      <c r="AC57" s="314"/>
      <c r="AD57" s="314"/>
      <c r="AE57" s="314"/>
      <c r="AF57" s="314"/>
      <c r="AG57" s="314"/>
      <c r="AH57" s="314"/>
      <c r="AI57" s="314"/>
      <c r="AJ57" s="314"/>
      <c r="AK57" s="314"/>
      <c r="AL57" s="314"/>
      <c r="AM57" s="314"/>
      <c r="AN57" s="314"/>
      <c r="AO57" s="314"/>
      <c r="AP57" s="314"/>
      <c r="AQ57" s="314"/>
      <c r="AR57" s="314"/>
      <c r="AS57" s="314"/>
      <c r="AT57" s="314"/>
      <c r="AU57" s="314"/>
      <c r="AV57" s="314"/>
      <c r="AW57" s="314"/>
      <c r="AX57" s="314"/>
      <c r="AY57" s="314"/>
      <c r="AZ57" s="314"/>
      <c r="BA57" s="314"/>
      <c r="BB57" s="314"/>
      <c r="BC57" s="314"/>
      <c r="BD57" s="314"/>
      <c r="BE57" s="314"/>
      <c r="BF57" s="314"/>
      <c r="BG57" s="314"/>
      <c r="BH57" s="314"/>
    </row>
    <row r="58" spans="1:60">
      <c r="A58" s="13"/>
      <c r="B58" s="181"/>
      <c r="C58" s="317"/>
      <c r="D58" s="317"/>
      <c r="E58" s="317"/>
      <c r="F58" s="317"/>
      <c r="G58" s="314"/>
      <c r="H58" s="314"/>
      <c r="I58" s="314"/>
      <c r="J58" s="314"/>
      <c r="K58" s="314"/>
      <c r="L58" s="314"/>
      <c r="M58" s="314"/>
      <c r="N58" s="314"/>
      <c r="O58" s="314"/>
      <c r="P58" s="314"/>
      <c r="Q58" s="314"/>
      <c r="R58" s="314"/>
      <c r="S58" s="314"/>
      <c r="T58" s="314"/>
      <c r="U58" s="314"/>
      <c r="V58" s="314"/>
      <c r="W58" s="314"/>
      <c r="X58" s="314"/>
      <c r="Y58" s="314"/>
      <c r="Z58" s="151"/>
      <c r="AA58" s="151"/>
      <c r="AB58" s="314"/>
      <c r="AC58" s="314"/>
      <c r="AD58" s="314"/>
      <c r="AE58" s="314"/>
      <c r="AF58" s="314"/>
      <c r="AG58" s="314"/>
      <c r="AH58" s="314"/>
      <c r="AI58" s="314"/>
      <c r="AJ58" s="314"/>
      <c r="AK58" s="314"/>
      <c r="AL58" s="314"/>
      <c r="AM58" s="314"/>
      <c r="AN58" s="314"/>
      <c r="AO58" s="314"/>
      <c r="AP58" s="314"/>
      <c r="AQ58" s="314"/>
      <c r="AR58" s="314"/>
      <c r="AS58" s="314"/>
      <c r="AT58" s="314"/>
      <c r="AU58" s="314"/>
      <c r="AV58" s="314"/>
      <c r="AW58" s="314"/>
      <c r="AX58" s="314"/>
      <c r="AY58" s="314"/>
      <c r="AZ58" s="314"/>
      <c r="BA58" s="314"/>
      <c r="BB58" s="314"/>
      <c r="BC58" s="314"/>
      <c r="BD58" s="314"/>
      <c r="BE58" s="314"/>
      <c r="BF58" s="314"/>
      <c r="BG58" s="314"/>
      <c r="BH58" s="314"/>
    </row>
    <row r="59" spans="1:60">
      <c r="A59" s="13"/>
      <c r="B59" s="181"/>
      <c r="C59" s="317"/>
      <c r="D59" s="317"/>
      <c r="E59" s="317"/>
      <c r="F59" s="317"/>
      <c r="G59" s="314"/>
      <c r="H59" s="314"/>
      <c r="I59" s="314"/>
      <c r="J59" s="314"/>
      <c r="K59" s="314"/>
      <c r="L59" s="314"/>
      <c r="M59" s="314"/>
      <c r="N59" s="314"/>
      <c r="O59" s="314"/>
      <c r="P59" s="314"/>
      <c r="Q59" s="314"/>
      <c r="R59" s="314"/>
      <c r="S59" s="314"/>
      <c r="T59" s="314"/>
      <c r="U59" s="314"/>
      <c r="V59" s="314"/>
      <c r="W59" s="314"/>
      <c r="X59" s="314"/>
      <c r="Y59" s="314"/>
      <c r="Z59" s="151"/>
      <c r="AA59" s="151"/>
      <c r="AB59" s="314"/>
      <c r="AC59" s="314"/>
      <c r="AD59" s="314"/>
      <c r="AE59" s="314"/>
      <c r="AF59" s="314"/>
      <c r="AG59" s="314"/>
      <c r="AH59" s="314"/>
      <c r="AI59" s="314"/>
      <c r="AJ59" s="314"/>
      <c r="AK59" s="314"/>
      <c r="AL59" s="314"/>
      <c r="AM59" s="314"/>
      <c r="AN59" s="314"/>
      <c r="AO59" s="314"/>
      <c r="AP59" s="314"/>
      <c r="AQ59" s="314"/>
      <c r="AR59" s="314"/>
      <c r="AS59" s="314"/>
      <c r="AT59" s="314"/>
      <c r="AU59" s="314"/>
      <c r="AV59" s="314"/>
      <c r="AW59" s="314"/>
      <c r="AX59" s="314"/>
      <c r="AY59" s="314"/>
      <c r="AZ59" s="314"/>
      <c r="BA59" s="314"/>
      <c r="BB59" s="314"/>
      <c r="BC59" s="314"/>
      <c r="BD59" s="314"/>
      <c r="BE59" s="314"/>
      <c r="BF59" s="314"/>
      <c r="BG59" s="314"/>
      <c r="BH59" s="314"/>
    </row>
    <row r="60" spans="1:60">
      <c r="A60" s="13"/>
      <c r="B60" s="181"/>
      <c r="C60" s="317"/>
      <c r="D60" s="317"/>
      <c r="E60" s="317"/>
      <c r="F60" s="317"/>
      <c r="G60" s="314"/>
      <c r="H60" s="314"/>
      <c r="I60" s="314"/>
      <c r="J60" s="314"/>
      <c r="K60" s="314"/>
      <c r="L60" s="314"/>
      <c r="M60" s="314"/>
      <c r="N60" s="314"/>
      <c r="O60" s="314"/>
      <c r="P60" s="314"/>
      <c r="Q60" s="314"/>
      <c r="R60" s="314"/>
      <c r="S60" s="314"/>
      <c r="T60" s="314"/>
      <c r="U60" s="314"/>
      <c r="V60" s="314"/>
      <c r="W60" s="314"/>
      <c r="X60" s="314"/>
      <c r="Y60" s="314"/>
      <c r="Z60" s="151"/>
      <c r="AA60" s="151"/>
      <c r="AB60" s="314"/>
      <c r="AC60" s="314"/>
      <c r="AD60" s="314"/>
      <c r="AE60" s="314"/>
      <c r="AF60" s="314"/>
      <c r="AG60" s="314"/>
      <c r="AH60" s="314"/>
      <c r="AI60" s="314"/>
      <c r="AJ60" s="314"/>
      <c r="AK60" s="314"/>
      <c r="AL60" s="314"/>
      <c r="AM60" s="314"/>
      <c r="AN60" s="314"/>
      <c r="AO60" s="314"/>
      <c r="AP60" s="314"/>
      <c r="AQ60" s="314"/>
      <c r="AR60" s="314"/>
      <c r="AS60" s="314"/>
      <c r="AT60" s="314"/>
      <c r="AU60" s="314"/>
      <c r="AV60" s="314"/>
      <c r="AW60" s="314"/>
      <c r="AX60" s="314"/>
      <c r="AY60" s="314"/>
    </row>
    <row r="61" spans="1:60">
      <c r="A61" s="181"/>
      <c r="B61" s="181"/>
      <c r="C61" s="317"/>
      <c r="D61" s="317"/>
      <c r="E61" s="317"/>
      <c r="F61" s="317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14"/>
      <c r="Z61" s="151"/>
      <c r="AA61" s="151"/>
      <c r="AB61" s="314"/>
      <c r="AC61" s="314"/>
      <c r="AD61" s="314"/>
      <c r="AE61" s="314"/>
      <c r="AF61" s="314"/>
      <c r="AG61" s="314"/>
      <c r="AH61" s="314"/>
      <c r="AI61" s="314"/>
      <c r="AJ61" s="314"/>
      <c r="AK61" s="314"/>
      <c r="AL61" s="314"/>
      <c r="AM61" s="314"/>
      <c r="AN61" s="314"/>
      <c r="AO61" s="314"/>
      <c r="AP61" s="314"/>
      <c r="AQ61" s="314"/>
      <c r="AR61" s="314"/>
      <c r="AS61" s="314"/>
      <c r="AT61" s="314"/>
      <c r="AU61" s="314"/>
      <c r="AV61" s="314"/>
      <c r="AW61" s="314"/>
      <c r="AX61" s="314"/>
      <c r="AY61" s="314"/>
    </row>
    <row r="62" spans="1:60"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14"/>
      <c r="Z62" s="151"/>
      <c r="AA62" s="151"/>
      <c r="AB62" s="314"/>
      <c r="AC62" s="314"/>
      <c r="AD62" s="314"/>
      <c r="AE62" s="314"/>
      <c r="AF62" s="314"/>
      <c r="AG62" s="314"/>
      <c r="AH62" s="314"/>
      <c r="AI62" s="314"/>
      <c r="AJ62" s="314"/>
      <c r="AK62" s="314"/>
      <c r="AL62" s="314"/>
      <c r="AM62" s="314"/>
      <c r="AN62" s="314"/>
      <c r="AO62" s="314"/>
      <c r="AP62" s="314"/>
      <c r="AQ62" s="314"/>
      <c r="AR62" s="314"/>
      <c r="AS62" s="314"/>
      <c r="AT62" s="314"/>
      <c r="AU62" s="314"/>
      <c r="AV62" s="314"/>
      <c r="AW62" s="314"/>
      <c r="AX62" s="314"/>
      <c r="AY62" s="314"/>
    </row>
    <row r="63" spans="1:60">
      <c r="C63" s="314"/>
      <c r="D63" s="314"/>
      <c r="E63" s="314"/>
      <c r="F63" s="314"/>
      <c r="G63" s="314"/>
      <c r="H63" s="314"/>
      <c r="I63" s="314"/>
      <c r="J63" s="314"/>
      <c r="K63" s="314"/>
      <c r="L63" s="314"/>
      <c r="M63" s="314"/>
      <c r="N63" s="314"/>
      <c r="O63" s="314"/>
      <c r="P63" s="314"/>
      <c r="Q63" s="314"/>
      <c r="R63" s="314"/>
      <c r="S63" s="314"/>
      <c r="T63" s="314"/>
      <c r="U63" s="314"/>
      <c r="V63" s="314"/>
      <c r="W63" s="314"/>
      <c r="X63" s="314"/>
      <c r="Y63" s="314"/>
      <c r="Z63" s="151"/>
      <c r="AA63" s="151"/>
      <c r="AB63" s="314"/>
      <c r="AC63" s="314"/>
      <c r="AD63" s="314"/>
      <c r="AE63" s="314"/>
      <c r="AF63" s="314"/>
      <c r="AG63" s="314"/>
      <c r="AH63" s="314"/>
      <c r="AI63" s="314"/>
      <c r="AJ63" s="314"/>
      <c r="AK63" s="314"/>
      <c r="AL63" s="314"/>
      <c r="AM63" s="314"/>
      <c r="AN63" s="314"/>
      <c r="AO63" s="314"/>
      <c r="AP63" s="314"/>
      <c r="AQ63" s="314"/>
      <c r="AR63" s="314"/>
      <c r="AS63" s="314"/>
      <c r="AT63" s="314"/>
      <c r="AU63" s="314"/>
      <c r="AV63" s="314"/>
      <c r="AW63" s="314"/>
      <c r="AX63" s="314"/>
      <c r="AY63" s="314"/>
    </row>
    <row r="64" spans="1:60">
      <c r="C64" s="314"/>
      <c r="D64" s="314"/>
      <c r="E64" s="314"/>
      <c r="F64" s="314"/>
      <c r="G64" s="314"/>
      <c r="H64" s="314"/>
      <c r="I64" s="314"/>
      <c r="J64" s="314"/>
      <c r="K64" s="314"/>
      <c r="L64" s="314"/>
      <c r="M64" s="314"/>
      <c r="N64" s="314"/>
      <c r="O64" s="314"/>
      <c r="P64" s="314"/>
      <c r="Q64" s="314"/>
      <c r="R64" s="314"/>
      <c r="S64" s="314"/>
      <c r="T64" s="314"/>
      <c r="U64" s="314"/>
      <c r="V64" s="314"/>
      <c r="W64" s="314"/>
      <c r="X64" s="314"/>
      <c r="Y64" s="314"/>
      <c r="Z64" s="151"/>
      <c r="AA64" s="151"/>
      <c r="AB64" s="314"/>
      <c r="AC64" s="314"/>
      <c r="AD64" s="314"/>
      <c r="AE64" s="314"/>
      <c r="AF64" s="314"/>
      <c r="AG64" s="314"/>
      <c r="AH64" s="314"/>
      <c r="AI64" s="314"/>
      <c r="AJ64" s="314"/>
      <c r="AK64" s="314"/>
      <c r="AL64" s="314"/>
      <c r="AM64" s="314"/>
      <c r="AN64" s="314"/>
      <c r="AO64" s="314"/>
      <c r="AP64" s="314"/>
      <c r="AQ64" s="314"/>
      <c r="AR64" s="314"/>
      <c r="AS64" s="314"/>
      <c r="AT64" s="314"/>
      <c r="AU64" s="314"/>
      <c r="AV64" s="314"/>
      <c r="AW64" s="314"/>
      <c r="AX64" s="314"/>
      <c r="AY64" s="314"/>
    </row>
    <row r="65" spans="3:51">
      <c r="C65" s="314"/>
      <c r="D65" s="314"/>
      <c r="E65" s="314"/>
      <c r="F65" s="314"/>
      <c r="G65" s="314"/>
      <c r="H65" s="314"/>
      <c r="I65" s="314"/>
      <c r="J65" s="314"/>
      <c r="K65" s="314"/>
      <c r="L65" s="314"/>
      <c r="M65" s="314"/>
      <c r="N65" s="314"/>
      <c r="O65" s="314"/>
      <c r="P65" s="314"/>
      <c r="Q65" s="314"/>
      <c r="R65" s="314"/>
      <c r="S65" s="314"/>
      <c r="T65" s="314"/>
      <c r="U65" s="314"/>
      <c r="V65" s="314"/>
      <c r="W65" s="314"/>
      <c r="X65" s="314"/>
      <c r="Y65" s="314"/>
      <c r="Z65" s="151"/>
      <c r="AA65" s="151"/>
      <c r="AB65" s="314"/>
      <c r="AC65" s="314"/>
      <c r="AD65" s="314"/>
      <c r="AE65" s="314"/>
      <c r="AF65" s="314"/>
      <c r="AG65" s="314"/>
      <c r="AH65" s="314"/>
      <c r="AI65" s="314"/>
      <c r="AJ65" s="314"/>
      <c r="AK65" s="314"/>
      <c r="AL65" s="314"/>
      <c r="AM65" s="314"/>
      <c r="AN65" s="314"/>
      <c r="AO65" s="314"/>
      <c r="AP65" s="314"/>
      <c r="AQ65" s="314"/>
      <c r="AR65" s="314"/>
      <c r="AS65" s="314"/>
      <c r="AT65" s="314"/>
      <c r="AU65" s="314"/>
      <c r="AV65" s="314"/>
      <c r="AW65" s="314"/>
      <c r="AX65" s="314"/>
      <c r="AY65" s="314"/>
    </row>
    <row r="66" spans="3:51">
      <c r="C66" s="314"/>
      <c r="D66" s="314"/>
      <c r="E66" s="314"/>
      <c r="F66" s="314"/>
      <c r="G66" s="314"/>
      <c r="H66" s="314"/>
      <c r="I66" s="314"/>
      <c r="J66" s="314"/>
      <c r="K66" s="314"/>
      <c r="L66" s="314"/>
      <c r="M66" s="314"/>
      <c r="N66" s="314"/>
      <c r="O66" s="314"/>
      <c r="P66" s="314"/>
      <c r="Q66" s="314"/>
      <c r="R66" s="314"/>
      <c r="S66" s="314"/>
      <c r="T66" s="314"/>
      <c r="U66" s="314"/>
      <c r="V66" s="314"/>
      <c r="W66" s="314"/>
      <c r="X66" s="314"/>
      <c r="Y66" s="314"/>
      <c r="Z66" s="151"/>
      <c r="AA66" s="151"/>
      <c r="AB66" s="314"/>
      <c r="AC66" s="314"/>
      <c r="AD66" s="314"/>
      <c r="AE66" s="314"/>
      <c r="AF66" s="314"/>
      <c r="AG66" s="314"/>
      <c r="AH66" s="314"/>
      <c r="AI66" s="314"/>
      <c r="AJ66" s="314"/>
      <c r="AK66" s="314"/>
      <c r="AL66" s="314"/>
      <c r="AM66" s="314"/>
      <c r="AN66" s="314"/>
      <c r="AO66" s="314"/>
      <c r="AP66" s="314"/>
      <c r="AQ66" s="314"/>
      <c r="AR66" s="314"/>
      <c r="AS66" s="314"/>
      <c r="AT66" s="314"/>
      <c r="AU66" s="314"/>
      <c r="AV66" s="314"/>
      <c r="AW66" s="314"/>
      <c r="AX66" s="314"/>
      <c r="AY66" s="314"/>
    </row>
    <row r="67" spans="3:51">
      <c r="C67" s="314"/>
      <c r="D67" s="314"/>
      <c r="E67" s="314"/>
      <c r="F67" s="314"/>
      <c r="G67" s="314"/>
      <c r="H67" s="314"/>
      <c r="I67" s="314"/>
      <c r="J67" s="314"/>
      <c r="K67" s="314"/>
      <c r="L67" s="314"/>
      <c r="M67" s="314"/>
      <c r="N67" s="314"/>
      <c r="O67" s="314"/>
      <c r="P67" s="314"/>
      <c r="Q67" s="314"/>
      <c r="R67" s="314"/>
      <c r="S67" s="314"/>
      <c r="T67" s="314"/>
      <c r="U67" s="314"/>
      <c r="V67" s="314"/>
      <c r="W67" s="314"/>
      <c r="X67" s="314"/>
      <c r="Y67" s="314"/>
      <c r="Z67" s="151"/>
      <c r="AA67" s="151"/>
      <c r="AB67" s="314"/>
      <c r="AC67" s="314"/>
      <c r="AD67" s="314"/>
      <c r="AE67" s="314"/>
      <c r="AF67" s="314"/>
      <c r="AG67" s="314"/>
      <c r="AH67" s="314"/>
      <c r="AI67" s="314"/>
      <c r="AJ67" s="314"/>
      <c r="AK67" s="314"/>
      <c r="AL67" s="314"/>
      <c r="AM67" s="314"/>
      <c r="AN67" s="314"/>
      <c r="AO67" s="314"/>
      <c r="AP67" s="314"/>
      <c r="AQ67" s="314"/>
      <c r="AR67" s="314"/>
      <c r="AS67" s="314"/>
      <c r="AT67" s="314"/>
      <c r="AU67" s="314"/>
      <c r="AV67" s="314"/>
      <c r="AW67" s="314"/>
      <c r="AX67" s="314"/>
      <c r="AY67" s="314"/>
    </row>
    <row r="68" spans="3:51">
      <c r="C68" s="314"/>
      <c r="D68" s="314"/>
      <c r="E68" s="314"/>
      <c r="F68" s="314"/>
      <c r="G68" s="314"/>
      <c r="H68" s="314"/>
      <c r="I68" s="314"/>
      <c r="J68" s="314"/>
      <c r="K68" s="314"/>
      <c r="L68" s="314"/>
      <c r="M68" s="314"/>
      <c r="N68" s="314"/>
      <c r="O68" s="314"/>
      <c r="P68" s="314"/>
      <c r="Q68" s="314"/>
      <c r="R68" s="314"/>
      <c r="S68" s="314"/>
      <c r="T68" s="314"/>
      <c r="U68" s="314"/>
      <c r="V68" s="314"/>
      <c r="W68" s="314"/>
      <c r="X68" s="314"/>
      <c r="Y68" s="314"/>
      <c r="Z68" s="151"/>
      <c r="AA68" s="151"/>
      <c r="AB68" s="314"/>
      <c r="AC68" s="314"/>
      <c r="AD68" s="314"/>
      <c r="AE68" s="314"/>
      <c r="AF68" s="314"/>
      <c r="AG68" s="314"/>
      <c r="AH68" s="314"/>
      <c r="AI68" s="314"/>
      <c r="AJ68" s="314"/>
      <c r="AK68" s="314"/>
      <c r="AL68" s="314"/>
      <c r="AM68" s="314"/>
      <c r="AN68" s="314"/>
      <c r="AO68" s="314"/>
      <c r="AP68" s="314"/>
      <c r="AQ68" s="314"/>
      <c r="AR68" s="314"/>
      <c r="AS68" s="314"/>
      <c r="AT68" s="314"/>
      <c r="AU68" s="314"/>
      <c r="AV68" s="314"/>
      <c r="AW68" s="314"/>
      <c r="AX68" s="314"/>
      <c r="AY68" s="314"/>
    </row>
    <row r="69" spans="3:51">
      <c r="C69" s="314"/>
      <c r="D69" s="314"/>
      <c r="E69" s="314"/>
      <c r="F69" s="314"/>
      <c r="G69" s="314"/>
      <c r="H69" s="314"/>
      <c r="I69" s="314"/>
      <c r="J69" s="314"/>
      <c r="K69" s="314"/>
      <c r="L69" s="314"/>
      <c r="M69" s="314"/>
      <c r="N69" s="314"/>
      <c r="O69" s="314"/>
      <c r="P69" s="314"/>
      <c r="Q69" s="314"/>
      <c r="R69" s="314"/>
      <c r="S69" s="314"/>
      <c r="T69" s="314"/>
      <c r="U69" s="314"/>
      <c r="V69" s="314"/>
      <c r="W69" s="314"/>
      <c r="X69" s="314"/>
      <c r="Y69" s="314"/>
      <c r="Z69" s="151"/>
      <c r="AA69" s="151"/>
      <c r="AB69" s="314"/>
      <c r="AC69" s="314"/>
      <c r="AD69" s="314"/>
      <c r="AE69" s="314"/>
      <c r="AF69" s="314"/>
      <c r="AG69" s="314"/>
      <c r="AH69" s="314"/>
      <c r="AI69" s="314"/>
      <c r="AJ69" s="314"/>
      <c r="AK69" s="314"/>
      <c r="AL69" s="314"/>
      <c r="AM69" s="314"/>
      <c r="AN69" s="314"/>
      <c r="AO69" s="314"/>
      <c r="AP69" s="314"/>
      <c r="AQ69" s="314"/>
      <c r="AR69" s="314"/>
      <c r="AS69" s="314"/>
      <c r="AT69" s="314"/>
      <c r="AU69" s="314"/>
      <c r="AV69" s="314"/>
      <c r="AW69" s="314"/>
      <c r="AX69" s="314"/>
      <c r="AY69" s="314"/>
    </row>
    <row r="70" spans="3:51">
      <c r="C70" s="314"/>
      <c r="D70" s="314"/>
      <c r="E70" s="314"/>
      <c r="F70" s="314"/>
      <c r="G70" s="314"/>
      <c r="H70" s="314"/>
      <c r="I70" s="314"/>
      <c r="J70" s="314"/>
      <c r="K70" s="314"/>
      <c r="L70" s="314"/>
      <c r="M70" s="314"/>
      <c r="N70" s="314"/>
      <c r="O70" s="314"/>
      <c r="P70" s="314"/>
      <c r="Q70" s="314"/>
      <c r="R70" s="314"/>
      <c r="S70" s="314"/>
      <c r="T70" s="314"/>
      <c r="U70" s="314"/>
      <c r="V70" s="314"/>
      <c r="W70" s="314"/>
      <c r="X70" s="314"/>
      <c r="Y70" s="314"/>
      <c r="Z70" s="151"/>
      <c r="AA70" s="151"/>
      <c r="AB70" s="314"/>
      <c r="AC70" s="314"/>
      <c r="AD70" s="314"/>
      <c r="AE70" s="314"/>
      <c r="AF70" s="314"/>
      <c r="AG70" s="314"/>
      <c r="AH70" s="314"/>
      <c r="AI70" s="314"/>
      <c r="AJ70" s="314"/>
      <c r="AK70" s="314"/>
      <c r="AL70" s="314"/>
      <c r="AM70" s="314"/>
      <c r="AN70" s="314"/>
      <c r="AO70" s="314"/>
      <c r="AP70" s="314"/>
      <c r="AQ70" s="314"/>
      <c r="AR70" s="314"/>
      <c r="AS70" s="314"/>
      <c r="AT70" s="314"/>
      <c r="AU70" s="314"/>
      <c r="AV70" s="314"/>
      <c r="AW70" s="314"/>
      <c r="AX70" s="314"/>
      <c r="AY70" s="314"/>
    </row>
    <row r="71" spans="3:51">
      <c r="C71" s="314"/>
      <c r="D71" s="314"/>
      <c r="E71" s="314"/>
      <c r="F71" s="314"/>
      <c r="G71" s="314"/>
      <c r="H71" s="314"/>
      <c r="I71" s="314"/>
      <c r="J71" s="314"/>
      <c r="K71" s="314"/>
      <c r="L71" s="314"/>
      <c r="M71" s="314"/>
      <c r="N71" s="314"/>
      <c r="O71" s="314"/>
      <c r="P71" s="314"/>
      <c r="Q71" s="314"/>
      <c r="R71" s="314"/>
      <c r="S71" s="314"/>
      <c r="T71" s="314"/>
      <c r="U71" s="314"/>
      <c r="V71" s="314"/>
      <c r="W71" s="314"/>
      <c r="X71" s="314"/>
      <c r="Y71" s="314"/>
      <c r="Z71" s="151"/>
      <c r="AA71" s="151"/>
      <c r="AB71" s="314"/>
      <c r="AC71" s="314"/>
      <c r="AD71" s="314"/>
      <c r="AE71" s="314"/>
      <c r="AF71" s="314"/>
      <c r="AG71" s="314"/>
      <c r="AH71" s="314"/>
      <c r="AI71" s="314"/>
      <c r="AJ71" s="314"/>
      <c r="AK71" s="314"/>
      <c r="AL71" s="314"/>
      <c r="AM71" s="314"/>
      <c r="AN71" s="314"/>
      <c r="AO71" s="314"/>
      <c r="AP71" s="314"/>
      <c r="AQ71" s="314"/>
      <c r="AR71" s="314"/>
      <c r="AS71" s="314"/>
      <c r="AT71" s="314"/>
      <c r="AU71" s="314"/>
      <c r="AV71" s="314"/>
      <c r="AW71" s="314"/>
      <c r="AX71" s="314"/>
      <c r="AY71" s="314"/>
    </row>
    <row r="72" spans="3:51">
      <c r="C72" s="314"/>
      <c r="D72" s="314"/>
      <c r="E72" s="314"/>
      <c r="F72" s="314"/>
      <c r="G72" s="314"/>
      <c r="H72" s="314"/>
      <c r="I72" s="314"/>
      <c r="J72" s="314"/>
      <c r="K72" s="314"/>
      <c r="L72" s="314"/>
      <c r="M72" s="314"/>
      <c r="N72" s="314"/>
      <c r="O72" s="314"/>
      <c r="P72" s="314"/>
      <c r="Q72" s="314"/>
      <c r="R72" s="314"/>
      <c r="S72" s="314"/>
      <c r="T72" s="314"/>
      <c r="U72" s="314"/>
      <c r="V72" s="314"/>
      <c r="W72" s="314"/>
      <c r="X72" s="314"/>
      <c r="Y72" s="314"/>
      <c r="Z72" s="151"/>
      <c r="AA72" s="151"/>
      <c r="AB72" s="314"/>
      <c r="AC72" s="314"/>
      <c r="AD72" s="314"/>
      <c r="AE72" s="314"/>
      <c r="AF72" s="314"/>
      <c r="AG72" s="314"/>
      <c r="AH72" s="314"/>
      <c r="AI72" s="314"/>
      <c r="AJ72" s="314"/>
      <c r="AK72" s="314"/>
      <c r="AL72" s="314"/>
      <c r="AM72" s="314"/>
      <c r="AN72" s="314"/>
      <c r="AO72" s="314"/>
      <c r="AP72" s="314"/>
      <c r="AQ72" s="314"/>
      <c r="AR72" s="314"/>
      <c r="AS72" s="314"/>
      <c r="AT72" s="314"/>
      <c r="AU72" s="314"/>
      <c r="AV72" s="314"/>
      <c r="AW72" s="314"/>
      <c r="AX72" s="314"/>
      <c r="AY72" s="314"/>
    </row>
    <row r="73" spans="3:51">
      <c r="C73" s="314"/>
      <c r="D73" s="314"/>
      <c r="E73" s="314"/>
      <c r="F73" s="314"/>
      <c r="G73" s="314"/>
      <c r="H73" s="314"/>
      <c r="I73" s="314"/>
      <c r="J73" s="314"/>
      <c r="K73" s="314"/>
      <c r="L73" s="314"/>
      <c r="M73" s="314"/>
      <c r="N73" s="314"/>
      <c r="O73" s="314"/>
      <c r="P73" s="314"/>
      <c r="Q73" s="314"/>
      <c r="R73" s="314"/>
      <c r="S73" s="314"/>
      <c r="T73" s="314"/>
      <c r="U73" s="314"/>
      <c r="V73" s="314"/>
      <c r="W73" s="314"/>
      <c r="X73" s="314"/>
      <c r="Y73" s="314"/>
      <c r="Z73" s="151"/>
      <c r="AA73" s="151"/>
      <c r="AB73" s="314"/>
      <c r="AC73" s="314"/>
      <c r="AD73" s="314"/>
      <c r="AE73" s="314"/>
      <c r="AF73" s="314"/>
      <c r="AG73" s="314"/>
      <c r="AH73" s="314"/>
      <c r="AI73" s="314"/>
      <c r="AJ73" s="314"/>
      <c r="AK73" s="314"/>
      <c r="AL73" s="314"/>
      <c r="AM73" s="314"/>
      <c r="AN73" s="314"/>
      <c r="AO73" s="314"/>
      <c r="AP73" s="314"/>
      <c r="AQ73" s="314"/>
      <c r="AR73" s="314"/>
      <c r="AS73" s="314"/>
      <c r="AT73" s="314"/>
      <c r="AU73" s="314"/>
      <c r="AV73" s="314"/>
      <c r="AW73" s="314"/>
      <c r="AX73" s="314"/>
      <c r="AY73" s="314"/>
    </row>
    <row r="74" spans="3:51">
      <c r="C74" s="314"/>
      <c r="D74" s="314"/>
      <c r="E74" s="314"/>
      <c r="F74" s="314"/>
      <c r="G74" s="314"/>
      <c r="H74" s="314"/>
      <c r="I74" s="314"/>
      <c r="J74" s="314"/>
      <c r="K74" s="314"/>
      <c r="L74" s="314"/>
      <c r="M74" s="314"/>
      <c r="N74" s="314"/>
      <c r="O74" s="314"/>
      <c r="P74" s="314"/>
      <c r="Q74" s="314"/>
      <c r="R74" s="314"/>
      <c r="S74" s="314"/>
      <c r="T74" s="314"/>
      <c r="U74" s="314"/>
      <c r="V74" s="314"/>
      <c r="W74" s="314"/>
      <c r="X74" s="314"/>
      <c r="Y74" s="314"/>
      <c r="Z74" s="151"/>
      <c r="AA74" s="151"/>
      <c r="AB74" s="314"/>
      <c r="AC74" s="314"/>
      <c r="AD74" s="314"/>
      <c r="AE74" s="314"/>
      <c r="AF74" s="314"/>
      <c r="AG74" s="314"/>
      <c r="AH74" s="314"/>
      <c r="AI74" s="314"/>
      <c r="AJ74" s="314"/>
      <c r="AK74" s="314"/>
      <c r="AL74" s="314"/>
      <c r="AM74" s="314"/>
      <c r="AN74" s="314"/>
      <c r="AO74" s="314"/>
      <c r="AP74" s="314"/>
      <c r="AQ74" s="314"/>
      <c r="AR74" s="314"/>
      <c r="AS74" s="314"/>
      <c r="AT74" s="314"/>
      <c r="AU74" s="314"/>
      <c r="AV74" s="314"/>
      <c r="AW74" s="314"/>
      <c r="AX74" s="314"/>
      <c r="AY74" s="314"/>
    </row>
    <row r="75" spans="3:51">
      <c r="C75" s="314"/>
      <c r="D75" s="314"/>
      <c r="E75" s="314"/>
      <c r="F75" s="314"/>
      <c r="G75" s="314"/>
      <c r="H75" s="314"/>
      <c r="I75" s="314"/>
      <c r="J75" s="314"/>
      <c r="K75" s="314"/>
      <c r="L75" s="314"/>
      <c r="M75" s="314"/>
      <c r="N75" s="314"/>
      <c r="O75" s="314"/>
      <c r="P75" s="314"/>
      <c r="Q75" s="314"/>
      <c r="R75" s="314"/>
      <c r="S75" s="314"/>
      <c r="T75" s="314"/>
      <c r="U75" s="314"/>
      <c r="V75" s="314"/>
      <c r="W75" s="314"/>
      <c r="X75" s="314"/>
      <c r="Y75" s="314"/>
      <c r="Z75" s="151"/>
      <c r="AA75" s="151"/>
      <c r="AB75" s="314"/>
      <c r="AC75" s="314"/>
      <c r="AD75" s="314"/>
      <c r="AE75" s="314"/>
      <c r="AF75" s="314"/>
      <c r="AG75" s="314"/>
      <c r="AH75" s="314"/>
      <c r="AI75" s="314"/>
      <c r="AJ75" s="314"/>
      <c r="AK75" s="314"/>
      <c r="AL75" s="314"/>
      <c r="AM75" s="314"/>
      <c r="AN75" s="314"/>
      <c r="AO75" s="314"/>
      <c r="AP75" s="314"/>
      <c r="AQ75" s="314"/>
      <c r="AR75" s="314"/>
      <c r="AS75" s="314"/>
      <c r="AT75" s="314"/>
      <c r="AU75" s="314"/>
      <c r="AV75" s="314"/>
      <c r="AW75" s="314"/>
      <c r="AX75" s="314"/>
      <c r="AY75" s="314"/>
    </row>
    <row r="76" spans="3:51">
      <c r="C76" s="314"/>
      <c r="D76" s="314"/>
      <c r="E76" s="314"/>
      <c r="F76" s="314"/>
      <c r="G76" s="314"/>
      <c r="H76" s="314"/>
      <c r="I76" s="314"/>
      <c r="J76" s="314"/>
      <c r="K76" s="314"/>
      <c r="L76" s="314"/>
      <c r="M76" s="314"/>
      <c r="N76" s="314"/>
      <c r="O76" s="314"/>
      <c r="P76" s="314"/>
      <c r="Q76" s="314"/>
      <c r="R76" s="314"/>
      <c r="S76" s="314"/>
      <c r="T76" s="314"/>
      <c r="U76" s="314"/>
      <c r="V76" s="314"/>
      <c r="W76" s="314"/>
      <c r="X76" s="314"/>
      <c r="Y76" s="314"/>
      <c r="Z76" s="151"/>
      <c r="AA76" s="151"/>
      <c r="AB76" s="314"/>
      <c r="AC76" s="314"/>
      <c r="AD76" s="314"/>
      <c r="AE76" s="314"/>
      <c r="AF76" s="314"/>
      <c r="AG76" s="314"/>
      <c r="AH76" s="314"/>
      <c r="AI76" s="314"/>
      <c r="AJ76" s="314"/>
      <c r="AK76" s="314"/>
      <c r="AL76" s="314"/>
      <c r="AM76" s="314"/>
      <c r="AN76" s="314"/>
      <c r="AO76" s="314"/>
      <c r="AP76" s="314"/>
      <c r="AQ76" s="314"/>
      <c r="AR76" s="314"/>
      <c r="AS76" s="314"/>
      <c r="AT76" s="314"/>
      <c r="AU76" s="314"/>
      <c r="AV76" s="314"/>
      <c r="AW76" s="314"/>
      <c r="AX76" s="314"/>
      <c r="AY76" s="314"/>
    </row>
    <row r="77" spans="3:51">
      <c r="C77" s="314"/>
      <c r="D77" s="314"/>
      <c r="E77" s="314"/>
      <c r="F77" s="314"/>
      <c r="G77" s="314"/>
      <c r="H77" s="314"/>
      <c r="I77" s="314"/>
      <c r="J77" s="314"/>
      <c r="K77" s="314"/>
      <c r="L77" s="314"/>
      <c r="M77" s="314"/>
      <c r="N77" s="314"/>
      <c r="O77" s="314"/>
      <c r="P77" s="314"/>
      <c r="Q77" s="314"/>
      <c r="R77" s="314"/>
      <c r="S77" s="314"/>
      <c r="T77" s="314"/>
      <c r="U77" s="314"/>
      <c r="V77" s="314"/>
      <c r="W77" s="314"/>
      <c r="X77" s="314"/>
      <c r="Y77" s="314"/>
      <c r="Z77" s="151"/>
      <c r="AA77" s="151"/>
      <c r="AB77" s="314"/>
      <c r="AC77" s="314"/>
      <c r="AD77" s="314"/>
      <c r="AE77" s="314"/>
      <c r="AF77" s="314"/>
      <c r="AG77" s="314"/>
      <c r="AH77" s="314"/>
      <c r="AI77" s="314"/>
      <c r="AJ77" s="314"/>
      <c r="AK77" s="314"/>
      <c r="AL77" s="314"/>
      <c r="AM77" s="314"/>
      <c r="AN77" s="314"/>
      <c r="AO77" s="314"/>
      <c r="AP77" s="314"/>
      <c r="AQ77" s="314"/>
      <c r="AR77" s="314"/>
      <c r="AS77" s="314"/>
      <c r="AT77" s="314"/>
      <c r="AU77" s="314"/>
      <c r="AV77" s="314"/>
      <c r="AW77" s="314"/>
      <c r="AX77" s="314"/>
      <c r="AY77" s="314"/>
    </row>
    <row r="78" spans="3:51">
      <c r="C78" s="314"/>
      <c r="D78" s="314"/>
      <c r="E78" s="314"/>
      <c r="F78" s="314"/>
      <c r="G78" s="314"/>
      <c r="H78" s="314"/>
      <c r="I78" s="314"/>
      <c r="J78" s="314"/>
      <c r="K78" s="314"/>
      <c r="L78" s="314"/>
      <c r="M78" s="314"/>
      <c r="N78" s="314"/>
      <c r="O78" s="314"/>
      <c r="P78" s="314"/>
      <c r="Q78" s="314"/>
      <c r="R78" s="314"/>
      <c r="S78" s="314"/>
      <c r="T78" s="314"/>
      <c r="U78" s="314"/>
      <c r="V78" s="314"/>
      <c r="W78" s="314"/>
      <c r="X78" s="314"/>
      <c r="Y78" s="314"/>
      <c r="Z78" s="151"/>
      <c r="AA78" s="151"/>
      <c r="AB78" s="314"/>
      <c r="AC78" s="314"/>
      <c r="AD78" s="314"/>
      <c r="AE78" s="314"/>
      <c r="AF78" s="314"/>
      <c r="AG78" s="314"/>
      <c r="AH78" s="314"/>
      <c r="AI78" s="314"/>
      <c r="AJ78" s="314"/>
      <c r="AK78" s="314"/>
      <c r="AL78" s="314"/>
      <c r="AM78" s="314"/>
      <c r="AN78" s="314"/>
      <c r="AO78" s="314"/>
      <c r="AP78" s="314"/>
      <c r="AQ78" s="314"/>
      <c r="AR78" s="314"/>
      <c r="AS78" s="314"/>
      <c r="AT78" s="314"/>
      <c r="AU78" s="314"/>
      <c r="AV78" s="314"/>
      <c r="AW78" s="314"/>
      <c r="AX78" s="314"/>
      <c r="AY78" s="314"/>
    </row>
    <row r="79" spans="3:51">
      <c r="C79" s="314"/>
      <c r="D79" s="314"/>
      <c r="E79" s="314"/>
      <c r="F79" s="314"/>
      <c r="G79" s="314"/>
      <c r="H79" s="314"/>
      <c r="I79" s="314"/>
      <c r="J79" s="314"/>
      <c r="K79" s="314"/>
      <c r="L79" s="314"/>
      <c r="M79" s="314"/>
      <c r="N79" s="314"/>
      <c r="O79" s="314"/>
      <c r="P79" s="314"/>
      <c r="Q79" s="314"/>
      <c r="R79" s="314"/>
      <c r="S79" s="314"/>
      <c r="T79" s="314"/>
      <c r="U79" s="314"/>
      <c r="V79" s="314"/>
      <c r="W79" s="314"/>
      <c r="X79" s="314"/>
      <c r="Y79" s="314"/>
      <c r="Z79" s="151"/>
      <c r="AA79" s="151"/>
      <c r="AB79" s="314"/>
      <c r="AC79" s="314"/>
      <c r="AD79" s="314"/>
      <c r="AE79" s="314"/>
      <c r="AF79" s="314"/>
      <c r="AG79" s="314"/>
      <c r="AH79" s="314"/>
      <c r="AI79" s="314"/>
      <c r="AJ79" s="314"/>
      <c r="AK79" s="314"/>
      <c r="AL79" s="314"/>
      <c r="AM79" s="314"/>
      <c r="AN79" s="314"/>
      <c r="AO79" s="314"/>
      <c r="AP79" s="314"/>
      <c r="AQ79" s="314"/>
      <c r="AR79" s="314"/>
      <c r="AS79" s="314"/>
      <c r="AT79" s="314"/>
      <c r="AU79" s="314"/>
      <c r="AV79" s="314"/>
      <c r="AW79" s="314"/>
      <c r="AX79" s="314"/>
      <c r="AY79" s="314"/>
    </row>
    <row r="80" spans="3:51"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14"/>
      <c r="Y80" s="314"/>
      <c r="Z80" s="151"/>
      <c r="AA80" s="151"/>
      <c r="AB80" s="314"/>
      <c r="AC80" s="314"/>
      <c r="AD80" s="314"/>
      <c r="AE80" s="314"/>
      <c r="AF80" s="314"/>
      <c r="AG80" s="314"/>
      <c r="AH80" s="314"/>
      <c r="AI80" s="314"/>
      <c r="AJ80" s="314"/>
      <c r="AK80" s="314"/>
      <c r="AL80" s="314"/>
      <c r="AM80" s="314"/>
      <c r="AN80" s="314"/>
      <c r="AO80" s="314"/>
      <c r="AP80" s="314"/>
      <c r="AQ80" s="314"/>
      <c r="AR80" s="314"/>
      <c r="AS80" s="314"/>
      <c r="AT80" s="314"/>
      <c r="AU80" s="314"/>
      <c r="AV80" s="314"/>
      <c r="AW80" s="314"/>
      <c r="AX80" s="314"/>
      <c r="AY80" s="314"/>
    </row>
    <row r="81" spans="3:51"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151"/>
      <c r="AA81" s="151"/>
      <c r="AB81" s="314"/>
      <c r="AC81" s="314"/>
      <c r="AD81" s="314"/>
      <c r="AE81" s="314"/>
      <c r="AF81" s="314"/>
      <c r="AG81" s="314"/>
      <c r="AH81" s="314"/>
      <c r="AI81" s="314"/>
      <c r="AJ81" s="314"/>
      <c r="AK81" s="314"/>
      <c r="AL81" s="314"/>
      <c r="AM81" s="314"/>
      <c r="AN81" s="314"/>
      <c r="AO81" s="314"/>
      <c r="AP81" s="314"/>
      <c r="AQ81" s="314"/>
      <c r="AR81" s="314"/>
      <c r="AS81" s="314"/>
      <c r="AT81" s="314"/>
      <c r="AU81" s="314"/>
      <c r="AV81" s="314"/>
      <c r="AW81" s="314"/>
      <c r="AX81" s="314"/>
      <c r="AY81" s="314"/>
    </row>
    <row r="82" spans="3:51"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14"/>
      <c r="Z82" s="151"/>
      <c r="AA82" s="151"/>
      <c r="AB82" s="314"/>
      <c r="AC82" s="314"/>
      <c r="AD82" s="314"/>
      <c r="AE82" s="314"/>
      <c r="AF82" s="314"/>
      <c r="AG82" s="314"/>
      <c r="AH82" s="314"/>
      <c r="AI82" s="314"/>
      <c r="AJ82" s="314"/>
      <c r="AK82" s="314"/>
      <c r="AL82" s="314"/>
      <c r="AM82" s="314"/>
      <c r="AN82" s="314"/>
      <c r="AO82" s="314"/>
      <c r="AP82" s="314"/>
      <c r="AQ82" s="314"/>
      <c r="AR82" s="314"/>
      <c r="AS82" s="314"/>
      <c r="AT82" s="314"/>
      <c r="AU82" s="314"/>
      <c r="AV82" s="314"/>
      <c r="AW82" s="314"/>
      <c r="AX82" s="314"/>
      <c r="AY82" s="314"/>
    </row>
    <row r="83" spans="3:51">
      <c r="C83" s="314"/>
      <c r="D83" s="314"/>
      <c r="E83" s="314"/>
      <c r="F83" s="314"/>
      <c r="G83" s="314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314"/>
      <c r="W83" s="314"/>
      <c r="X83" s="314"/>
      <c r="Y83" s="314"/>
      <c r="Z83" s="151"/>
      <c r="AA83" s="151"/>
      <c r="AB83" s="314"/>
      <c r="AC83" s="314"/>
      <c r="AD83" s="314"/>
      <c r="AE83" s="314"/>
      <c r="AF83" s="314"/>
      <c r="AG83" s="314"/>
      <c r="AH83" s="314"/>
      <c r="AI83" s="314"/>
      <c r="AJ83" s="314"/>
      <c r="AK83" s="314"/>
      <c r="AL83" s="314"/>
      <c r="AM83" s="314"/>
      <c r="AN83" s="314"/>
      <c r="AO83" s="314"/>
      <c r="AP83" s="314"/>
      <c r="AQ83" s="314"/>
      <c r="AR83" s="314"/>
      <c r="AS83" s="314"/>
      <c r="AT83" s="314"/>
      <c r="AU83" s="314"/>
      <c r="AV83" s="314"/>
      <c r="AW83" s="314"/>
      <c r="AX83" s="314"/>
      <c r="AY83" s="314"/>
    </row>
    <row r="84" spans="3:51">
      <c r="C84" s="314"/>
      <c r="D84" s="314"/>
      <c r="E84" s="314"/>
      <c r="F84" s="314"/>
      <c r="G84" s="314"/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314"/>
      <c r="W84" s="314"/>
      <c r="X84" s="314"/>
      <c r="Y84" s="314"/>
      <c r="Z84" s="151"/>
      <c r="AA84" s="151"/>
      <c r="AB84" s="314"/>
      <c r="AC84" s="314"/>
      <c r="AD84" s="314"/>
      <c r="AE84" s="314"/>
      <c r="AF84" s="314"/>
      <c r="AG84" s="314"/>
      <c r="AH84" s="314"/>
      <c r="AI84" s="314"/>
      <c r="AJ84" s="314"/>
      <c r="AK84" s="314"/>
      <c r="AL84" s="314"/>
      <c r="AM84" s="314"/>
      <c r="AN84" s="314"/>
      <c r="AO84" s="314"/>
      <c r="AP84" s="314"/>
      <c r="AQ84" s="314"/>
      <c r="AR84" s="314"/>
      <c r="AS84" s="314"/>
      <c r="AT84" s="314"/>
      <c r="AU84" s="314"/>
      <c r="AV84" s="314"/>
      <c r="AW84" s="314"/>
      <c r="AX84" s="314"/>
      <c r="AY84" s="314"/>
    </row>
    <row r="85" spans="3:51"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314"/>
      <c r="W85" s="314"/>
      <c r="X85" s="314"/>
      <c r="Y85" s="314"/>
      <c r="Z85" s="151"/>
      <c r="AA85" s="151"/>
      <c r="AB85" s="314"/>
      <c r="AC85" s="314"/>
      <c r="AD85" s="314"/>
      <c r="AE85" s="314"/>
      <c r="AF85" s="314"/>
      <c r="AG85" s="314"/>
      <c r="AH85" s="314"/>
      <c r="AI85" s="314"/>
      <c r="AJ85" s="314"/>
      <c r="AK85" s="314"/>
      <c r="AL85" s="314"/>
      <c r="AM85" s="314"/>
      <c r="AN85" s="314"/>
      <c r="AO85" s="314"/>
      <c r="AP85" s="314"/>
      <c r="AQ85" s="314"/>
      <c r="AR85" s="314"/>
      <c r="AS85" s="314"/>
      <c r="AT85" s="314"/>
      <c r="AU85" s="314"/>
      <c r="AV85" s="314"/>
      <c r="AW85" s="314"/>
      <c r="AX85" s="314"/>
      <c r="AY85" s="314"/>
    </row>
    <row r="86" spans="3:51"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314"/>
      <c r="W86" s="314"/>
      <c r="X86" s="314"/>
      <c r="Y86" s="314"/>
      <c r="Z86" s="151"/>
      <c r="AA86" s="151"/>
      <c r="AB86" s="314"/>
      <c r="AC86" s="314"/>
      <c r="AD86" s="314"/>
      <c r="AE86" s="314"/>
      <c r="AF86" s="314"/>
      <c r="AG86" s="314"/>
      <c r="AH86" s="314"/>
      <c r="AI86" s="314"/>
      <c r="AJ86" s="314"/>
      <c r="AK86" s="314"/>
      <c r="AL86" s="314"/>
      <c r="AM86" s="314"/>
      <c r="AN86" s="314"/>
      <c r="AO86" s="314"/>
      <c r="AP86" s="314"/>
      <c r="AQ86" s="314"/>
      <c r="AR86" s="314"/>
      <c r="AS86" s="314"/>
      <c r="AT86" s="314"/>
      <c r="AU86" s="314"/>
      <c r="AV86" s="314"/>
      <c r="AW86" s="314"/>
      <c r="AX86" s="314"/>
      <c r="AY86" s="314"/>
    </row>
    <row r="87" spans="3:51"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314"/>
      <c r="W87" s="314"/>
      <c r="X87" s="314"/>
      <c r="Y87" s="314"/>
      <c r="Z87" s="151"/>
      <c r="AA87" s="151"/>
      <c r="AB87" s="314"/>
      <c r="AC87" s="314"/>
      <c r="AD87" s="314"/>
      <c r="AE87" s="314"/>
      <c r="AF87" s="314"/>
      <c r="AG87" s="314"/>
      <c r="AH87" s="314"/>
      <c r="AI87" s="314"/>
      <c r="AJ87" s="314"/>
      <c r="AK87" s="314"/>
      <c r="AL87" s="314"/>
      <c r="AM87" s="314"/>
      <c r="AN87" s="314"/>
      <c r="AO87" s="314"/>
      <c r="AP87" s="314"/>
      <c r="AQ87" s="314"/>
      <c r="AR87" s="314"/>
      <c r="AS87" s="314"/>
      <c r="AT87" s="314"/>
      <c r="AU87" s="314"/>
      <c r="AV87" s="314"/>
      <c r="AW87" s="314"/>
      <c r="AX87" s="314"/>
      <c r="AY87" s="314"/>
    </row>
    <row r="88" spans="3:51"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314"/>
      <c r="W88" s="314"/>
      <c r="X88" s="314"/>
      <c r="Y88" s="314"/>
      <c r="Z88" s="151"/>
      <c r="AA88" s="151"/>
      <c r="AB88" s="314"/>
      <c r="AC88" s="314"/>
      <c r="AD88" s="314"/>
      <c r="AE88" s="314"/>
      <c r="AF88" s="314"/>
      <c r="AG88" s="314"/>
      <c r="AH88" s="314"/>
      <c r="AI88" s="314"/>
      <c r="AJ88" s="314"/>
      <c r="AK88" s="314"/>
      <c r="AL88" s="314"/>
      <c r="AM88" s="314"/>
      <c r="AN88" s="314"/>
      <c r="AO88" s="314"/>
      <c r="AP88" s="314"/>
      <c r="AQ88" s="314"/>
      <c r="AR88" s="314"/>
      <c r="AS88" s="314"/>
      <c r="AT88" s="314"/>
      <c r="AU88" s="314"/>
      <c r="AV88" s="314"/>
      <c r="AW88" s="314"/>
      <c r="AX88" s="314"/>
      <c r="AY88" s="314"/>
    </row>
    <row r="89" spans="3:51"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14"/>
      <c r="Y89" s="314"/>
      <c r="Z89" s="151"/>
      <c r="AA89" s="151"/>
      <c r="AB89" s="314"/>
      <c r="AC89" s="314"/>
      <c r="AD89" s="314"/>
      <c r="AE89" s="314"/>
      <c r="AF89" s="314"/>
      <c r="AG89" s="314"/>
      <c r="AH89" s="314"/>
      <c r="AI89" s="314"/>
      <c r="AJ89" s="314"/>
      <c r="AK89" s="314"/>
      <c r="AL89" s="314"/>
      <c r="AM89" s="314"/>
      <c r="AN89" s="314"/>
      <c r="AO89" s="314"/>
      <c r="AP89" s="314"/>
      <c r="AQ89" s="314"/>
      <c r="AR89" s="314"/>
      <c r="AS89" s="314"/>
      <c r="AT89" s="314"/>
      <c r="AU89" s="314"/>
      <c r="AV89" s="314"/>
      <c r="AW89" s="314"/>
      <c r="AX89" s="314"/>
      <c r="AY89" s="314"/>
    </row>
    <row r="90" spans="3:51"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314"/>
      <c r="W90" s="314"/>
      <c r="X90" s="314"/>
      <c r="Y90" s="314"/>
      <c r="Z90" s="151"/>
      <c r="AA90" s="151"/>
      <c r="AB90" s="314"/>
      <c r="AC90" s="314"/>
      <c r="AD90" s="314"/>
      <c r="AE90" s="314"/>
      <c r="AF90" s="314"/>
      <c r="AG90" s="314"/>
      <c r="AH90" s="314"/>
      <c r="AI90" s="314"/>
      <c r="AJ90" s="314"/>
      <c r="AK90" s="314"/>
      <c r="AL90" s="314"/>
      <c r="AM90" s="314"/>
      <c r="AN90" s="314"/>
      <c r="AO90" s="314"/>
      <c r="AP90" s="314"/>
      <c r="AQ90" s="314"/>
      <c r="AR90" s="314"/>
      <c r="AS90" s="314"/>
      <c r="AT90" s="314"/>
      <c r="AU90" s="314"/>
      <c r="AV90" s="314"/>
      <c r="AW90" s="314"/>
      <c r="AX90" s="314"/>
      <c r="AY90" s="314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390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5555.1656179523234</v>
      </c>
      <c r="D11" s="18">
        <f>IS!D32</f>
        <v>9521.6667736325526</v>
      </c>
      <c r="E11" s="18">
        <f>IS!E32</f>
        <v>9484.8339736325561</v>
      </c>
      <c r="F11" s="18">
        <f>IS!F32</f>
        <v>10738.773669240883</v>
      </c>
      <c r="G11" s="18">
        <f>IS!G32</f>
        <v>11573.282645015555</v>
      </c>
      <c r="H11" s="18">
        <f>IS!H32</f>
        <v>11696.028384816531</v>
      </c>
      <c r="I11" s="18">
        <f>IS!I32</f>
        <v>11815.650398721325</v>
      </c>
      <c r="J11" s="18">
        <f>IS!J32</f>
        <v>11931.850792010346</v>
      </c>
      <c r="K11" s="18">
        <f>IS!K32</f>
        <v>12292.223512561675</v>
      </c>
      <c r="L11" s="18">
        <f>IS!L32</f>
        <v>12408.063302654164</v>
      </c>
      <c r="M11" s="18">
        <f>IS!M32</f>
        <v>12782.722398524817</v>
      </c>
      <c r="N11" s="18">
        <f>IS!N32</f>
        <v>12897.726698770804</v>
      </c>
      <c r="O11" s="18">
        <f>IS!O32</f>
        <v>13287.075696524957</v>
      </c>
      <c r="P11" s="18">
        <f>IS!P32</f>
        <v>13400.713116489254</v>
      </c>
      <c r="Q11" s="18">
        <f>IS!Q32</f>
        <v>13509.137897620814</v>
      </c>
      <c r="R11" s="18">
        <f>IS!R32</f>
        <v>13611.93500791169</v>
      </c>
      <c r="S11" s="18">
        <f>IS!S32</f>
        <v>13755.670253522774</v>
      </c>
      <c r="T11" s="18">
        <f>IS!T32</f>
        <v>13879.457422475571</v>
      </c>
      <c r="U11" s="18">
        <f>IS!U32</f>
        <v>13962.674995065187</v>
      </c>
      <c r="V11" s="18">
        <f>IS!V32</f>
        <v>14038.394110329951</v>
      </c>
      <c r="W11" s="18">
        <f>IS!W32</f>
        <v>14106.08996501505</v>
      </c>
      <c r="X11" s="18">
        <f>IS!X32</f>
        <v>14165.21301628195</v>
      </c>
      <c r="Y11" s="18">
        <f>IS!Y32</f>
        <v>14222.398471416294</v>
      </c>
      <c r="Z11" s="18">
        <f>IS!Z32</f>
        <v>14277.588202534127</v>
      </c>
      <c r="AA11" s="18">
        <f>IS!AA32</f>
        <v>14330.722337914918</v>
      </c>
      <c r="AB11" s="18">
        <f>IS!AB32</f>
        <v>14381.73920968657</v>
      </c>
      <c r="AC11" s="18">
        <f>IS!AC32</f>
        <v>14430.575299940812</v>
      </c>
      <c r="AD11" s="18">
        <f>IS!AD32</f>
        <v>14477.165185232139</v>
      </c>
      <c r="AE11" s="18">
        <f>IS!AE32</f>
        <v>14521.441479411633</v>
      </c>
      <c r="AF11" s="18">
        <f>IS!AF32</f>
        <v>14563.334774745941</v>
      </c>
      <c r="AG11" s="18">
        <f>IS!AG32</f>
        <v>4396.732487228508</v>
      </c>
    </row>
    <row r="12" spans="1:35">
      <c r="A12" s="45" t="s">
        <v>81</v>
      </c>
      <c r="B12" s="453">
        <v>0</v>
      </c>
      <c r="C12" s="453">
        <f>-(Debt!B36)</f>
        <v>-2086.6568850651784</v>
      </c>
      <c r="D12" s="453">
        <f>-(Debt!B44+Debt!C27+Debt!C36)</f>
        <v>-6195.7560796725538</v>
      </c>
      <c r="E12" s="453">
        <f>-(Debt!C44+Debt!D27+Debt!D36)</f>
        <v>-6107.2030177268862</v>
      </c>
      <c r="F12" s="453">
        <f>-(Debt!D44+Debt!E27+Debt!E36)</f>
        <v>-6002.2520588608859</v>
      </c>
      <c r="G12" s="453">
        <f>-(Debt!E44+Debt!F27+Debt!F36)</f>
        <v>-5817.8871509723367</v>
      </c>
      <c r="H12" s="453">
        <f>-(Debt!F44+Debt!G27+Debt!G36)</f>
        <v>-5584.3764205858988</v>
      </c>
      <c r="I12" s="453">
        <f>-(Debt!G44+Debt!H27+Debt!H36)</f>
        <v>-5312.0031854900053</v>
      </c>
      <c r="J12" s="453">
        <f>-(Debt!H44+Debt!I27+Debt!I36)</f>
        <v>-5014.5152426171844</v>
      </c>
      <c r="K12" s="453">
        <f>-(Debt!I44+Debt!J27+Debt!J36)</f>
        <v>-4671.639146573466</v>
      </c>
      <c r="L12" s="453">
        <f>-(Debt!J44+Debt!K27+Debt!K36)</f>
        <v>-4296.3242099450354</v>
      </c>
      <c r="M12" s="453">
        <f>-(Debt!K44+Debt!L27+Debt!L36)</f>
        <v>-3874.4259020218528</v>
      </c>
      <c r="N12" s="453">
        <f>-(Debt!L44+Debt!M27+Debt!M36)</f>
        <v>-3404.6657351481313</v>
      </c>
      <c r="O12" s="453">
        <f>-(Debt!M44+Debt!N27+Debt!N36)</f>
        <v>-2875.898483062143</v>
      </c>
      <c r="P12" s="453">
        <f>-(Debt!N44+Debt!O27+Debt!O36)</f>
        <v>-2295.2836778514211</v>
      </c>
      <c r="Q12" s="453">
        <f>-(Debt!O44+Debt!P27+Debt!P36)</f>
        <v>-1655.670693045347</v>
      </c>
      <c r="R12" s="453">
        <f>-(Debt!P44+Debt!Q27+Debt!Q36)</f>
        <v>-959.56973286707841</v>
      </c>
      <c r="S12" s="453">
        <f>-(Debt!Q44+Debt!R27+Debt!R36)</f>
        <v>-197.88705780537242</v>
      </c>
      <c r="T12" s="453">
        <f>-(Debt!R44+Debt!S27+Debt!S36)</f>
        <v>0</v>
      </c>
      <c r="U12" s="453">
        <f>-(Debt!S44+Debt!T27+Debt!T36)</f>
        <v>0</v>
      </c>
      <c r="V12" s="453">
        <f>-(Debt!T44+Debt!U27+Debt!U36)</f>
        <v>0</v>
      </c>
      <c r="W12" s="453">
        <f>-(Debt!U44+Debt!V27+Debt!V36)</f>
        <v>0</v>
      </c>
      <c r="X12" s="453">
        <f>-(Debt!V44+Debt!W27+Debt!W36)</f>
        <v>0</v>
      </c>
      <c r="Y12" s="453">
        <f>-(Debt!W44+Debt!X27+Debt!X36)</f>
        <v>0</v>
      </c>
      <c r="Z12" s="453">
        <f>-(Debt!X44+Debt!Y27+Debt!Y36)</f>
        <v>0</v>
      </c>
      <c r="AA12" s="453">
        <f>-(Debt!Y44+Debt!Z27+Debt!Z36)</f>
        <v>0</v>
      </c>
      <c r="AB12" s="453">
        <f>-(Debt!Z44+Debt!AA27+Debt!AA36)</f>
        <v>0</v>
      </c>
      <c r="AC12" s="453">
        <f>-(Debt!AA44+Debt!AB27+Debt!AB36)</f>
        <v>0</v>
      </c>
      <c r="AD12" s="453">
        <f>-(Debt!AB44+Debt!AC27+Debt!AC36)</f>
        <v>0</v>
      </c>
      <c r="AE12" s="453">
        <f>-(Debt!AC44+Debt!AD27+Debt!AD36)</f>
        <v>0</v>
      </c>
      <c r="AF12" s="453">
        <f>-(Debt!AD44+Debt!AE27+Debt!AE36)</f>
        <v>0</v>
      </c>
      <c r="AG12" s="453">
        <f>-(Debt!AE44+Debt!AF27+Debt!AF36)</f>
        <v>0</v>
      </c>
      <c r="AH12" s="13"/>
      <c r="AI12" s="13"/>
    </row>
    <row r="13" spans="1:35">
      <c r="A13" s="45" t="s">
        <v>361</v>
      </c>
      <c r="B13" s="64">
        <f>SUM(B11:B12)</f>
        <v>0</v>
      </c>
      <c r="C13" s="64">
        <f t="shared" ref="C13:AG13" si="0">SUM(C11:C12)</f>
        <v>3468.508732887145</v>
      </c>
      <c r="D13" s="64">
        <f t="shared" si="0"/>
        <v>3325.9106939599988</v>
      </c>
      <c r="E13" s="64">
        <f t="shared" si="0"/>
        <v>3377.6309559056699</v>
      </c>
      <c r="F13" s="64">
        <f t="shared" si="0"/>
        <v>4736.5216103799976</v>
      </c>
      <c r="G13" s="64">
        <f t="shared" si="0"/>
        <v>5755.3954940432186</v>
      </c>
      <c r="H13" s="64">
        <f t="shared" si="0"/>
        <v>6111.6519642306321</v>
      </c>
      <c r="I13" s="64">
        <f t="shared" si="0"/>
        <v>6503.6472132313202</v>
      </c>
      <c r="J13" s="64">
        <f t="shared" si="0"/>
        <v>6917.3355493931613</v>
      </c>
      <c r="K13" s="64">
        <f t="shared" si="0"/>
        <v>7620.5843659882094</v>
      </c>
      <c r="L13" s="64">
        <f t="shared" si="0"/>
        <v>8111.7390927091283</v>
      </c>
      <c r="M13" s="64">
        <f t="shared" si="0"/>
        <v>8908.2964965029641</v>
      </c>
      <c r="N13" s="64">
        <f t="shared" si="0"/>
        <v>9493.0609636226727</v>
      </c>
      <c r="O13" s="64">
        <f t="shared" si="0"/>
        <v>10411.177213462814</v>
      </c>
      <c r="P13" s="64">
        <f t="shared" si="0"/>
        <v>11105.429438637833</v>
      </c>
      <c r="Q13" s="64">
        <f t="shared" si="0"/>
        <v>11853.467204575467</v>
      </c>
      <c r="R13" s="64">
        <f t="shared" si="0"/>
        <v>12652.365275044613</v>
      </c>
      <c r="S13" s="64">
        <f t="shared" si="0"/>
        <v>13557.783195717402</v>
      </c>
      <c r="T13" s="64">
        <f t="shared" si="0"/>
        <v>13879.457422475571</v>
      </c>
      <c r="U13" s="64">
        <f t="shared" si="0"/>
        <v>13962.674995065187</v>
      </c>
      <c r="V13" s="64">
        <f t="shared" si="0"/>
        <v>14038.394110329951</v>
      </c>
      <c r="W13" s="64">
        <f t="shared" si="0"/>
        <v>14106.08996501505</v>
      </c>
      <c r="X13" s="64">
        <f t="shared" si="0"/>
        <v>14165.21301628195</v>
      </c>
      <c r="Y13" s="64">
        <f t="shared" si="0"/>
        <v>14222.398471416294</v>
      </c>
      <c r="Z13" s="64">
        <f t="shared" si="0"/>
        <v>14277.588202534127</v>
      </c>
      <c r="AA13" s="64">
        <f t="shared" si="0"/>
        <v>14330.722337914918</v>
      </c>
      <c r="AB13" s="64">
        <f t="shared" si="0"/>
        <v>14381.73920968657</v>
      </c>
      <c r="AC13" s="64">
        <f t="shared" si="0"/>
        <v>14430.575299940812</v>
      </c>
      <c r="AD13" s="64">
        <f t="shared" si="0"/>
        <v>14477.165185232139</v>
      </c>
      <c r="AE13" s="64">
        <f t="shared" si="0"/>
        <v>14521.441479411633</v>
      </c>
      <c r="AF13" s="64">
        <f t="shared" si="0"/>
        <v>14563.334774745941</v>
      </c>
      <c r="AG13" s="64">
        <f t="shared" si="0"/>
        <v>4396.732487228508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362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-221.69113839909824</v>
      </c>
      <c r="Q15" s="18">
        <f>-Taxes!P24-Taxes!P41</f>
        <v>-2280.2521761618591</v>
      </c>
      <c r="R15" s="18">
        <f>-Taxes!Q24-Taxes!Q41</f>
        <v>-3919.7308316300441</v>
      </c>
      <c r="S15" s="18">
        <f>-Taxes!R24-Taxes!R41</f>
        <v>-5401.1818872128524</v>
      </c>
      <c r="T15" s="18">
        <f>-Taxes!S24-Taxes!S41</f>
        <v>-5489.3254105890883</v>
      </c>
      <c r="U15" s="18">
        <f>-Taxes!T24-Taxes!T41</f>
        <v>-5522.2379605482811</v>
      </c>
      <c r="V15" s="18">
        <f>-Taxes!U24-Taxes!U41</f>
        <v>-5552.1848706354958</v>
      </c>
      <c r="W15" s="18">
        <f>-Taxes!V24-Taxes!V41</f>
        <v>-5578.9585811634515</v>
      </c>
      <c r="X15" s="18">
        <f>-Taxes!W24-Taxes!W41</f>
        <v>-5602.3417479395121</v>
      </c>
      <c r="Y15" s="18">
        <f>-Taxes!X24-Taxes!X41</f>
        <v>-5624.9585954451441</v>
      </c>
      <c r="Z15" s="18">
        <f>-Taxes!Y24-Taxes!Y41</f>
        <v>-5646.7861341022472</v>
      </c>
      <c r="AA15" s="18">
        <f>-Taxes!Z24-Taxes!Z41</f>
        <v>-5667.80068464535</v>
      </c>
      <c r="AB15" s="18">
        <f>-Taxes!AA24-Taxes!AA41</f>
        <v>-5687.9778574310376</v>
      </c>
      <c r="AC15" s="18">
        <f>-Taxes!AB24-Taxes!AB41</f>
        <v>-5707.2925311265917</v>
      </c>
      <c r="AD15" s="18">
        <f>-Taxes!AC24-Taxes!AC41</f>
        <v>-5725.7188307593105</v>
      </c>
      <c r="AE15" s="18">
        <f>-Taxes!AD24-Taxes!AD41</f>
        <v>-5743.2301051073009</v>
      </c>
      <c r="AF15" s="18">
        <f>-Taxes!AE24-Taxes!AE41</f>
        <v>-5759.7989034120201</v>
      </c>
      <c r="AG15" s="18">
        <f>-Taxes!AF24-Taxes!AF41</f>
        <v>-1738.907698698875</v>
      </c>
    </row>
    <row r="16" spans="1:35">
      <c r="A16" s="45" t="s">
        <v>82</v>
      </c>
      <c r="B16" s="64">
        <v>0</v>
      </c>
      <c r="C16" s="23">
        <f>-Debt!B48</f>
        <v>-360.90615354148031</v>
      </c>
      <c r="D16" s="23">
        <f>-Debt!C48</f>
        <v>-1128.171179988276</v>
      </c>
      <c r="E16" s="23">
        <f>-Debt!D48</f>
        <v>-1195.8869404941506</v>
      </c>
      <c r="F16" s="23">
        <f>-Debt!E48</f>
        <v>-2023.4885100201209</v>
      </c>
      <c r="G16" s="23">
        <f>-Debt!F48</f>
        <v>-2918.9681191513955</v>
      </c>
      <c r="H16" s="23">
        <f>-Debt!G48</f>
        <v>-3389.0282119455078</v>
      </c>
      <c r="I16" s="23">
        <f>-Debt!H48</f>
        <v>-3754.0174515341278</v>
      </c>
      <c r="J16" s="23">
        <f>-Debt!I48</f>
        <v>-4147.7986997428961</v>
      </c>
      <c r="K16" s="23">
        <f>-Debt!J48</f>
        <v>-4708.5526387994614</v>
      </c>
      <c r="L16" s="23">
        <f>-Debt!K48</f>
        <v>-5226.1240188649754</v>
      </c>
      <c r="M16" s="23">
        <f>-Debt!L48</f>
        <v>-5886.5850521137036</v>
      </c>
      <c r="N16" s="23">
        <f>-Debt!M48</f>
        <v>-6501.3651722458235</v>
      </c>
      <c r="O16" s="23">
        <f>-Debt!N48</f>
        <v>-7263.5010082055196</v>
      </c>
      <c r="P16" s="23">
        <f>-Debt!O48</f>
        <v>-7991.1637031850914</v>
      </c>
      <c r="Q16" s="23">
        <f>-Debt!P48</f>
        <v>-8715.1800499443816</v>
      </c>
      <c r="R16" s="23">
        <f>-Debt!Q48</f>
        <v>-9498.5675254335474</v>
      </c>
      <c r="S16" s="23">
        <f>-Debt!R48</f>
        <v>-5075.4062477508733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0</v>
      </c>
      <c r="Y16" s="23">
        <f>-Debt!X48</f>
        <v>0</v>
      </c>
      <c r="Z16" s="23">
        <f>-Debt!Y48</f>
        <v>0</v>
      </c>
      <c r="AA16" s="23">
        <f>-Debt!Z48</f>
        <v>0</v>
      </c>
      <c r="AB16" s="23">
        <f>-Debt!AA48</f>
        <v>0</v>
      </c>
      <c r="AC16" s="23">
        <f>-Debt!AB48</f>
        <v>0</v>
      </c>
      <c r="AD16" s="23">
        <f>-Debt!AC48</f>
        <v>0</v>
      </c>
      <c r="AE16" s="23">
        <f>-Debt!AD48</f>
        <v>0</v>
      </c>
      <c r="AF16" s="23">
        <f>-Debt!AE48</f>
        <v>0</v>
      </c>
      <c r="AG16" s="23">
        <f>-Debt!AF48</f>
        <v>0</v>
      </c>
    </row>
    <row r="17" spans="1:33">
      <c r="A17" s="45" t="s">
        <v>363</v>
      </c>
      <c r="B17" s="454">
        <v>0</v>
      </c>
      <c r="C17" s="454">
        <v>0</v>
      </c>
      <c r="D17" s="454">
        <v>0</v>
      </c>
      <c r="E17" s="454">
        <v>0</v>
      </c>
      <c r="F17" s="454">
        <v>0</v>
      </c>
      <c r="G17" s="454">
        <v>0</v>
      </c>
      <c r="H17" s="454">
        <v>0</v>
      </c>
      <c r="I17" s="454">
        <v>0</v>
      </c>
      <c r="J17" s="454">
        <v>0</v>
      </c>
      <c r="K17" s="454">
        <v>0</v>
      </c>
      <c r="L17" s="454">
        <v>0</v>
      </c>
      <c r="M17" s="454">
        <v>0</v>
      </c>
      <c r="N17" s="454">
        <v>0</v>
      </c>
      <c r="O17" s="454">
        <v>0</v>
      </c>
      <c r="P17" s="454">
        <v>0</v>
      </c>
      <c r="Q17" s="454">
        <v>0</v>
      </c>
      <c r="R17" s="454">
        <v>0</v>
      </c>
      <c r="S17" s="454">
        <v>0</v>
      </c>
      <c r="T17" s="454">
        <v>0</v>
      </c>
      <c r="U17" s="454">
        <v>0</v>
      </c>
      <c r="V17" s="454">
        <v>0</v>
      </c>
      <c r="W17" s="454">
        <v>0</v>
      </c>
      <c r="X17" s="454">
        <v>0</v>
      </c>
      <c r="Y17" s="454">
        <v>0</v>
      </c>
      <c r="Z17" s="454">
        <v>0</v>
      </c>
      <c r="AA17" s="454">
        <v>0</v>
      </c>
      <c r="AB17" s="454">
        <v>0</v>
      </c>
      <c r="AC17" s="454">
        <v>0</v>
      </c>
      <c r="AD17" s="454">
        <v>0</v>
      </c>
      <c r="AE17" s="454">
        <v>0</v>
      </c>
      <c r="AF17" s="454">
        <v>0</v>
      </c>
      <c r="AG17" s="454">
        <v>0</v>
      </c>
    </row>
    <row r="18" spans="1:33">
      <c r="A18" s="45" t="s">
        <v>364</v>
      </c>
      <c r="B18" s="64">
        <f>B13+B17+B16+B15</f>
        <v>0</v>
      </c>
      <c r="C18" s="64">
        <f t="shared" ref="C18:AG18" si="1">C13+C17+C16+C15</f>
        <v>3107.6025793456647</v>
      </c>
      <c r="D18" s="64">
        <f t="shared" si="1"/>
        <v>2197.7395139717228</v>
      </c>
      <c r="E18" s="64">
        <f t="shared" si="1"/>
        <v>2181.7440154115193</v>
      </c>
      <c r="F18" s="64">
        <f t="shared" si="1"/>
        <v>2713.0331003598767</v>
      </c>
      <c r="G18" s="64">
        <f t="shared" si="1"/>
        <v>2836.4273748918231</v>
      </c>
      <c r="H18" s="64">
        <f t="shared" si="1"/>
        <v>2722.6237522851243</v>
      </c>
      <c r="I18" s="64">
        <f t="shared" si="1"/>
        <v>2749.6297616971924</v>
      </c>
      <c r="J18" s="64">
        <f t="shared" si="1"/>
        <v>2769.5368496502651</v>
      </c>
      <c r="K18" s="64">
        <f t="shared" si="1"/>
        <v>2912.0317271887479</v>
      </c>
      <c r="L18" s="64">
        <f t="shared" si="1"/>
        <v>2885.6150738441529</v>
      </c>
      <c r="M18" s="64">
        <f t="shared" si="1"/>
        <v>3021.7114443892606</v>
      </c>
      <c r="N18" s="64">
        <f t="shared" si="1"/>
        <v>2991.6957913768492</v>
      </c>
      <c r="O18" s="64">
        <f t="shared" si="1"/>
        <v>3147.676205257294</v>
      </c>
      <c r="P18" s="64">
        <f t="shared" si="1"/>
        <v>2892.5745970536436</v>
      </c>
      <c r="Q18" s="64">
        <f t="shared" si="1"/>
        <v>858.03497846922619</v>
      </c>
      <c r="R18" s="64">
        <f t="shared" si="1"/>
        <v>-765.93308201897889</v>
      </c>
      <c r="S18" s="64">
        <f t="shared" si="1"/>
        <v>3081.1950607536755</v>
      </c>
      <c r="T18" s="64">
        <f t="shared" si="1"/>
        <v>8390.1320118864824</v>
      </c>
      <c r="U18" s="64">
        <f t="shared" si="1"/>
        <v>8440.4370345169045</v>
      </c>
      <c r="V18" s="64">
        <f t="shared" si="1"/>
        <v>8486.2092396944554</v>
      </c>
      <c r="W18" s="64">
        <f t="shared" si="1"/>
        <v>8527.131383851598</v>
      </c>
      <c r="X18" s="64">
        <f t="shared" si="1"/>
        <v>8562.8712683424383</v>
      </c>
      <c r="Y18" s="64">
        <f t="shared" si="1"/>
        <v>8597.4398759711512</v>
      </c>
      <c r="Z18" s="64">
        <f t="shared" si="1"/>
        <v>8630.8020684318799</v>
      </c>
      <c r="AA18" s="64">
        <f t="shared" si="1"/>
        <v>8662.9216532695682</v>
      </c>
      <c r="AB18" s="64">
        <f t="shared" si="1"/>
        <v>8693.761352255533</v>
      </c>
      <c r="AC18" s="64">
        <f t="shared" si="1"/>
        <v>8723.2827688142206</v>
      </c>
      <c r="AD18" s="64">
        <f t="shared" si="1"/>
        <v>8751.4463544728278</v>
      </c>
      <c r="AE18" s="64">
        <f t="shared" si="1"/>
        <v>8778.2113743043319</v>
      </c>
      <c r="AF18" s="64">
        <f t="shared" si="1"/>
        <v>8803.535871333921</v>
      </c>
      <c r="AG18" s="64">
        <f t="shared" si="1"/>
        <v>2657.8247885296332</v>
      </c>
    </row>
    <row r="19" spans="1:33">
      <c r="A19" s="341"/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06"/>
      <c r="Z19" s="406"/>
      <c r="AA19" s="406"/>
      <c r="AB19" s="406"/>
      <c r="AC19" s="406"/>
      <c r="AD19" s="406"/>
      <c r="AE19" s="406"/>
      <c r="AF19" s="406"/>
      <c r="AG19" s="406"/>
    </row>
    <row r="20" spans="1:33">
      <c r="A20" s="455" t="s">
        <v>415</v>
      </c>
      <c r="B20" s="526">
        <v>1</v>
      </c>
      <c r="C20" s="406"/>
      <c r="D20" s="406"/>
      <c r="E20" s="406"/>
      <c r="F20" s="406"/>
      <c r="G20" s="406"/>
      <c r="H20" s="406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406"/>
      <c r="AB20" s="406"/>
      <c r="AC20" s="406"/>
      <c r="AD20" s="406"/>
      <c r="AE20" s="406"/>
      <c r="AF20" s="406"/>
      <c r="AG20" s="406"/>
    </row>
    <row r="21" spans="1:33">
      <c r="B21" s="64">
        <f>$B$20*B18</f>
        <v>0</v>
      </c>
      <c r="C21" s="64">
        <f t="shared" ref="C21:AG21" si="2">$B$20*C18</f>
        <v>3107.6025793456647</v>
      </c>
      <c r="D21" s="64">
        <f t="shared" si="2"/>
        <v>2197.7395139717228</v>
      </c>
      <c r="E21" s="64">
        <f t="shared" si="2"/>
        <v>2181.7440154115193</v>
      </c>
      <c r="F21" s="64">
        <f t="shared" si="2"/>
        <v>2713.0331003598767</v>
      </c>
      <c r="G21" s="64">
        <f t="shared" si="2"/>
        <v>2836.4273748918231</v>
      </c>
      <c r="H21" s="64">
        <f t="shared" si="2"/>
        <v>2722.6237522851243</v>
      </c>
      <c r="I21" s="64">
        <f t="shared" si="2"/>
        <v>2749.6297616971924</v>
      </c>
      <c r="J21" s="64">
        <f t="shared" si="2"/>
        <v>2769.5368496502651</v>
      </c>
      <c r="K21" s="64">
        <f t="shared" si="2"/>
        <v>2912.0317271887479</v>
      </c>
      <c r="L21" s="64">
        <f t="shared" si="2"/>
        <v>2885.6150738441529</v>
      </c>
      <c r="M21" s="64">
        <f t="shared" si="2"/>
        <v>3021.7114443892606</v>
      </c>
      <c r="N21" s="64">
        <f t="shared" si="2"/>
        <v>2991.6957913768492</v>
      </c>
      <c r="O21" s="64">
        <f t="shared" si="2"/>
        <v>3147.676205257294</v>
      </c>
      <c r="P21" s="64">
        <f t="shared" si="2"/>
        <v>2892.5745970536436</v>
      </c>
      <c r="Q21" s="64">
        <f t="shared" si="2"/>
        <v>858.03497846922619</v>
      </c>
      <c r="R21" s="64">
        <f t="shared" si="2"/>
        <v>-765.93308201897889</v>
      </c>
      <c r="S21" s="64">
        <f t="shared" si="2"/>
        <v>3081.1950607536755</v>
      </c>
      <c r="T21" s="64">
        <f t="shared" si="2"/>
        <v>8390.1320118864824</v>
      </c>
      <c r="U21" s="64">
        <f t="shared" si="2"/>
        <v>8440.4370345169045</v>
      </c>
      <c r="V21" s="64">
        <f t="shared" si="2"/>
        <v>8486.2092396944554</v>
      </c>
      <c r="W21" s="64">
        <f t="shared" si="2"/>
        <v>8527.131383851598</v>
      </c>
      <c r="X21" s="64">
        <f t="shared" si="2"/>
        <v>8562.8712683424383</v>
      </c>
      <c r="Y21" s="64">
        <f t="shared" si="2"/>
        <v>8597.4398759711512</v>
      </c>
      <c r="Z21" s="64">
        <f t="shared" si="2"/>
        <v>8630.8020684318799</v>
      </c>
      <c r="AA21" s="64">
        <f t="shared" si="2"/>
        <v>8662.9216532695682</v>
      </c>
      <c r="AB21" s="64">
        <f t="shared" si="2"/>
        <v>8693.761352255533</v>
      </c>
      <c r="AC21" s="64">
        <f t="shared" si="2"/>
        <v>8723.2827688142206</v>
      </c>
      <c r="AD21" s="64">
        <f t="shared" si="2"/>
        <v>8751.4463544728278</v>
      </c>
      <c r="AE21" s="64">
        <f t="shared" si="2"/>
        <v>8778.2113743043319</v>
      </c>
      <c r="AF21" s="64">
        <f t="shared" si="2"/>
        <v>8803.535871333921</v>
      </c>
      <c r="AG21" s="64">
        <f t="shared" si="2"/>
        <v>2657.8247885296332</v>
      </c>
    </row>
    <row r="22" spans="1:33">
      <c r="B22" s="406"/>
      <c r="C22" s="406"/>
      <c r="D22" s="406"/>
      <c r="E22" s="406"/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  <c r="Y22" s="406"/>
      <c r="Z22" s="406"/>
      <c r="AA22" s="406"/>
      <c r="AB22" s="406"/>
      <c r="AC22" s="406"/>
      <c r="AD22" s="406"/>
      <c r="AE22" s="406"/>
      <c r="AF22" s="406"/>
      <c r="AG22" s="406"/>
    </row>
    <row r="23" spans="1:33">
      <c r="A23" s="406"/>
      <c r="B23" s="406"/>
      <c r="C23" s="406"/>
      <c r="D23" s="406"/>
      <c r="E23" s="406"/>
      <c r="F23" s="406"/>
      <c r="G23" s="406"/>
      <c r="H23" s="406"/>
      <c r="I23" s="406"/>
      <c r="J23" s="406"/>
      <c r="K23" s="406"/>
      <c r="L23" s="406"/>
      <c r="M23" s="406"/>
      <c r="N23" s="406"/>
      <c r="O23" s="406"/>
      <c r="P23" s="406"/>
      <c r="Q23" s="406"/>
      <c r="R23" s="406"/>
      <c r="S23" s="406"/>
      <c r="T23" s="406"/>
      <c r="U23" s="406"/>
      <c r="V23" s="406"/>
      <c r="W23" s="406"/>
      <c r="X23" s="406"/>
      <c r="Y23" s="406"/>
      <c r="Z23" s="406"/>
      <c r="AA23" s="406"/>
      <c r="AB23" s="406"/>
      <c r="AC23" s="406"/>
      <c r="AD23" s="406"/>
    </row>
    <row r="24" spans="1:33">
      <c r="A24" s="456" t="s">
        <v>371</v>
      </c>
      <c r="B24" s="462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-23599.668464460425</v>
      </c>
      <c r="C25" s="18">
        <f t="shared" ref="C25:V25" si="3">+B29</f>
        <v>-23599.668464460425</v>
      </c>
      <c r="D25" s="18">
        <f t="shared" si="3"/>
        <v>-23599.668464460425</v>
      </c>
      <c r="E25" s="18">
        <f t="shared" si="3"/>
        <v>-23599.668464460425</v>
      </c>
      <c r="F25" s="18">
        <f t="shared" si="3"/>
        <v>-23599.668464460425</v>
      </c>
      <c r="G25" s="18">
        <f t="shared" si="3"/>
        <v>-23599.668464460425</v>
      </c>
      <c r="H25" s="18">
        <f t="shared" si="3"/>
        <v>-23599.668464460425</v>
      </c>
      <c r="I25" s="18">
        <f t="shared" si="3"/>
        <v>-23599.668464460425</v>
      </c>
      <c r="J25" s="18">
        <f t="shared" si="3"/>
        <v>-23599.668464460425</v>
      </c>
      <c r="K25" s="18">
        <f t="shared" si="3"/>
        <v>-23599.668464460425</v>
      </c>
      <c r="L25" s="18">
        <f t="shared" si="3"/>
        <v>-23599.668464460425</v>
      </c>
      <c r="M25" s="18">
        <f t="shared" si="3"/>
        <v>-23599.668464460425</v>
      </c>
      <c r="N25" s="18">
        <f t="shared" si="3"/>
        <v>-23599.668464460425</v>
      </c>
      <c r="O25" s="18">
        <f t="shared" si="3"/>
        <v>-23599.668464460425</v>
      </c>
      <c r="P25" s="18">
        <f t="shared" si="3"/>
        <v>-23599.668464460425</v>
      </c>
      <c r="Q25" s="18">
        <f t="shared" si="3"/>
        <v>-23599.668464460425</v>
      </c>
      <c r="R25" s="18">
        <f t="shared" si="3"/>
        <v>-23599.668464460425</v>
      </c>
      <c r="S25" s="18">
        <f t="shared" si="3"/>
        <v>-23599.668464460425</v>
      </c>
      <c r="T25" s="18">
        <f t="shared" si="3"/>
        <v>-23599.668464460425</v>
      </c>
      <c r="U25" s="18">
        <f t="shared" si="3"/>
        <v>-18513.4900375984</v>
      </c>
      <c r="V25" s="18">
        <f t="shared" si="3"/>
        <v>-12664.941608345271</v>
      </c>
      <c r="W25" s="18">
        <f t="shared" ref="W25:AG25" si="4">+V29</f>
        <v>-5951.8241938191532</v>
      </c>
      <c r="X25" s="18">
        <f t="shared" si="4"/>
        <v>1742.0518028977631</v>
      </c>
      <c r="Y25" s="18">
        <f t="shared" si="4"/>
        <v>10548.810323645888</v>
      </c>
      <c r="Z25" s="18">
        <f t="shared" si="4"/>
        <v>20623.083644927465</v>
      </c>
      <c r="AA25" s="18">
        <f t="shared" si="4"/>
        <v>32141.11742364919</v>
      </c>
      <c r="AB25" s="18">
        <f t="shared" si="4"/>
        <v>45303.795516229642</v>
      </c>
      <c r="AC25" s="18">
        <f t="shared" si="4"/>
        <v>60340.088240757323</v>
      </c>
      <c r="AD25" s="18">
        <f t="shared" si="4"/>
        <v>77510.98336327757</v>
      </c>
      <c r="AE25" s="18">
        <f t="shared" si="4"/>
        <v>97113.96738860925</v>
      </c>
      <c r="AF25" s="18">
        <f t="shared" si="4"/>
        <v>119488.13419731887</v>
      </c>
      <c r="AG25" s="18">
        <f t="shared" si="4"/>
        <v>145020.00885627745</v>
      </c>
    </row>
    <row r="26" spans="1:33">
      <c r="A26" s="45" t="s">
        <v>370</v>
      </c>
      <c r="B26" s="18">
        <v>0</v>
      </c>
      <c r="C26" s="18">
        <f>+-B25*$B$24</f>
        <v>3303.9535850244597</v>
      </c>
      <c r="D26" s="18">
        <f t="shared" ref="D26:V26" si="5">+-D25*$B$24</f>
        <v>3303.9535850244597</v>
      </c>
      <c r="E26" s="18">
        <f t="shared" si="5"/>
        <v>3303.9535850244597</v>
      </c>
      <c r="F26" s="18">
        <f t="shared" si="5"/>
        <v>3303.9535850244597</v>
      </c>
      <c r="G26" s="18">
        <f t="shared" si="5"/>
        <v>3303.9535850244597</v>
      </c>
      <c r="H26" s="18">
        <f t="shared" si="5"/>
        <v>3303.9535850244597</v>
      </c>
      <c r="I26" s="18">
        <f t="shared" si="5"/>
        <v>3303.9535850244597</v>
      </c>
      <c r="J26" s="18">
        <f t="shared" si="5"/>
        <v>3303.9535850244597</v>
      </c>
      <c r="K26" s="18">
        <f t="shared" si="5"/>
        <v>3303.9535850244597</v>
      </c>
      <c r="L26" s="18">
        <f t="shared" si="5"/>
        <v>3303.9535850244597</v>
      </c>
      <c r="M26" s="18">
        <f t="shared" si="5"/>
        <v>3303.9535850244597</v>
      </c>
      <c r="N26" s="18">
        <f t="shared" si="5"/>
        <v>3303.9535850244597</v>
      </c>
      <c r="O26" s="18">
        <f t="shared" si="5"/>
        <v>3303.9535850244597</v>
      </c>
      <c r="P26" s="18">
        <f t="shared" si="5"/>
        <v>3303.9535850244597</v>
      </c>
      <c r="Q26" s="18">
        <f t="shared" si="5"/>
        <v>3303.9535850244597</v>
      </c>
      <c r="R26" s="18">
        <f t="shared" si="5"/>
        <v>3303.9535850244597</v>
      </c>
      <c r="S26" s="18">
        <f t="shared" si="5"/>
        <v>3303.9535850244597</v>
      </c>
      <c r="T26" s="18">
        <f t="shared" si="5"/>
        <v>3303.9535850244597</v>
      </c>
      <c r="U26" s="18">
        <f t="shared" si="5"/>
        <v>2591.8886052637763</v>
      </c>
      <c r="V26" s="18">
        <f t="shared" si="5"/>
        <v>1773.0918251683381</v>
      </c>
      <c r="W26" s="18">
        <f t="shared" ref="W26:AG26" si="6">+-W25*$B$24</f>
        <v>833.25538713468154</v>
      </c>
      <c r="X26" s="18">
        <f t="shared" si="6"/>
        <v>-243.88725240568687</v>
      </c>
      <c r="Y26" s="18">
        <f t="shared" si="6"/>
        <v>-1476.8334453104244</v>
      </c>
      <c r="Z26" s="18">
        <f t="shared" si="6"/>
        <v>-2887.2317102898455</v>
      </c>
      <c r="AA26" s="18">
        <f t="shared" si="6"/>
        <v>-4499.7564393108869</v>
      </c>
      <c r="AB26" s="18">
        <f t="shared" si="6"/>
        <v>-6342.5313722721503</v>
      </c>
      <c r="AC26" s="18">
        <f t="shared" si="6"/>
        <v>-8447.6123537060266</v>
      </c>
      <c r="AD26" s="18">
        <f t="shared" si="6"/>
        <v>-10851.537670858861</v>
      </c>
      <c r="AE26" s="18">
        <f t="shared" si="6"/>
        <v>-13595.955434405296</v>
      </c>
      <c r="AF26" s="18">
        <f t="shared" si="6"/>
        <v>-16728.338787624642</v>
      </c>
      <c r="AG26" s="18">
        <f t="shared" si="6"/>
        <v>-20302.801239878845</v>
      </c>
    </row>
    <row r="27" spans="1:33">
      <c r="A27" s="45" t="s">
        <v>366</v>
      </c>
      <c r="B27" s="18">
        <f>B21</f>
        <v>0</v>
      </c>
      <c r="C27" s="18">
        <f t="shared" ref="C27:AG27" si="7">C21</f>
        <v>3107.6025793456647</v>
      </c>
      <c r="D27" s="18">
        <f t="shared" si="7"/>
        <v>2197.7395139717228</v>
      </c>
      <c r="E27" s="18">
        <f t="shared" si="7"/>
        <v>2181.7440154115193</v>
      </c>
      <c r="F27" s="18">
        <f t="shared" si="7"/>
        <v>2713.0331003598767</v>
      </c>
      <c r="G27" s="18">
        <f t="shared" si="7"/>
        <v>2836.4273748918231</v>
      </c>
      <c r="H27" s="18">
        <f t="shared" si="7"/>
        <v>2722.6237522851243</v>
      </c>
      <c r="I27" s="18">
        <f t="shared" si="7"/>
        <v>2749.6297616971924</v>
      </c>
      <c r="J27" s="18">
        <f t="shared" si="7"/>
        <v>2769.5368496502651</v>
      </c>
      <c r="K27" s="18">
        <f t="shared" si="7"/>
        <v>2912.0317271887479</v>
      </c>
      <c r="L27" s="18">
        <f t="shared" si="7"/>
        <v>2885.6150738441529</v>
      </c>
      <c r="M27" s="18">
        <f t="shared" si="7"/>
        <v>3021.7114443892606</v>
      </c>
      <c r="N27" s="18">
        <f t="shared" si="7"/>
        <v>2991.6957913768492</v>
      </c>
      <c r="O27" s="18">
        <f t="shared" si="7"/>
        <v>3147.676205257294</v>
      </c>
      <c r="P27" s="18">
        <f t="shared" si="7"/>
        <v>2892.5745970536436</v>
      </c>
      <c r="Q27" s="18">
        <f t="shared" si="7"/>
        <v>858.03497846922619</v>
      </c>
      <c r="R27" s="18">
        <f t="shared" si="7"/>
        <v>-765.93308201897889</v>
      </c>
      <c r="S27" s="18">
        <f t="shared" si="7"/>
        <v>3081.1950607536755</v>
      </c>
      <c r="T27" s="18">
        <f t="shared" si="7"/>
        <v>8390.1320118864824</v>
      </c>
      <c r="U27" s="18">
        <f t="shared" si="7"/>
        <v>8440.4370345169045</v>
      </c>
      <c r="V27" s="18">
        <f t="shared" si="7"/>
        <v>8486.2092396944554</v>
      </c>
      <c r="W27" s="18">
        <f t="shared" si="7"/>
        <v>8527.131383851598</v>
      </c>
      <c r="X27" s="18">
        <f t="shared" si="7"/>
        <v>8562.8712683424383</v>
      </c>
      <c r="Y27" s="18">
        <f t="shared" si="7"/>
        <v>8597.4398759711512</v>
      </c>
      <c r="Z27" s="18">
        <f t="shared" si="7"/>
        <v>8630.8020684318799</v>
      </c>
      <c r="AA27" s="18">
        <f t="shared" si="7"/>
        <v>8662.9216532695682</v>
      </c>
      <c r="AB27" s="18">
        <f t="shared" si="7"/>
        <v>8693.761352255533</v>
      </c>
      <c r="AC27" s="18">
        <f t="shared" si="7"/>
        <v>8723.2827688142206</v>
      </c>
      <c r="AD27" s="18">
        <f t="shared" si="7"/>
        <v>8751.4463544728278</v>
      </c>
      <c r="AE27" s="18">
        <f t="shared" si="7"/>
        <v>8778.2113743043319</v>
      </c>
      <c r="AF27" s="18">
        <f t="shared" si="7"/>
        <v>8803.535871333921</v>
      </c>
      <c r="AG27" s="18">
        <f t="shared" si="7"/>
        <v>2657.8247885296332</v>
      </c>
    </row>
    <row r="28" spans="1:33">
      <c r="A28" s="45" t="s">
        <v>369</v>
      </c>
      <c r="B28" s="316">
        <v>0</v>
      </c>
      <c r="C28" s="316">
        <f t="shared" ref="C28:V28" si="8">+IF(C27&gt;C26,C27-C26,0)</f>
        <v>0</v>
      </c>
      <c r="D28" s="316">
        <f t="shared" si="8"/>
        <v>0</v>
      </c>
      <c r="E28" s="316">
        <f t="shared" si="8"/>
        <v>0</v>
      </c>
      <c r="F28" s="316">
        <f t="shared" si="8"/>
        <v>0</v>
      </c>
      <c r="G28" s="316">
        <f t="shared" si="8"/>
        <v>0</v>
      </c>
      <c r="H28" s="316">
        <f t="shared" si="8"/>
        <v>0</v>
      </c>
      <c r="I28" s="316">
        <f t="shared" si="8"/>
        <v>0</v>
      </c>
      <c r="J28" s="316">
        <f t="shared" si="8"/>
        <v>0</v>
      </c>
      <c r="K28" s="316">
        <f t="shared" si="8"/>
        <v>0</v>
      </c>
      <c r="L28" s="316">
        <f t="shared" si="8"/>
        <v>0</v>
      </c>
      <c r="M28" s="316">
        <f t="shared" si="8"/>
        <v>0</v>
      </c>
      <c r="N28" s="316">
        <f t="shared" si="8"/>
        <v>0</v>
      </c>
      <c r="O28" s="316">
        <f t="shared" si="8"/>
        <v>0</v>
      </c>
      <c r="P28" s="316">
        <f t="shared" si="8"/>
        <v>0</v>
      </c>
      <c r="Q28" s="316">
        <f t="shared" si="8"/>
        <v>0</v>
      </c>
      <c r="R28" s="316">
        <f t="shared" si="8"/>
        <v>0</v>
      </c>
      <c r="S28" s="316">
        <f t="shared" si="8"/>
        <v>0</v>
      </c>
      <c r="T28" s="316">
        <f t="shared" si="8"/>
        <v>5086.1784268620231</v>
      </c>
      <c r="U28" s="316">
        <f t="shared" si="8"/>
        <v>5848.5484292531282</v>
      </c>
      <c r="V28" s="316">
        <f t="shared" si="8"/>
        <v>6713.1174145261175</v>
      </c>
      <c r="W28" s="316">
        <f t="shared" ref="W28:AG28" si="9">+IF(W27&gt;W26,W27-W26,0)</f>
        <v>7693.8759967169162</v>
      </c>
      <c r="X28" s="316">
        <f t="shared" si="9"/>
        <v>8806.7585207481243</v>
      </c>
      <c r="Y28" s="316">
        <f t="shared" si="9"/>
        <v>10074.273321281577</v>
      </c>
      <c r="Z28" s="316">
        <f t="shared" si="9"/>
        <v>11518.033778721725</v>
      </c>
      <c r="AA28" s="316">
        <f t="shared" si="9"/>
        <v>13162.678092580456</v>
      </c>
      <c r="AB28" s="316">
        <f t="shared" si="9"/>
        <v>15036.292724527684</v>
      </c>
      <c r="AC28" s="316">
        <f t="shared" si="9"/>
        <v>17170.895122520247</v>
      </c>
      <c r="AD28" s="316">
        <f t="shared" si="9"/>
        <v>19602.984025331687</v>
      </c>
      <c r="AE28" s="316">
        <f t="shared" si="9"/>
        <v>22374.166808709626</v>
      </c>
      <c r="AF28" s="316">
        <f t="shared" si="9"/>
        <v>25531.874658958564</v>
      </c>
      <c r="AG28" s="316">
        <f t="shared" si="9"/>
        <v>22960.626028408478</v>
      </c>
    </row>
    <row r="29" spans="1:33">
      <c r="A29" s="45" t="s">
        <v>59</v>
      </c>
      <c r="B29" s="18">
        <f t="shared" ref="B29:V29" si="10">+B25+B28</f>
        <v>-23599.668464460425</v>
      </c>
      <c r="C29" s="18">
        <f t="shared" si="10"/>
        <v>-23599.668464460425</v>
      </c>
      <c r="D29" s="18">
        <f t="shared" si="10"/>
        <v>-23599.668464460425</v>
      </c>
      <c r="E29" s="18">
        <f t="shared" si="10"/>
        <v>-23599.668464460425</v>
      </c>
      <c r="F29" s="18">
        <f t="shared" si="10"/>
        <v>-23599.668464460425</v>
      </c>
      <c r="G29" s="18">
        <f t="shared" si="10"/>
        <v>-23599.668464460425</v>
      </c>
      <c r="H29" s="18">
        <f t="shared" si="10"/>
        <v>-23599.668464460425</v>
      </c>
      <c r="I29" s="18">
        <f t="shared" si="10"/>
        <v>-23599.668464460425</v>
      </c>
      <c r="J29" s="18">
        <f t="shared" si="10"/>
        <v>-23599.668464460425</v>
      </c>
      <c r="K29" s="18">
        <f t="shared" si="10"/>
        <v>-23599.668464460425</v>
      </c>
      <c r="L29" s="18">
        <f t="shared" si="10"/>
        <v>-23599.668464460425</v>
      </c>
      <c r="M29" s="18">
        <f t="shared" si="10"/>
        <v>-23599.668464460425</v>
      </c>
      <c r="N29" s="18">
        <f t="shared" si="10"/>
        <v>-23599.668464460425</v>
      </c>
      <c r="O29" s="18">
        <f t="shared" si="10"/>
        <v>-23599.668464460425</v>
      </c>
      <c r="P29" s="18">
        <f t="shared" si="10"/>
        <v>-23599.668464460425</v>
      </c>
      <c r="Q29" s="18">
        <f t="shared" si="10"/>
        <v>-23599.668464460425</v>
      </c>
      <c r="R29" s="18">
        <f t="shared" si="10"/>
        <v>-23599.668464460425</v>
      </c>
      <c r="S29" s="18">
        <f t="shared" si="10"/>
        <v>-23599.668464460425</v>
      </c>
      <c r="T29" s="18">
        <f t="shared" si="10"/>
        <v>-18513.4900375984</v>
      </c>
      <c r="U29" s="18">
        <f t="shared" si="10"/>
        <v>-12664.941608345271</v>
      </c>
      <c r="V29" s="18">
        <f t="shared" si="10"/>
        <v>-5951.8241938191532</v>
      </c>
      <c r="W29" s="18">
        <f t="shared" ref="W29:AG29" si="11">+W25+W28</f>
        <v>1742.0518028977631</v>
      </c>
      <c r="X29" s="18">
        <f t="shared" si="11"/>
        <v>10548.810323645888</v>
      </c>
      <c r="Y29" s="18">
        <f t="shared" si="11"/>
        <v>20623.083644927465</v>
      </c>
      <c r="Z29" s="18">
        <f t="shared" si="11"/>
        <v>32141.11742364919</v>
      </c>
      <c r="AA29" s="18">
        <f t="shared" si="11"/>
        <v>45303.795516229642</v>
      </c>
      <c r="AB29" s="18">
        <f t="shared" si="11"/>
        <v>60340.088240757323</v>
      </c>
      <c r="AC29" s="18">
        <f t="shared" si="11"/>
        <v>77510.98336327757</v>
      </c>
      <c r="AD29" s="18">
        <f t="shared" si="11"/>
        <v>97113.96738860925</v>
      </c>
      <c r="AE29" s="18">
        <f t="shared" si="11"/>
        <v>119488.13419731887</v>
      </c>
      <c r="AF29" s="18">
        <f t="shared" si="11"/>
        <v>145020.00885627745</v>
      </c>
      <c r="AG29" s="18">
        <f t="shared" si="11"/>
        <v>167980.63488468592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6" t="s">
        <v>402</v>
      </c>
    </row>
    <row r="34" spans="1:33">
      <c r="A34" s="456"/>
    </row>
    <row r="35" spans="1:33">
      <c r="A35" s="455" t="s">
        <v>368</v>
      </c>
    </row>
    <row r="36" spans="1:33" s="18" customFormat="1">
      <c r="A36" s="45" t="s">
        <v>367</v>
      </c>
      <c r="B36" s="18">
        <f>-Assumptions!C11*Assumptions!$G$48</f>
        <v>-11799.834232230212</v>
      </c>
    </row>
    <row r="37" spans="1:33" s="18" customFormat="1">
      <c r="A37" s="45" t="s">
        <v>366</v>
      </c>
      <c r="B37" s="463">
        <f>B21*Assumptions!$G$48</f>
        <v>0</v>
      </c>
      <c r="C37" s="463">
        <f>C21*Assumptions!$G$48</f>
        <v>1553.8012896728324</v>
      </c>
      <c r="D37" s="463">
        <f>D21*Assumptions!$G$48</f>
        <v>1098.8697569858614</v>
      </c>
      <c r="E37" s="463">
        <f>E21*Assumptions!$G$48</f>
        <v>1090.8720077057596</v>
      </c>
      <c r="F37" s="463">
        <f>F21*Assumptions!$G$48</f>
        <v>1356.5165501799383</v>
      </c>
      <c r="G37" s="463">
        <f>G21*Assumptions!$G$48</f>
        <v>1418.2136874459115</v>
      </c>
      <c r="H37" s="463">
        <f>H21*Assumptions!$G$48</f>
        <v>1361.3118761425621</v>
      </c>
      <c r="I37" s="463">
        <f>I21*Assumptions!$G$48</f>
        <v>1374.8148808485962</v>
      </c>
      <c r="J37" s="463">
        <f>J21*Assumptions!$G$48</f>
        <v>1384.7684248251326</v>
      </c>
      <c r="K37" s="463">
        <f>K21*Assumptions!$G$48</f>
        <v>1456.015863594374</v>
      </c>
      <c r="L37" s="463">
        <f>L21*Assumptions!$G$48</f>
        <v>1442.8075369220765</v>
      </c>
      <c r="M37" s="463">
        <f>M21*Assumptions!$G$48</f>
        <v>1510.8557221946303</v>
      </c>
      <c r="N37" s="463">
        <f>N21*Assumptions!$G$48</f>
        <v>1495.8478956884246</v>
      </c>
      <c r="O37" s="463">
        <f>O21*Assumptions!$G$48</f>
        <v>1573.838102628647</v>
      </c>
      <c r="P37" s="463">
        <f>P21*Assumptions!$G$48</f>
        <v>1446.2872985268218</v>
      </c>
      <c r="Q37" s="463">
        <f>Q21*Assumptions!$G$48</f>
        <v>429.01748923461309</v>
      </c>
      <c r="R37" s="463">
        <f>R21*Assumptions!$G$48</f>
        <v>-382.96654100948945</v>
      </c>
      <c r="S37" s="463">
        <f>S21*Assumptions!$G$48</f>
        <v>1540.5975303768378</v>
      </c>
      <c r="T37" s="463">
        <f>T21*Assumptions!$G$48</f>
        <v>4195.0660059432412</v>
      </c>
      <c r="U37" s="463">
        <f>U21*Assumptions!$G$48</f>
        <v>4220.2185172584523</v>
      </c>
      <c r="V37" s="463">
        <f>V21*Assumptions!$G$48</f>
        <v>4243.1046198472277</v>
      </c>
      <c r="W37" s="463">
        <f>W21*Assumptions!$G$48</f>
        <v>4263.565691925799</v>
      </c>
      <c r="X37" s="463">
        <f>X21*Assumptions!$G$48</f>
        <v>4281.4356341712191</v>
      </c>
      <c r="Y37" s="463">
        <f>Y21*Assumptions!$G$48</f>
        <v>4298.7199379855756</v>
      </c>
      <c r="Z37" s="463">
        <f>Z21*Assumptions!$G$48</f>
        <v>4315.4010342159399</v>
      </c>
      <c r="AA37" s="463">
        <f>AA21*Assumptions!$G$48</f>
        <v>4331.4608266347841</v>
      </c>
      <c r="AB37" s="463">
        <f>AB21*Assumptions!$G$48</f>
        <v>4346.8806761277665</v>
      </c>
      <c r="AC37" s="463">
        <f>AC21*Assumptions!$G$48</f>
        <v>4361.6413844071103</v>
      </c>
      <c r="AD37" s="463">
        <f>AD21*Assumptions!$G$48</f>
        <v>4375.7231772364139</v>
      </c>
      <c r="AE37" s="463">
        <f>AE21*Assumptions!$G$48</f>
        <v>4389.105687152166</v>
      </c>
      <c r="AF37" s="463">
        <f>AF21*Assumptions!$G$48</f>
        <v>4401.7679356669605</v>
      </c>
      <c r="AG37" s="463">
        <f>AG21*Assumptions!$G$48</f>
        <v>1328.9123942648166</v>
      </c>
    </row>
    <row r="38" spans="1:33" s="18" customFormat="1">
      <c r="A38" s="45" t="s">
        <v>365</v>
      </c>
      <c r="B38" s="18">
        <f t="shared" ref="B38:AG38" si="12">SUM(B36:B37)</f>
        <v>-11799.834232230212</v>
      </c>
      <c r="C38" s="18">
        <f t="shared" si="12"/>
        <v>1553.8012896728324</v>
      </c>
      <c r="D38" s="18">
        <f t="shared" si="12"/>
        <v>1098.8697569858614</v>
      </c>
      <c r="E38" s="18">
        <f t="shared" si="12"/>
        <v>1090.8720077057596</v>
      </c>
      <c r="F38" s="18">
        <f t="shared" si="12"/>
        <v>1356.5165501799383</v>
      </c>
      <c r="G38" s="18">
        <f t="shared" si="12"/>
        <v>1418.2136874459115</v>
      </c>
      <c r="H38" s="18">
        <f t="shared" si="12"/>
        <v>1361.3118761425621</v>
      </c>
      <c r="I38" s="18">
        <f t="shared" si="12"/>
        <v>1374.8148808485962</v>
      </c>
      <c r="J38" s="18">
        <f t="shared" si="12"/>
        <v>1384.7684248251326</v>
      </c>
      <c r="K38" s="18">
        <f t="shared" si="12"/>
        <v>1456.015863594374</v>
      </c>
      <c r="L38" s="18">
        <f t="shared" si="12"/>
        <v>1442.8075369220765</v>
      </c>
      <c r="M38" s="18">
        <f t="shared" si="12"/>
        <v>1510.8557221946303</v>
      </c>
      <c r="N38" s="18">
        <f t="shared" si="12"/>
        <v>1495.8478956884246</v>
      </c>
      <c r="O38" s="18">
        <f t="shared" si="12"/>
        <v>1573.838102628647</v>
      </c>
      <c r="P38" s="18">
        <f t="shared" si="12"/>
        <v>1446.2872985268218</v>
      </c>
      <c r="Q38" s="18">
        <f t="shared" si="12"/>
        <v>429.01748923461309</v>
      </c>
      <c r="R38" s="18">
        <f t="shared" si="12"/>
        <v>-382.96654100948945</v>
      </c>
      <c r="S38" s="18">
        <f t="shared" si="12"/>
        <v>1540.5975303768378</v>
      </c>
      <c r="T38" s="18">
        <f t="shared" si="12"/>
        <v>4195.0660059432412</v>
      </c>
      <c r="U38" s="18">
        <f t="shared" si="12"/>
        <v>4220.2185172584523</v>
      </c>
      <c r="V38" s="18">
        <f t="shared" si="12"/>
        <v>4243.1046198472277</v>
      </c>
      <c r="W38" s="18">
        <f t="shared" si="12"/>
        <v>4263.565691925799</v>
      </c>
      <c r="X38" s="18">
        <f t="shared" si="12"/>
        <v>4281.4356341712191</v>
      </c>
      <c r="Y38" s="18">
        <f t="shared" si="12"/>
        <v>4298.7199379855756</v>
      </c>
      <c r="Z38" s="18">
        <f t="shared" si="12"/>
        <v>4315.4010342159399</v>
      </c>
      <c r="AA38" s="18">
        <f t="shared" si="12"/>
        <v>4331.4608266347841</v>
      </c>
      <c r="AB38" s="18">
        <f t="shared" si="12"/>
        <v>4346.8806761277665</v>
      </c>
      <c r="AC38" s="18">
        <f t="shared" si="12"/>
        <v>4361.6413844071103</v>
      </c>
      <c r="AD38" s="18">
        <f t="shared" si="12"/>
        <v>4375.7231772364139</v>
      </c>
      <c r="AE38" s="18">
        <f t="shared" si="12"/>
        <v>4389.105687152166</v>
      </c>
      <c r="AF38" s="18">
        <f t="shared" si="12"/>
        <v>4401.7679356669605</v>
      </c>
      <c r="AG38" s="18">
        <f t="shared" si="12"/>
        <v>1328.9123942648166</v>
      </c>
    </row>
    <row r="39" spans="1:33">
      <c r="B39" s="455" t="s">
        <v>1</v>
      </c>
      <c r="C39" s="461">
        <f>XIRR(B38:AG38,B8:AG8)</f>
        <v>0.12342732548713684</v>
      </c>
    </row>
    <row r="40" spans="1:33">
      <c r="A40" s="45"/>
      <c r="B40" s="457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367</v>
      </c>
      <c r="B42" s="18">
        <f>-Assumptions!C11*Assumptions!$G$48</f>
        <v>-11799.834232230212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366</v>
      </c>
      <c r="B43" s="458">
        <f>B21*Assumptions!$G$48</f>
        <v>0</v>
      </c>
      <c r="C43" s="458">
        <f>C21*Assumptions!$G$48</f>
        <v>1553.8012896728324</v>
      </c>
      <c r="D43" s="458">
        <f>D21*Assumptions!$G$48</f>
        <v>1098.8697569858614</v>
      </c>
      <c r="E43" s="458">
        <f>E21*Assumptions!$G$48</f>
        <v>1090.8720077057596</v>
      </c>
      <c r="F43" s="458">
        <f>F21*Assumptions!$G$48</f>
        <v>1356.5165501799383</v>
      </c>
      <c r="G43" s="458">
        <f>G21*Assumptions!$G$48</f>
        <v>1418.2136874459115</v>
      </c>
      <c r="H43" s="458">
        <f>H21*Assumptions!$G$48</f>
        <v>1361.3118761425621</v>
      </c>
      <c r="I43" s="458">
        <f>I21*Assumptions!$G$48</f>
        <v>1374.8148808485962</v>
      </c>
      <c r="J43" s="458">
        <f>J21*Assumptions!$G$48</f>
        <v>1384.7684248251326</v>
      </c>
      <c r="K43" s="458">
        <f>K21*Assumptions!$G$48</f>
        <v>1456.015863594374</v>
      </c>
      <c r="L43" s="458">
        <f>L21*Assumptions!$G$48</f>
        <v>1442.8075369220765</v>
      </c>
      <c r="M43" s="458">
        <f>M21*Assumptions!$G$48</f>
        <v>1510.8557221946303</v>
      </c>
      <c r="N43" s="458">
        <f>N21*Assumptions!$G$48</f>
        <v>1495.8478956884246</v>
      </c>
      <c r="O43" s="458">
        <f>O21*Assumptions!$G$48</f>
        <v>1573.838102628647</v>
      </c>
      <c r="P43" s="458">
        <f>P21*Assumptions!$G$48</f>
        <v>1446.2872985268218</v>
      </c>
      <c r="Q43" s="458">
        <f>Q21*Assumptions!$G$48</f>
        <v>429.01748923461309</v>
      </c>
      <c r="R43" s="458">
        <f>R21*Assumptions!$G$48</f>
        <v>-382.96654100948945</v>
      </c>
      <c r="S43" s="458">
        <f>S21*Assumptions!$G$48</f>
        <v>1540.5975303768378</v>
      </c>
      <c r="T43" s="458">
        <f>T21*Assumptions!$G$48</f>
        <v>4195.0660059432412</v>
      </c>
      <c r="U43" s="458">
        <f>U21*Assumptions!$G$48</f>
        <v>4220.2185172584523</v>
      </c>
      <c r="V43" s="458">
        <f>V21*Assumptions!$G$48</f>
        <v>4243.1046198472277</v>
      </c>
      <c r="W43" s="458">
        <f>W21*Assumptions!$G$48</f>
        <v>4263.565691925799</v>
      </c>
      <c r="X43" s="458">
        <f>X21*Assumptions!$G$48</f>
        <v>4281.4356341712191</v>
      </c>
      <c r="Y43" s="458">
        <f>Y21*Assumptions!$G$48</f>
        <v>4298.7199379855756</v>
      </c>
      <c r="Z43" s="458">
        <f>Z21*Assumptions!$G$48</f>
        <v>4315.4010342159399</v>
      </c>
      <c r="AA43" s="458">
        <f>AA21*Assumptions!$G$48</f>
        <v>4331.4608266347841</v>
      </c>
      <c r="AB43" s="458">
        <f>AB21*Assumptions!$G$48</f>
        <v>4346.8806761277665</v>
      </c>
      <c r="AC43" s="458">
        <f>AC21*Assumptions!$G$48</f>
        <v>4361.6413844071103</v>
      </c>
      <c r="AD43" s="458">
        <f>AD21*Assumptions!$G$48</f>
        <v>4375.7231772364139</v>
      </c>
      <c r="AE43" s="458">
        <f>AE21*Assumptions!$G$48</f>
        <v>4389.105687152166</v>
      </c>
      <c r="AF43" s="458">
        <f>AF21*Assumptions!$G$48</f>
        <v>4401.7679356669605</v>
      </c>
      <c r="AG43" s="458">
        <f>AG21*Assumptions!$G$48</f>
        <v>1328.9123942648166</v>
      </c>
    </row>
    <row r="44" spans="1:33">
      <c r="A44" s="56" t="s">
        <v>128</v>
      </c>
      <c r="B44" s="316">
        <v>0</v>
      </c>
      <c r="C44" s="316">
        <v>0</v>
      </c>
      <c r="D44" s="316">
        <v>0</v>
      </c>
      <c r="E44" s="316">
        <v>0</v>
      </c>
      <c r="F44" s="316">
        <v>0</v>
      </c>
      <c r="G44" s="316">
        <v>0</v>
      </c>
      <c r="H44" s="316">
        <v>0</v>
      </c>
      <c r="I44" s="316">
        <v>0</v>
      </c>
      <c r="J44" s="316">
        <v>0</v>
      </c>
      <c r="K44" s="316">
        <v>0</v>
      </c>
      <c r="L44" s="316">
        <v>0</v>
      </c>
      <c r="M44" s="316">
        <v>0</v>
      </c>
      <c r="N44" s="316">
        <v>0</v>
      </c>
      <c r="O44" s="316">
        <v>0</v>
      </c>
      <c r="P44" s="316">
        <v>0</v>
      </c>
      <c r="Q44" s="316">
        <v>0</v>
      </c>
      <c r="R44" s="316">
        <v>0</v>
      </c>
      <c r="S44" s="316">
        <v>0</v>
      </c>
      <c r="T44" s="316">
        <v>0</v>
      </c>
      <c r="U44" s="316">
        <v>0</v>
      </c>
      <c r="V44" s="316">
        <v>0</v>
      </c>
      <c r="W44" s="316">
        <v>0</v>
      </c>
      <c r="X44" s="316">
        <v>0</v>
      </c>
      <c r="Y44" s="316">
        <v>0</v>
      </c>
      <c r="Z44" s="316">
        <v>0</v>
      </c>
      <c r="AA44" s="316">
        <v>0</v>
      </c>
      <c r="AB44" s="316">
        <v>0</v>
      </c>
      <c r="AC44" s="316">
        <v>0</v>
      </c>
      <c r="AD44" s="316">
        <v>0</v>
      </c>
      <c r="AE44" s="316">
        <v>0</v>
      </c>
      <c r="AF44" s="316">
        <v>0</v>
      </c>
      <c r="AG44" s="316">
        <f>Assumptions!H23*IS!AF32*Assumptions!G48</f>
        <v>36408.336936864856</v>
      </c>
    </row>
    <row r="45" spans="1:33">
      <c r="A45" s="56" t="s">
        <v>365</v>
      </c>
      <c r="B45" s="18">
        <f t="shared" ref="B45:AG45" si="13">SUM(B42:B44)</f>
        <v>-11799.834232230212</v>
      </c>
      <c r="C45" s="18">
        <f t="shared" si="13"/>
        <v>1553.8012896728324</v>
      </c>
      <c r="D45" s="18">
        <f t="shared" si="13"/>
        <v>1098.8697569858614</v>
      </c>
      <c r="E45" s="18">
        <f t="shared" si="13"/>
        <v>1090.8720077057596</v>
      </c>
      <c r="F45" s="18">
        <f t="shared" si="13"/>
        <v>1356.5165501799383</v>
      </c>
      <c r="G45" s="18">
        <f t="shared" si="13"/>
        <v>1418.2136874459115</v>
      </c>
      <c r="H45" s="18">
        <f t="shared" si="13"/>
        <v>1361.3118761425621</v>
      </c>
      <c r="I45" s="18">
        <f t="shared" si="13"/>
        <v>1374.8148808485962</v>
      </c>
      <c r="J45" s="18">
        <f t="shared" si="13"/>
        <v>1384.7684248251326</v>
      </c>
      <c r="K45" s="18">
        <f t="shared" si="13"/>
        <v>1456.015863594374</v>
      </c>
      <c r="L45" s="18">
        <f t="shared" si="13"/>
        <v>1442.8075369220765</v>
      </c>
      <c r="M45" s="18">
        <f t="shared" si="13"/>
        <v>1510.8557221946303</v>
      </c>
      <c r="N45" s="18">
        <f t="shared" si="13"/>
        <v>1495.8478956884246</v>
      </c>
      <c r="O45" s="18">
        <f t="shared" si="13"/>
        <v>1573.838102628647</v>
      </c>
      <c r="P45" s="18">
        <f t="shared" si="13"/>
        <v>1446.2872985268218</v>
      </c>
      <c r="Q45" s="18">
        <f t="shared" si="13"/>
        <v>429.01748923461309</v>
      </c>
      <c r="R45" s="18">
        <f t="shared" si="13"/>
        <v>-382.96654100948945</v>
      </c>
      <c r="S45" s="18">
        <f t="shared" si="13"/>
        <v>1540.5975303768378</v>
      </c>
      <c r="T45" s="18">
        <f t="shared" si="13"/>
        <v>4195.0660059432412</v>
      </c>
      <c r="U45" s="18">
        <f t="shared" si="13"/>
        <v>4220.2185172584523</v>
      </c>
      <c r="V45" s="18">
        <f t="shared" si="13"/>
        <v>4243.1046198472277</v>
      </c>
      <c r="W45" s="18">
        <f t="shared" si="13"/>
        <v>4263.565691925799</v>
      </c>
      <c r="X45" s="18">
        <f t="shared" si="13"/>
        <v>4281.4356341712191</v>
      </c>
      <c r="Y45" s="18">
        <f t="shared" si="13"/>
        <v>4298.7199379855756</v>
      </c>
      <c r="Z45" s="18">
        <f t="shared" si="13"/>
        <v>4315.4010342159399</v>
      </c>
      <c r="AA45" s="18">
        <f t="shared" si="13"/>
        <v>4331.4608266347841</v>
      </c>
      <c r="AB45" s="18">
        <f t="shared" si="13"/>
        <v>4346.8806761277665</v>
      </c>
      <c r="AC45" s="18">
        <f t="shared" si="13"/>
        <v>4361.6413844071103</v>
      </c>
      <c r="AD45" s="18">
        <f t="shared" si="13"/>
        <v>4375.7231772364139</v>
      </c>
      <c r="AE45" s="18">
        <f t="shared" si="13"/>
        <v>4389.105687152166</v>
      </c>
      <c r="AF45" s="18">
        <f t="shared" si="13"/>
        <v>4401.7679356669605</v>
      </c>
      <c r="AG45" s="18">
        <f t="shared" si="13"/>
        <v>37737.249331129671</v>
      </c>
    </row>
    <row r="46" spans="1:33">
      <c r="A46" s="13"/>
      <c r="B46" s="455" t="s">
        <v>1</v>
      </c>
      <c r="C46" s="461">
        <f>XIRR(B45:AG45,B8:AG8)</f>
        <v>0.1298811137676239</v>
      </c>
    </row>
    <row r="47" spans="1:33">
      <c r="A47" s="56"/>
      <c r="B47" s="457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367</v>
      </c>
      <c r="B49" s="18">
        <f>-Assumptions!C11*Assumptions!G48</f>
        <v>-11799.834232230212</v>
      </c>
    </row>
    <row r="50" spans="1:33" s="18" customFormat="1">
      <c r="A50" s="56" t="s">
        <v>366</v>
      </c>
      <c r="B50" s="18">
        <f>+B21*Assumptions!$G$48</f>
        <v>0</v>
      </c>
      <c r="C50" s="18">
        <f>+C21*Assumptions!$G$48</f>
        <v>1553.8012896728324</v>
      </c>
      <c r="D50" s="18">
        <f>+D21*Assumptions!$G$48</f>
        <v>1098.8697569858614</v>
      </c>
      <c r="E50" s="18">
        <f>+E21*Assumptions!$G$48</f>
        <v>1090.8720077057596</v>
      </c>
      <c r="F50" s="18">
        <f>+F21*Assumptions!$G$48</f>
        <v>1356.5165501799383</v>
      </c>
      <c r="G50" s="18">
        <f>+G21*Assumptions!$G$48</f>
        <v>1418.2136874459115</v>
      </c>
      <c r="H50" s="18">
        <f>+H21*Assumptions!$G$48</f>
        <v>1361.3118761425621</v>
      </c>
      <c r="I50" s="18">
        <f>+I21*Assumptions!$G$48</f>
        <v>1374.8148808485962</v>
      </c>
      <c r="J50" s="18">
        <f>+J21*Assumptions!$G$48</f>
        <v>1384.7684248251326</v>
      </c>
      <c r="K50" s="18">
        <f>+K21*Assumptions!$G$48</f>
        <v>1456.015863594374</v>
      </c>
      <c r="L50" s="18">
        <f>+L21*Assumptions!$G$48</f>
        <v>1442.8075369220765</v>
      </c>
      <c r="M50" s="18">
        <f>+M21*Assumptions!$G$48</f>
        <v>1510.8557221946303</v>
      </c>
      <c r="N50" s="18">
        <f>+N21*Assumptions!$G$48</f>
        <v>1495.8478956884246</v>
      </c>
      <c r="O50" s="18">
        <f>+O21*Assumptions!$G$48</f>
        <v>1573.838102628647</v>
      </c>
      <c r="P50" s="18">
        <f>+P21*Assumptions!$G$48</f>
        <v>1446.2872985268218</v>
      </c>
      <c r="Q50" s="18">
        <f>+Q21*Assumptions!$G$48</f>
        <v>429.01748923461309</v>
      </c>
      <c r="R50" s="18">
        <f>+R21*Assumptions!$G$48</f>
        <v>-382.96654100948945</v>
      </c>
      <c r="S50" s="18">
        <f>+S21*Assumptions!$G$48</f>
        <v>1540.5975303768378</v>
      </c>
      <c r="T50" s="18">
        <f>+T21*Assumptions!$G$48</f>
        <v>4195.0660059432412</v>
      </c>
      <c r="U50" s="18">
        <f>+U21*Assumptions!$G$48</f>
        <v>4220.2185172584523</v>
      </c>
      <c r="V50" s="18">
        <f>+V21*Assumptions!$G$48</f>
        <v>4243.1046198472277</v>
      </c>
      <c r="W50" s="18">
        <f>+W21*Assumptions!$G$48</f>
        <v>4263.565691925799</v>
      </c>
      <c r="X50" s="18">
        <f>+X21*Assumptions!$G$48</f>
        <v>4281.4356341712191</v>
      </c>
      <c r="Y50" s="18">
        <f>+Y21*Assumptions!$G$48</f>
        <v>4298.7199379855756</v>
      </c>
      <c r="Z50" s="18">
        <f>+Z21*Assumptions!$G$48</f>
        <v>4315.4010342159399</v>
      </c>
      <c r="AA50" s="18">
        <f>+AA21*Assumptions!$G$48</f>
        <v>4331.4608266347841</v>
      </c>
      <c r="AB50" s="18">
        <f>+AB21*Assumptions!$G$48</f>
        <v>4346.8806761277665</v>
      </c>
      <c r="AC50" s="18">
        <f>+AC21*Assumptions!$G$48</f>
        <v>4361.6413844071103</v>
      </c>
      <c r="AD50" s="18">
        <f>+AD21*Assumptions!$G$48</f>
        <v>4375.7231772364139</v>
      </c>
      <c r="AE50" s="18">
        <f>+AE21*Assumptions!$G$48</f>
        <v>4389.105687152166</v>
      </c>
      <c r="AF50" s="18">
        <f>+AF21*Assumptions!$G$48</f>
        <v>4401.7679356669605</v>
      </c>
      <c r="AG50" s="18">
        <f>+AG21*Assumptions!$G$48</f>
        <v>1328.9123942648166</v>
      </c>
    </row>
    <row r="51" spans="1:33" s="18" customFormat="1">
      <c r="A51" s="56" t="s">
        <v>128</v>
      </c>
      <c r="B51" s="316">
        <v>0</v>
      </c>
      <c r="C51" s="316">
        <v>0</v>
      </c>
      <c r="D51" s="316">
        <v>0</v>
      </c>
      <c r="E51" s="316">
        <v>0</v>
      </c>
      <c r="F51" s="316">
        <v>0</v>
      </c>
      <c r="G51" s="316">
        <v>0</v>
      </c>
      <c r="H51" s="316">
        <v>0</v>
      </c>
      <c r="I51" s="316">
        <v>0</v>
      </c>
      <c r="J51" s="316">
        <v>0</v>
      </c>
      <c r="K51" s="316">
        <v>0</v>
      </c>
      <c r="L51" s="316">
        <v>0</v>
      </c>
      <c r="M51" s="316">
        <v>0</v>
      </c>
      <c r="N51" s="316">
        <v>0</v>
      </c>
      <c r="O51" s="316">
        <v>0</v>
      </c>
      <c r="P51" s="316">
        <v>0</v>
      </c>
      <c r="Q51" s="316">
        <v>0</v>
      </c>
      <c r="R51" s="316">
        <v>0</v>
      </c>
      <c r="S51" s="316">
        <v>0</v>
      </c>
      <c r="T51" s="316">
        <v>0</v>
      </c>
      <c r="U51" s="316">
        <v>0</v>
      </c>
      <c r="V51" s="316">
        <v>0</v>
      </c>
      <c r="W51" s="316">
        <v>0</v>
      </c>
      <c r="X51" s="316">
        <v>0</v>
      </c>
      <c r="Y51" s="316">
        <v>0</v>
      </c>
      <c r="Z51" s="316">
        <v>0</v>
      </c>
      <c r="AA51" s="316">
        <v>0</v>
      </c>
      <c r="AB51" s="316">
        <v>0</v>
      </c>
      <c r="AC51" s="316">
        <v>0</v>
      </c>
      <c r="AD51" s="316">
        <v>0</v>
      </c>
      <c r="AE51" s="316">
        <v>0</v>
      </c>
      <c r="AF51" s="316">
        <v>0</v>
      </c>
      <c r="AG51" s="316">
        <f>Assumptions!H24*Assumptions!C58*Assumptions!G48</f>
        <v>10338.437914742177</v>
      </c>
    </row>
    <row r="52" spans="1:33" s="18" customFormat="1">
      <c r="A52" s="56" t="s">
        <v>365</v>
      </c>
      <c r="B52" s="18">
        <f>SUM(B49:B51)</f>
        <v>-11799.834232230212</v>
      </c>
      <c r="C52" s="18">
        <f t="shared" ref="C52:AG52" si="14">SUM(C49:C51)</f>
        <v>1553.8012896728324</v>
      </c>
      <c r="D52" s="18">
        <f t="shared" si="14"/>
        <v>1098.8697569858614</v>
      </c>
      <c r="E52" s="18">
        <f t="shared" si="14"/>
        <v>1090.8720077057596</v>
      </c>
      <c r="F52" s="18">
        <f t="shared" si="14"/>
        <v>1356.5165501799383</v>
      </c>
      <c r="G52" s="18">
        <f t="shared" si="14"/>
        <v>1418.2136874459115</v>
      </c>
      <c r="H52" s="18">
        <f t="shared" si="14"/>
        <v>1361.3118761425621</v>
      </c>
      <c r="I52" s="18">
        <f t="shared" si="14"/>
        <v>1374.8148808485962</v>
      </c>
      <c r="J52" s="18">
        <f t="shared" si="14"/>
        <v>1384.7684248251326</v>
      </c>
      <c r="K52" s="18">
        <f t="shared" si="14"/>
        <v>1456.015863594374</v>
      </c>
      <c r="L52" s="18">
        <f t="shared" si="14"/>
        <v>1442.8075369220765</v>
      </c>
      <c r="M52" s="18">
        <f t="shared" si="14"/>
        <v>1510.8557221946303</v>
      </c>
      <c r="N52" s="18">
        <f t="shared" si="14"/>
        <v>1495.8478956884246</v>
      </c>
      <c r="O52" s="18">
        <f t="shared" si="14"/>
        <v>1573.838102628647</v>
      </c>
      <c r="P52" s="18">
        <f t="shared" si="14"/>
        <v>1446.2872985268218</v>
      </c>
      <c r="Q52" s="18">
        <f t="shared" si="14"/>
        <v>429.01748923461309</v>
      </c>
      <c r="R52" s="18">
        <f t="shared" si="14"/>
        <v>-382.96654100948945</v>
      </c>
      <c r="S52" s="18">
        <f t="shared" si="14"/>
        <v>1540.5975303768378</v>
      </c>
      <c r="T52" s="18">
        <f t="shared" si="14"/>
        <v>4195.0660059432412</v>
      </c>
      <c r="U52" s="18">
        <f t="shared" si="14"/>
        <v>4220.2185172584523</v>
      </c>
      <c r="V52" s="18">
        <f t="shared" si="14"/>
        <v>4243.1046198472277</v>
      </c>
      <c r="W52" s="18">
        <f t="shared" si="14"/>
        <v>4263.565691925799</v>
      </c>
      <c r="X52" s="18">
        <f t="shared" si="14"/>
        <v>4281.4356341712191</v>
      </c>
      <c r="Y52" s="18">
        <f t="shared" si="14"/>
        <v>4298.7199379855756</v>
      </c>
      <c r="Z52" s="18">
        <f t="shared" si="14"/>
        <v>4315.4010342159399</v>
      </c>
      <c r="AA52" s="18">
        <f t="shared" si="14"/>
        <v>4331.4608266347841</v>
      </c>
      <c r="AB52" s="18">
        <f t="shared" si="14"/>
        <v>4346.8806761277665</v>
      </c>
      <c r="AC52" s="18">
        <f t="shared" si="14"/>
        <v>4361.6413844071103</v>
      </c>
      <c r="AD52" s="18">
        <f t="shared" si="14"/>
        <v>4375.7231772364139</v>
      </c>
      <c r="AE52" s="18">
        <f t="shared" si="14"/>
        <v>4389.105687152166</v>
      </c>
      <c r="AF52" s="18">
        <f t="shared" si="14"/>
        <v>4401.7679356669605</v>
      </c>
      <c r="AG52" s="18">
        <f t="shared" si="14"/>
        <v>11667.350309006993</v>
      </c>
    </row>
    <row r="53" spans="1:33">
      <c r="A53" s="13"/>
      <c r="B53" s="455" t="s">
        <v>1</v>
      </c>
      <c r="C53" s="461">
        <f>XIRR(B52:AG52,B8:AG8)</f>
        <v>0.12543025612831118</v>
      </c>
    </row>
    <row r="54" spans="1:33">
      <c r="A54" s="56"/>
      <c r="B54" s="457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367</v>
      </c>
      <c r="B56" s="18">
        <f>-Assumptions!C11*Assumptions!G48</f>
        <v>-11799.834232230212</v>
      </c>
    </row>
    <row r="57" spans="1:33" s="18" customFormat="1">
      <c r="A57" s="56" t="s">
        <v>366</v>
      </c>
      <c r="B57" s="458">
        <f>B21*Assumptions!$G$48</f>
        <v>0</v>
      </c>
      <c r="C57" s="458">
        <f>C21*Assumptions!$G$48</f>
        <v>1553.8012896728324</v>
      </c>
      <c r="D57" s="458">
        <f>D21*Assumptions!$G$48</f>
        <v>1098.8697569858614</v>
      </c>
      <c r="E57" s="458">
        <f>E21*Assumptions!$G$48</f>
        <v>1090.8720077057596</v>
      </c>
      <c r="F57" s="458">
        <f>F21*Assumptions!$G$48</f>
        <v>1356.5165501799383</v>
      </c>
      <c r="G57" s="458">
        <f>G21*Assumptions!$G$48</f>
        <v>1418.2136874459115</v>
      </c>
      <c r="H57" s="458">
        <f>H21*Assumptions!$G$48</f>
        <v>1361.3118761425621</v>
      </c>
      <c r="I57" s="458">
        <f>I21*Assumptions!$G$48</f>
        <v>1374.8148808485962</v>
      </c>
      <c r="J57" s="458">
        <f>J21*Assumptions!$G$48</f>
        <v>1384.7684248251326</v>
      </c>
      <c r="K57" s="458">
        <f>K21*Assumptions!$G$48</f>
        <v>1456.015863594374</v>
      </c>
      <c r="L57" s="458">
        <f>L21*Assumptions!$G$48</f>
        <v>1442.8075369220765</v>
      </c>
      <c r="M57" s="458">
        <f>M21*Assumptions!$G$48</f>
        <v>1510.8557221946303</v>
      </c>
      <c r="N57" s="458">
        <f>N21*Assumptions!$G$48</f>
        <v>1495.8478956884246</v>
      </c>
      <c r="O57" s="458">
        <f>O21*Assumptions!$G$48</f>
        <v>1573.838102628647</v>
      </c>
      <c r="P57" s="458">
        <f>P21*Assumptions!$G$48</f>
        <v>1446.2872985268218</v>
      </c>
      <c r="Q57" s="458">
        <f>Q21*Assumptions!$G$48</f>
        <v>429.01748923461309</v>
      </c>
      <c r="R57" s="458">
        <f>R21*Assumptions!$G$48</f>
        <v>-382.96654100948945</v>
      </c>
      <c r="S57" s="458">
        <f>S21*Assumptions!$G$48</f>
        <v>1540.5975303768378</v>
      </c>
      <c r="T57" s="458">
        <f>T21*Assumptions!$G$48</f>
        <v>4195.0660059432412</v>
      </c>
      <c r="U57" s="458">
        <f>U21*Assumptions!$G$48</f>
        <v>4220.2185172584523</v>
      </c>
      <c r="V57" s="458">
        <f>V21*Assumptions!$G$48</f>
        <v>4243.1046198472277</v>
      </c>
      <c r="W57" s="458">
        <f>W21*Assumptions!$G$48</f>
        <v>4263.565691925799</v>
      </c>
      <c r="X57" s="458">
        <f>X21*Assumptions!$G$48</f>
        <v>4281.4356341712191</v>
      </c>
      <c r="Y57" s="458">
        <f>Y21*Assumptions!$G$48</f>
        <v>4298.7199379855756</v>
      </c>
      <c r="Z57" s="458">
        <f>Z21*Assumptions!$G$48</f>
        <v>4315.4010342159399</v>
      </c>
      <c r="AA57" s="458">
        <f>AA21*Assumptions!$G$48</f>
        <v>4331.4608266347841</v>
      </c>
      <c r="AB57" s="458">
        <f>AB21*Assumptions!$G$48</f>
        <v>4346.8806761277665</v>
      </c>
      <c r="AC57" s="458">
        <f>AC21*Assumptions!$G$48</f>
        <v>4361.6413844071103</v>
      </c>
      <c r="AD57" s="458">
        <f>AD21*Assumptions!$G$48</f>
        <v>4375.7231772364139</v>
      </c>
      <c r="AE57" s="458">
        <f>AE21*Assumptions!$G$48</f>
        <v>4389.105687152166</v>
      </c>
      <c r="AF57" s="458">
        <f>AF21*Assumptions!$G$48</f>
        <v>4401.7679356669605</v>
      </c>
      <c r="AG57" s="458">
        <f>AG21*Assumptions!$G$48</f>
        <v>1328.9123942648166</v>
      </c>
    </row>
    <row r="58" spans="1:33" s="18" customFormat="1">
      <c r="A58" s="56" t="s">
        <v>128</v>
      </c>
      <c r="B58" s="316">
        <v>0</v>
      </c>
      <c r="C58" s="316">
        <v>0</v>
      </c>
      <c r="D58" s="316">
        <v>0</v>
      </c>
      <c r="E58" s="316">
        <v>0</v>
      </c>
      <c r="F58" s="316">
        <v>0</v>
      </c>
      <c r="G58" s="316">
        <v>0</v>
      </c>
      <c r="H58" s="316">
        <v>0</v>
      </c>
      <c r="I58" s="316">
        <v>0</v>
      </c>
      <c r="J58" s="316">
        <v>0</v>
      </c>
      <c r="K58" s="316">
        <v>0</v>
      </c>
      <c r="L58" s="316">
        <v>0</v>
      </c>
      <c r="M58" s="316">
        <v>0</v>
      </c>
      <c r="N58" s="316">
        <v>0</v>
      </c>
      <c r="O58" s="316">
        <v>0</v>
      </c>
      <c r="P58" s="316">
        <v>0</v>
      </c>
      <c r="Q58" s="316">
        <v>0</v>
      </c>
      <c r="R58" s="316">
        <v>0</v>
      </c>
      <c r="S58" s="316">
        <v>0</v>
      </c>
      <c r="T58" s="316">
        <v>0</v>
      </c>
      <c r="U58" s="316">
        <v>0</v>
      </c>
      <c r="V58" s="316">
        <v>0</v>
      </c>
      <c r="W58" s="316">
        <v>0</v>
      </c>
      <c r="X58" s="316">
        <v>0</v>
      </c>
      <c r="Y58" s="316">
        <v>0</v>
      </c>
      <c r="Z58" s="316">
        <v>0</v>
      </c>
      <c r="AA58" s="316">
        <v>0</v>
      </c>
      <c r="AB58" s="316">
        <v>0</v>
      </c>
      <c r="AC58" s="316">
        <v>0</v>
      </c>
      <c r="AD58" s="316">
        <v>0</v>
      </c>
      <c r="AE58" s="316">
        <v>0</v>
      </c>
      <c r="AF58" s="316">
        <v>0</v>
      </c>
      <c r="AG58" s="316">
        <f>Assumptions!H25*Assumptions!H68*Assumptions!G48</f>
        <v>19000</v>
      </c>
    </row>
    <row r="59" spans="1:33" s="18" customFormat="1" ht="12" customHeight="1">
      <c r="A59" s="56" t="s">
        <v>365</v>
      </c>
      <c r="B59" s="18">
        <f>SUM(B56:B58)</f>
        <v>-11799.834232230212</v>
      </c>
      <c r="C59" s="18">
        <f t="shared" ref="C59:AG59" si="15">SUM(C56:C58)</f>
        <v>1553.8012896728324</v>
      </c>
      <c r="D59" s="18">
        <f t="shared" si="15"/>
        <v>1098.8697569858614</v>
      </c>
      <c r="E59" s="18">
        <f t="shared" si="15"/>
        <v>1090.8720077057596</v>
      </c>
      <c r="F59" s="18">
        <f t="shared" si="15"/>
        <v>1356.5165501799383</v>
      </c>
      <c r="G59" s="18">
        <f t="shared" si="15"/>
        <v>1418.2136874459115</v>
      </c>
      <c r="H59" s="18">
        <f t="shared" si="15"/>
        <v>1361.3118761425621</v>
      </c>
      <c r="I59" s="18">
        <f t="shared" si="15"/>
        <v>1374.8148808485962</v>
      </c>
      <c r="J59" s="18">
        <f t="shared" si="15"/>
        <v>1384.7684248251326</v>
      </c>
      <c r="K59" s="18">
        <f t="shared" si="15"/>
        <v>1456.015863594374</v>
      </c>
      <c r="L59" s="18">
        <f t="shared" si="15"/>
        <v>1442.8075369220765</v>
      </c>
      <c r="M59" s="18">
        <f t="shared" si="15"/>
        <v>1510.8557221946303</v>
      </c>
      <c r="N59" s="18">
        <f t="shared" si="15"/>
        <v>1495.8478956884246</v>
      </c>
      <c r="O59" s="18">
        <f t="shared" si="15"/>
        <v>1573.838102628647</v>
      </c>
      <c r="P59" s="18">
        <f t="shared" si="15"/>
        <v>1446.2872985268218</v>
      </c>
      <c r="Q59" s="18">
        <f t="shared" si="15"/>
        <v>429.01748923461309</v>
      </c>
      <c r="R59" s="18">
        <f t="shared" si="15"/>
        <v>-382.96654100948945</v>
      </c>
      <c r="S59" s="18">
        <f t="shared" si="15"/>
        <v>1540.5975303768378</v>
      </c>
      <c r="T59" s="18">
        <f t="shared" si="15"/>
        <v>4195.0660059432412</v>
      </c>
      <c r="U59" s="18">
        <f t="shared" si="15"/>
        <v>4220.2185172584523</v>
      </c>
      <c r="V59" s="18">
        <f t="shared" si="15"/>
        <v>4243.1046198472277</v>
      </c>
      <c r="W59" s="18">
        <f t="shared" si="15"/>
        <v>4263.565691925799</v>
      </c>
      <c r="X59" s="18">
        <f t="shared" si="15"/>
        <v>4281.4356341712191</v>
      </c>
      <c r="Y59" s="18">
        <f t="shared" si="15"/>
        <v>4298.7199379855756</v>
      </c>
      <c r="Z59" s="18">
        <f t="shared" si="15"/>
        <v>4315.4010342159399</v>
      </c>
      <c r="AA59" s="18">
        <f t="shared" si="15"/>
        <v>4331.4608266347841</v>
      </c>
      <c r="AB59" s="18">
        <f t="shared" si="15"/>
        <v>4346.8806761277665</v>
      </c>
      <c r="AC59" s="18">
        <f t="shared" si="15"/>
        <v>4361.6413844071103</v>
      </c>
      <c r="AD59" s="18">
        <f t="shared" si="15"/>
        <v>4375.7231772364139</v>
      </c>
      <c r="AE59" s="18">
        <f t="shared" si="15"/>
        <v>4389.105687152166</v>
      </c>
      <c r="AF59" s="18">
        <f t="shared" si="15"/>
        <v>4401.7679356669605</v>
      </c>
      <c r="AG59" s="18">
        <f t="shared" si="15"/>
        <v>20328.912394264815</v>
      </c>
    </row>
    <row r="60" spans="1:33">
      <c r="A60" s="13"/>
      <c r="B60" s="455" t="s">
        <v>1</v>
      </c>
      <c r="C60" s="461">
        <f>XIRR(B59:AG59,B8:AG8)</f>
        <v>0.12699522376060488</v>
      </c>
    </row>
    <row r="61" spans="1:33">
      <c r="A61" s="56"/>
      <c r="B61" s="457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7" t="s">
        <v>417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2"/>
      <c r="B8" s="401">
        <f>IS!C8</f>
        <v>37256</v>
      </c>
      <c r="C8" s="401">
        <f>IS!D8</f>
        <v>37621</v>
      </c>
      <c r="D8" s="401">
        <f>IS!E8</f>
        <v>37986</v>
      </c>
      <c r="E8" s="401">
        <f>IS!F8</f>
        <v>38352</v>
      </c>
      <c r="F8" s="401">
        <f>IS!G8</f>
        <v>38717</v>
      </c>
      <c r="G8" s="401">
        <f>IS!H8</f>
        <v>39082</v>
      </c>
      <c r="H8" s="401">
        <f>IS!I8</f>
        <v>39447</v>
      </c>
      <c r="I8" s="401">
        <f>IS!J8</f>
        <v>39813</v>
      </c>
      <c r="J8" s="401">
        <f>IS!K8</f>
        <v>40178</v>
      </c>
      <c r="K8" s="401">
        <f>IS!L8</f>
        <v>40543</v>
      </c>
      <c r="L8" s="401">
        <f>IS!M8</f>
        <v>40908</v>
      </c>
      <c r="M8" s="401">
        <f>IS!N8</f>
        <v>41274</v>
      </c>
      <c r="N8" s="401">
        <f>IS!O8</f>
        <v>41639</v>
      </c>
      <c r="O8" s="401">
        <f>IS!P8</f>
        <v>42004</v>
      </c>
      <c r="P8" s="401">
        <f>IS!Q8</f>
        <v>42369</v>
      </c>
      <c r="Q8" s="401">
        <f>IS!R8</f>
        <v>42735</v>
      </c>
      <c r="R8" s="401">
        <f>IS!S8</f>
        <v>43100</v>
      </c>
      <c r="S8" s="401">
        <f>IS!T8</f>
        <v>43465</v>
      </c>
      <c r="T8" s="401">
        <f>IS!U8</f>
        <v>43830</v>
      </c>
      <c r="U8" s="401">
        <f>IS!V8</f>
        <v>44196</v>
      </c>
      <c r="V8" s="401">
        <f>IS!W8</f>
        <v>44561</v>
      </c>
      <c r="W8" s="401">
        <f>IS!X8</f>
        <v>44926</v>
      </c>
      <c r="X8" s="401">
        <f>IS!Y8</f>
        <v>45291</v>
      </c>
      <c r="Y8" s="401">
        <f>IS!Z8</f>
        <v>45657</v>
      </c>
      <c r="Z8" s="401">
        <f>IS!AA8</f>
        <v>46022</v>
      </c>
      <c r="AA8" s="401">
        <f>IS!AB8</f>
        <v>46387</v>
      </c>
      <c r="AB8" s="401">
        <f>IS!AC8</f>
        <v>46752</v>
      </c>
      <c r="AC8" s="401">
        <f>IS!AD8</f>
        <v>47118</v>
      </c>
      <c r="AD8" s="401">
        <f>IS!AE8</f>
        <v>47483</v>
      </c>
      <c r="AE8" s="401">
        <f>IS!AF8</f>
        <v>47848</v>
      </c>
      <c r="AF8" s="401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4" t="s">
        <v>399</v>
      </c>
      <c r="B11" s="395">
        <f>B29+B38</f>
        <v>3181.8319501886549</v>
      </c>
      <c r="C11" s="395">
        <f t="shared" ref="C11:AF11" si="1">C29+C38</f>
        <v>9521.1054375590647</v>
      </c>
      <c r="D11" s="395">
        <f t="shared" si="1"/>
        <v>9494.0169456873482</v>
      </c>
      <c r="E11" s="395">
        <f t="shared" si="1"/>
        <v>10433.462739545323</v>
      </c>
      <c r="F11" s="395">
        <f t="shared" si="1"/>
        <v>11357.911851160836</v>
      </c>
      <c r="G11" s="395">
        <f t="shared" si="1"/>
        <v>11665.426022290809</v>
      </c>
      <c r="H11" s="395">
        <f t="shared" si="1"/>
        <v>11785.826828131365</v>
      </c>
      <c r="I11" s="395">
        <f t="shared" si="1"/>
        <v>11911.008125068125</v>
      </c>
      <c r="J11" s="395">
        <f t="shared" si="1"/>
        <v>12194.249320984796</v>
      </c>
      <c r="K11" s="395">
        <f t="shared" si="1"/>
        <v>12379.182697453023</v>
      </c>
      <c r="L11" s="395">
        <f t="shared" si="1"/>
        <v>12689.314240376243</v>
      </c>
      <c r="M11" s="395">
        <f t="shared" si="1"/>
        <v>12877.840179612151</v>
      </c>
      <c r="N11" s="395">
        <f t="shared" si="1"/>
        <v>13181.219338647961</v>
      </c>
      <c r="O11" s="395">
        <f t="shared" si="1"/>
        <v>13372.381595347471</v>
      </c>
      <c r="P11" s="472">
        <f t="shared" si="1"/>
        <v>13482.105965886645</v>
      </c>
      <c r="Q11" s="395">
        <f t="shared" si="1"/>
        <v>13595.578435790812</v>
      </c>
      <c r="R11" s="395">
        <f t="shared" si="1"/>
        <v>13710.562594446177</v>
      </c>
      <c r="S11" s="395">
        <f t="shared" si="1"/>
        <v>13848.595415969532</v>
      </c>
      <c r="T11" s="395">
        <f t="shared" si="1"/>
        <v>13941.927600255174</v>
      </c>
      <c r="U11" s="395">
        <f t="shared" si="1"/>
        <v>14029.078989520249</v>
      </c>
      <c r="V11" s="395">
        <f t="shared" si="1"/>
        <v>14079.64957276876</v>
      </c>
      <c r="W11" s="395">
        <f t="shared" si="1"/>
        <v>14150.472748705819</v>
      </c>
      <c r="X11" s="395">
        <f t="shared" si="1"/>
        <v>14208.141275752663</v>
      </c>
      <c r="Y11" s="395">
        <f t="shared" si="1"/>
        <v>14273.55430285466</v>
      </c>
      <c r="Z11" s="395">
        <f t="shared" si="1"/>
        <v>14307.74946539884</v>
      </c>
      <c r="AA11" s="395">
        <f t="shared" si="1"/>
        <v>14369.019934806514</v>
      </c>
      <c r="AB11" s="395">
        <f t="shared" si="1"/>
        <v>14418.399726754138</v>
      </c>
      <c r="AC11" s="395">
        <f t="shared" si="1"/>
        <v>14475.411306291673</v>
      </c>
      <c r="AD11" s="395">
        <f t="shared" si="1"/>
        <v>14500.54105059362</v>
      </c>
      <c r="AE11" s="395">
        <f t="shared" si="1"/>
        <v>14552.890144950266</v>
      </c>
      <c r="AF11" s="472">
        <f t="shared" si="1"/>
        <v>8027.5912940829758</v>
      </c>
      <c r="AG11"/>
      <c r="AN11" s="532">
        <f>IF(MONTH(C23)=MONTH(Assumptions!G34),1,2)</f>
        <v>1</v>
      </c>
    </row>
    <row r="12" spans="1:40">
      <c r="A12" s="396" t="s">
        <v>0</v>
      </c>
      <c r="B12" s="392">
        <v>1.3</v>
      </c>
      <c r="C12" s="392">
        <v>1.3</v>
      </c>
      <c r="D12" s="392">
        <v>1.3</v>
      </c>
      <c r="E12" s="392">
        <v>1.3</v>
      </c>
      <c r="F12" s="392">
        <v>1.3</v>
      </c>
      <c r="G12" s="392">
        <v>1.3</v>
      </c>
      <c r="H12" s="392">
        <v>1.3</v>
      </c>
      <c r="I12" s="392">
        <v>1.3</v>
      </c>
      <c r="J12" s="392">
        <v>1.3</v>
      </c>
      <c r="K12" s="392">
        <v>1.3</v>
      </c>
      <c r="L12" s="392">
        <v>1.3</v>
      </c>
      <c r="M12" s="392">
        <v>1.3</v>
      </c>
      <c r="N12" s="392">
        <v>1.3</v>
      </c>
      <c r="O12" s="392">
        <v>1.3</v>
      </c>
      <c r="P12" s="397">
        <v>1.3</v>
      </c>
      <c r="Q12" s="392">
        <v>1.3</v>
      </c>
      <c r="R12" s="392">
        <v>1.3</v>
      </c>
      <c r="S12" s="392">
        <v>1.3</v>
      </c>
      <c r="T12" s="392">
        <v>1.3</v>
      </c>
      <c r="U12" s="392">
        <v>1.3</v>
      </c>
      <c r="V12" s="392">
        <v>1.3</v>
      </c>
      <c r="W12" s="392">
        <v>1.3</v>
      </c>
      <c r="X12" s="392">
        <v>1.3</v>
      </c>
      <c r="Y12" s="392">
        <v>1.3</v>
      </c>
      <c r="Z12" s="392">
        <v>1.3</v>
      </c>
      <c r="AA12" s="392">
        <v>1.3</v>
      </c>
      <c r="AB12" s="392">
        <v>1.3</v>
      </c>
      <c r="AC12" s="392">
        <v>1.3</v>
      </c>
      <c r="AD12" s="392">
        <v>1.3</v>
      </c>
      <c r="AE12" s="392">
        <v>1.3</v>
      </c>
      <c r="AF12" s="397">
        <v>1.3</v>
      </c>
      <c r="AG12"/>
      <c r="AN12" s="532">
        <f>IF(AN11=1,6,15)</f>
        <v>6</v>
      </c>
    </row>
    <row r="13" spans="1:40">
      <c r="A13" s="398" t="s">
        <v>333</v>
      </c>
      <c r="B13" s="313">
        <f>B11/B12</f>
        <v>2447.5630386066578</v>
      </c>
      <c r="C13" s="313">
        <f t="shared" ref="C13:AF13" si="2">C11/C12</f>
        <v>7323.9272596608189</v>
      </c>
      <c r="D13" s="313">
        <f t="shared" si="2"/>
        <v>7303.0899582210368</v>
      </c>
      <c r="E13" s="313">
        <f t="shared" si="2"/>
        <v>8025.7405688810168</v>
      </c>
      <c r="F13" s="313">
        <f t="shared" si="2"/>
        <v>8736.8552701237204</v>
      </c>
      <c r="G13" s="313">
        <f t="shared" si="2"/>
        <v>8973.4046325313902</v>
      </c>
      <c r="H13" s="313">
        <f t="shared" si="2"/>
        <v>9066.0206370241267</v>
      </c>
      <c r="I13" s="313">
        <f t="shared" si="2"/>
        <v>9162.3139423600951</v>
      </c>
      <c r="J13" s="313">
        <f t="shared" si="2"/>
        <v>9380.1917853729192</v>
      </c>
      <c r="K13" s="313">
        <f t="shared" si="2"/>
        <v>9522.4482288100171</v>
      </c>
      <c r="L13" s="313">
        <f t="shared" si="2"/>
        <v>9761.0109541355705</v>
      </c>
      <c r="M13" s="313">
        <f t="shared" si="2"/>
        <v>9906.0309073939625</v>
      </c>
      <c r="N13" s="313">
        <f t="shared" si="2"/>
        <v>10139.399491267663</v>
      </c>
      <c r="O13" s="313">
        <f t="shared" si="2"/>
        <v>10286.447381036516</v>
      </c>
      <c r="P13" s="399">
        <f t="shared" si="2"/>
        <v>10370.850742989727</v>
      </c>
      <c r="Q13" s="313">
        <f t="shared" si="2"/>
        <v>10458.137258300625</v>
      </c>
      <c r="R13" s="313">
        <f t="shared" si="2"/>
        <v>10546.586611112443</v>
      </c>
      <c r="S13" s="313">
        <f t="shared" si="2"/>
        <v>10652.765704591948</v>
      </c>
      <c r="T13" s="313">
        <f t="shared" si="2"/>
        <v>10724.559692503979</v>
      </c>
      <c r="U13" s="313">
        <f t="shared" si="2"/>
        <v>10791.599222707884</v>
      </c>
      <c r="V13" s="313">
        <f t="shared" si="2"/>
        <v>10830.499671360583</v>
      </c>
      <c r="W13" s="313">
        <f t="shared" si="2"/>
        <v>10884.979037466013</v>
      </c>
      <c r="X13" s="313">
        <f t="shared" si="2"/>
        <v>10929.339442886663</v>
      </c>
      <c r="Y13" s="313">
        <f t="shared" si="2"/>
        <v>10979.657156042045</v>
      </c>
      <c r="Z13" s="313">
        <f t="shared" si="2"/>
        <v>11005.961127229877</v>
      </c>
      <c r="AA13" s="313">
        <f t="shared" si="2"/>
        <v>11053.092257543472</v>
      </c>
      <c r="AB13" s="313">
        <f t="shared" si="2"/>
        <v>11091.076712887798</v>
      </c>
      <c r="AC13" s="313">
        <f t="shared" si="2"/>
        <v>11134.931774070517</v>
      </c>
      <c r="AD13" s="313">
        <f t="shared" si="2"/>
        <v>11154.262346610476</v>
      </c>
      <c r="AE13" s="313">
        <f t="shared" si="2"/>
        <v>11194.530880730974</v>
      </c>
      <c r="AF13" s="399">
        <f t="shared" si="2"/>
        <v>6175.0702262176737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4"/>
      <c r="AG17"/>
    </row>
    <row r="18" spans="1:33">
      <c r="A18" s="53"/>
      <c r="B18" s="228"/>
      <c r="AG18"/>
    </row>
    <row r="19" spans="1:33">
      <c r="A19" s="11" t="s">
        <v>357</v>
      </c>
      <c r="B19" s="405">
        <v>79784.710682961333</v>
      </c>
      <c r="S19" s="18"/>
      <c r="AF19" s="65"/>
      <c r="AG19"/>
    </row>
    <row r="20" spans="1:33">
      <c r="A20" s="11" t="s">
        <v>356</v>
      </c>
      <c r="B20" s="410">
        <f>HLOOKUP(Assumptions!G34,B23:AF39,AN12)</f>
        <v>2.2737367544323206E-11</v>
      </c>
      <c r="AF20" s="534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400">
        <v>36982</v>
      </c>
      <c r="C23" s="400">
        <v>37347</v>
      </c>
      <c r="D23" s="400">
        <v>37712</v>
      </c>
      <c r="E23" s="400">
        <v>38078</v>
      </c>
      <c r="F23" s="400">
        <v>38443</v>
      </c>
      <c r="G23" s="400">
        <v>38808</v>
      </c>
      <c r="H23" s="400">
        <v>39173</v>
      </c>
      <c r="I23" s="400">
        <v>39539</v>
      </c>
      <c r="J23" s="400">
        <v>39904</v>
      </c>
      <c r="K23" s="400">
        <v>40269</v>
      </c>
      <c r="L23" s="400">
        <v>40634</v>
      </c>
      <c r="M23" s="400">
        <v>41000</v>
      </c>
      <c r="N23" s="400">
        <v>41365</v>
      </c>
      <c r="O23" s="400">
        <v>41730</v>
      </c>
      <c r="P23" s="400">
        <v>42095</v>
      </c>
      <c r="Q23" s="400">
        <v>42461</v>
      </c>
      <c r="R23" s="400">
        <v>42826</v>
      </c>
      <c r="S23" s="400">
        <v>43191</v>
      </c>
      <c r="T23" s="400">
        <v>43556</v>
      </c>
      <c r="U23" s="400">
        <v>43922</v>
      </c>
      <c r="V23" s="400">
        <v>44287</v>
      </c>
      <c r="W23" s="400">
        <v>44652</v>
      </c>
      <c r="X23" s="400">
        <v>45017</v>
      </c>
      <c r="Y23" s="400">
        <v>45383</v>
      </c>
      <c r="Z23" s="400">
        <v>45748</v>
      </c>
      <c r="AA23" s="400">
        <v>46113</v>
      </c>
      <c r="AB23" s="400">
        <v>46478</v>
      </c>
      <c r="AC23" s="400">
        <v>46844</v>
      </c>
      <c r="AD23" s="400">
        <v>47209</v>
      </c>
      <c r="AE23" s="400">
        <v>47574</v>
      </c>
      <c r="AF23" s="400">
        <v>47939</v>
      </c>
      <c r="AG23" s="535">
        <v>47969</v>
      </c>
    </row>
    <row r="24" spans="1:33">
      <c r="A24" s="48" t="s">
        <v>56</v>
      </c>
      <c r="B24"/>
      <c r="C24" s="48">
        <f>B45</f>
        <v>79423.804529419853</v>
      </c>
      <c r="D24" s="48">
        <f t="shared" ref="D24:AF24" si="3">C45</f>
        <v>78295.633349431577</v>
      </c>
      <c r="E24" s="48">
        <f t="shared" si="3"/>
        <v>77099.746408937426</v>
      </c>
      <c r="F24" s="48">
        <f t="shared" si="3"/>
        <v>75076.257898917305</v>
      </c>
      <c r="G24" s="48">
        <f t="shared" si="3"/>
        <v>72157.28977976591</v>
      </c>
      <c r="H24" s="48">
        <f t="shared" si="3"/>
        <v>68768.261567820402</v>
      </c>
      <c r="I24" s="48">
        <f t="shared" si="3"/>
        <v>65014.244116286274</v>
      </c>
      <c r="J24" s="48">
        <f t="shared" si="3"/>
        <v>60866.445416543378</v>
      </c>
      <c r="K24" s="48">
        <f t="shared" si="3"/>
        <v>56157.892777743917</v>
      </c>
      <c r="L24" s="48">
        <f t="shared" si="3"/>
        <v>50931.768758878941</v>
      </c>
      <c r="M24" s="48">
        <f t="shared" si="3"/>
        <v>45045.183706765238</v>
      </c>
      <c r="N24" s="48">
        <f t="shared" si="3"/>
        <v>38543.818534519414</v>
      </c>
      <c r="O24" s="48">
        <f t="shared" si="3"/>
        <v>31280.317526313895</v>
      </c>
      <c r="P24" s="48">
        <f t="shared" si="3"/>
        <v>23289.153823128803</v>
      </c>
      <c r="Q24" s="48">
        <f t="shared" si="3"/>
        <v>14573.973773184422</v>
      </c>
      <c r="R24" s="48">
        <f t="shared" si="3"/>
        <v>5075.4062477508733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0</v>
      </c>
      <c r="Y24" s="48">
        <f t="shared" si="3"/>
        <v>0</v>
      </c>
      <c r="Z24" s="48">
        <f t="shared" si="3"/>
        <v>0</v>
      </c>
      <c r="AA24" s="48">
        <f t="shared" si="3"/>
        <v>0</v>
      </c>
      <c r="AB24" s="48">
        <f t="shared" si="3"/>
        <v>0</v>
      </c>
      <c r="AC24" s="48">
        <f t="shared" si="3"/>
        <v>0</v>
      </c>
      <c r="AD24" s="48">
        <f t="shared" si="3"/>
        <v>0</v>
      </c>
      <c r="AE24" s="48">
        <f t="shared" si="3"/>
        <v>0</v>
      </c>
      <c r="AF24" s="48">
        <f t="shared" si="3"/>
        <v>0</v>
      </c>
      <c r="AG24"/>
    </row>
    <row r="25" spans="1:33">
      <c r="A25" s="48" t="s">
        <v>334</v>
      </c>
      <c r="B25"/>
      <c r="C25" s="390">
        <v>0</v>
      </c>
      <c r="D25" s="390">
        <v>0</v>
      </c>
      <c r="E25" s="390">
        <v>0</v>
      </c>
      <c r="F25" s="390">
        <v>0</v>
      </c>
      <c r="G25" s="390">
        <v>0</v>
      </c>
      <c r="H25" s="390">
        <v>0</v>
      </c>
      <c r="I25" s="390">
        <v>0</v>
      </c>
      <c r="J25" s="390">
        <v>0</v>
      </c>
      <c r="K25" s="390">
        <v>0</v>
      </c>
      <c r="L25" s="390">
        <v>0</v>
      </c>
      <c r="M25" s="390">
        <v>0</v>
      </c>
      <c r="N25" s="390">
        <v>0</v>
      </c>
      <c r="O25" s="390">
        <v>0</v>
      </c>
      <c r="P25" s="390">
        <v>0</v>
      </c>
      <c r="Q25" s="390">
        <v>0</v>
      </c>
      <c r="R25" s="390">
        <v>0</v>
      </c>
      <c r="S25" s="390">
        <v>0</v>
      </c>
      <c r="T25" s="390">
        <v>0</v>
      </c>
      <c r="U25" s="390">
        <v>0</v>
      </c>
      <c r="V25" s="390">
        <v>0</v>
      </c>
      <c r="W25" s="390">
        <v>0</v>
      </c>
      <c r="X25" s="390">
        <v>0</v>
      </c>
      <c r="Y25" s="390">
        <v>0</v>
      </c>
      <c r="Z25" s="390">
        <v>0</v>
      </c>
      <c r="AA25" s="390">
        <v>0</v>
      </c>
      <c r="AB25" s="390">
        <v>0</v>
      </c>
      <c r="AC25" s="390">
        <v>0</v>
      </c>
      <c r="AD25" s="390">
        <v>0</v>
      </c>
      <c r="AE25" s="390">
        <v>0</v>
      </c>
      <c r="AF25" s="390">
        <v>0</v>
      </c>
      <c r="AG25"/>
    </row>
    <row r="26" spans="1:33">
      <c r="A26" s="48" t="s">
        <v>57</v>
      </c>
      <c r="B26"/>
      <c r="C26" s="48">
        <f t="shared" ref="C26:AF26" si="4">C24-C28</f>
        <v>562.1019345724053</v>
      </c>
      <c r="D26" s="48">
        <f t="shared" si="4"/>
        <v>594.66894456419686</v>
      </c>
      <c r="E26" s="48">
        <f t="shared" si="4"/>
        <v>990.30293748690747</v>
      </c>
      <c r="F26" s="48">
        <f t="shared" si="4"/>
        <v>1441.2491863933246</v>
      </c>
      <c r="G26" s="48">
        <f t="shared" si="4"/>
        <v>1669.4840320587682</v>
      </c>
      <c r="H26" s="48">
        <f t="shared" si="4"/>
        <v>1848.1089807082899</v>
      </c>
      <c r="I26" s="48">
        <f t="shared" si="4"/>
        <v>2032.3816443395626</v>
      </c>
      <c r="J26" s="48">
        <f t="shared" si="4"/>
        <v>2316.9495444727581</v>
      </c>
      <c r="K26" s="48">
        <f t="shared" si="4"/>
        <v>2568.6661231213948</v>
      </c>
      <c r="L26" s="48">
        <f t="shared" si="4"/>
        <v>2891.9896856286505</v>
      </c>
      <c r="M26" s="48">
        <f t="shared" si="4"/>
        <v>3187.0939331845293</v>
      </c>
      <c r="N26" s="48">
        <f t="shared" si="4"/>
        <v>3566.8992851268122</v>
      </c>
      <c r="O26" s="48">
        <f t="shared" si="4"/>
        <v>3921.9543947908896</v>
      </c>
      <c r="P26" s="48">
        <f t="shared" si="4"/>
        <v>4276.1530003390289</v>
      </c>
      <c r="Q26" s="48">
        <f t="shared" si="4"/>
        <v>4657.7202227815105</v>
      </c>
      <c r="R26" s="48">
        <f t="shared" si="4"/>
        <v>5075.4062477508505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0</v>
      </c>
      <c r="X26" s="48">
        <f t="shared" si="4"/>
        <v>0</v>
      </c>
      <c r="Y26" s="48">
        <f t="shared" si="4"/>
        <v>0</v>
      </c>
      <c r="Z26" s="48">
        <f t="shared" si="4"/>
        <v>0</v>
      </c>
      <c r="AA26" s="48">
        <f t="shared" si="4"/>
        <v>0</v>
      </c>
      <c r="AB26" s="48">
        <f t="shared" si="4"/>
        <v>0</v>
      </c>
      <c r="AC26" s="48">
        <f t="shared" si="4"/>
        <v>0</v>
      </c>
      <c r="AD26" s="48">
        <f t="shared" si="4"/>
        <v>0</v>
      </c>
      <c r="AE26" s="48">
        <f t="shared" si="4"/>
        <v>0</v>
      </c>
      <c r="AF26" s="48">
        <f t="shared" si="4"/>
        <v>0</v>
      </c>
      <c r="AG26"/>
    </row>
    <row r="27" spans="1:33">
      <c r="A27" s="48" t="s">
        <v>58</v>
      </c>
      <c r="B27"/>
      <c r="C27" s="393">
        <f t="shared" ref="C27:AF27" si="5">C24*(C23-B41)/(C41-B41)*$E$64</f>
        <v>1550.4614641465075</v>
      </c>
      <c r="D27" s="393">
        <f t="shared" si="5"/>
        <v>1528.4380172731637</v>
      </c>
      <c r="E27" s="393">
        <f t="shared" si="5"/>
        <v>1517.4746809601684</v>
      </c>
      <c r="F27" s="393">
        <f t="shared" si="5"/>
        <v>1465.5913983757684</v>
      </c>
      <c r="G27" s="393">
        <f t="shared" si="5"/>
        <v>1408.6091421034685</v>
      </c>
      <c r="H27" s="393">
        <f t="shared" si="5"/>
        <v>1342.4506689018922</v>
      </c>
      <c r="I27" s="393">
        <f t="shared" si="5"/>
        <v>1279.6082210821851</v>
      </c>
      <c r="J27" s="393">
        <f t="shared" si="5"/>
        <v>1188.1963932232779</v>
      </c>
      <c r="K27" s="393">
        <f t="shared" si="5"/>
        <v>1096.2789956418046</v>
      </c>
      <c r="L27" s="393">
        <f t="shared" si="5"/>
        <v>994.25789571956193</v>
      </c>
      <c r="M27" s="393">
        <f t="shared" si="5"/>
        <v>886.5778288252842</v>
      </c>
      <c r="N27" s="393">
        <f t="shared" si="5"/>
        <v>752.42813754523615</v>
      </c>
      <c r="O27" s="393">
        <f t="shared" si="5"/>
        <v>610.6346478636832</v>
      </c>
      <c r="P27" s="393">
        <f t="shared" si="5"/>
        <v>454.63618557791688</v>
      </c>
      <c r="Q27" s="393">
        <f t="shared" si="5"/>
        <v>286.84447396861009</v>
      </c>
      <c r="R27" s="393">
        <f t="shared" si="5"/>
        <v>99.078882567395326</v>
      </c>
      <c r="S27" s="393">
        <f t="shared" si="5"/>
        <v>0</v>
      </c>
      <c r="T27" s="393">
        <f t="shared" si="5"/>
        <v>0</v>
      </c>
      <c r="U27" s="393">
        <f t="shared" si="5"/>
        <v>0</v>
      </c>
      <c r="V27" s="393">
        <f t="shared" si="5"/>
        <v>0</v>
      </c>
      <c r="W27" s="393">
        <f t="shared" si="5"/>
        <v>0</v>
      </c>
      <c r="X27" s="393">
        <f t="shared" si="5"/>
        <v>0</v>
      </c>
      <c r="Y27" s="393">
        <f t="shared" si="5"/>
        <v>0</v>
      </c>
      <c r="Z27" s="393">
        <f t="shared" si="5"/>
        <v>0</v>
      </c>
      <c r="AA27" s="393">
        <f t="shared" si="5"/>
        <v>0</v>
      </c>
      <c r="AB27" s="393">
        <f t="shared" si="5"/>
        <v>0</v>
      </c>
      <c r="AC27" s="393">
        <f t="shared" si="5"/>
        <v>0</v>
      </c>
      <c r="AD27" s="393">
        <f t="shared" si="5"/>
        <v>0</v>
      </c>
      <c r="AE27" s="393">
        <f t="shared" si="5"/>
        <v>0</v>
      </c>
      <c r="AF27" s="393">
        <f t="shared" si="5"/>
        <v>0</v>
      </c>
      <c r="AG27"/>
    </row>
    <row r="28" spans="1:33">
      <c r="A28" s="48" t="s">
        <v>59</v>
      </c>
      <c r="B28"/>
      <c r="C28" s="163">
        <f t="shared" ref="C28:AF28" si="6">MAX(C24+C25+B44+C27-0.5*C13,0)</f>
        <v>78861.702594847447</v>
      </c>
      <c r="D28" s="163">
        <f t="shared" si="6"/>
        <v>77700.96440486738</v>
      </c>
      <c r="E28" s="163">
        <f t="shared" si="6"/>
        <v>76109.443471450519</v>
      </c>
      <c r="F28" s="163">
        <f t="shared" si="6"/>
        <v>73635.008712523981</v>
      </c>
      <c r="G28" s="163">
        <f t="shared" si="6"/>
        <v>70487.805747707142</v>
      </c>
      <c r="H28" s="163">
        <f t="shared" si="6"/>
        <v>66920.152587112112</v>
      </c>
      <c r="I28" s="163">
        <f t="shared" si="6"/>
        <v>62981.862471946712</v>
      </c>
      <c r="J28" s="163">
        <f t="shared" si="6"/>
        <v>58549.49587207062</v>
      </c>
      <c r="K28" s="163">
        <f t="shared" si="6"/>
        <v>53589.226654622522</v>
      </c>
      <c r="L28" s="163">
        <f t="shared" si="6"/>
        <v>48039.779073250291</v>
      </c>
      <c r="M28" s="163">
        <f t="shared" si="6"/>
        <v>41858.089773580708</v>
      </c>
      <c r="N28" s="163">
        <f t="shared" si="6"/>
        <v>34976.919249392602</v>
      </c>
      <c r="O28" s="163">
        <f t="shared" si="6"/>
        <v>27358.363131523005</v>
      </c>
      <c r="P28" s="163">
        <f t="shared" si="6"/>
        <v>19013.000822789774</v>
      </c>
      <c r="Q28" s="163">
        <f t="shared" si="6"/>
        <v>9916.2535504029111</v>
      </c>
      <c r="R28" s="163">
        <f t="shared" si="6"/>
        <v>2.2737367544323206E-11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0</v>
      </c>
      <c r="X28" s="163">
        <f t="shared" si="6"/>
        <v>0</v>
      </c>
      <c r="Y28" s="163">
        <f t="shared" si="6"/>
        <v>0</v>
      </c>
      <c r="Z28" s="163">
        <f t="shared" si="6"/>
        <v>0</v>
      </c>
      <c r="AA28" s="163">
        <f t="shared" si="6"/>
        <v>0</v>
      </c>
      <c r="AB28" s="163">
        <f t="shared" si="6"/>
        <v>0</v>
      </c>
      <c r="AC28" s="163">
        <f t="shared" si="6"/>
        <v>0</v>
      </c>
      <c r="AD28" s="163">
        <f t="shared" si="6"/>
        <v>0</v>
      </c>
      <c r="AE28" s="163">
        <f t="shared" si="6"/>
        <v>0</v>
      </c>
      <c r="AF28" s="163">
        <f t="shared" si="6"/>
        <v>0</v>
      </c>
      <c r="AG28"/>
    </row>
    <row r="29" spans="1:33">
      <c r="A29" s="48" t="s">
        <v>336</v>
      </c>
      <c r="B29"/>
      <c r="C29" s="163">
        <f>(C23-B41)/(C41-B41)*IS!D32+(B41-B32)/(B41-Assumptions!H17)*IS!C32</f>
        <v>4747.2286716008257</v>
      </c>
      <c r="D29" s="163">
        <f>(D23-C41)/(D41-C41)*IS!E32+(C41-C32)/(C41-B41)*IS!D32</f>
        <v>4738.6070356195196</v>
      </c>
      <c r="E29" s="163">
        <f>(E23-D41)/(E41-D41)*IS!F32+(D41-D32)/(D41-C41)*IS!E32</f>
        <v>5064.0759049248809</v>
      </c>
      <c r="F29" s="163">
        <f>(F23-E41)/(F41-E41)*IS!G32+(E41-E32)/(E41-D41)*IS!F32</f>
        <v>5555.4167168105705</v>
      </c>
      <c r="G29" s="163">
        <f>(G23-F41)/(G41-F41)*IS!H32+(F41-F32)/(F41-E41)*IS!G32</f>
        <v>5801.389873191014</v>
      </c>
      <c r="H29" s="163">
        <f>(H23-G41)/(H41-G41)*IS!I32+(G41-G32)/(G41-F41)*IS!H32</f>
        <v>5861.8158063066985</v>
      </c>
      <c r="I29" s="163">
        <f>(I23-H41)/(I41-H41)*IS!J32+(H41-H32)/(H41-G41)*IS!I32</f>
        <v>5945.0827290629531</v>
      </c>
      <c r="J29" s="163">
        <f>(J23-I41)/(J41-I41)*IS!K32+(I41-I32)/(I41-H41)*IS!J32</f>
        <v>6031.2989023579821</v>
      </c>
      <c r="K29" s="163">
        <f>(K23-J41)/(K41-J41)*IS!L32+(J41-J32)/(J41-I41)*IS!K32</f>
        <v>6158.1536991360044</v>
      </c>
      <c r="L29" s="163">
        <f>(L23-K41)/(L41-K41)*IS!M32+(K41-K32)/(K41-J41)*IS!L32</f>
        <v>6280.4424624857184</v>
      </c>
      <c r="M29" s="163">
        <f>(M23-L41)/(M41-L41)*IS!N32+(L41-L32)/(L41-K41)*IS!M32</f>
        <v>6428.9768302267476</v>
      </c>
      <c r="N29" s="163">
        <f>(N23-M41)/(N41-M41)*IS!O32+(M41-M32)/(M41-L41)*IS!N32</f>
        <v>6519.4800168285983</v>
      </c>
      <c r="O29" s="163">
        <f>(O23-N41)/(O41-N41)*IS!P32+(N41-N32)/(N41-M41)*IS!O32</f>
        <v>6653.6678958473785</v>
      </c>
      <c r="P29" s="163">
        <f>(P23-O41)/(P41-O41)*IS!Q32+(O41-O32)/(O41-N41)*IS!P32</f>
        <v>6709.0313487233325</v>
      </c>
      <c r="Q29" s="163">
        <f>(Q23-P41)/(Q41-P41)*IS!R32+(P41-P32)/(P41-O41)*IS!Q32</f>
        <v>6789.6109318349681</v>
      </c>
      <c r="R29" s="163">
        <f>(R23-Q41)/(R41-Q41)*IS!S32+(Q41-Q32)/(Q41-P41)*IS!R32</f>
        <v>6813.8840837758544</v>
      </c>
      <c r="S29" s="163">
        <f>(S23-R41)/(S41-R41)*IS!T32+(R41-R32)/(R41-Q41)*IS!S32</f>
        <v>6889.8537493584918</v>
      </c>
      <c r="T29" s="163">
        <f>(T23-S41)/(T41-S41)*IS!U32+(S41-S32)/(S41-R41)*IS!T32</f>
        <v>6941.4631506745445</v>
      </c>
      <c r="U29" s="163">
        <f>(U23-T41)/(U41-T41)*IS!V32+(T41-T32)/(T41-S41)*IS!U32</f>
        <v>7009.8819343552732</v>
      </c>
      <c r="V29" s="163">
        <f>(V23-U41)/(V41-U41)*IS!W32+(U41-U32)/(U41-T41)*IS!V32</f>
        <v>7007.2811793502551</v>
      </c>
      <c r="W29" s="163">
        <f>(W23-V41)/(W41-V41)*IS!X32+(V41-V32)/(V41-U41)*IS!W32</f>
        <v>7048.4618391726763</v>
      </c>
      <c r="X29" s="163">
        <f>(X23-W41)/(X41-W41)*IS!Y32+(W41-W32)/(W41-V41)*IS!X32</f>
        <v>7077.4593024124388</v>
      </c>
      <c r="Y29" s="163">
        <f>(Y23-X41)/(Y41-X41)*IS!Z32+(X41-X32)/(X41-W41)*IS!Y32</f>
        <v>7134.7602015875964</v>
      </c>
      <c r="Z29" s="163">
        <f>(Z23-Y41)/(Z41-Y41)*IS!AA32+(Y41-Y32)/(Y41-X41)*IS!Z32</f>
        <v>7122.7571699510845</v>
      </c>
      <c r="AA29" s="163">
        <f>(AA23-Z41)/(AA41-Z41)*IS!AB32+(Z41-Z32)/(Z41-Y41)*IS!AA32</f>
        <v>7158.4493173472201</v>
      </c>
      <c r="AB29" s="163">
        <f>(AB23-AA41)/(AB41-AA41)*IS!AC32+(AA41-AA32)/(AA41-Z41)*IS!AB32</f>
        <v>7183.3441654139497</v>
      </c>
      <c r="AC29" s="163">
        <f>(AC23-AB41)/(AC41-AB41)*IS!AD32+(AB41-AB32)/(AB41-AA41)*IS!AC32</f>
        <v>7236.8287136756044</v>
      </c>
      <c r="AD29" s="163">
        <f>(AD23-AC41)/(AD41-AC41)*IS!AE32+(AC41-AC32)/(AC41-AB41)*IS!AD32</f>
        <v>7219.9279252995684</v>
      </c>
      <c r="AE29" s="163">
        <f>(AE23-AD41)/(AE41-AD41)*IS!AF32+(AD41-AD32)/(AD41-AC41)*IS!AE32</f>
        <v>7251.2729839132589</v>
      </c>
      <c r="AF29" s="163">
        <f>(AF23-AE41)/(AG23-AE41)*IS!AG32+(AE41-AE32)/(AE41-AD41)*IS!AF32</f>
        <v>6937.4923303073128</v>
      </c>
      <c r="AG29"/>
    </row>
    <row r="30" spans="1:33">
      <c r="A30" s="413" t="s">
        <v>0</v>
      </c>
      <c r="B30" s="415"/>
      <c r="C30" s="414">
        <f>IF(C28&gt;0.1,C29/(C27+C26+B44)," ")</f>
        <v>1.2963615020449211</v>
      </c>
      <c r="D30" s="414">
        <f t="shared" ref="D30:AF30" si="7">IF(D28&gt;0.1,D29/(D27+D26+C44)," ")</f>
        <v>1.2976992102597056</v>
      </c>
      <c r="E30" s="414">
        <f t="shared" si="7"/>
        <v>1.2619585349071258</v>
      </c>
      <c r="F30" s="414">
        <f t="shared" si="7"/>
        <v>1.271719982774052</v>
      </c>
      <c r="G30" s="414">
        <f t="shared" si="7"/>
        <v>1.2930186725691948</v>
      </c>
      <c r="H30" s="414">
        <f t="shared" si="7"/>
        <v>1.2931397447669597</v>
      </c>
      <c r="I30" s="414">
        <f t="shared" si="7"/>
        <v>1.2977251743311458</v>
      </c>
      <c r="J30" s="414">
        <f t="shared" si="7"/>
        <v>1.2859649440777816</v>
      </c>
      <c r="K30" s="414">
        <f t="shared" si="7"/>
        <v>1.2933971498011643</v>
      </c>
      <c r="L30" s="414">
        <f t="shared" si="7"/>
        <v>1.2868426215267832</v>
      </c>
      <c r="M30" s="414">
        <f t="shared" si="7"/>
        <v>1.297992483635015</v>
      </c>
      <c r="N30" s="414">
        <f t="shared" si="7"/>
        <v>1.2859696518404988</v>
      </c>
      <c r="O30" s="414">
        <f t="shared" si="7"/>
        <v>1.2936765531146717</v>
      </c>
      <c r="P30" s="414">
        <f t="shared" si="7"/>
        <v>1.2938246851654607</v>
      </c>
      <c r="Q30" s="414">
        <f t="shared" si="7"/>
        <v>1.2984359956542069</v>
      </c>
      <c r="R30" s="414" t="str">
        <f t="shared" si="7"/>
        <v xml:space="preserve"> </v>
      </c>
      <c r="S30" s="414" t="str">
        <f t="shared" si="7"/>
        <v xml:space="preserve"> </v>
      </c>
      <c r="T30" s="414" t="str">
        <f t="shared" si="7"/>
        <v xml:space="preserve"> </v>
      </c>
      <c r="U30" s="414" t="str">
        <f t="shared" si="7"/>
        <v xml:space="preserve"> </v>
      </c>
      <c r="V30" s="414" t="str">
        <f t="shared" si="7"/>
        <v xml:space="preserve"> </v>
      </c>
      <c r="W30" s="414" t="str">
        <f t="shared" si="7"/>
        <v xml:space="preserve"> </v>
      </c>
      <c r="X30" s="414" t="str">
        <f t="shared" si="7"/>
        <v xml:space="preserve"> </v>
      </c>
      <c r="Y30" s="414" t="str">
        <f t="shared" si="7"/>
        <v xml:space="preserve"> </v>
      </c>
      <c r="Z30" s="414" t="str">
        <f t="shared" si="7"/>
        <v xml:space="preserve"> </v>
      </c>
      <c r="AA30" s="414" t="str">
        <f t="shared" si="7"/>
        <v xml:space="preserve"> </v>
      </c>
      <c r="AB30" s="414" t="str">
        <f t="shared" si="7"/>
        <v xml:space="preserve"> </v>
      </c>
      <c r="AC30" s="414" t="str">
        <f t="shared" si="7"/>
        <v xml:space="preserve"> </v>
      </c>
      <c r="AD30" s="414" t="str">
        <f t="shared" si="7"/>
        <v xml:space="preserve"> </v>
      </c>
      <c r="AE30" s="414" t="str">
        <f t="shared" si="7"/>
        <v xml:space="preserve"> </v>
      </c>
      <c r="AF30" s="414" t="str">
        <f t="shared" si="7"/>
        <v xml:space="preserve"> </v>
      </c>
      <c r="AG30"/>
    </row>
    <row r="31" spans="1:33">
      <c r="A31" s="11"/>
      <c r="B31" s="389"/>
      <c r="C31" s="53"/>
      <c r="AG31"/>
    </row>
    <row r="32" spans="1:33">
      <c r="A32" s="412" t="s">
        <v>422</v>
      </c>
      <c r="B32" s="400">
        <v>37165</v>
      </c>
      <c r="C32" s="400">
        <v>37530</v>
      </c>
      <c r="D32" s="400">
        <v>37895</v>
      </c>
      <c r="E32" s="400">
        <v>38261</v>
      </c>
      <c r="F32" s="400">
        <v>38626</v>
      </c>
      <c r="G32" s="400">
        <v>38991</v>
      </c>
      <c r="H32" s="400">
        <v>39356</v>
      </c>
      <c r="I32" s="400">
        <v>39722</v>
      </c>
      <c r="J32" s="400">
        <v>40087</v>
      </c>
      <c r="K32" s="400">
        <v>40452</v>
      </c>
      <c r="L32" s="400">
        <v>40817</v>
      </c>
      <c r="M32" s="400">
        <v>41183</v>
      </c>
      <c r="N32" s="400">
        <v>41548</v>
      </c>
      <c r="O32" s="400">
        <v>41913</v>
      </c>
      <c r="P32" s="400">
        <v>42278</v>
      </c>
      <c r="Q32" s="400">
        <v>42644</v>
      </c>
      <c r="R32" s="400">
        <v>43009</v>
      </c>
      <c r="S32" s="400">
        <v>43374</v>
      </c>
      <c r="T32" s="400">
        <v>43739</v>
      </c>
      <c r="U32" s="400">
        <v>44105</v>
      </c>
      <c r="V32" s="400">
        <v>44470</v>
      </c>
      <c r="W32" s="400">
        <v>44835</v>
      </c>
      <c r="X32" s="400">
        <v>45200</v>
      </c>
      <c r="Y32" s="400">
        <v>45566</v>
      </c>
      <c r="Z32" s="400">
        <v>45931</v>
      </c>
      <c r="AA32" s="400">
        <v>46296</v>
      </c>
      <c r="AB32" s="400">
        <v>46661</v>
      </c>
      <c r="AC32" s="400">
        <v>47027</v>
      </c>
      <c r="AD32" s="400">
        <v>47392</v>
      </c>
      <c r="AE32" s="400">
        <v>47757</v>
      </c>
      <c r="AF32" s="400">
        <v>47969</v>
      </c>
      <c r="AG32"/>
    </row>
    <row r="33" spans="1:39">
      <c r="A33" s="48" t="s">
        <v>56</v>
      </c>
      <c r="B33" s="390">
        <f>B19</f>
        <v>79784.710682961333</v>
      </c>
      <c r="C33" s="48">
        <f>C28</f>
        <v>78861.702594847447</v>
      </c>
      <c r="D33" s="48">
        <f t="shared" ref="D33:AF33" si="8">D28</f>
        <v>77700.96440486738</v>
      </c>
      <c r="E33" s="48">
        <f t="shared" si="8"/>
        <v>76109.443471450519</v>
      </c>
      <c r="F33" s="48">
        <f t="shared" si="8"/>
        <v>73635.008712523981</v>
      </c>
      <c r="G33" s="48">
        <f t="shared" si="8"/>
        <v>70487.805747707142</v>
      </c>
      <c r="H33" s="48">
        <f t="shared" si="8"/>
        <v>66920.152587112112</v>
      </c>
      <c r="I33" s="48">
        <f t="shared" si="8"/>
        <v>62981.862471946712</v>
      </c>
      <c r="J33" s="48">
        <f t="shared" si="8"/>
        <v>58549.49587207062</v>
      </c>
      <c r="K33" s="48">
        <f t="shared" si="8"/>
        <v>53589.226654622522</v>
      </c>
      <c r="L33" s="48">
        <f t="shared" si="8"/>
        <v>48039.779073250291</v>
      </c>
      <c r="M33" s="48">
        <f t="shared" si="8"/>
        <v>41858.089773580708</v>
      </c>
      <c r="N33" s="48">
        <f t="shared" si="8"/>
        <v>34976.919249392602</v>
      </c>
      <c r="O33" s="48">
        <f t="shared" si="8"/>
        <v>27358.363131523005</v>
      </c>
      <c r="P33" s="48">
        <f t="shared" si="8"/>
        <v>19013.000822789774</v>
      </c>
      <c r="Q33" s="48">
        <f t="shared" si="8"/>
        <v>9916.2535504029111</v>
      </c>
      <c r="R33" s="48">
        <f t="shared" si="8"/>
        <v>2.2737367544323206E-11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0</v>
      </c>
      <c r="X33" s="48">
        <f t="shared" si="8"/>
        <v>0</v>
      </c>
      <c r="Y33" s="48">
        <f t="shared" si="8"/>
        <v>0</v>
      </c>
      <c r="Z33" s="48">
        <f t="shared" si="8"/>
        <v>0</v>
      </c>
      <c r="AA33" s="48">
        <f t="shared" si="8"/>
        <v>0</v>
      </c>
      <c r="AB33" s="48">
        <f t="shared" si="8"/>
        <v>0</v>
      </c>
      <c r="AC33" s="48">
        <f t="shared" si="8"/>
        <v>0</v>
      </c>
      <c r="AD33" s="48">
        <f t="shared" si="8"/>
        <v>0</v>
      </c>
      <c r="AE33" s="48">
        <f t="shared" si="8"/>
        <v>0</v>
      </c>
      <c r="AF33" s="48">
        <f t="shared" si="8"/>
        <v>0</v>
      </c>
      <c r="AG33"/>
    </row>
    <row r="34" spans="1:39">
      <c r="A34" s="48" t="s">
        <v>334</v>
      </c>
      <c r="B34" s="390">
        <v>0</v>
      </c>
      <c r="C34" s="390">
        <v>0</v>
      </c>
      <c r="D34" s="390">
        <v>0</v>
      </c>
      <c r="E34" s="390">
        <v>0</v>
      </c>
      <c r="F34" s="390">
        <v>0</v>
      </c>
      <c r="G34" s="390">
        <v>0</v>
      </c>
      <c r="H34" s="390">
        <v>0</v>
      </c>
      <c r="I34" s="390">
        <v>0</v>
      </c>
      <c r="J34" s="390">
        <v>0</v>
      </c>
      <c r="K34" s="390">
        <v>0</v>
      </c>
      <c r="L34" s="390">
        <v>0</v>
      </c>
      <c r="M34" s="390">
        <v>0</v>
      </c>
      <c r="N34" s="390">
        <v>0</v>
      </c>
      <c r="O34" s="390">
        <v>0</v>
      </c>
      <c r="P34" s="390">
        <v>0</v>
      </c>
      <c r="Q34" s="390">
        <v>0</v>
      </c>
      <c r="R34" s="390">
        <v>0</v>
      </c>
      <c r="S34" s="390">
        <v>0</v>
      </c>
      <c r="T34" s="390">
        <v>0</v>
      </c>
      <c r="U34" s="390">
        <v>0</v>
      </c>
      <c r="V34" s="390">
        <v>0</v>
      </c>
      <c r="W34" s="390">
        <v>0</v>
      </c>
      <c r="X34" s="390">
        <v>0</v>
      </c>
      <c r="Y34" s="390">
        <v>0</v>
      </c>
      <c r="Z34" s="390">
        <v>0</v>
      </c>
      <c r="AA34" s="390">
        <v>0</v>
      </c>
      <c r="AB34" s="390">
        <v>0</v>
      </c>
      <c r="AC34" s="390">
        <v>0</v>
      </c>
      <c r="AD34" s="390">
        <v>0</v>
      </c>
      <c r="AE34" s="390">
        <v>0</v>
      </c>
      <c r="AF34" s="390">
        <v>0</v>
      </c>
      <c r="AG34"/>
    </row>
    <row r="35" spans="1:39">
      <c r="A35" s="48" t="s">
        <v>57</v>
      </c>
      <c r="B35" s="48">
        <f>B33-B37</f>
        <v>360.90615354148031</v>
      </c>
      <c r="C35" s="48">
        <f>C33-C37</f>
        <v>566.06924541587068</v>
      </c>
      <c r="D35" s="48">
        <f t="shared" ref="D35:AF35" si="9">D33-D37</f>
        <v>601.21799592995376</v>
      </c>
      <c r="E35" s="48">
        <f t="shared" si="9"/>
        <v>1033.1855725332134</v>
      </c>
      <c r="F35" s="48">
        <f t="shared" si="9"/>
        <v>1477.7189327580709</v>
      </c>
      <c r="G35" s="48">
        <f t="shared" si="9"/>
        <v>1719.5441798867396</v>
      </c>
      <c r="H35" s="48">
        <f t="shared" si="9"/>
        <v>1905.9084708258379</v>
      </c>
      <c r="I35" s="48">
        <f t="shared" si="9"/>
        <v>2115.4170554033335</v>
      </c>
      <c r="J35" s="48">
        <f t="shared" si="9"/>
        <v>2391.6030943267033</v>
      </c>
      <c r="K35" s="48">
        <f t="shared" si="9"/>
        <v>2657.4578957435806</v>
      </c>
      <c r="L35" s="48">
        <f t="shared" si="9"/>
        <v>2994.5953664850531</v>
      </c>
      <c r="M35" s="48">
        <f t="shared" si="9"/>
        <v>3314.2712390612942</v>
      </c>
      <c r="N35" s="48">
        <f t="shared" si="9"/>
        <v>3696.6017230787074</v>
      </c>
      <c r="O35" s="48">
        <f t="shared" si="9"/>
        <v>4069.2093083942018</v>
      </c>
      <c r="P35" s="48">
        <f t="shared" si="9"/>
        <v>4439.0270496053527</v>
      </c>
      <c r="Q35" s="48">
        <f t="shared" si="9"/>
        <v>4840.8473026520378</v>
      </c>
      <c r="R35" s="48">
        <f t="shared" si="9"/>
        <v>2.2737367544323206E-11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0</v>
      </c>
      <c r="X35" s="48">
        <f t="shared" si="9"/>
        <v>0</v>
      </c>
      <c r="Y35" s="48">
        <f t="shared" si="9"/>
        <v>0</v>
      </c>
      <c r="Z35" s="48">
        <f t="shared" si="9"/>
        <v>0</v>
      </c>
      <c r="AA35" s="48">
        <f t="shared" si="9"/>
        <v>0</v>
      </c>
      <c r="AB35" s="48">
        <f t="shared" si="9"/>
        <v>0</v>
      </c>
      <c r="AC35" s="48">
        <f t="shared" si="9"/>
        <v>0</v>
      </c>
      <c r="AD35" s="48">
        <f t="shared" si="9"/>
        <v>0</v>
      </c>
      <c r="AE35" s="48">
        <f t="shared" si="9"/>
        <v>0</v>
      </c>
      <c r="AF35" s="48">
        <f t="shared" si="9"/>
        <v>0</v>
      </c>
      <c r="AG35"/>
    </row>
    <row r="36" spans="1:39">
      <c r="A36" s="48" t="s">
        <v>58</v>
      </c>
      <c r="B36" s="393">
        <f>B33*(B32-Assumptions!H17)/365.25*$E$64</f>
        <v>2086.6568850651784</v>
      </c>
      <c r="C36" s="393">
        <f t="shared" ref="C36:AF36" si="10">C33*(C32-C23)/(C41-B41)*$E$64</f>
        <v>3095.8943844145465</v>
      </c>
      <c r="D36" s="393">
        <f t="shared" si="10"/>
        <v>3050.3269831805592</v>
      </c>
      <c r="E36" s="393">
        <f t="shared" si="10"/>
        <v>2979.6847119072877</v>
      </c>
      <c r="F36" s="393">
        <f t="shared" si="10"/>
        <v>2890.7087023037939</v>
      </c>
      <c r="G36" s="393">
        <f t="shared" si="10"/>
        <v>2767.1581363789614</v>
      </c>
      <c r="H36" s="393">
        <f t="shared" si="10"/>
        <v>2627.1018476862209</v>
      </c>
      <c r="I36" s="393">
        <f t="shared" si="10"/>
        <v>2465.7399157767136</v>
      </c>
      <c r="J36" s="393">
        <f t="shared" si="10"/>
        <v>2298.4927983597604</v>
      </c>
      <c r="K36" s="393">
        <f t="shared" si="10"/>
        <v>2103.7662186614261</v>
      </c>
      <c r="L36" s="393">
        <f t="shared" si="10"/>
        <v>1885.910110582729</v>
      </c>
      <c r="M36" s="393">
        <f t="shared" si="10"/>
        <v>1638.7442146356846</v>
      </c>
      <c r="N36" s="393">
        <f t="shared" si="10"/>
        <v>1373.0980225551277</v>
      </c>
      <c r="O36" s="393">
        <f t="shared" si="10"/>
        <v>1074.0143821240547</v>
      </c>
      <c r="P36" s="393">
        <f t="shared" si="10"/>
        <v>746.39832188951334</v>
      </c>
      <c r="Q36" s="393">
        <f t="shared" si="10"/>
        <v>388.22132649827392</v>
      </c>
      <c r="R36" s="393">
        <f t="shared" si="10"/>
        <v>8.9260675563247334E-13</v>
      </c>
      <c r="S36" s="393">
        <f t="shared" si="10"/>
        <v>0</v>
      </c>
      <c r="T36" s="393">
        <f t="shared" si="10"/>
        <v>0</v>
      </c>
      <c r="U36" s="393">
        <f t="shared" si="10"/>
        <v>0</v>
      </c>
      <c r="V36" s="393">
        <f t="shared" si="10"/>
        <v>0</v>
      </c>
      <c r="W36" s="393">
        <f t="shared" si="10"/>
        <v>0</v>
      </c>
      <c r="X36" s="393">
        <f t="shared" si="10"/>
        <v>0</v>
      </c>
      <c r="Y36" s="393">
        <f t="shared" si="10"/>
        <v>0</v>
      </c>
      <c r="Z36" s="393">
        <f t="shared" si="10"/>
        <v>0</v>
      </c>
      <c r="AA36" s="393">
        <f t="shared" si="10"/>
        <v>0</v>
      </c>
      <c r="AB36" s="393">
        <f t="shared" si="10"/>
        <v>0</v>
      </c>
      <c r="AC36" s="393">
        <f t="shared" si="10"/>
        <v>0</v>
      </c>
      <c r="AD36" s="393">
        <f t="shared" si="10"/>
        <v>0</v>
      </c>
      <c r="AE36" s="393">
        <f t="shared" si="10"/>
        <v>0</v>
      </c>
      <c r="AF36" s="393">
        <f t="shared" si="10"/>
        <v>0</v>
      </c>
      <c r="AG36"/>
    </row>
    <row r="37" spans="1:39">
      <c r="A37" s="48" t="s">
        <v>59</v>
      </c>
      <c r="B37" s="163">
        <f>MAX(B33+B34+B36-B13,0)</f>
        <v>79423.804529419853</v>
      </c>
      <c r="C37" s="163">
        <f>MAX(C33+C34+C36-0.5*C13,0)</f>
        <v>78295.633349431577</v>
      </c>
      <c r="D37" s="163">
        <f t="shared" ref="D37:AF37" si="11">MAX(D33+D34+D36-0.5*D13,0)</f>
        <v>77099.746408937426</v>
      </c>
      <c r="E37" s="163">
        <f t="shared" si="11"/>
        <v>75076.257898917305</v>
      </c>
      <c r="F37" s="163">
        <f t="shared" si="11"/>
        <v>72157.28977976591</v>
      </c>
      <c r="G37" s="163">
        <f t="shared" si="11"/>
        <v>68768.261567820402</v>
      </c>
      <c r="H37" s="163">
        <f t="shared" si="11"/>
        <v>65014.244116286274</v>
      </c>
      <c r="I37" s="163">
        <f t="shared" si="11"/>
        <v>60866.445416543378</v>
      </c>
      <c r="J37" s="163">
        <f t="shared" si="11"/>
        <v>56157.892777743917</v>
      </c>
      <c r="K37" s="163">
        <f t="shared" si="11"/>
        <v>50931.768758878941</v>
      </c>
      <c r="L37" s="163">
        <f t="shared" si="11"/>
        <v>45045.183706765238</v>
      </c>
      <c r="M37" s="163">
        <f t="shared" si="11"/>
        <v>38543.818534519414</v>
      </c>
      <c r="N37" s="163">
        <f t="shared" si="11"/>
        <v>31280.317526313895</v>
      </c>
      <c r="O37" s="163">
        <f t="shared" si="11"/>
        <v>23289.153823128803</v>
      </c>
      <c r="P37" s="163">
        <f t="shared" si="11"/>
        <v>14573.973773184422</v>
      </c>
      <c r="Q37" s="163">
        <f t="shared" si="11"/>
        <v>5075.4062477508733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0</v>
      </c>
      <c r="X37" s="163">
        <f t="shared" si="11"/>
        <v>0</v>
      </c>
      <c r="Y37" s="163">
        <f t="shared" si="11"/>
        <v>0</v>
      </c>
      <c r="Z37" s="163">
        <f t="shared" si="11"/>
        <v>0</v>
      </c>
      <c r="AA37" s="163">
        <f t="shared" si="11"/>
        <v>0</v>
      </c>
      <c r="AB37" s="163">
        <f t="shared" si="11"/>
        <v>0</v>
      </c>
      <c r="AC37" s="163">
        <f t="shared" si="11"/>
        <v>0</v>
      </c>
      <c r="AD37" s="163">
        <f t="shared" si="11"/>
        <v>0</v>
      </c>
      <c r="AE37" s="163">
        <f t="shared" si="11"/>
        <v>0</v>
      </c>
      <c r="AF37" s="163">
        <f t="shared" si="11"/>
        <v>0</v>
      </c>
      <c r="AG37"/>
    </row>
    <row r="38" spans="1:39">
      <c r="A38" s="48" t="s">
        <v>336</v>
      </c>
      <c r="B38" s="163">
        <f>(B32-Assumptions!H17)/(Debt!B41-Assumptions!H17)*IS!C32</f>
        <v>3181.8319501886549</v>
      </c>
      <c r="C38" s="163">
        <f>(C32-C23)/(C41-B41)*IS!D32</f>
        <v>4773.876765958239</v>
      </c>
      <c r="D38" s="163">
        <f>(D32-D23)/(D41-C41)*IS!E32</f>
        <v>4755.4099100678295</v>
      </c>
      <c r="E38" s="163">
        <f>(E32-E23)/(E41-D41)*IS!F32</f>
        <v>5369.3868346204417</v>
      </c>
      <c r="F38" s="163">
        <f>(F32-F23)/(F41-E41)*IS!G32</f>
        <v>5802.4951343502653</v>
      </c>
      <c r="G38" s="163">
        <f>(G32-G23)/(G41-F41)*IS!H32</f>
        <v>5864.0361490997957</v>
      </c>
      <c r="H38" s="163">
        <f>(H32-H23)/(H41-G41)*IS!I32</f>
        <v>5924.0110218246655</v>
      </c>
      <c r="I38" s="163">
        <f>(I32-I23)/(I41-H41)*IS!J32</f>
        <v>5965.9253960051728</v>
      </c>
      <c r="J38" s="163">
        <f>(J32-J23)/(J41-I41)*IS!K32</f>
        <v>6162.9504186268132</v>
      </c>
      <c r="K38" s="163">
        <f>(K32-K23)/(K41-J41)*IS!L32</f>
        <v>6221.0289983170196</v>
      </c>
      <c r="L38" s="163">
        <f>(L32-L23)/(L41-K41)*IS!M32</f>
        <v>6408.8717778905248</v>
      </c>
      <c r="M38" s="163">
        <f>(M32-M23)/(M41-L41)*IS!N32</f>
        <v>6448.8633493854022</v>
      </c>
      <c r="N38" s="163">
        <f>(N32-N23)/(N41-M41)*IS!O32</f>
        <v>6661.7393218193629</v>
      </c>
      <c r="O38" s="163">
        <f>(O32-O23)/(O41-N41)*IS!P32</f>
        <v>6718.7136995000928</v>
      </c>
      <c r="P38" s="163">
        <f>(P32-P23)/(P41-O41)*IS!Q32</f>
        <v>6773.0746171633127</v>
      </c>
      <c r="Q38" s="163">
        <f>(Q32-Q23)/(Q41-P41)*IS!R32</f>
        <v>6805.9675039558451</v>
      </c>
      <c r="R38" s="163">
        <f>(R32-R23)/(R41-Q41)*IS!S32</f>
        <v>6896.6785106703228</v>
      </c>
      <c r="S38" s="163">
        <f>(S32-S23)/(S41-R41)*IS!T32</f>
        <v>6958.7416666110403</v>
      </c>
      <c r="T38" s="163">
        <f>(T32-T23)/(T41-S41)*IS!U32</f>
        <v>7000.4644495806288</v>
      </c>
      <c r="U38" s="163">
        <f>(U32-U23)/(U41-T41)*IS!V32</f>
        <v>7019.1970551649756</v>
      </c>
      <c r="V38" s="163">
        <f>(V32-V23)/(V41-U41)*IS!W32</f>
        <v>7072.3683934185046</v>
      </c>
      <c r="W38" s="163">
        <f>(W32-W23)/(W41-V41)*IS!X32</f>
        <v>7102.0109095331427</v>
      </c>
      <c r="X38" s="163">
        <f>(X32-X23)/(X41-W41)*IS!Y32</f>
        <v>7130.6819733402253</v>
      </c>
      <c r="Y38" s="163">
        <f>(Y32-Y23)/(Y41-X41)*IS!Z32</f>
        <v>7138.7941012670635</v>
      </c>
      <c r="Z38" s="163">
        <f>(Z32-Z23)/(Z41-Y41)*IS!AA32</f>
        <v>7184.9922954477543</v>
      </c>
      <c r="AA38" s="163">
        <f>(AA32-AA23)/(AA41-Z41)*IS!AB32</f>
        <v>7210.5706174592942</v>
      </c>
      <c r="AB38" s="163">
        <f>(AB32-AB23)/(AB41-AA41)*IS!AC32</f>
        <v>7235.0555613401884</v>
      </c>
      <c r="AC38" s="163">
        <f>(AC32-AC23)/(AC41-AB41)*IS!AD32</f>
        <v>7238.5825926160696</v>
      </c>
      <c r="AD38" s="163">
        <f>(AD32-AD23)/(AD41-AC41)*IS!AE32</f>
        <v>7280.6131252940522</v>
      </c>
      <c r="AE38" s="163">
        <f>(AE32-AE23)/(AE41-AD41)*IS!AF32</f>
        <v>7301.6171610370066</v>
      </c>
      <c r="AF38" s="163">
        <f>(AF32-AF23)/(AG23-AE41)*IS!AG32</f>
        <v>1090.0989637756632</v>
      </c>
      <c r="AG38"/>
    </row>
    <row r="39" spans="1:39">
      <c r="A39" s="413" t="s">
        <v>0</v>
      </c>
      <c r="B39" s="414">
        <f t="shared" ref="B39:AF39" si="12">IF(B37&gt;0.1,B38/(B36+B35)," ")</f>
        <v>1.2999999999999994</v>
      </c>
      <c r="C39" s="414">
        <f t="shared" si="12"/>
        <v>1.303638497955075</v>
      </c>
      <c r="D39" s="414">
        <f t="shared" si="12"/>
        <v>1.302300789740295</v>
      </c>
      <c r="E39" s="414">
        <f t="shared" si="12"/>
        <v>1.3380414650928778</v>
      </c>
      <c r="F39" s="414">
        <f t="shared" si="12"/>
        <v>1.3282800172259444</v>
      </c>
      <c r="G39" s="414">
        <f t="shared" si="12"/>
        <v>1.3069813274308011</v>
      </c>
      <c r="H39" s="414">
        <f t="shared" si="12"/>
        <v>1.3068602552330384</v>
      </c>
      <c r="I39" s="414">
        <f t="shared" si="12"/>
        <v>1.3022748256688585</v>
      </c>
      <c r="J39" s="414">
        <f t="shared" si="12"/>
        <v>1.314035055922216</v>
      </c>
      <c r="K39" s="414">
        <f t="shared" si="12"/>
        <v>1.3066028501988378</v>
      </c>
      <c r="L39" s="414">
        <f t="shared" si="12"/>
        <v>1.3131573784732209</v>
      </c>
      <c r="M39" s="414">
        <f t="shared" si="12"/>
        <v>1.3020075163649869</v>
      </c>
      <c r="N39" s="414">
        <f t="shared" si="12"/>
        <v>1.3140303481595013</v>
      </c>
      <c r="O39" s="414">
        <f t="shared" si="12"/>
        <v>1.3063234468853293</v>
      </c>
      <c r="P39" s="414">
        <f t="shared" si="12"/>
        <v>1.306175314834539</v>
      </c>
      <c r="Q39" s="414">
        <f t="shared" si="12"/>
        <v>1.3015640043457928</v>
      </c>
      <c r="R39" s="414" t="str">
        <f t="shared" si="12"/>
        <v xml:space="preserve"> </v>
      </c>
      <c r="S39" s="414" t="str">
        <f t="shared" si="12"/>
        <v xml:space="preserve"> </v>
      </c>
      <c r="T39" s="414" t="str">
        <f t="shared" si="12"/>
        <v xml:space="preserve"> </v>
      </c>
      <c r="U39" s="414" t="str">
        <f t="shared" si="12"/>
        <v xml:space="preserve"> </v>
      </c>
      <c r="V39" s="414" t="str">
        <f t="shared" si="12"/>
        <v xml:space="preserve"> </v>
      </c>
      <c r="W39" s="414" t="str">
        <f t="shared" si="12"/>
        <v xml:space="preserve"> </v>
      </c>
      <c r="X39" s="414" t="str">
        <f t="shared" si="12"/>
        <v xml:space="preserve"> </v>
      </c>
      <c r="Y39" s="414" t="str">
        <f t="shared" si="12"/>
        <v xml:space="preserve"> </v>
      </c>
      <c r="Z39" s="414" t="str">
        <f t="shared" si="12"/>
        <v xml:space="preserve"> </v>
      </c>
      <c r="AA39" s="414" t="str">
        <f t="shared" si="12"/>
        <v xml:space="preserve"> </v>
      </c>
      <c r="AB39" s="414" t="str">
        <f t="shared" si="12"/>
        <v xml:space="preserve"> </v>
      </c>
      <c r="AC39" s="414" t="str">
        <f t="shared" si="12"/>
        <v xml:space="preserve"> </v>
      </c>
      <c r="AD39" s="414" t="str">
        <f t="shared" si="12"/>
        <v xml:space="preserve"> </v>
      </c>
      <c r="AE39" s="414" t="str">
        <f t="shared" si="12"/>
        <v xml:space="preserve"> </v>
      </c>
      <c r="AF39" s="414" t="str">
        <f t="shared" si="12"/>
        <v xml:space="preserve"> 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3">
        <f>B8</f>
        <v>37256</v>
      </c>
      <c r="C41" s="403">
        <f t="shared" ref="C41:AF41" si="13">C8</f>
        <v>37621</v>
      </c>
      <c r="D41" s="403">
        <f t="shared" si="13"/>
        <v>37986</v>
      </c>
      <c r="E41" s="403">
        <f t="shared" si="13"/>
        <v>38352</v>
      </c>
      <c r="F41" s="403">
        <f t="shared" si="13"/>
        <v>38717</v>
      </c>
      <c r="G41" s="403">
        <f t="shared" si="13"/>
        <v>39082</v>
      </c>
      <c r="H41" s="403">
        <f t="shared" si="13"/>
        <v>39447</v>
      </c>
      <c r="I41" s="403">
        <f t="shared" si="13"/>
        <v>39813</v>
      </c>
      <c r="J41" s="403">
        <f t="shared" si="13"/>
        <v>40178</v>
      </c>
      <c r="K41" s="403">
        <f t="shared" si="13"/>
        <v>40543</v>
      </c>
      <c r="L41" s="403">
        <f t="shared" si="13"/>
        <v>40908</v>
      </c>
      <c r="M41" s="403">
        <f t="shared" si="13"/>
        <v>41274</v>
      </c>
      <c r="N41" s="403">
        <f t="shared" si="13"/>
        <v>41639</v>
      </c>
      <c r="O41" s="403">
        <f t="shared" si="13"/>
        <v>42004</v>
      </c>
      <c r="P41" s="403">
        <f t="shared" si="13"/>
        <v>42369</v>
      </c>
      <c r="Q41" s="403">
        <f t="shared" si="13"/>
        <v>42735</v>
      </c>
      <c r="R41" s="403">
        <f t="shared" si="13"/>
        <v>43100</v>
      </c>
      <c r="S41" s="403">
        <f t="shared" si="13"/>
        <v>43465</v>
      </c>
      <c r="T41" s="403">
        <f t="shared" si="13"/>
        <v>43830</v>
      </c>
      <c r="U41" s="403">
        <f t="shared" si="13"/>
        <v>44196</v>
      </c>
      <c r="V41" s="403">
        <f t="shared" si="13"/>
        <v>44561</v>
      </c>
      <c r="W41" s="403">
        <f t="shared" si="13"/>
        <v>44926</v>
      </c>
      <c r="X41" s="403">
        <f t="shared" si="13"/>
        <v>45291</v>
      </c>
      <c r="Y41" s="403">
        <f t="shared" si="13"/>
        <v>45657</v>
      </c>
      <c r="Z41" s="403">
        <f t="shared" si="13"/>
        <v>46022</v>
      </c>
      <c r="AA41" s="403">
        <f t="shared" si="13"/>
        <v>46387</v>
      </c>
      <c r="AB41" s="403">
        <f t="shared" si="13"/>
        <v>46752</v>
      </c>
      <c r="AC41" s="403">
        <f t="shared" si="13"/>
        <v>47118</v>
      </c>
      <c r="AD41" s="403">
        <f t="shared" si="13"/>
        <v>47483</v>
      </c>
      <c r="AE41" s="403">
        <f t="shared" si="13"/>
        <v>47848</v>
      </c>
      <c r="AF41" s="403">
        <f t="shared" si="13"/>
        <v>48213</v>
      </c>
    </row>
    <row r="42" spans="1:39">
      <c r="A42" s="48" t="s">
        <v>56</v>
      </c>
      <c r="B42" s="48">
        <f>B37</f>
        <v>79423.804529419853</v>
      </c>
      <c r="C42" s="48">
        <f>C37</f>
        <v>78295.633349431577</v>
      </c>
      <c r="D42" s="48">
        <f t="shared" ref="D42:AF42" si="14">D37</f>
        <v>77099.746408937426</v>
      </c>
      <c r="E42" s="48">
        <f t="shared" si="14"/>
        <v>75076.257898917305</v>
      </c>
      <c r="F42" s="48">
        <f t="shared" si="14"/>
        <v>72157.28977976591</v>
      </c>
      <c r="G42" s="48">
        <f t="shared" si="14"/>
        <v>68768.261567820402</v>
      </c>
      <c r="H42" s="48">
        <f t="shared" si="14"/>
        <v>65014.244116286274</v>
      </c>
      <c r="I42" s="48">
        <f t="shared" si="14"/>
        <v>60866.445416543378</v>
      </c>
      <c r="J42" s="48">
        <f t="shared" si="14"/>
        <v>56157.892777743917</v>
      </c>
      <c r="K42" s="48">
        <f t="shared" si="14"/>
        <v>50931.768758878941</v>
      </c>
      <c r="L42" s="48">
        <f t="shared" si="14"/>
        <v>45045.183706765238</v>
      </c>
      <c r="M42" s="48">
        <f t="shared" si="14"/>
        <v>38543.818534519414</v>
      </c>
      <c r="N42" s="48">
        <f t="shared" si="14"/>
        <v>31280.317526313895</v>
      </c>
      <c r="O42" s="48">
        <f t="shared" si="14"/>
        <v>23289.153823128803</v>
      </c>
      <c r="P42" s="48">
        <f t="shared" si="14"/>
        <v>14573.973773184422</v>
      </c>
      <c r="Q42" s="48">
        <f t="shared" si="14"/>
        <v>5075.4062477508733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0</v>
      </c>
      <c r="X42" s="48">
        <f t="shared" si="14"/>
        <v>0</v>
      </c>
      <c r="Y42" s="48">
        <f t="shared" si="14"/>
        <v>0</v>
      </c>
      <c r="Z42" s="48">
        <f t="shared" si="14"/>
        <v>0</v>
      </c>
      <c r="AA42" s="48">
        <f t="shared" si="14"/>
        <v>0</v>
      </c>
      <c r="AB42" s="48">
        <f t="shared" si="14"/>
        <v>0</v>
      </c>
      <c r="AC42" s="48">
        <f t="shared" si="14"/>
        <v>0</v>
      </c>
      <c r="AD42" s="48">
        <f t="shared" si="14"/>
        <v>0</v>
      </c>
      <c r="AE42" s="48">
        <f t="shared" si="14"/>
        <v>0</v>
      </c>
      <c r="AF42" s="48">
        <f t="shared" si="14"/>
        <v>0</v>
      </c>
    </row>
    <row r="43" spans="1:39">
      <c r="A43" s="48" t="s">
        <v>334</v>
      </c>
      <c r="B43" s="390">
        <v>0</v>
      </c>
      <c r="C43" s="390">
        <v>0</v>
      </c>
      <c r="D43" s="390">
        <v>0</v>
      </c>
      <c r="E43" s="390">
        <v>0</v>
      </c>
      <c r="F43" s="390">
        <v>0</v>
      </c>
      <c r="G43" s="390">
        <v>0</v>
      </c>
      <c r="H43" s="390">
        <v>0</v>
      </c>
      <c r="I43" s="390">
        <v>0</v>
      </c>
      <c r="J43" s="390">
        <v>0</v>
      </c>
      <c r="K43" s="390">
        <v>0</v>
      </c>
      <c r="L43" s="390">
        <v>0</v>
      </c>
      <c r="M43" s="390">
        <v>0</v>
      </c>
      <c r="N43" s="390">
        <v>0</v>
      </c>
      <c r="O43" s="390">
        <v>0</v>
      </c>
      <c r="P43" s="390">
        <v>0</v>
      </c>
      <c r="Q43" s="390">
        <v>0</v>
      </c>
      <c r="R43" s="390">
        <v>0</v>
      </c>
      <c r="S43" s="390">
        <v>0</v>
      </c>
      <c r="T43" s="390">
        <v>0</v>
      </c>
      <c r="U43" s="390">
        <v>0</v>
      </c>
      <c r="V43" s="390">
        <v>0</v>
      </c>
      <c r="W43" s="390">
        <v>0</v>
      </c>
      <c r="X43" s="390">
        <v>0</v>
      </c>
      <c r="Y43" s="390">
        <v>0</v>
      </c>
      <c r="Z43" s="390">
        <v>0</v>
      </c>
      <c r="AA43" s="390">
        <v>0</v>
      </c>
      <c r="AB43" s="390">
        <v>0</v>
      </c>
      <c r="AC43" s="390">
        <v>0</v>
      </c>
      <c r="AD43" s="390">
        <v>0</v>
      </c>
      <c r="AE43" s="390">
        <v>0</v>
      </c>
      <c r="AF43" s="390">
        <v>0</v>
      </c>
    </row>
    <row r="44" spans="1:39">
      <c r="A44" s="48" t="s">
        <v>58</v>
      </c>
      <c r="B44" s="393">
        <f>B42*(B41-B32)/365.25*$E$64</f>
        <v>1549.4002311114998</v>
      </c>
      <c r="C44" s="393">
        <f t="shared" ref="C44:AF44" si="15">C42*(C41-C32)/(C41-B41)*$E$64</f>
        <v>1528.4380172731637</v>
      </c>
      <c r="D44" s="393">
        <f t="shared" si="15"/>
        <v>1505.0926659934296</v>
      </c>
      <c r="E44" s="393">
        <f t="shared" si="15"/>
        <v>1461.5870502927744</v>
      </c>
      <c r="F44" s="393">
        <f t="shared" si="15"/>
        <v>1408.6091421034685</v>
      </c>
      <c r="G44" s="393">
        <f t="shared" si="15"/>
        <v>1342.4506689018922</v>
      </c>
      <c r="H44" s="393">
        <f t="shared" si="15"/>
        <v>1269.1671057582864</v>
      </c>
      <c r="I44" s="393">
        <f t="shared" si="15"/>
        <v>1184.9499549904276</v>
      </c>
      <c r="J44" s="393">
        <f t="shared" si="15"/>
        <v>1096.2789956418046</v>
      </c>
      <c r="K44" s="393">
        <f t="shared" si="15"/>
        <v>994.25789571956193</v>
      </c>
      <c r="L44" s="393">
        <f t="shared" si="15"/>
        <v>879.3436916871625</v>
      </c>
      <c r="M44" s="393">
        <f t="shared" si="15"/>
        <v>750.3723229617791</v>
      </c>
      <c r="N44" s="393">
        <f t="shared" si="15"/>
        <v>610.6346478636832</v>
      </c>
      <c r="O44" s="393">
        <f t="shared" si="15"/>
        <v>454.63618557791688</v>
      </c>
      <c r="P44" s="393">
        <f t="shared" si="15"/>
        <v>284.5039324001944</v>
      </c>
      <c r="Q44" s="393">
        <f t="shared" si="15"/>
        <v>98.808175237976215</v>
      </c>
      <c r="R44" s="393">
        <f t="shared" si="15"/>
        <v>0</v>
      </c>
      <c r="S44" s="393">
        <f t="shared" si="15"/>
        <v>0</v>
      </c>
      <c r="T44" s="393">
        <f t="shared" si="15"/>
        <v>0</v>
      </c>
      <c r="U44" s="393">
        <f t="shared" si="15"/>
        <v>0</v>
      </c>
      <c r="V44" s="393">
        <f t="shared" si="15"/>
        <v>0</v>
      </c>
      <c r="W44" s="393">
        <f t="shared" si="15"/>
        <v>0</v>
      </c>
      <c r="X44" s="393">
        <f t="shared" si="15"/>
        <v>0</v>
      </c>
      <c r="Y44" s="393">
        <f t="shared" si="15"/>
        <v>0</v>
      </c>
      <c r="Z44" s="393">
        <f t="shared" si="15"/>
        <v>0</v>
      </c>
      <c r="AA44" s="393">
        <f t="shared" si="15"/>
        <v>0</v>
      </c>
      <c r="AB44" s="393">
        <f t="shared" si="15"/>
        <v>0</v>
      </c>
      <c r="AC44" s="393">
        <f t="shared" si="15"/>
        <v>0</v>
      </c>
      <c r="AD44" s="393">
        <f t="shared" si="15"/>
        <v>0</v>
      </c>
      <c r="AE44" s="393">
        <f t="shared" si="15"/>
        <v>0</v>
      </c>
      <c r="AF44" s="393">
        <f t="shared" si="15"/>
        <v>0</v>
      </c>
    </row>
    <row r="45" spans="1:39">
      <c r="A45" s="48" t="s">
        <v>59</v>
      </c>
      <c r="B45" s="48">
        <f>B42+B43</f>
        <v>79423.804529419853</v>
      </c>
      <c r="C45" s="48">
        <f t="shared" ref="C45:AF45" si="16">C42+C43</f>
        <v>78295.633349431577</v>
      </c>
      <c r="D45" s="48">
        <f t="shared" si="16"/>
        <v>77099.746408937426</v>
      </c>
      <c r="E45" s="48">
        <f t="shared" si="16"/>
        <v>75076.257898917305</v>
      </c>
      <c r="F45" s="48">
        <f t="shared" si="16"/>
        <v>72157.28977976591</v>
      </c>
      <c r="G45" s="48">
        <f t="shared" si="16"/>
        <v>68768.261567820402</v>
      </c>
      <c r="H45" s="48">
        <f t="shared" si="16"/>
        <v>65014.244116286274</v>
      </c>
      <c r="I45" s="48">
        <f t="shared" si="16"/>
        <v>60866.445416543378</v>
      </c>
      <c r="J45" s="48">
        <f t="shared" si="16"/>
        <v>56157.892777743917</v>
      </c>
      <c r="K45" s="48">
        <f t="shared" si="16"/>
        <v>50931.768758878941</v>
      </c>
      <c r="L45" s="48">
        <f t="shared" si="16"/>
        <v>45045.183706765238</v>
      </c>
      <c r="M45" s="48">
        <f t="shared" si="16"/>
        <v>38543.818534519414</v>
      </c>
      <c r="N45" s="48">
        <f t="shared" si="16"/>
        <v>31280.317526313895</v>
      </c>
      <c r="O45" s="48">
        <f t="shared" si="16"/>
        <v>23289.153823128803</v>
      </c>
      <c r="P45" s="48">
        <f t="shared" si="16"/>
        <v>14573.973773184422</v>
      </c>
      <c r="Q45" s="48">
        <f t="shared" si="16"/>
        <v>5075.4062477508733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0</v>
      </c>
      <c r="X45" s="48">
        <f t="shared" si="16"/>
        <v>0</v>
      </c>
      <c r="Y45" s="48">
        <f t="shared" si="16"/>
        <v>0</v>
      </c>
      <c r="Z45" s="48">
        <f t="shared" si="16"/>
        <v>0</v>
      </c>
      <c r="AA45" s="48">
        <f t="shared" si="16"/>
        <v>0</v>
      </c>
      <c r="AB45" s="48">
        <f t="shared" si="16"/>
        <v>0</v>
      </c>
      <c r="AC45" s="48">
        <f t="shared" si="16"/>
        <v>0</v>
      </c>
      <c r="AD45" s="48">
        <f t="shared" si="16"/>
        <v>0</v>
      </c>
      <c r="AE45" s="48">
        <f t="shared" si="16"/>
        <v>0</v>
      </c>
      <c r="AF45" s="48">
        <f t="shared" si="16"/>
        <v>0</v>
      </c>
    </row>
    <row r="46" spans="1:39">
      <c r="A46" s="48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89"/>
      <c r="AA46" s="389"/>
      <c r="AB46" s="389"/>
      <c r="AC46" s="389"/>
      <c r="AD46" s="389"/>
      <c r="AE46" s="389"/>
      <c r="AF46" s="389"/>
    </row>
    <row r="47" spans="1:39">
      <c r="A47" s="404" t="s">
        <v>394</v>
      </c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89"/>
      <c r="O47" s="389"/>
      <c r="P47" s="389"/>
      <c r="Q47" s="389"/>
      <c r="R47" s="389"/>
      <c r="S47" s="389"/>
      <c r="T47" s="389"/>
      <c r="U47" s="389"/>
      <c r="V47" s="389"/>
      <c r="W47" s="389"/>
      <c r="X47" s="389"/>
      <c r="Y47" s="389"/>
      <c r="Z47" s="389"/>
      <c r="AA47" s="389"/>
      <c r="AB47" s="389"/>
      <c r="AC47" s="389"/>
      <c r="AD47" s="389"/>
      <c r="AE47" s="389"/>
      <c r="AF47" s="389"/>
      <c r="AG47" s="49"/>
      <c r="AH47" s="49"/>
      <c r="AI47" s="49"/>
      <c r="AJ47" s="49"/>
      <c r="AK47" s="49"/>
      <c r="AL47" s="49"/>
      <c r="AM47" s="49"/>
    </row>
    <row r="48" spans="1:39">
      <c r="A48" s="48" t="s">
        <v>139</v>
      </c>
      <c r="B48" s="163">
        <f>SUM(B35,B26)</f>
        <v>360.90615354148031</v>
      </c>
      <c r="C48" s="163">
        <f t="shared" ref="C48:AF48" si="17">SUM(C35,C26)</f>
        <v>1128.171179988276</v>
      </c>
      <c r="D48" s="163">
        <f t="shared" si="17"/>
        <v>1195.8869404941506</v>
      </c>
      <c r="E48" s="163">
        <f t="shared" si="17"/>
        <v>2023.4885100201209</v>
      </c>
      <c r="F48" s="163">
        <f t="shared" si="17"/>
        <v>2918.9681191513955</v>
      </c>
      <c r="G48" s="163">
        <f t="shared" si="17"/>
        <v>3389.0282119455078</v>
      </c>
      <c r="H48" s="163">
        <f t="shared" si="17"/>
        <v>3754.0174515341278</v>
      </c>
      <c r="I48" s="163">
        <f t="shared" si="17"/>
        <v>4147.7986997428961</v>
      </c>
      <c r="J48" s="163">
        <f t="shared" si="17"/>
        <v>4708.5526387994614</v>
      </c>
      <c r="K48" s="163">
        <f t="shared" si="17"/>
        <v>5226.1240188649754</v>
      </c>
      <c r="L48" s="163">
        <f t="shared" si="17"/>
        <v>5886.5850521137036</v>
      </c>
      <c r="M48" s="163">
        <f t="shared" si="17"/>
        <v>6501.3651722458235</v>
      </c>
      <c r="N48" s="163">
        <f t="shared" si="17"/>
        <v>7263.5010082055196</v>
      </c>
      <c r="O48" s="163">
        <f t="shared" si="17"/>
        <v>7991.1637031850914</v>
      </c>
      <c r="P48" s="163">
        <f t="shared" si="17"/>
        <v>8715.1800499443816</v>
      </c>
      <c r="Q48" s="163">
        <f t="shared" si="17"/>
        <v>9498.5675254335474</v>
      </c>
      <c r="R48" s="163">
        <f t="shared" si="17"/>
        <v>5075.4062477508733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0</v>
      </c>
      <c r="X48" s="163">
        <f t="shared" si="17"/>
        <v>0</v>
      </c>
      <c r="Y48" s="163">
        <f t="shared" si="17"/>
        <v>0</v>
      </c>
      <c r="Z48" s="163">
        <f t="shared" si="17"/>
        <v>0</v>
      </c>
      <c r="AA48" s="163">
        <f t="shared" si="17"/>
        <v>0</v>
      </c>
      <c r="AB48" s="163">
        <f t="shared" si="17"/>
        <v>0</v>
      </c>
      <c r="AC48" s="163">
        <f t="shared" si="17"/>
        <v>0</v>
      </c>
      <c r="AD48" s="163">
        <f t="shared" si="17"/>
        <v>0</v>
      </c>
      <c r="AE48" s="163">
        <f t="shared" si="17"/>
        <v>0</v>
      </c>
      <c r="AF48" s="163">
        <f t="shared" si="17"/>
        <v>0</v>
      </c>
      <c r="AG48" s="49"/>
      <c r="AH48" s="49"/>
      <c r="AI48" s="49"/>
      <c r="AJ48" s="49"/>
      <c r="AK48" s="49"/>
      <c r="AL48" s="49"/>
      <c r="AM48" s="49"/>
    </row>
    <row r="49" spans="1:39">
      <c r="A49" s="404" t="s">
        <v>138</v>
      </c>
      <c r="B49" s="393">
        <f>B36</f>
        <v>2086.6568850651784</v>
      </c>
      <c r="C49" s="393">
        <f t="shared" ref="C49:AF49" si="18">C27+C36+B44</f>
        <v>6195.7560796725538</v>
      </c>
      <c r="D49" s="393">
        <f t="shared" si="18"/>
        <v>6107.2030177268862</v>
      </c>
      <c r="E49" s="393">
        <f t="shared" si="18"/>
        <v>6002.252058860885</v>
      </c>
      <c r="F49" s="393">
        <f t="shared" si="18"/>
        <v>5817.8871509723367</v>
      </c>
      <c r="G49" s="393">
        <f t="shared" si="18"/>
        <v>5584.3764205858988</v>
      </c>
      <c r="H49" s="393">
        <f t="shared" si="18"/>
        <v>5312.0031854900053</v>
      </c>
      <c r="I49" s="393">
        <f t="shared" si="18"/>
        <v>5014.5152426171853</v>
      </c>
      <c r="J49" s="393">
        <f t="shared" si="18"/>
        <v>4671.639146573466</v>
      </c>
      <c r="K49" s="393">
        <f t="shared" si="18"/>
        <v>4296.3242099450354</v>
      </c>
      <c r="L49" s="393">
        <f t="shared" si="18"/>
        <v>3874.4259020218528</v>
      </c>
      <c r="M49" s="393">
        <f t="shared" si="18"/>
        <v>3404.6657351481313</v>
      </c>
      <c r="N49" s="393">
        <f t="shared" si="18"/>
        <v>2875.898483062143</v>
      </c>
      <c r="O49" s="393">
        <f t="shared" si="18"/>
        <v>2295.2836778514211</v>
      </c>
      <c r="P49" s="393">
        <f t="shared" si="18"/>
        <v>1655.670693045347</v>
      </c>
      <c r="Q49" s="393">
        <f t="shared" si="18"/>
        <v>959.5697328670783</v>
      </c>
      <c r="R49" s="393">
        <f t="shared" si="18"/>
        <v>197.88705780537242</v>
      </c>
      <c r="S49" s="393">
        <f t="shared" si="18"/>
        <v>0</v>
      </c>
      <c r="T49" s="393">
        <f t="shared" si="18"/>
        <v>0</v>
      </c>
      <c r="U49" s="393">
        <f t="shared" si="18"/>
        <v>0</v>
      </c>
      <c r="V49" s="393">
        <f t="shared" si="18"/>
        <v>0</v>
      </c>
      <c r="W49" s="393">
        <f t="shared" si="18"/>
        <v>0</v>
      </c>
      <c r="X49" s="393">
        <f t="shared" si="18"/>
        <v>0</v>
      </c>
      <c r="Y49" s="393">
        <f t="shared" si="18"/>
        <v>0</v>
      </c>
      <c r="Z49" s="393">
        <f t="shared" si="18"/>
        <v>0</v>
      </c>
      <c r="AA49" s="393">
        <f t="shared" si="18"/>
        <v>0</v>
      </c>
      <c r="AB49" s="393">
        <f t="shared" si="18"/>
        <v>0</v>
      </c>
      <c r="AC49" s="393">
        <f t="shared" si="18"/>
        <v>0</v>
      </c>
      <c r="AD49" s="393">
        <f t="shared" si="18"/>
        <v>0</v>
      </c>
      <c r="AE49" s="393">
        <f t="shared" si="18"/>
        <v>0</v>
      </c>
      <c r="AF49" s="393">
        <f t="shared" si="18"/>
        <v>0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2447.5630386066587</v>
      </c>
      <c r="C50" s="49">
        <f t="shared" si="19"/>
        <v>7323.9272596608298</v>
      </c>
      <c r="D50" s="49">
        <f t="shared" si="19"/>
        <v>7303.0899582210368</v>
      </c>
      <c r="E50" s="49">
        <f t="shared" si="19"/>
        <v>8025.7405688810059</v>
      </c>
      <c r="F50" s="49">
        <f t="shared" si="19"/>
        <v>8736.8552701237313</v>
      </c>
      <c r="G50" s="49">
        <f t="shared" si="19"/>
        <v>8973.4046325314066</v>
      </c>
      <c r="H50" s="49">
        <f t="shared" si="19"/>
        <v>9066.0206370241322</v>
      </c>
      <c r="I50" s="49">
        <f t="shared" si="19"/>
        <v>9162.3139423600805</v>
      </c>
      <c r="J50" s="49">
        <f t="shared" si="19"/>
        <v>9380.1917853729283</v>
      </c>
      <c r="K50" s="49">
        <f t="shared" si="19"/>
        <v>9522.4482288100116</v>
      </c>
      <c r="L50" s="49">
        <f t="shared" si="19"/>
        <v>9761.0109541355559</v>
      </c>
      <c r="M50" s="49">
        <f t="shared" si="19"/>
        <v>9906.0309073939552</v>
      </c>
      <c r="N50" s="49">
        <f t="shared" si="19"/>
        <v>10139.399491267663</v>
      </c>
      <c r="O50" s="49">
        <f t="shared" si="19"/>
        <v>10286.447381036513</v>
      </c>
      <c r="P50" s="49">
        <f t="shared" si="19"/>
        <v>10370.850742989729</v>
      </c>
      <c r="Q50" s="49">
        <f t="shared" si="19"/>
        <v>10458.137258300625</v>
      </c>
      <c r="R50" s="49">
        <f t="shared" si="19"/>
        <v>5273.2933055562453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0</v>
      </c>
      <c r="X50" s="49">
        <f t="shared" si="19"/>
        <v>0</v>
      </c>
      <c r="Y50" s="49">
        <f t="shared" si="19"/>
        <v>0</v>
      </c>
      <c r="Z50" s="49">
        <f t="shared" si="19"/>
        <v>0</v>
      </c>
      <c r="AA50" s="49">
        <f t="shared" si="19"/>
        <v>0</v>
      </c>
      <c r="AB50" s="49">
        <f t="shared" si="19"/>
        <v>0</v>
      </c>
      <c r="AC50" s="49">
        <f t="shared" si="19"/>
        <v>0</v>
      </c>
      <c r="AD50" s="49">
        <f t="shared" si="19"/>
        <v>0</v>
      </c>
      <c r="AE50" s="49">
        <f t="shared" si="19"/>
        <v>0</v>
      </c>
      <c r="AF50" s="49">
        <f t="shared" si="19"/>
        <v>0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409</v>
      </c>
      <c r="B52" s="411">
        <f>IF(B33&gt;0.1,(B38+B29)/B50," ")</f>
        <v>1.2999999999999994</v>
      </c>
      <c r="C52" s="411">
        <f t="shared" ref="C52:AF52" si="20">IF(C33&gt;0.1,(C38+C29)/C50," ")</f>
        <v>1.299999999999998</v>
      </c>
      <c r="D52" s="411">
        <f t="shared" si="20"/>
        <v>1.3</v>
      </c>
      <c r="E52" s="411">
        <f t="shared" si="20"/>
        <v>1.3000000000000018</v>
      </c>
      <c r="F52" s="411">
        <f t="shared" si="20"/>
        <v>1.2999999999999983</v>
      </c>
      <c r="G52" s="411">
        <f t="shared" si="20"/>
        <v>1.2999999999999978</v>
      </c>
      <c r="H52" s="411">
        <f t="shared" si="20"/>
        <v>1.2999999999999992</v>
      </c>
      <c r="I52" s="411">
        <f t="shared" si="20"/>
        <v>1.3000000000000023</v>
      </c>
      <c r="J52" s="411">
        <f t="shared" si="20"/>
        <v>1.2999999999999989</v>
      </c>
      <c r="K52" s="411">
        <f t="shared" si="20"/>
        <v>1.3000000000000009</v>
      </c>
      <c r="L52" s="411">
        <f t="shared" si="20"/>
        <v>1.300000000000002</v>
      </c>
      <c r="M52" s="411">
        <f t="shared" si="20"/>
        <v>1.3000000000000009</v>
      </c>
      <c r="N52" s="411">
        <f t="shared" si="20"/>
        <v>1.3</v>
      </c>
      <c r="O52" s="411">
        <f t="shared" si="20"/>
        <v>1.3000000000000005</v>
      </c>
      <c r="P52" s="473">
        <f t="shared" si="20"/>
        <v>1.2999999999999998</v>
      </c>
      <c r="Q52" s="411">
        <f t="shared" si="20"/>
        <v>1.3</v>
      </c>
      <c r="R52" s="411" t="str">
        <f t="shared" si="20"/>
        <v xml:space="preserve"> </v>
      </c>
      <c r="S52" s="411" t="str">
        <f t="shared" si="20"/>
        <v xml:space="preserve"> </v>
      </c>
      <c r="T52" s="411" t="str">
        <f t="shared" si="20"/>
        <v xml:space="preserve"> </v>
      </c>
      <c r="U52" s="411" t="str">
        <f t="shared" si="20"/>
        <v xml:space="preserve"> </v>
      </c>
      <c r="V52" s="411" t="str">
        <f t="shared" si="20"/>
        <v xml:space="preserve"> </v>
      </c>
      <c r="W52" s="411" t="str">
        <f t="shared" si="20"/>
        <v xml:space="preserve"> </v>
      </c>
      <c r="X52" s="411" t="str">
        <f t="shared" si="20"/>
        <v xml:space="preserve"> </v>
      </c>
      <c r="Y52" s="411" t="str">
        <f t="shared" si="20"/>
        <v xml:space="preserve"> </v>
      </c>
      <c r="Z52" s="411" t="str">
        <f t="shared" si="20"/>
        <v xml:space="preserve"> </v>
      </c>
      <c r="AA52" s="411" t="str">
        <f t="shared" si="20"/>
        <v xml:space="preserve"> </v>
      </c>
      <c r="AB52" s="411" t="str">
        <f t="shared" si="20"/>
        <v xml:space="preserve"> </v>
      </c>
      <c r="AC52" s="411" t="str">
        <f t="shared" si="20"/>
        <v xml:space="preserve"> </v>
      </c>
      <c r="AD52" s="411" t="str">
        <f t="shared" si="20"/>
        <v xml:space="preserve"> </v>
      </c>
      <c r="AE52" s="411" t="str">
        <f t="shared" si="20"/>
        <v xml:space="preserve"> </v>
      </c>
      <c r="AF52" s="473" t="str">
        <f t="shared" si="20"/>
        <v xml:space="preserve"> 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6"/>
      <c r="D53" s="416"/>
      <c r="E53" s="416"/>
      <c r="F53" s="416"/>
      <c r="G53" s="416"/>
      <c r="H53" s="416"/>
      <c r="I53" s="416"/>
      <c r="J53" s="416"/>
      <c r="K53" s="416"/>
      <c r="L53" s="416"/>
      <c r="M53" s="416"/>
      <c r="N53" s="416"/>
      <c r="O53" s="416"/>
      <c r="P53" s="416"/>
      <c r="Q53" s="416"/>
      <c r="R53" s="416"/>
      <c r="S53" s="416"/>
      <c r="T53" s="416"/>
      <c r="U53" s="416"/>
      <c r="V53" s="416"/>
      <c r="W53" s="416"/>
      <c r="X53" s="416"/>
      <c r="Y53" s="416"/>
      <c r="Z53" s="416"/>
      <c r="AA53" s="416"/>
      <c r="AB53" s="416"/>
      <c r="AC53" s="416"/>
      <c r="AD53" s="416"/>
      <c r="AE53" s="416"/>
      <c r="AF53" s="416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X54" s="416"/>
      <c r="Y54" s="416"/>
      <c r="Z54" s="416"/>
      <c r="AA54" s="416"/>
      <c r="AB54" s="416"/>
      <c r="AC54" s="416"/>
      <c r="AD54" s="416"/>
      <c r="AE54" s="416"/>
      <c r="AF54" s="416"/>
      <c r="AG54" s="50"/>
      <c r="AH54" s="50"/>
      <c r="AI54" s="50"/>
      <c r="AJ54" s="50"/>
      <c r="AK54" s="50"/>
      <c r="AL54" s="50"/>
      <c r="AM54" s="50"/>
    </row>
    <row r="55" spans="1:39">
      <c r="A55" s="404" t="s">
        <v>393</v>
      </c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89"/>
      <c r="O55" s="389"/>
      <c r="P55" s="389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89"/>
      <c r="AB55" s="389"/>
      <c r="AC55" s="389"/>
      <c r="AD55" s="389"/>
      <c r="AE55" s="389"/>
      <c r="AF55" s="389"/>
    </row>
    <row r="56" spans="1:39">
      <c r="A56" s="48" t="s">
        <v>139</v>
      </c>
      <c r="B56" s="163">
        <f t="shared" ref="B56:AF56" si="21">B35+B26</f>
        <v>360.90615354148031</v>
      </c>
      <c r="C56" s="163">
        <f t="shared" si="21"/>
        <v>1128.171179988276</v>
      </c>
      <c r="D56" s="163">
        <f t="shared" si="21"/>
        <v>1195.8869404941506</v>
      </c>
      <c r="E56" s="163">
        <f t="shared" si="21"/>
        <v>2023.4885100201209</v>
      </c>
      <c r="F56" s="163">
        <f t="shared" si="21"/>
        <v>2918.9681191513955</v>
      </c>
      <c r="G56" s="163">
        <f t="shared" si="21"/>
        <v>3389.0282119455078</v>
      </c>
      <c r="H56" s="163">
        <f t="shared" si="21"/>
        <v>3754.0174515341278</v>
      </c>
      <c r="I56" s="163">
        <f t="shared" si="21"/>
        <v>4147.7986997428961</v>
      </c>
      <c r="J56" s="163">
        <f t="shared" si="21"/>
        <v>4708.5526387994614</v>
      </c>
      <c r="K56" s="163">
        <f t="shared" si="21"/>
        <v>5226.1240188649754</v>
      </c>
      <c r="L56" s="163">
        <f t="shared" si="21"/>
        <v>5886.5850521137036</v>
      </c>
      <c r="M56" s="163">
        <f t="shared" si="21"/>
        <v>6501.3651722458235</v>
      </c>
      <c r="N56" s="163">
        <f t="shared" si="21"/>
        <v>7263.5010082055196</v>
      </c>
      <c r="O56" s="163">
        <f t="shared" si="21"/>
        <v>7991.1637031850914</v>
      </c>
      <c r="P56" s="163">
        <f t="shared" si="21"/>
        <v>8715.1800499443816</v>
      </c>
      <c r="Q56" s="163">
        <f t="shared" si="21"/>
        <v>9498.5675254335474</v>
      </c>
      <c r="R56" s="163">
        <f t="shared" si="21"/>
        <v>5075.4062477508733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0</v>
      </c>
      <c r="X56" s="163">
        <f t="shared" si="21"/>
        <v>0</v>
      </c>
      <c r="Y56" s="163">
        <f t="shared" si="21"/>
        <v>0</v>
      </c>
      <c r="Z56" s="163">
        <f t="shared" si="21"/>
        <v>0</v>
      </c>
      <c r="AA56" s="163">
        <f t="shared" si="21"/>
        <v>0</v>
      </c>
      <c r="AB56" s="163">
        <f t="shared" si="21"/>
        <v>0</v>
      </c>
      <c r="AC56" s="163">
        <f t="shared" si="21"/>
        <v>0</v>
      </c>
      <c r="AD56" s="163">
        <f t="shared" si="21"/>
        <v>0</v>
      </c>
      <c r="AE56" s="163">
        <f t="shared" si="21"/>
        <v>0</v>
      </c>
      <c r="AF56" s="163">
        <f t="shared" si="21"/>
        <v>0</v>
      </c>
    </row>
    <row r="57" spans="1:39">
      <c r="A57" s="404" t="s">
        <v>138</v>
      </c>
      <c r="B57" s="393">
        <f t="shared" ref="B57:AF57" si="22">B36+B44+B27</f>
        <v>3636.0571161766784</v>
      </c>
      <c r="C57" s="393">
        <f t="shared" si="22"/>
        <v>6174.7938658342182</v>
      </c>
      <c r="D57" s="393">
        <f t="shared" si="22"/>
        <v>6083.857666447152</v>
      </c>
      <c r="E57" s="393">
        <f t="shared" si="22"/>
        <v>5958.7464431602302</v>
      </c>
      <c r="F57" s="393">
        <f t="shared" si="22"/>
        <v>5764.9092427830301</v>
      </c>
      <c r="G57" s="393">
        <f t="shared" si="22"/>
        <v>5518.2179473843225</v>
      </c>
      <c r="H57" s="393">
        <f t="shared" si="22"/>
        <v>5238.7196223463998</v>
      </c>
      <c r="I57" s="393">
        <f t="shared" si="22"/>
        <v>4930.2980918493267</v>
      </c>
      <c r="J57" s="393">
        <f t="shared" si="22"/>
        <v>4582.9681872248429</v>
      </c>
      <c r="K57" s="393">
        <f t="shared" si="22"/>
        <v>4194.3031100227927</v>
      </c>
      <c r="L57" s="393">
        <f t="shared" si="22"/>
        <v>3759.5116979894533</v>
      </c>
      <c r="M57" s="393">
        <f t="shared" si="22"/>
        <v>3275.6943664227479</v>
      </c>
      <c r="N57" s="393">
        <f t="shared" si="22"/>
        <v>2736.1608079640469</v>
      </c>
      <c r="O57" s="393">
        <f t="shared" si="22"/>
        <v>2139.2852155656547</v>
      </c>
      <c r="P57" s="393">
        <f t="shared" si="22"/>
        <v>1485.5384398676247</v>
      </c>
      <c r="Q57" s="393">
        <f t="shared" si="22"/>
        <v>773.87397570486019</v>
      </c>
      <c r="R57" s="393">
        <f t="shared" si="22"/>
        <v>99.078882567396221</v>
      </c>
      <c r="S57" s="393">
        <f t="shared" si="22"/>
        <v>0</v>
      </c>
      <c r="T57" s="393">
        <f t="shared" si="22"/>
        <v>0</v>
      </c>
      <c r="U57" s="393">
        <f t="shared" si="22"/>
        <v>0</v>
      </c>
      <c r="V57" s="393">
        <f t="shared" si="22"/>
        <v>0</v>
      </c>
      <c r="W57" s="393">
        <f t="shared" si="22"/>
        <v>0</v>
      </c>
      <c r="X57" s="393">
        <f t="shared" si="22"/>
        <v>0</v>
      </c>
      <c r="Y57" s="393">
        <f t="shared" si="22"/>
        <v>0</v>
      </c>
      <c r="Z57" s="393">
        <f t="shared" si="22"/>
        <v>0</v>
      </c>
      <c r="AA57" s="393">
        <f t="shared" si="22"/>
        <v>0</v>
      </c>
      <c r="AB57" s="393">
        <f t="shared" si="22"/>
        <v>0</v>
      </c>
      <c r="AC57" s="393">
        <f t="shared" si="22"/>
        <v>0</v>
      </c>
      <c r="AD57" s="393">
        <f t="shared" si="22"/>
        <v>0</v>
      </c>
      <c r="AE57" s="393">
        <f t="shared" si="22"/>
        <v>0</v>
      </c>
      <c r="AF57" s="393">
        <f t="shared" si="22"/>
        <v>0</v>
      </c>
    </row>
    <row r="58" spans="1:39">
      <c r="A58" s="49" t="s">
        <v>60</v>
      </c>
      <c r="B58" s="49">
        <f>SUM(B56:B57)</f>
        <v>3996.9632697181587</v>
      </c>
      <c r="C58" s="49">
        <f t="shared" ref="C58:AF58" si="23">SUM(C56:C57)</f>
        <v>7302.9650458224942</v>
      </c>
      <c r="D58" s="49">
        <f t="shared" si="23"/>
        <v>7279.7446069413027</v>
      </c>
      <c r="E58" s="49">
        <f t="shared" si="23"/>
        <v>7982.2349531803511</v>
      </c>
      <c r="F58" s="49">
        <f t="shared" si="23"/>
        <v>8683.8773619344247</v>
      </c>
      <c r="G58" s="49">
        <f t="shared" si="23"/>
        <v>8907.2461593298303</v>
      </c>
      <c r="H58" s="49">
        <f t="shared" si="23"/>
        <v>8992.7370738805275</v>
      </c>
      <c r="I58" s="49">
        <f t="shared" si="23"/>
        <v>9078.0967915922229</v>
      </c>
      <c r="J58" s="49">
        <f t="shared" si="23"/>
        <v>9291.5208260243053</v>
      </c>
      <c r="K58" s="49">
        <f t="shared" si="23"/>
        <v>9420.427128887768</v>
      </c>
      <c r="L58" s="49">
        <f t="shared" si="23"/>
        <v>9646.0967501031573</v>
      </c>
      <c r="M58" s="49">
        <f t="shared" si="23"/>
        <v>9777.0595386685709</v>
      </c>
      <c r="N58" s="49">
        <f t="shared" si="23"/>
        <v>9999.661816169566</v>
      </c>
      <c r="O58" s="49">
        <f t="shared" si="23"/>
        <v>10130.448918750746</v>
      </c>
      <c r="P58" s="49">
        <f t="shared" si="23"/>
        <v>10200.718489812007</v>
      </c>
      <c r="Q58" s="49">
        <f t="shared" si="23"/>
        <v>10272.441501138408</v>
      </c>
      <c r="R58" s="49">
        <f t="shared" si="23"/>
        <v>5174.4851303182695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0</v>
      </c>
      <c r="X58" s="49">
        <f t="shared" si="23"/>
        <v>0</v>
      </c>
      <c r="Y58" s="49">
        <f t="shared" si="23"/>
        <v>0</v>
      </c>
      <c r="Z58" s="49">
        <f t="shared" si="23"/>
        <v>0</v>
      </c>
      <c r="AA58" s="49">
        <f t="shared" si="23"/>
        <v>0</v>
      </c>
      <c r="AB58" s="49">
        <f t="shared" si="23"/>
        <v>0</v>
      </c>
      <c r="AC58" s="49">
        <f t="shared" si="23"/>
        <v>0</v>
      </c>
      <c r="AD58" s="49">
        <f t="shared" si="23"/>
        <v>0</v>
      </c>
      <c r="AE58" s="49">
        <f t="shared" si="23"/>
        <v>0</v>
      </c>
      <c r="AF58" s="49">
        <f t="shared" si="23"/>
        <v>0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6"/>
      <c r="D59" s="416"/>
      <c r="E59" s="416"/>
      <c r="F59" s="416"/>
      <c r="G59" s="416"/>
      <c r="H59" s="416"/>
      <c r="I59" s="416"/>
      <c r="J59" s="416"/>
      <c r="K59" s="416"/>
      <c r="L59" s="416"/>
      <c r="M59" s="416"/>
      <c r="N59" s="416"/>
      <c r="O59" s="416"/>
      <c r="P59" s="416"/>
      <c r="Q59" s="416"/>
      <c r="R59" s="416"/>
      <c r="S59" s="416"/>
      <c r="T59" s="416"/>
      <c r="U59" s="416"/>
      <c r="V59" s="416"/>
      <c r="W59" s="416"/>
      <c r="X59" s="416"/>
      <c r="Y59" s="416"/>
      <c r="Z59" s="416"/>
      <c r="AA59" s="416"/>
      <c r="AB59" s="416"/>
      <c r="AC59" s="416"/>
      <c r="AD59" s="416"/>
      <c r="AE59" s="416"/>
      <c r="AF59" s="416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7"/>
      <c r="C60" s="417"/>
      <c r="D60" s="417"/>
      <c r="E60" s="417"/>
      <c r="F60" s="417"/>
      <c r="G60" s="417"/>
      <c r="H60" s="417"/>
      <c r="I60" s="417"/>
      <c r="J60" s="417"/>
      <c r="K60" s="417"/>
      <c r="L60" s="417"/>
      <c r="M60" s="417"/>
      <c r="N60" s="417"/>
      <c r="O60" s="417"/>
      <c r="P60" s="417"/>
      <c r="Q60" s="417"/>
      <c r="R60" s="417"/>
      <c r="S60" s="417"/>
      <c r="T60" s="417"/>
      <c r="U60" s="417"/>
      <c r="V60" s="417"/>
      <c r="W60" s="417"/>
      <c r="X60" s="417"/>
      <c r="Y60" s="417"/>
      <c r="Z60" s="417"/>
      <c r="AA60" s="417"/>
      <c r="AB60" s="417"/>
      <c r="AC60" s="417"/>
      <c r="AD60" s="417"/>
      <c r="AE60" s="417"/>
      <c r="AF60" s="417"/>
      <c r="AG60" s="50"/>
      <c r="AH60" s="50"/>
      <c r="AI60" s="50"/>
      <c r="AJ60" s="50"/>
      <c r="AK60" s="50"/>
      <c r="AL60" s="50"/>
      <c r="AM60" s="50"/>
    </row>
    <row r="61" spans="1:39">
      <c r="B61" s="540" t="s">
        <v>335</v>
      </c>
      <c r="C61" s="541"/>
      <c r="D61" s="541"/>
      <c r="E61" s="542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4" t="s">
        <v>397</v>
      </c>
      <c r="C62" s="57"/>
      <c r="D62" s="57"/>
      <c r="E62" s="465">
        <f>Assumptions!G37</f>
        <v>6.83E-2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8">
        <f>Assumptions!G38</f>
        <v>0.01</v>
      </c>
      <c r="AA63" s="12"/>
      <c r="AB63" s="12"/>
    </row>
    <row r="64" spans="1:39">
      <c r="A64" s="48"/>
      <c r="B64" s="340" t="s">
        <v>398</v>
      </c>
      <c r="C64" s="58"/>
      <c r="D64" s="58"/>
      <c r="E64" s="407">
        <f>E63+E62</f>
        <v>7.8299999999999995E-2</v>
      </c>
      <c r="AA64" s="12"/>
      <c r="AB64" s="12"/>
    </row>
    <row r="65" spans="1:43">
      <c r="B65" s="409" t="s">
        <v>396</v>
      </c>
      <c r="C65" s="57"/>
      <c r="D65" s="57"/>
      <c r="E65" s="408">
        <f>Assumptions!G33</f>
        <v>20</v>
      </c>
      <c r="AA65" s="12"/>
      <c r="AB65" s="12"/>
    </row>
    <row r="66" spans="1:43">
      <c r="B66" s="451" t="s">
        <v>395</v>
      </c>
      <c r="C66" s="13"/>
      <c r="D66" s="13"/>
      <c r="E66" s="466">
        <f>B77</f>
        <v>10.808225725154912</v>
      </c>
      <c r="AA66" s="12"/>
      <c r="AB66" s="12"/>
    </row>
    <row r="67" spans="1:43">
      <c r="B67" s="340" t="s">
        <v>55</v>
      </c>
      <c r="C67" s="58"/>
      <c r="D67" s="58"/>
      <c r="E67" s="452">
        <f>B19</f>
        <v>79784.710682961333</v>
      </c>
      <c r="AA67" s="12"/>
      <c r="AB67" s="12"/>
    </row>
    <row r="68" spans="1:43">
      <c r="B68" s="337" t="s">
        <v>0</v>
      </c>
      <c r="C68" s="57"/>
      <c r="D68" s="57" t="s">
        <v>391</v>
      </c>
      <c r="E68" s="469">
        <f>AVERAGE(B52:AF52)</f>
        <v>1.3</v>
      </c>
      <c r="AA68" s="12"/>
      <c r="AB68" s="12"/>
    </row>
    <row r="69" spans="1:43">
      <c r="B69" s="467"/>
      <c r="C69" s="58"/>
      <c r="D69" s="58" t="s">
        <v>392</v>
      </c>
      <c r="E69" s="470">
        <f>MIN(B52:AF52)</f>
        <v>1.2999999999999978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1">
        <f>(SUMPRODUCT(B74:AF74,B35:AF35)+SUMPRODUCT(B75:AF75,B26:AF26))/E67</f>
        <v>10.808225725154912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1"/>
      <c r="AB79" s="391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2000-02-12T00:04:30Z</cp:lastPrinted>
  <dcterms:created xsi:type="dcterms:W3CDTF">1999-04-02T01:38:38Z</dcterms:created>
  <dcterms:modified xsi:type="dcterms:W3CDTF">2014-09-03T11:31:56Z</dcterms:modified>
</cp:coreProperties>
</file>