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23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IDC-Project" sheetId="27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nnualHours" localSheetId="8">[6]Assumptions!#REF!</definedName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 localSheetId="8">[6]Assumptions!#REF!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5">IS!$A$2:$AG$45</definedName>
    <definedName name="_xlnm.Print_Area" localSheetId="11">Taxes!$A$2:$AF$41</definedName>
    <definedName name="_xlnm.Print_Titles" localSheetId="6">BS!$A:$A</definedName>
    <definedName name="_xlnm.Print_Titles" localSheetId="9">Debt!$A:$A</definedName>
    <definedName name="_xlnm.Print_Titles" localSheetId="10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1">Taxes!$A:$A</definedName>
    <definedName name="StartMWh">'[2]Project Assumptions'!#REF!</definedName>
    <definedName name="Variable" localSheetId="8">[6]Assumptions!#REF!</definedName>
    <definedName name="Variable">Assumptions!#REF!</definedName>
    <definedName name="WaterTreatmentVar" localSheetId="8">[6]Assumptions!#REF!</definedName>
    <definedName name="WaterTreatmentVar">Assumptions!#REF!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C12" i="2" l="1"/>
  <c r="D12" i="2"/>
  <c r="AA13" i="2"/>
  <c r="AA14" i="2" s="1"/>
  <c r="U14" i="2"/>
  <c r="V14" i="2"/>
  <c r="W14" i="2"/>
  <c r="X14" i="2"/>
  <c r="Y14" i="2"/>
  <c r="Z14" i="2"/>
  <c r="AB14" i="2"/>
  <c r="N17" i="2"/>
  <c r="P17" i="2"/>
  <c r="H18" i="2"/>
  <c r="O19" i="2"/>
  <c r="C20" i="2"/>
  <c r="C21" i="2"/>
  <c r="O21" i="2"/>
  <c r="D22" i="2"/>
  <c r="D24" i="2"/>
  <c r="O24" i="2"/>
  <c r="N26" i="2"/>
  <c r="D27" i="2"/>
  <c r="D30" i="2"/>
  <c r="D32" i="2"/>
  <c r="G32" i="2"/>
  <c r="H35" i="2"/>
  <c r="D37" i="2"/>
  <c r="D38" i="2"/>
  <c r="H39" i="2"/>
  <c r="D40" i="2"/>
  <c r="D41" i="2"/>
  <c r="D44" i="2"/>
  <c r="D45" i="2"/>
  <c r="C48" i="2"/>
  <c r="D48" i="2" s="1"/>
  <c r="G48" i="2"/>
  <c r="D55" i="2"/>
  <c r="C56" i="2"/>
  <c r="H57" i="2"/>
  <c r="H60" i="2"/>
  <c r="H62" i="2"/>
  <c r="H66" i="2"/>
  <c r="H68" i="2"/>
  <c r="O22" i="2" s="1"/>
  <c r="A69" i="2"/>
  <c r="A70" i="2"/>
  <c r="A71" i="2"/>
  <c r="A2" i="19"/>
  <c r="D8" i="19"/>
  <c r="E8" i="19" s="1"/>
  <c r="F8" i="19" s="1"/>
  <c r="G8" i="19" s="1"/>
  <c r="H8" i="19"/>
  <c r="I8" i="19" s="1"/>
  <c r="J8" i="19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N11" i="6"/>
  <c r="AN12" i="6"/>
  <c r="B33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E62" i="6"/>
  <c r="E63" i="6"/>
  <c r="E64" i="6" s="1"/>
  <c r="G39" i="2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H13" i="7" s="1"/>
  <c r="H27" i="7" s="1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H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I9" i="26"/>
  <c r="I11" i="26"/>
  <c r="I17" i="26"/>
  <c r="I19" i="26"/>
  <c r="I25" i="26"/>
  <c r="E26" i="26"/>
  <c r="I8" i="26" s="1"/>
  <c r="I26" i="26"/>
  <c r="I27" i="26" s="1"/>
  <c r="I28" i="26" s="1"/>
  <c r="E38" i="26"/>
  <c r="E50" i="26"/>
  <c r="I10" i="26" s="1"/>
  <c r="E62" i="26"/>
  <c r="E74" i="26"/>
  <c r="I12" i="26" s="1"/>
  <c r="E86" i="26"/>
  <c r="I13" i="26" s="1"/>
  <c r="E98" i="26"/>
  <c r="I14" i="26" s="1"/>
  <c r="E110" i="26"/>
  <c r="I15" i="26" s="1"/>
  <c r="E122" i="26"/>
  <c r="I16" i="26" s="1"/>
  <c r="E134" i="26"/>
  <c r="E146" i="26"/>
  <c r="I18" i="26" s="1"/>
  <c r="E158" i="26"/>
  <c r="E170" i="26"/>
  <c r="I20" i="26" s="1"/>
  <c r="E182" i="26"/>
  <c r="I21" i="26" s="1"/>
  <c r="E194" i="26"/>
  <c r="I22" i="26" s="1"/>
  <c r="E206" i="26"/>
  <c r="I23" i="26" s="1"/>
  <c r="E218" i="26"/>
  <c r="I24" i="26" s="1"/>
  <c r="E230" i="26"/>
  <c r="E242" i="26"/>
  <c r="A2" i="18"/>
  <c r="C6" i="18"/>
  <c r="E17" i="18" s="1"/>
  <c r="F17" i="18" s="1"/>
  <c r="C7" i="18"/>
  <c r="C8" i="18"/>
  <c r="D8" i="18" s="1"/>
  <c r="C15" i="18"/>
  <c r="A16" i="18"/>
  <c r="C16" i="18"/>
  <c r="A17" i="18"/>
  <c r="C17" i="18"/>
  <c r="C18" i="18"/>
  <c r="E18" i="18" s="1"/>
  <c r="F18" i="18" s="1"/>
  <c r="C19" i="18"/>
  <c r="C20" i="18"/>
  <c r="C21" i="18"/>
  <c r="C22" i="18"/>
  <c r="C23" i="18"/>
  <c r="C24" i="18"/>
  <c r="E24" i="18" s="1"/>
  <c r="F24" i="18" s="1"/>
  <c r="C25" i="18"/>
  <c r="C26" i="18"/>
  <c r="C27" i="18"/>
  <c r="E27" i="18"/>
  <c r="F27" i="18" s="1"/>
  <c r="C28" i="18"/>
  <c r="C29" i="18"/>
  <c r="E31" i="18"/>
  <c r="F31" i="18" s="1"/>
  <c r="H57" i="18"/>
  <c r="I57" i="18"/>
  <c r="J57" i="18"/>
  <c r="K57" i="18"/>
  <c r="L57" i="18"/>
  <c r="D59" i="18"/>
  <c r="D15" i="18" s="1"/>
  <c r="D34" i="18" s="1"/>
  <c r="C5" i="27"/>
  <c r="B8" i="27"/>
  <c r="A2" i="4"/>
  <c r="Q16" i="4"/>
  <c r="D17" i="4"/>
  <c r="E17" i="4" s="1"/>
  <c r="F17" i="4" s="1"/>
  <c r="G17" i="4" s="1"/>
  <c r="H17" i="4" s="1"/>
  <c r="I17" i="4" s="1"/>
  <c r="J17" i="4"/>
  <c r="K17" i="4" s="1"/>
  <c r="L17" i="4" s="1"/>
  <c r="M17" i="4" s="1"/>
  <c r="N17" i="4" s="1"/>
  <c r="O17" i="4" s="1"/>
  <c r="P17" i="4" s="1"/>
  <c r="Q17" i="4" s="1"/>
  <c r="R17" i="4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/>
  <c r="G21" i="4" s="1"/>
  <c r="H21" i="4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/>
  <c r="F22" i="4"/>
  <c r="G22" i="4"/>
  <c r="H22" i="4" s="1"/>
  <c r="I22" i="4"/>
  <c r="J22" i="4" s="1"/>
  <c r="K22" i="4" s="1"/>
  <c r="L22" i="4" s="1"/>
  <c r="M22" i="4" s="1"/>
  <c r="N22" i="4" s="1"/>
  <c r="O22" i="4" s="1"/>
  <c r="P22" i="4" s="1"/>
  <c r="Q22" i="4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/>
  <c r="G29" i="4" s="1"/>
  <c r="H29" i="4" s="1"/>
  <c r="I29" i="4" s="1"/>
  <c r="J29" i="4" s="1"/>
  <c r="K29" i="4" s="1"/>
  <c r="L29" i="4" s="1"/>
  <c r="M29" i="4" s="1"/>
  <c r="N29" i="4" s="1"/>
  <c r="O29" i="4"/>
  <c r="P29" i="4" s="1"/>
  <c r="Q29" i="4" s="1"/>
  <c r="R29" i="4" s="1"/>
  <c r="S29" i="4" s="1"/>
  <c r="T29" i="4" s="1"/>
  <c r="U29" i="4" s="1"/>
  <c r="V29" i="4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7" i="3"/>
  <c r="E7" i="3"/>
  <c r="D8" i="3"/>
  <c r="E8" i="3"/>
  <c r="F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G19" i="3"/>
  <c r="I19" i="3"/>
  <c r="K19" i="3"/>
  <c r="O19" i="3"/>
  <c r="Q19" i="3"/>
  <c r="S19" i="3"/>
  <c r="Y19" i="3"/>
  <c r="AA19" i="3"/>
  <c r="AE19" i="3"/>
  <c r="AG19" i="3"/>
  <c r="D21" i="3"/>
  <c r="D25" i="3"/>
  <c r="E25" i="3"/>
  <c r="E30" i="3" s="1"/>
  <c r="F25" i="3"/>
  <c r="G25" i="3"/>
  <c r="G30" i="3" s="1"/>
  <c r="F16" i="4" s="1"/>
  <c r="H25" i="3"/>
  <c r="I25" i="3"/>
  <c r="I30" i="3" s="1"/>
  <c r="J25" i="3"/>
  <c r="K25" i="3"/>
  <c r="K30" i="3" s="1"/>
  <c r="L25" i="3"/>
  <c r="M25" i="3"/>
  <c r="M30" i="3" s="1"/>
  <c r="N25" i="3"/>
  <c r="O25" i="3"/>
  <c r="O30" i="3" s="1"/>
  <c r="P25" i="3"/>
  <c r="Q25" i="3"/>
  <c r="Q30" i="3" s="1"/>
  <c r="P16" i="4" s="1"/>
  <c r="R25" i="3"/>
  <c r="S25" i="3"/>
  <c r="S30" i="3" s="1"/>
  <c r="T25" i="3"/>
  <c r="U25" i="3"/>
  <c r="U30" i="3" s="1"/>
  <c r="V25" i="3"/>
  <c r="W25" i="3"/>
  <c r="W30" i="3" s="1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C16" i="4" s="1"/>
  <c r="F30" i="3"/>
  <c r="H30" i="3"/>
  <c r="J30" i="3"/>
  <c r="L30" i="3"/>
  <c r="N30" i="3"/>
  <c r="P30" i="3"/>
  <c r="O16" i="4" s="1"/>
  <c r="R30" i="3"/>
  <c r="T30" i="3"/>
  <c r="S16" i="4" s="1"/>
  <c r="V30" i="3"/>
  <c r="X30" i="3"/>
  <c r="Y30" i="3"/>
  <c r="Z30" i="3"/>
  <c r="AA30" i="3"/>
  <c r="AB30" i="3"/>
  <c r="AA16" i="4" s="1"/>
  <c r="AC30" i="3"/>
  <c r="AD30" i="3"/>
  <c r="AC16" i="4" s="1"/>
  <c r="AE30" i="3"/>
  <c r="AF30" i="3"/>
  <c r="AG30" i="3"/>
  <c r="AH30" i="3"/>
  <c r="AG16" i="4" s="1"/>
  <c r="M34" i="3"/>
  <c r="AE34" i="3"/>
  <c r="AG34" i="3"/>
  <c r="D35" i="3"/>
  <c r="A38" i="3"/>
  <c r="D42" i="3"/>
  <c r="D44" i="3" s="1"/>
  <c r="E42" i="3"/>
  <c r="F42" i="3"/>
  <c r="F44" i="3" s="1"/>
  <c r="F34" i="3" s="1"/>
  <c r="G42" i="3"/>
  <c r="H42" i="3"/>
  <c r="H44" i="3" s="1"/>
  <c r="H34" i="3" s="1"/>
  <c r="I42" i="3"/>
  <c r="J42" i="3"/>
  <c r="J44" i="3" s="1"/>
  <c r="J34" i="3" s="1"/>
  <c r="K42" i="3"/>
  <c r="L42" i="3"/>
  <c r="L44" i="3" s="1"/>
  <c r="L34" i="3" s="1"/>
  <c r="M42" i="3"/>
  <c r="N42" i="3"/>
  <c r="N44" i="3" s="1"/>
  <c r="N34" i="3" s="1"/>
  <c r="O42" i="3"/>
  <c r="P42" i="3"/>
  <c r="P44" i="3" s="1"/>
  <c r="Q42" i="3"/>
  <c r="R42" i="3"/>
  <c r="R44" i="3" s="1"/>
  <c r="R34" i="3" s="1"/>
  <c r="S42" i="3"/>
  <c r="T42" i="3"/>
  <c r="T44" i="3" s="1"/>
  <c r="U42" i="3"/>
  <c r="V42" i="3"/>
  <c r="V44" i="3" s="1"/>
  <c r="V34" i="3" s="1"/>
  <c r="W42" i="3"/>
  <c r="X42" i="3"/>
  <c r="X44" i="3" s="1"/>
  <c r="X34" i="3" s="1"/>
  <c r="Y42" i="3"/>
  <c r="Z42" i="3"/>
  <c r="Z44" i="3" s="1"/>
  <c r="Z34" i="3" s="1"/>
  <c r="AA42" i="3"/>
  <c r="AB42" i="3"/>
  <c r="AB44" i="3" s="1"/>
  <c r="AC42" i="3"/>
  <c r="AD42" i="3"/>
  <c r="AD44" i="3" s="1"/>
  <c r="AE42" i="3"/>
  <c r="AF42" i="3"/>
  <c r="AF44" i="3" s="1"/>
  <c r="AF34" i="3" s="1"/>
  <c r="AG42" i="3"/>
  <c r="AH42" i="3"/>
  <c r="AH44" i="3" s="1"/>
  <c r="AH34" i="3" s="1"/>
  <c r="E44" i="3"/>
  <c r="E34" i="3" s="1"/>
  <c r="G44" i="3"/>
  <c r="I44" i="3"/>
  <c r="I34" i="3" s="1"/>
  <c r="K44" i="3"/>
  <c r="K34" i="3" s="1"/>
  <c r="M44" i="3"/>
  <c r="O44" i="3"/>
  <c r="Q44" i="3"/>
  <c r="Q34" i="3" s="1"/>
  <c r="S44" i="3"/>
  <c r="S34" i="3" s="1"/>
  <c r="U44" i="3"/>
  <c r="U34" i="3" s="1"/>
  <c r="W44" i="3"/>
  <c r="Y44" i="3"/>
  <c r="Y34" i="3" s="1"/>
  <c r="AA44" i="3"/>
  <c r="AA34" i="3" s="1"/>
  <c r="AC44" i="3"/>
  <c r="AC34" i="3" s="1"/>
  <c r="AE44" i="3"/>
  <c r="AG44" i="3"/>
  <c r="A2" i="25"/>
  <c r="C6" i="25"/>
  <c r="D6" i="25"/>
  <c r="C7" i="25"/>
  <c r="D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B13" i="25"/>
  <c r="B18" i="25" s="1"/>
  <c r="B21" i="25" s="1"/>
  <c r="B50" i="25" s="1"/>
  <c r="B37" i="25"/>
  <c r="A41" i="25"/>
  <c r="A48" i="25"/>
  <c r="A55" i="25"/>
  <c r="AG58" i="25"/>
  <c r="A2" i="8"/>
  <c r="B6" i="8"/>
  <c r="B7" i="8"/>
  <c r="C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G34" i="3" l="1"/>
  <c r="F7" i="19"/>
  <c r="F7" i="7"/>
  <c r="E7" i="4"/>
  <c r="D73" i="2" s="1"/>
  <c r="G8" i="3"/>
  <c r="E7" i="25"/>
  <c r="D7" i="8"/>
  <c r="N16" i="4"/>
  <c r="O34" i="3"/>
  <c r="V16" i="4"/>
  <c r="W34" i="3"/>
  <c r="N29" i="2"/>
  <c r="O29" i="2" s="1"/>
  <c r="H16" i="4"/>
  <c r="AD34" i="3"/>
  <c r="I16" i="4"/>
  <c r="AB34" i="3"/>
  <c r="T34" i="3"/>
  <c r="D34" i="3"/>
  <c r="D36" i="3" s="1"/>
  <c r="M16" i="4"/>
  <c r="K16" i="4"/>
  <c r="T16" i="4"/>
  <c r="L16" i="4"/>
  <c r="D16" i="4"/>
  <c r="B27" i="25"/>
  <c r="J19" i="3"/>
  <c r="R19" i="3"/>
  <c r="Z19" i="3"/>
  <c r="AH19" i="3"/>
  <c r="D19" i="3"/>
  <c r="L19" i="3"/>
  <c r="T19" i="3"/>
  <c r="AB19" i="3"/>
  <c r="E19" i="3"/>
  <c r="M19" i="3"/>
  <c r="U19" i="3"/>
  <c r="AC19" i="3"/>
  <c r="F19" i="3"/>
  <c r="N19" i="3"/>
  <c r="V19" i="3"/>
  <c r="AD19" i="3"/>
  <c r="H19" i="3"/>
  <c r="P19" i="3"/>
  <c r="X19" i="3"/>
  <c r="AF19" i="3"/>
  <c r="B57" i="25"/>
  <c r="B43" i="25"/>
  <c r="AE16" i="4"/>
  <c r="W16" i="4"/>
  <c r="G16" i="4"/>
  <c r="R16" i="4"/>
  <c r="J16" i="4"/>
  <c r="W19" i="3"/>
  <c r="E6" i="19"/>
  <c r="E6" i="7"/>
  <c r="D6" i="4"/>
  <c r="C6" i="8"/>
  <c r="E35" i="3"/>
  <c r="E36" i="3" s="1"/>
  <c r="E38" i="3" s="1"/>
  <c r="D11" i="4" s="1"/>
  <c r="F7" i="3"/>
  <c r="P34" i="3"/>
  <c r="D38" i="3"/>
  <c r="C11" i="4" s="1"/>
  <c r="U16" i="4"/>
  <c r="E16" i="4"/>
  <c r="Y16" i="4"/>
  <c r="AB16" i="4"/>
  <c r="Z16" i="4"/>
  <c r="E7" i="19"/>
  <c r="E7" i="7"/>
  <c r="D7" i="4"/>
  <c r="C73" i="2" s="1"/>
  <c r="D6" i="19"/>
  <c r="D6" i="7"/>
  <c r="C6" i="4"/>
  <c r="D7" i="19"/>
  <c r="C7" i="4"/>
  <c r="D7" i="7"/>
  <c r="AF16" i="4"/>
  <c r="X16" i="4"/>
  <c r="E21" i="3"/>
  <c r="AD16" i="4"/>
  <c r="E32" i="18"/>
  <c r="F32" i="18" s="1"/>
  <c r="E15" i="18"/>
  <c r="E23" i="18"/>
  <c r="F23" i="18" s="1"/>
  <c r="E30" i="18"/>
  <c r="F30" i="18" s="1"/>
  <c r="E21" i="18"/>
  <c r="F21" i="18" s="1"/>
  <c r="E29" i="18"/>
  <c r="F29" i="18" s="1"/>
  <c r="E33" i="18"/>
  <c r="F33" i="18" s="1"/>
  <c r="E20" i="18"/>
  <c r="F20" i="18" s="1"/>
  <c r="E28" i="18"/>
  <c r="F28" i="18" s="1"/>
  <c r="A18" i="18"/>
  <c r="E26" i="18"/>
  <c r="F26" i="18" s="1"/>
  <c r="E16" i="18"/>
  <c r="F16" i="18" s="1"/>
  <c r="C34" i="18"/>
  <c r="E25" i="18"/>
  <c r="F25" i="18" s="1"/>
  <c r="E22" i="18"/>
  <c r="F22" i="18" s="1"/>
  <c r="E19" i="18"/>
  <c r="F19" i="18" s="1"/>
  <c r="G13" i="7"/>
  <c r="F13" i="7"/>
  <c r="E13" i="7"/>
  <c r="B36" i="6"/>
  <c r="D56" i="2"/>
  <c r="D20" i="2"/>
  <c r="C34" i="2"/>
  <c r="D49" i="2"/>
  <c r="D47" i="2"/>
  <c r="D33" i="2"/>
  <c r="D21" i="2"/>
  <c r="D54" i="2"/>
  <c r="D43" i="2"/>
  <c r="D31" i="2"/>
  <c r="D29" i="2"/>
  <c r="D26" i="2"/>
  <c r="O23" i="2"/>
  <c r="D23" i="2"/>
  <c r="D53" i="2"/>
  <c r="D42" i="2"/>
  <c r="D39" i="2"/>
  <c r="D28" i="2"/>
  <c r="O25" i="2"/>
  <c r="O20" i="2"/>
  <c r="O26" i="2" s="1"/>
  <c r="D25" i="2"/>
  <c r="G7" i="19" l="1"/>
  <c r="G7" i="7"/>
  <c r="F7" i="4"/>
  <c r="F7" i="25"/>
  <c r="H8" i="3"/>
  <c r="E7" i="8"/>
  <c r="E27" i="4"/>
  <c r="M27" i="4"/>
  <c r="U27" i="4"/>
  <c r="F27" i="4"/>
  <c r="N27" i="4"/>
  <c r="V27" i="4"/>
  <c r="AD27" i="4"/>
  <c r="G27" i="4"/>
  <c r="O27" i="4"/>
  <c r="W27" i="4"/>
  <c r="AE27" i="4"/>
  <c r="H27" i="4"/>
  <c r="P27" i="4"/>
  <c r="X27" i="4"/>
  <c r="AF27" i="4"/>
  <c r="I27" i="4"/>
  <c r="Q27" i="4"/>
  <c r="Y27" i="4"/>
  <c r="AG27" i="4"/>
  <c r="C27" i="4"/>
  <c r="K27" i="4"/>
  <c r="S27" i="4"/>
  <c r="AA27" i="4"/>
  <c r="AB27" i="4"/>
  <c r="D27" i="4"/>
  <c r="J27" i="4"/>
  <c r="L27" i="4"/>
  <c r="T27" i="4"/>
  <c r="Z27" i="4"/>
  <c r="AC27" i="4"/>
  <c r="R27" i="4"/>
  <c r="F27" i="7"/>
  <c r="F42" i="7"/>
  <c r="E14" i="7"/>
  <c r="E41" i="7"/>
  <c r="E43" i="7"/>
  <c r="E47" i="7" s="1"/>
  <c r="E34" i="18"/>
  <c r="F15" i="18"/>
  <c r="B73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F6" i="19"/>
  <c r="F6" i="7"/>
  <c r="E6" i="4"/>
  <c r="E6" i="25"/>
  <c r="F35" i="3"/>
  <c r="F36" i="3" s="1"/>
  <c r="F38" i="3" s="1"/>
  <c r="E11" i="4" s="1"/>
  <c r="G7" i="3"/>
  <c r="G21" i="3" s="1"/>
  <c r="D6" i="8"/>
  <c r="B49" i="6"/>
  <c r="C12" i="25"/>
  <c r="D34" i="2"/>
  <c r="A19" i="18"/>
  <c r="D10" i="4"/>
  <c r="D13" i="4" s="1"/>
  <c r="B7" i="27"/>
  <c r="B10" i="27" s="1"/>
  <c r="G27" i="7"/>
  <c r="G42" i="7"/>
  <c r="N30" i="2"/>
  <c r="O30" i="2" s="1"/>
  <c r="N32" i="2"/>
  <c r="O32" i="2" s="1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C17" i="4"/>
  <c r="C18" i="4"/>
  <c r="D18" i="4" s="1"/>
  <c r="E18" i="4" s="1"/>
  <c r="F18" i="4" s="1"/>
  <c r="C26" i="4"/>
  <c r="N33" i="2" s="1"/>
  <c r="O33" i="2" s="1"/>
  <c r="S26" i="4"/>
  <c r="C10" i="4"/>
  <c r="C13" i="4" s="1"/>
  <c r="F21" i="3"/>
  <c r="E27" i="7"/>
  <c r="E42" i="7"/>
  <c r="D13" i="7"/>
  <c r="D14" i="7"/>
  <c r="D41" i="7"/>
  <c r="D43" i="7"/>
  <c r="D47" i="7" s="1"/>
  <c r="H7" i="19" l="1"/>
  <c r="H7" i="7"/>
  <c r="G7" i="4"/>
  <c r="I8" i="3"/>
  <c r="G7" i="25"/>
  <c r="F7" i="8"/>
  <c r="A20" i="18"/>
  <c r="F34" i="18"/>
  <c r="G15" i="18"/>
  <c r="E18" i="7"/>
  <c r="E28" i="7"/>
  <c r="E33" i="7" s="1"/>
  <c r="G6" i="19"/>
  <c r="G6" i="7"/>
  <c r="F6" i="4"/>
  <c r="F10" i="4" s="1"/>
  <c r="F13" i="4" s="1"/>
  <c r="H7" i="3"/>
  <c r="F6" i="25"/>
  <c r="G35" i="3"/>
  <c r="G36" i="3" s="1"/>
  <c r="G38" i="3" s="1"/>
  <c r="F11" i="4" s="1"/>
  <c r="E6" i="8"/>
  <c r="H21" i="3"/>
  <c r="G18" i="4"/>
  <c r="E10" i="4"/>
  <c r="E13" i="4" s="1"/>
  <c r="D28" i="7"/>
  <c r="D33" i="7" s="1"/>
  <c r="D18" i="7"/>
  <c r="F10" i="27"/>
  <c r="G10" i="27"/>
  <c r="H10" i="27"/>
  <c r="I10" i="27"/>
  <c r="J10" i="27"/>
  <c r="L10" i="27"/>
  <c r="E10" i="27"/>
  <c r="K10" i="27"/>
  <c r="D27" i="7"/>
  <c r="D42" i="7"/>
  <c r="I13" i="7"/>
  <c r="F43" i="7"/>
  <c r="F47" i="7" s="1"/>
  <c r="F41" i="7"/>
  <c r="F14" i="7"/>
  <c r="G14" i="7" l="1"/>
  <c r="G41" i="7"/>
  <c r="G43" i="7"/>
  <c r="G47" i="7" s="1"/>
  <c r="H16" i="18"/>
  <c r="G16" i="18"/>
  <c r="A21" i="18"/>
  <c r="I7" i="19"/>
  <c r="I7" i="7"/>
  <c r="H7" i="4"/>
  <c r="H7" i="25"/>
  <c r="J8" i="3"/>
  <c r="G7" i="8"/>
  <c r="F18" i="7"/>
  <c r="F28" i="7"/>
  <c r="F33" i="7" s="1"/>
  <c r="I27" i="7"/>
  <c r="I42" i="7"/>
  <c r="H18" i="4"/>
  <c r="B12" i="27"/>
  <c r="H6" i="19"/>
  <c r="H6" i="7"/>
  <c r="G6" i="4"/>
  <c r="G10" i="4" s="1"/>
  <c r="G6" i="25"/>
  <c r="I21" i="3"/>
  <c r="H35" i="3"/>
  <c r="H36" i="3" s="1"/>
  <c r="H38" i="3" s="1"/>
  <c r="G11" i="4" s="1"/>
  <c r="I7" i="3"/>
  <c r="F6" i="8"/>
  <c r="G13" i="4" l="1"/>
  <c r="I16" i="18"/>
  <c r="H17" i="18"/>
  <c r="I17" i="18" s="1"/>
  <c r="G17" i="18"/>
  <c r="I18" i="4"/>
  <c r="H14" i="7"/>
  <c r="H41" i="7"/>
  <c r="H43" i="7"/>
  <c r="H47" i="7" s="1"/>
  <c r="A22" i="18"/>
  <c r="G28" i="7"/>
  <c r="G33" i="7" s="1"/>
  <c r="G18" i="7"/>
  <c r="I6" i="19"/>
  <c r="I6" i="7"/>
  <c r="H6" i="4"/>
  <c r="H10" i="4" s="1"/>
  <c r="I35" i="3"/>
  <c r="I36" i="3" s="1"/>
  <c r="I38" i="3" s="1"/>
  <c r="H11" i="4" s="1"/>
  <c r="J7" i="3"/>
  <c r="J21" i="3"/>
  <c r="G6" i="8"/>
  <c r="H6" i="25"/>
  <c r="J7" i="19"/>
  <c r="J7" i="7"/>
  <c r="I7" i="4"/>
  <c r="K8" i="3"/>
  <c r="H7" i="8"/>
  <c r="I7" i="25"/>
  <c r="J6" i="19" l="1"/>
  <c r="J6" i="7"/>
  <c r="K7" i="3"/>
  <c r="I6" i="4"/>
  <c r="I10" i="4" s="1"/>
  <c r="I6" i="25"/>
  <c r="H6" i="8"/>
  <c r="J35" i="3"/>
  <c r="J36" i="3" s="1"/>
  <c r="J38" i="3" s="1"/>
  <c r="I11" i="4" s="1"/>
  <c r="H13" i="4"/>
  <c r="A23" i="18"/>
  <c r="I14" i="7"/>
  <c r="I41" i="7"/>
  <c r="I43" i="7"/>
  <c r="I47" i="7" s="1"/>
  <c r="J18" i="4"/>
  <c r="K7" i="19"/>
  <c r="K7" i="7"/>
  <c r="L8" i="3"/>
  <c r="J7" i="4"/>
  <c r="J7" i="25"/>
  <c r="I7" i="8"/>
  <c r="G18" i="18"/>
  <c r="H18" i="18"/>
  <c r="I18" i="18" s="1"/>
  <c r="H28" i="7"/>
  <c r="H33" i="7" s="1"/>
  <c r="H18" i="7"/>
  <c r="H19" i="18" l="1"/>
  <c r="I13" i="4"/>
  <c r="K18" i="4"/>
  <c r="K6" i="19"/>
  <c r="J6" i="4"/>
  <c r="K6" i="7"/>
  <c r="K35" i="3"/>
  <c r="K36" i="3" s="1"/>
  <c r="K38" i="3" s="1"/>
  <c r="J11" i="4" s="1"/>
  <c r="L7" i="3"/>
  <c r="L21" i="3"/>
  <c r="I6" i="8"/>
  <c r="J6" i="25"/>
  <c r="K21" i="3"/>
  <c r="L7" i="19"/>
  <c r="K7" i="4"/>
  <c r="L7" i="7"/>
  <c r="M8" i="3"/>
  <c r="J7" i="8"/>
  <c r="K7" i="25"/>
  <c r="A24" i="18"/>
  <c r="J14" i="7"/>
  <c r="J43" i="7"/>
  <c r="J47" i="7" s="1"/>
  <c r="J41" i="7"/>
  <c r="I28" i="7"/>
  <c r="I33" i="7" s="1"/>
  <c r="I18" i="7"/>
  <c r="J10" i="4" l="1"/>
  <c r="J13" i="4" s="1"/>
  <c r="H24" i="18"/>
  <c r="A25" i="18"/>
  <c r="L18" i="4"/>
  <c r="M7" i="19"/>
  <c r="M7" i="7"/>
  <c r="L7" i="4"/>
  <c r="L7" i="25"/>
  <c r="N8" i="3"/>
  <c r="K7" i="8"/>
  <c r="L6" i="19"/>
  <c r="L6" i="7"/>
  <c r="K6" i="4"/>
  <c r="K10" i="4" s="1"/>
  <c r="K6" i="25"/>
  <c r="L35" i="3"/>
  <c r="L36" i="3" s="1"/>
  <c r="L38" i="3" s="1"/>
  <c r="K11" i="4" s="1"/>
  <c r="J6" i="8"/>
  <c r="M7" i="3"/>
  <c r="M21" i="3" s="1"/>
  <c r="I19" i="18"/>
  <c r="K14" i="7"/>
  <c r="K41" i="7"/>
  <c r="K43" i="7"/>
  <c r="K47" i="7" s="1"/>
  <c r="J28" i="7"/>
  <c r="J33" i="7" s="1"/>
  <c r="J18" i="7"/>
  <c r="G19" i="18"/>
  <c r="N7" i="19" l="1"/>
  <c r="M7" i="4"/>
  <c r="N7" i="7"/>
  <c r="O8" i="3"/>
  <c r="M7" i="25"/>
  <c r="L7" i="8"/>
  <c r="M18" i="4"/>
  <c r="H25" i="18"/>
  <c r="A26" i="18"/>
  <c r="G20" i="18"/>
  <c r="H20" i="18"/>
  <c r="M6" i="19"/>
  <c r="L6" i="4"/>
  <c r="L10" i="4" s="1"/>
  <c r="L13" i="4" s="1"/>
  <c r="M6" i="7"/>
  <c r="M35" i="3"/>
  <c r="M36" i="3" s="1"/>
  <c r="M38" i="3" s="1"/>
  <c r="L11" i="4" s="1"/>
  <c r="N7" i="3"/>
  <c r="K6" i="8"/>
  <c r="L6" i="25"/>
  <c r="L41" i="7"/>
  <c r="L43" i="7"/>
  <c r="L47" i="7" s="1"/>
  <c r="L14" i="7"/>
  <c r="K18" i="7"/>
  <c r="K28" i="7"/>
  <c r="K33" i="7" s="1"/>
  <c r="K13" i="4"/>
  <c r="N18" i="4" l="1"/>
  <c r="I20" i="18"/>
  <c r="G21" i="18"/>
  <c r="H21" i="18"/>
  <c r="I21" i="18" s="1"/>
  <c r="O7" i="19"/>
  <c r="O7" i="7"/>
  <c r="N7" i="4"/>
  <c r="N7" i="25"/>
  <c r="P8" i="3"/>
  <c r="M7" i="8"/>
  <c r="N6" i="7"/>
  <c r="N6" i="19"/>
  <c r="M6" i="4"/>
  <c r="M6" i="25"/>
  <c r="N35" i="3"/>
  <c r="N36" i="3" s="1"/>
  <c r="N38" i="3" s="1"/>
  <c r="M11" i="4" s="1"/>
  <c r="L6" i="8"/>
  <c r="O7" i="3"/>
  <c r="H26" i="18"/>
  <c r="A27" i="18"/>
  <c r="M14" i="7"/>
  <c r="M41" i="7"/>
  <c r="M43" i="7"/>
  <c r="M47" i="7" s="1"/>
  <c r="L28" i="7"/>
  <c r="L33" i="7" s="1"/>
  <c r="L18" i="7"/>
  <c r="N21" i="3"/>
  <c r="O6" i="19" l="1"/>
  <c r="O6" i="7"/>
  <c r="N6" i="4"/>
  <c r="P7" i="3"/>
  <c r="P21" i="3" s="1"/>
  <c r="N6" i="25"/>
  <c r="O35" i="3"/>
  <c r="O36" i="3" s="1"/>
  <c r="O38" i="3" s="1"/>
  <c r="N11" i="4" s="1"/>
  <c r="M6" i="8"/>
  <c r="N41" i="7"/>
  <c r="N43" i="7"/>
  <c r="N47" i="7" s="1"/>
  <c r="N14" i="7"/>
  <c r="G22" i="18"/>
  <c r="H22" i="18"/>
  <c r="O21" i="3"/>
  <c r="M18" i="7"/>
  <c r="M28" i="7"/>
  <c r="M33" i="7" s="1"/>
  <c r="P7" i="19"/>
  <c r="P7" i="7"/>
  <c r="O7" i="4"/>
  <c r="Q8" i="3"/>
  <c r="O7" i="25"/>
  <c r="N7" i="8"/>
  <c r="H27" i="18"/>
  <c r="A28" i="18"/>
  <c r="M10" i="4"/>
  <c r="M13" i="4" s="1"/>
  <c r="O18" i="4"/>
  <c r="I22" i="18" l="1"/>
  <c r="H23" i="18"/>
  <c r="I23" i="18" s="1"/>
  <c r="I24" i="18" s="1"/>
  <c r="I25" i="18" s="1"/>
  <c r="I26" i="18" s="1"/>
  <c r="I27" i="18" s="1"/>
  <c r="I28" i="18" s="1"/>
  <c r="P6" i="19"/>
  <c r="P6" i="7"/>
  <c r="O6" i="4"/>
  <c r="O10" i="4" s="1"/>
  <c r="O6" i="25"/>
  <c r="Q7" i="3"/>
  <c r="N6" i="8"/>
  <c r="P35" i="3"/>
  <c r="P36" i="3" s="1"/>
  <c r="P38" i="3" s="1"/>
  <c r="O11" i="4" s="1"/>
  <c r="P18" i="4"/>
  <c r="Q7" i="7"/>
  <c r="Q7" i="19"/>
  <c r="P7" i="4"/>
  <c r="P7" i="25"/>
  <c r="R8" i="3"/>
  <c r="O7" i="8"/>
  <c r="N18" i="7"/>
  <c r="N28" i="7"/>
  <c r="N33" i="7" s="1"/>
  <c r="N10" i="4"/>
  <c r="N13" i="4" s="1"/>
  <c r="A29" i="18"/>
  <c r="H28" i="18"/>
  <c r="O14" i="7"/>
  <c r="O41" i="7"/>
  <c r="O43" i="7"/>
  <c r="O47" i="7" s="1"/>
  <c r="O13" i="4" l="1"/>
  <c r="Q18" i="4"/>
  <c r="P14" i="7"/>
  <c r="P41" i="7"/>
  <c r="P43" i="7"/>
  <c r="P47" i="7" s="1"/>
  <c r="R7" i="19"/>
  <c r="R7" i="7"/>
  <c r="Q7" i="4"/>
  <c r="S8" i="3"/>
  <c r="P7" i="8"/>
  <c r="Q7" i="25"/>
  <c r="G23" i="18"/>
  <c r="G24" i="18" s="1"/>
  <c r="G25" i="18" s="1"/>
  <c r="G26" i="18" s="1"/>
  <c r="G27" i="18" s="1"/>
  <c r="G28" i="18" s="1"/>
  <c r="G29" i="18" s="1"/>
  <c r="O28" i="7"/>
  <c r="O33" i="7" s="1"/>
  <c r="O18" i="7"/>
  <c r="A30" i="18"/>
  <c r="H29" i="18"/>
  <c r="I29" i="18"/>
  <c r="Q6" i="19"/>
  <c r="Q6" i="7"/>
  <c r="P6" i="4"/>
  <c r="P10" i="4" s="1"/>
  <c r="Q35" i="3"/>
  <c r="Q36" i="3" s="1"/>
  <c r="Q38" i="3" s="1"/>
  <c r="P11" i="4" s="1"/>
  <c r="R7" i="3"/>
  <c r="P6" i="25"/>
  <c r="O6" i="8"/>
  <c r="R21" i="3"/>
  <c r="Q21" i="3"/>
  <c r="P28" i="7" l="1"/>
  <c r="P33" i="7" s="1"/>
  <c r="P18" i="7"/>
  <c r="R18" i="4"/>
  <c r="H30" i="18"/>
  <c r="G30" i="18" s="1"/>
  <c r="A31" i="18"/>
  <c r="I30" i="18"/>
  <c r="P13" i="4"/>
  <c r="Q14" i="7"/>
  <c r="Q41" i="7"/>
  <c r="Q43" i="7"/>
  <c r="Q47" i="7" s="1"/>
  <c r="S7" i="19"/>
  <c r="S7" i="7"/>
  <c r="R7" i="4"/>
  <c r="T8" i="3"/>
  <c r="R7" i="25"/>
  <c r="Q7" i="8"/>
  <c r="R6" i="19"/>
  <c r="R6" i="7"/>
  <c r="Q6" i="4"/>
  <c r="Q10" i="4" s="1"/>
  <c r="Q13" i="4" s="1"/>
  <c r="S21" i="3"/>
  <c r="S7" i="3"/>
  <c r="Q6" i="25"/>
  <c r="P6" i="8"/>
  <c r="R35" i="3"/>
  <c r="R36" i="3" s="1"/>
  <c r="R38" i="3" s="1"/>
  <c r="Q11" i="4" s="1"/>
  <c r="R14" i="7" l="1"/>
  <c r="R43" i="7"/>
  <c r="R47" i="7" s="1"/>
  <c r="R41" i="7"/>
  <c r="S18" i="4"/>
  <c r="H31" i="18"/>
  <c r="G31" i="18" s="1"/>
  <c r="I31" i="18"/>
  <c r="A32" i="18"/>
  <c r="T7" i="19"/>
  <c r="T7" i="7"/>
  <c r="S7" i="4"/>
  <c r="U8" i="3"/>
  <c r="R7" i="8"/>
  <c r="S7" i="25"/>
  <c r="Q28" i="7"/>
  <c r="Q33" i="7" s="1"/>
  <c r="Q18" i="7"/>
  <c r="S6" i="19"/>
  <c r="S6" i="7"/>
  <c r="R6" i="4"/>
  <c r="R10" i="4" s="1"/>
  <c r="S35" i="3"/>
  <c r="S36" i="3" s="1"/>
  <c r="S38" i="3" s="1"/>
  <c r="R11" i="4" s="1"/>
  <c r="T7" i="3"/>
  <c r="R6" i="25"/>
  <c r="Q6" i="8"/>
  <c r="T21" i="3"/>
  <c r="R13" i="4" l="1"/>
  <c r="S14" i="7"/>
  <c r="S43" i="7"/>
  <c r="S47" i="7" s="1"/>
  <c r="S41" i="7"/>
  <c r="T18" i="4"/>
  <c r="U7" i="19"/>
  <c r="U7" i="7"/>
  <c r="T7" i="4"/>
  <c r="T7" i="25"/>
  <c r="S7" i="8"/>
  <c r="V8" i="3"/>
  <c r="R28" i="7"/>
  <c r="R33" i="7" s="1"/>
  <c r="R18" i="7"/>
  <c r="T6" i="19"/>
  <c r="T6" i="7"/>
  <c r="S6" i="4"/>
  <c r="S10" i="4" s="1"/>
  <c r="S6" i="25"/>
  <c r="T35" i="3"/>
  <c r="T36" i="3" s="1"/>
  <c r="T38" i="3" s="1"/>
  <c r="S11" i="4" s="1"/>
  <c r="R6" i="8"/>
  <c r="U7" i="3"/>
  <c r="U21" i="3" s="1"/>
  <c r="H32" i="18"/>
  <c r="G32" i="18" s="1"/>
  <c r="I32" i="18"/>
  <c r="A33" i="18"/>
  <c r="V7" i="19" l="1"/>
  <c r="U7" i="4"/>
  <c r="V7" i="7"/>
  <c r="W8" i="3"/>
  <c r="T7" i="8"/>
  <c r="U7" i="25"/>
  <c r="H33" i="18"/>
  <c r="H34" i="18" s="1"/>
  <c r="C46" i="2" s="1"/>
  <c r="I33" i="18"/>
  <c r="S18" i="7"/>
  <c r="S28" i="7"/>
  <c r="S33" i="7" s="1"/>
  <c r="U18" i="4"/>
  <c r="S13" i="4"/>
  <c r="T14" i="7"/>
  <c r="T43" i="7"/>
  <c r="T47" i="7" s="1"/>
  <c r="T41" i="7"/>
  <c r="U6" i="19"/>
  <c r="U6" i="7"/>
  <c r="T6" i="4"/>
  <c r="T10" i="4" s="1"/>
  <c r="V21" i="3"/>
  <c r="U35" i="3"/>
  <c r="U36" i="3" s="1"/>
  <c r="U38" i="3" s="1"/>
  <c r="T11" i="4" s="1"/>
  <c r="V7" i="3"/>
  <c r="T6" i="25"/>
  <c r="S6" i="8"/>
  <c r="U14" i="7" l="1"/>
  <c r="U43" i="7"/>
  <c r="U47" i="7" s="1"/>
  <c r="U41" i="7"/>
  <c r="V18" i="4"/>
  <c r="T13" i="4"/>
  <c r="W7" i="19"/>
  <c r="W7" i="7"/>
  <c r="V7" i="4"/>
  <c r="V7" i="25"/>
  <c r="X8" i="3"/>
  <c r="U7" i="8"/>
  <c r="T18" i="7"/>
  <c r="T28" i="7"/>
  <c r="T33" i="7" s="1"/>
  <c r="V6" i="19"/>
  <c r="V6" i="7"/>
  <c r="U6" i="4"/>
  <c r="U10" i="4" s="1"/>
  <c r="U6" i="25"/>
  <c r="W7" i="3"/>
  <c r="W21" i="3" s="1"/>
  <c r="T6" i="8"/>
  <c r="V35" i="3"/>
  <c r="V36" i="3" s="1"/>
  <c r="V38" i="3" s="1"/>
  <c r="U11" i="4" s="1"/>
  <c r="D46" i="2"/>
  <c r="C50" i="2"/>
  <c r="B16" i="7"/>
  <c r="G33" i="18"/>
  <c r="W18" i="4" l="1"/>
  <c r="G16" i="7"/>
  <c r="O16" i="7"/>
  <c r="W16" i="7"/>
  <c r="AE16" i="7"/>
  <c r="H16" i="7"/>
  <c r="P16" i="7"/>
  <c r="X16" i="7"/>
  <c r="AF16" i="7"/>
  <c r="I16" i="7"/>
  <c r="Q16" i="7"/>
  <c r="Y16" i="7"/>
  <c r="AG16" i="7"/>
  <c r="J16" i="7"/>
  <c r="R16" i="7"/>
  <c r="Z16" i="7"/>
  <c r="AH16" i="7"/>
  <c r="K16" i="7"/>
  <c r="S16" i="7"/>
  <c r="AA16" i="7"/>
  <c r="B19" i="7"/>
  <c r="B31" i="7"/>
  <c r="E16" i="7"/>
  <c r="M16" i="7"/>
  <c r="U16" i="7"/>
  <c r="AC16" i="7"/>
  <c r="T16" i="7"/>
  <c r="V16" i="7"/>
  <c r="AB16" i="7"/>
  <c r="AD16" i="7"/>
  <c r="D16" i="7"/>
  <c r="L16" i="7"/>
  <c r="F16" i="7"/>
  <c r="B45" i="7"/>
  <c r="N16" i="7"/>
  <c r="X7" i="7"/>
  <c r="X7" i="19"/>
  <c r="W7" i="4"/>
  <c r="Y8" i="3"/>
  <c r="W7" i="25"/>
  <c r="V7" i="8"/>
  <c r="D50" i="2"/>
  <c r="B17" i="7"/>
  <c r="C58" i="2"/>
  <c r="V41" i="7"/>
  <c r="V45" i="7" s="1"/>
  <c r="V14" i="7"/>
  <c r="V43" i="7"/>
  <c r="V47" i="7" s="1"/>
  <c r="U18" i="7"/>
  <c r="U28" i="7"/>
  <c r="U33" i="7" s="1"/>
  <c r="W6" i="19"/>
  <c r="W6" i="7"/>
  <c r="V6" i="4"/>
  <c r="V10" i="4" s="1"/>
  <c r="V13" i="4" s="1"/>
  <c r="X7" i="3"/>
  <c r="V6" i="25"/>
  <c r="W35" i="3"/>
  <c r="W36" i="3" s="1"/>
  <c r="W38" i="3" s="1"/>
  <c r="V11" i="4" s="1"/>
  <c r="U6" i="8"/>
  <c r="U13" i="4"/>
  <c r="B28" i="2" l="1"/>
  <c r="B39" i="2"/>
  <c r="B42" i="2"/>
  <c r="B53" i="2"/>
  <c r="C11" i="2"/>
  <c r="B23" i="2"/>
  <c r="B26" i="2"/>
  <c r="B29" i="2"/>
  <c r="B31" i="2"/>
  <c r="B43" i="2"/>
  <c r="B54" i="2"/>
  <c r="B33" i="2"/>
  <c r="B47" i="2"/>
  <c r="B49" i="2"/>
  <c r="B24" i="2"/>
  <c r="B37" i="2"/>
  <c r="B40" i="2"/>
  <c r="B44" i="2"/>
  <c r="B55" i="2"/>
  <c r="D58" i="2"/>
  <c r="C62" i="2" s="1"/>
  <c r="B32" i="2"/>
  <c r="B38" i="2"/>
  <c r="C18" i="19"/>
  <c r="C20" i="19" s="1"/>
  <c r="C25" i="19" s="1"/>
  <c r="B27" i="2"/>
  <c r="B22" i="2"/>
  <c r="B41" i="2"/>
  <c r="B30" i="2"/>
  <c r="B20" i="2"/>
  <c r="B45" i="2"/>
  <c r="B25" i="2"/>
  <c r="AG51" i="25"/>
  <c r="B48" i="2"/>
  <c r="B21" i="2"/>
  <c r="B46" i="2"/>
  <c r="X6" i="19"/>
  <c r="X6" i="7"/>
  <c r="W6" i="4"/>
  <c r="W6" i="25"/>
  <c r="X35" i="3"/>
  <c r="X36" i="3" s="1"/>
  <c r="X38" i="3" s="1"/>
  <c r="W11" i="4" s="1"/>
  <c r="Y7" i="3"/>
  <c r="V6" i="8"/>
  <c r="B21" i="7"/>
  <c r="E45" i="7"/>
  <c r="D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K19" i="7"/>
  <c r="I19" i="7"/>
  <c r="U45" i="7"/>
  <c r="G17" i="7"/>
  <c r="G19" i="7" s="1"/>
  <c r="O17" i="7"/>
  <c r="W17" i="7"/>
  <c r="AE17" i="7"/>
  <c r="H17" i="7"/>
  <c r="P17" i="7"/>
  <c r="P19" i="7" s="1"/>
  <c r="X17" i="7"/>
  <c r="AF17" i="7"/>
  <c r="I17" i="7"/>
  <c r="Q17" i="7"/>
  <c r="Y17" i="7"/>
  <c r="AG17" i="7"/>
  <c r="J17" i="7"/>
  <c r="R17" i="7"/>
  <c r="R19" i="7" s="1"/>
  <c r="Z17" i="7"/>
  <c r="AH17" i="7"/>
  <c r="K17" i="7"/>
  <c r="S17" i="7"/>
  <c r="S19" i="7" s="1"/>
  <c r="AA17" i="7"/>
  <c r="B32" i="7"/>
  <c r="E17" i="7"/>
  <c r="E19" i="7" s="1"/>
  <c r="M17" i="7"/>
  <c r="M19" i="7" s="1"/>
  <c r="U17" i="7"/>
  <c r="U19" i="7" s="1"/>
  <c r="AC17" i="7"/>
  <c r="T17" i="7"/>
  <c r="V17" i="7"/>
  <c r="V19" i="7" s="1"/>
  <c r="AB17" i="7"/>
  <c r="AD17" i="7"/>
  <c r="D17" i="7"/>
  <c r="D19" i="7" s="1"/>
  <c r="D21" i="7" s="1"/>
  <c r="E21" i="7" s="1"/>
  <c r="L17" i="7"/>
  <c r="L19" i="7" s="1"/>
  <c r="B46" i="7"/>
  <c r="F17" i="7"/>
  <c r="F19" i="7" s="1"/>
  <c r="N17" i="7"/>
  <c r="N19" i="7" s="1"/>
  <c r="Q19" i="7"/>
  <c r="O19" i="7"/>
  <c r="Y7" i="19"/>
  <c r="Y7" i="7"/>
  <c r="X7" i="4"/>
  <c r="X7" i="25"/>
  <c r="W7" i="8"/>
  <c r="Z8" i="3"/>
  <c r="X18" i="4"/>
  <c r="W14" i="7"/>
  <c r="W41" i="7"/>
  <c r="W45" i="7" s="1"/>
  <c r="W43" i="7"/>
  <c r="W47" i="7" s="1"/>
  <c r="T19" i="7"/>
  <c r="X21" i="3"/>
  <c r="V18" i="7"/>
  <c r="V28" i="7"/>
  <c r="V33" i="7" s="1"/>
  <c r="G31" i="7"/>
  <c r="O31" i="7"/>
  <c r="W31" i="7"/>
  <c r="AE31" i="7"/>
  <c r="H31" i="7"/>
  <c r="P31" i="7"/>
  <c r="X31" i="7"/>
  <c r="AF31" i="7"/>
  <c r="I31" i="7"/>
  <c r="Q31" i="7"/>
  <c r="Y31" i="7"/>
  <c r="AG31" i="7"/>
  <c r="J31" i="7"/>
  <c r="R31" i="7"/>
  <c r="Z31" i="7"/>
  <c r="AH31" i="7"/>
  <c r="K31" i="7"/>
  <c r="S31" i="7"/>
  <c r="AA31" i="7"/>
  <c r="U31" i="7"/>
  <c r="D31" i="7"/>
  <c r="V31" i="7"/>
  <c r="E31" i="7"/>
  <c r="AB31" i="7"/>
  <c r="F31" i="7"/>
  <c r="AC31" i="7"/>
  <c r="L31" i="7"/>
  <c r="AD31" i="7"/>
  <c r="N31" i="7"/>
  <c r="T31" i="7"/>
  <c r="M31" i="7"/>
  <c r="J19" i="7"/>
  <c r="H19" i="7"/>
  <c r="F21" i="7" l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K34" i="7"/>
  <c r="I12" i="8" s="1"/>
  <c r="W18" i="7"/>
  <c r="W19" i="7" s="1"/>
  <c r="W28" i="7"/>
  <c r="W33" i="7" s="1"/>
  <c r="H46" i="7"/>
  <c r="O46" i="7"/>
  <c r="O48" i="7" s="1"/>
  <c r="N34" i="4" s="1"/>
  <c r="M11" i="8" s="1"/>
  <c r="W46" i="7"/>
  <c r="AE46" i="7"/>
  <c r="P46" i="7"/>
  <c r="X46" i="7"/>
  <c r="AF46" i="7"/>
  <c r="J46" i="7"/>
  <c r="J48" i="7" s="1"/>
  <c r="I34" i="4" s="1"/>
  <c r="H11" i="8" s="1"/>
  <c r="R46" i="7"/>
  <c r="Z46" i="7"/>
  <c r="AH46" i="7"/>
  <c r="L46" i="7"/>
  <c r="L48" i="7" s="1"/>
  <c r="K34" i="4" s="1"/>
  <c r="J11" i="8" s="1"/>
  <c r="N46" i="7"/>
  <c r="T46" i="7"/>
  <c r="T48" i="7" s="1"/>
  <c r="S34" i="4" s="1"/>
  <c r="R11" i="8" s="1"/>
  <c r="AB46" i="7"/>
  <c r="AD46" i="7"/>
  <c r="V46" i="7"/>
  <c r="V48" i="7" s="1"/>
  <c r="U34" i="4" s="1"/>
  <c r="T11" i="8" s="1"/>
  <c r="AA46" i="7"/>
  <c r="S46" i="7"/>
  <c r="AC46" i="7"/>
  <c r="M46" i="7"/>
  <c r="K46" i="7"/>
  <c r="AG46" i="7"/>
  <c r="Y46" i="7"/>
  <c r="Q46" i="7"/>
  <c r="U46" i="7"/>
  <c r="U48" i="7" s="1"/>
  <c r="T34" i="4" s="1"/>
  <c r="S11" i="8" s="1"/>
  <c r="E46" i="7"/>
  <c r="F46" i="7"/>
  <c r="G46" i="7"/>
  <c r="D46" i="7"/>
  <c r="I46" i="7"/>
  <c r="N48" i="7"/>
  <c r="M34" i="4" s="1"/>
  <c r="L11" i="8" s="1"/>
  <c r="F48" i="7"/>
  <c r="E34" i="4" s="1"/>
  <c r="D11" i="8" s="1"/>
  <c r="G48" i="7"/>
  <c r="F34" i="4" s="1"/>
  <c r="E11" i="8" s="1"/>
  <c r="Y6" i="19"/>
  <c r="Y6" i="7"/>
  <c r="X6" i="4"/>
  <c r="X10" i="4" s="1"/>
  <c r="X13" i="4" s="1"/>
  <c r="Y35" i="3"/>
  <c r="Y36" i="3" s="1"/>
  <c r="Y38" i="3" s="1"/>
  <c r="X11" i="4" s="1"/>
  <c r="Z7" i="3"/>
  <c r="W6" i="8"/>
  <c r="X6" i="25"/>
  <c r="E48" i="7"/>
  <c r="D34" i="4" s="1"/>
  <c r="C11" i="8" s="1"/>
  <c r="B34" i="2"/>
  <c r="B56" i="2"/>
  <c r="C47" i="19"/>
  <c r="D48" i="7"/>
  <c r="P34" i="7"/>
  <c r="N12" i="8" s="1"/>
  <c r="O32" i="7"/>
  <c r="W32" i="7"/>
  <c r="AE32" i="7"/>
  <c r="P32" i="7"/>
  <c r="X32" i="7"/>
  <c r="AF32" i="7"/>
  <c r="Q32" i="7"/>
  <c r="Q34" i="7" s="1"/>
  <c r="O12" i="8" s="1"/>
  <c r="Y32" i="7"/>
  <c r="AG32" i="7"/>
  <c r="J32" i="7"/>
  <c r="R32" i="7"/>
  <c r="R34" i="7" s="1"/>
  <c r="P12" i="8" s="1"/>
  <c r="Z32" i="7"/>
  <c r="AH32" i="7"/>
  <c r="K32" i="7"/>
  <c r="S32" i="7"/>
  <c r="AA32" i="7"/>
  <c r="AC32" i="7"/>
  <c r="U32" i="7"/>
  <c r="V32" i="7"/>
  <c r="V34" i="7" s="1"/>
  <c r="T12" i="8" s="1"/>
  <c r="AB32" i="7"/>
  <c r="AD32" i="7"/>
  <c r="M32" i="7"/>
  <c r="L32" i="7"/>
  <c r="N32" i="7"/>
  <c r="T32" i="7"/>
  <c r="T34" i="7" s="1"/>
  <c r="R12" i="8" s="1"/>
  <c r="H32" i="7"/>
  <c r="E32" i="7"/>
  <c r="G32" i="7"/>
  <c r="G34" i="7" s="1"/>
  <c r="E12" i="8" s="1"/>
  <c r="F32" i="7"/>
  <c r="F34" i="7" s="1"/>
  <c r="D12" i="8" s="1"/>
  <c r="D32" i="7"/>
  <c r="I32" i="7"/>
  <c r="I34" i="7" s="1"/>
  <c r="G12" i="8" s="1"/>
  <c r="S48" i="7"/>
  <c r="R34" i="4" s="1"/>
  <c r="Q11" i="8" s="1"/>
  <c r="K48" i="7"/>
  <c r="J34" i="4" s="1"/>
  <c r="I11" i="8" s="1"/>
  <c r="B48" i="7"/>
  <c r="Y21" i="3"/>
  <c r="W48" i="7"/>
  <c r="V34" i="4" s="1"/>
  <c r="U11" i="8" s="1"/>
  <c r="D34" i="7"/>
  <c r="B12" i="8" s="1"/>
  <c r="J34" i="7"/>
  <c r="H12" i="8" s="1"/>
  <c r="H34" i="7"/>
  <c r="F12" i="8" s="1"/>
  <c r="R48" i="7"/>
  <c r="Q34" i="4" s="1"/>
  <c r="P11" i="8" s="1"/>
  <c r="S34" i="7"/>
  <c r="Q12" i="8" s="1"/>
  <c r="Z7" i="19"/>
  <c r="Y7" i="4"/>
  <c r="Z7" i="7"/>
  <c r="AA8" i="3"/>
  <c r="Y7" i="25"/>
  <c r="X7" i="8"/>
  <c r="M34" i="7"/>
  <c r="K12" i="8" s="1"/>
  <c r="M48" i="7"/>
  <c r="L34" i="4" s="1"/>
  <c r="K11" i="8" s="1"/>
  <c r="Y18" i="4"/>
  <c r="N34" i="7"/>
  <c r="L12" i="8" s="1"/>
  <c r="U34" i="7"/>
  <c r="S12" i="8" s="1"/>
  <c r="L34" i="7"/>
  <c r="J12" i="8" s="1"/>
  <c r="B34" i="7"/>
  <c r="Q48" i="7"/>
  <c r="P34" i="4" s="1"/>
  <c r="O11" i="8" s="1"/>
  <c r="I48" i="7"/>
  <c r="H34" i="4" s="1"/>
  <c r="G11" i="8" s="1"/>
  <c r="W10" i="4"/>
  <c r="W13" i="4" s="1"/>
  <c r="O34" i="7"/>
  <c r="M12" i="8" s="1"/>
  <c r="E34" i="7"/>
  <c r="C12" i="8" s="1"/>
  <c r="C14" i="2"/>
  <c r="G41" i="19"/>
  <c r="O41" i="19"/>
  <c r="W41" i="19"/>
  <c r="AE41" i="19"/>
  <c r="D11" i="2"/>
  <c r="I41" i="19"/>
  <c r="Q41" i="19"/>
  <c r="Y41" i="19"/>
  <c r="AG41" i="19"/>
  <c r="E41" i="19"/>
  <c r="P41" i="19"/>
  <c r="AA41" i="19"/>
  <c r="H47" i="2"/>
  <c r="F41" i="19"/>
  <c r="R41" i="19"/>
  <c r="AB41" i="19"/>
  <c r="H41" i="19"/>
  <c r="S41" i="19"/>
  <c r="AC41" i="19"/>
  <c r="J41" i="19"/>
  <c r="T41" i="19"/>
  <c r="AD41" i="19"/>
  <c r="K41" i="19"/>
  <c r="U41" i="19"/>
  <c r="AF41" i="19"/>
  <c r="C41" i="19"/>
  <c r="C43" i="19" s="1"/>
  <c r="C45" i="19" s="1"/>
  <c r="M41" i="19"/>
  <c r="X41" i="19"/>
  <c r="Z41" i="19"/>
  <c r="AH41" i="19"/>
  <c r="D41" i="19"/>
  <c r="N41" i="19"/>
  <c r="L41" i="19"/>
  <c r="V41" i="19"/>
  <c r="B36" i="25"/>
  <c r="B38" i="25" s="1"/>
  <c r="B25" i="25"/>
  <c r="B42" i="25"/>
  <c r="B45" i="25" s="1"/>
  <c r="B56" i="25"/>
  <c r="B59" i="25" s="1"/>
  <c r="B49" i="25"/>
  <c r="B52" i="25" s="1"/>
  <c r="H48" i="2"/>
  <c r="W34" i="7"/>
  <c r="U12" i="8" s="1"/>
  <c r="P48" i="7"/>
  <c r="O34" i="4" s="1"/>
  <c r="N11" i="8" s="1"/>
  <c r="H48" i="7"/>
  <c r="G34" i="4" s="1"/>
  <c r="F11" i="8" s="1"/>
  <c r="X14" i="7"/>
  <c r="X41" i="7"/>
  <c r="X45" i="7" s="1"/>
  <c r="X48" i="7" s="1"/>
  <c r="W34" i="4" s="1"/>
  <c r="V11" i="8" s="1"/>
  <c r="X43" i="7"/>
  <c r="X47" i="7" s="1"/>
  <c r="B50" i="2"/>
  <c r="D18" i="19" l="1"/>
  <c r="L18" i="19"/>
  <c r="L20" i="19" s="1"/>
  <c r="L25" i="19" s="1"/>
  <c r="T18" i="19"/>
  <c r="AB18" i="19"/>
  <c r="E18" i="19"/>
  <c r="M18" i="19"/>
  <c r="U18" i="19"/>
  <c r="AC18" i="19"/>
  <c r="F18" i="19"/>
  <c r="N18" i="19"/>
  <c r="N20" i="19" s="1"/>
  <c r="N25" i="19" s="1"/>
  <c r="V18" i="19"/>
  <c r="AD18" i="19"/>
  <c r="G18" i="19"/>
  <c r="O18" i="19"/>
  <c r="W18" i="19"/>
  <c r="AE18" i="19"/>
  <c r="H18" i="19"/>
  <c r="P18" i="19"/>
  <c r="P20" i="19" s="1"/>
  <c r="P25" i="19" s="1"/>
  <c r="X18" i="19"/>
  <c r="AF18" i="19"/>
  <c r="Z18" i="19"/>
  <c r="I18" i="19"/>
  <c r="AA18" i="19"/>
  <c r="J18" i="19"/>
  <c r="J20" i="19" s="1"/>
  <c r="J25" i="19" s="1"/>
  <c r="AG18" i="19"/>
  <c r="K18" i="19"/>
  <c r="K20" i="19" s="1"/>
  <c r="K25" i="19" s="1"/>
  <c r="AH18" i="19"/>
  <c r="Q18" i="19"/>
  <c r="S18" i="19"/>
  <c r="R18" i="19"/>
  <c r="Y18" i="19"/>
  <c r="B50" i="7"/>
  <c r="D50" i="7"/>
  <c r="Z6" i="19"/>
  <c r="Z6" i="7"/>
  <c r="Y6" i="4"/>
  <c r="Y10" i="4" s="1"/>
  <c r="AA21" i="3"/>
  <c r="AA7" i="3"/>
  <c r="Y6" i="25"/>
  <c r="Z35" i="3"/>
  <c r="Z36" i="3" s="1"/>
  <c r="Z38" i="3" s="1"/>
  <c r="Y11" i="4" s="1"/>
  <c r="X6" i="8"/>
  <c r="AA7" i="19"/>
  <c r="AA7" i="7"/>
  <c r="Z7" i="4"/>
  <c r="AB8" i="3"/>
  <c r="Z7" i="25"/>
  <c r="Y7" i="8"/>
  <c r="Y14" i="7"/>
  <c r="Y41" i="7"/>
  <c r="Y45" i="7" s="1"/>
  <c r="Y43" i="7"/>
  <c r="Y47" i="7" s="1"/>
  <c r="B36" i="7"/>
  <c r="D36" i="7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D14" i="2"/>
  <c r="B14" i="2"/>
  <c r="B12" i="2"/>
  <c r="Z18" i="4"/>
  <c r="B29" i="25"/>
  <c r="C25" i="25" s="1"/>
  <c r="C26" i="25"/>
  <c r="X28" i="7"/>
  <c r="X33" i="7" s="1"/>
  <c r="X34" i="7" s="1"/>
  <c r="V12" i="8" s="1"/>
  <c r="X18" i="7"/>
  <c r="X19" i="7" s="1"/>
  <c r="B11" i="2"/>
  <c r="E19" i="19"/>
  <c r="M19" i="19"/>
  <c r="U19" i="19"/>
  <c r="F19" i="19"/>
  <c r="N19" i="19"/>
  <c r="V19" i="19"/>
  <c r="G19" i="19"/>
  <c r="O19" i="19"/>
  <c r="W19" i="19"/>
  <c r="H19" i="19"/>
  <c r="P19" i="19"/>
  <c r="X19" i="19"/>
  <c r="I19" i="19"/>
  <c r="Q19" i="19"/>
  <c r="R19" i="19"/>
  <c r="S19" i="19"/>
  <c r="T19" i="19"/>
  <c r="D19" i="19"/>
  <c r="K19" i="19"/>
  <c r="L19" i="19"/>
  <c r="J19" i="19"/>
  <c r="C34" i="4"/>
  <c r="B11" i="8" s="1"/>
  <c r="Z21" i="3"/>
  <c r="W21" i="7"/>
  <c r="X21" i="7" s="1"/>
  <c r="B58" i="2"/>
  <c r="Y48" i="7" l="1"/>
  <c r="E50" i="7"/>
  <c r="C24" i="4"/>
  <c r="H20" i="19"/>
  <c r="H25" i="19" s="1"/>
  <c r="F20" i="19"/>
  <c r="F25" i="19" s="1"/>
  <c r="D20" i="19"/>
  <c r="D25" i="19" s="1"/>
  <c r="AA6" i="19"/>
  <c r="AA6" i="7"/>
  <c r="Z6" i="4"/>
  <c r="Z10" i="4" s="1"/>
  <c r="AA35" i="3"/>
  <c r="AA36" i="3" s="1"/>
  <c r="AA38" i="3" s="1"/>
  <c r="Z11" i="4" s="1"/>
  <c r="AB7" i="3"/>
  <c r="Y6" i="8"/>
  <c r="Z6" i="25"/>
  <c r="W20" i="19"/>
  <c r="W25" i="19" s="1"/>
  <c r="U20" i="19"/>
  <c r="U25" i="19" s="1"/>
  <c r="AA18" i="4"/>
  <c r="R20" i="19"/>
  <c r="R25" i="19" s="1"/>
  <c r="I20" i="19"/>
  <c r="I25" i="19" s="1"/>
  <c r="O20" i="19"/>
  <c r="O25" i="19" s="1"/>
  <c r="M20" i="19"/>
  <c r="M25" i="19" s="1"/>
  <c r="Y21" i="7"/>
  <c r="AB7" i="19"/>
  <c r="AB7" i="7"/>
  <c r="AA7" i="4"/>
  <c r="AC8" i="3"/>
  <c r="AA7" i="25"/>
  <c r="Z7" i="8"/>
  <c r="X36" i="7"/>
  <c r="Y36" i="7" s="1"/>
  <c r="Y13" i="4"/>
  <c r="S20" i="19"/>
  <c r="S25" i="19" s="1"/>
  <c r="G20" i="19"/>
  <c r="G25" i="19" s="1"/>
  <c r="E20" i="19"/>
  <c r="E25" i="19" s="1"/>
  <c r="Y28" i="7"/>
  <c r="Y33" i="7" s="1"/>
  <c r="Y34" i="7" s="1"/>
  <c r="W12" i="8" s="1"/>
  <c r="Y18" i="7"/>
  <c r="Y19" i="7" s="1"/>
  <c r="Z14" i="7"/>
  <c r="Z41" i="7"/>
  <c r="Z45" i="7" s="1"/>
  <c r="Z48" i="7" s="1"/>
  <c r="Y34" i="4" s="1"/>
  <c r="X11" i="8" s="1"/>
  <c r="Z43" i="7"/>
  <c r="Z47" i="7" s="1"/>
  <c r="Q20" i="19"/>
  <c r="Q25" i="19" s="1"/>
  <c r="X20" i="19"/>
  <c r="X25" i="19" s="1"/>
  <c r="V20" i="19"/>
  <c r="V25" i="19" s="1"/>
  <c r="T20" i="19"/>
  <c r="T25" i="19" s="1"/>
  <c r="AB18" i="4" l="1"/>
  <c r="Z36" i="7"/>
  <c r="Z13" i="4"/>
  <c r="Z28" i="7"/>
  <c r="Z33" i="7" s="1"/>
  <c r="Z34" i="7" s="1"/>
  <c r="X12" i="8" s="1"/>
  <c r="Z18" i="7"/>
  <c r="Z19" i="7" s="1"/>
  <c r="Z21" i="7" s="1"/>
  <c r="AA14" i="7"/>
  <c r="AA41" i="7"/>
  <c r="AA45" i="7" s="1"/>
  <c r="AA43" i="7"/>
  <c r="AA47" i="7" s="1"/>
  <c r="N31" i="2"/>
  <c r="O31" i="2" s="1"/>
  <c r="C30" i="4"/>
  <c r="C32" i="4" s="1"/>
  <c r="AB6" i="19"/>
  <c r="AB6" i="7"/>
  <c r="AA6" i="4"/>
  <c r="AA10" i="4" s="1"/>
  <c r="AA6" i="25"/>
  <c r="AB35" i="3"/>
  <c r="AB36" i="3" s="1"/>
  <c r="AB38" i="3" s="1"/>
  <c r="AA11" i="4" s="1"/>
  <c r="AC7" i="3"/>
  <c r="Z6" i="8"/>
  <c r="AC7" i="19"/>
  <c r="AC7" i="7"/>
  <c r="AB7" i="4"/>
  <c r="AB7" i="25"/>
  <c r="AD8" i="3"/>
  <c r="AA7" i="8"/>
  <c r="D24" i="4"/>
  <c r="D30" i="4" s="1"/>
  <c r="D32" i="4" s="1"/>
  <c r="F50" i="7"/>
  <c r="AB21" i="3"/>
  <c r="X34" i="4"/>
  <c r="W11" i="8" s="1"/>
  <c r="Y19" i="19"/>
  <c r="Y20" i="19" s="1"/>
  <c r="Y25" i="19" s="1"/>
  <c r="Z19" i="19"/>
  <c r="Z20" i="19" s="1"/>
  <c r="Z25" i="19" s="1"/>
  <c r="AD7" i="19" l="1"/>
  <c r="AD7" i="7"/>
  <c r="AC7" i="4"/>
  <c r="AE8" i="3"/>
  <c r="AC7" i="25"/>
  <c r="AB7" i="8"/>
  <c r="B74" i="2"/>
  <c r="C36" i="4"/>
  <c r="C11" i="25"/>
  <c r="C13" i="25" s="1"/>
  <c r="B38" i="6"/>
  <c r="AC6" i="19"/>
  <c r="AC6" i="7"/>
  <c r="AB6" i="4"/>
  <c r="AB10" i="4" s="1"/>
  <c r="AB13" i="4" s="1"/>
  <c r="AC35" i="3"/>
  <c r="AC36" i="3" s="1"/>
  <c r="AC38" i="3" s="1"/>
  <c r="AB11" i="4" s="1"/>
  <c r="AD7" i="3"/>
  <c r="AA6" i="8"/>
  <c r="AB6" i="25"/>
  <c r="G50" i="7"/>
  <c r="E24" i="4"/>
  <c r="E30" i="4" s="1"/>
  <c r="E32" i="4" s="1"/>
  <c r="AA48" i="7"/>
  <c r="C74" i="2"/>
  <c r="D36" i="4"/>
  <c r="D11" i="25"/>
  <c r="C29" i="6"/>
  <c r="C11" i="6" s="1"/>
  <c r="C13" i="6" s="1"/>
  <c r="C38" i="6"/>
  <c r="AA13" i="4"/>
  <c r="AA18" i="7"/>
  <c r="AA19" i="7" s="1"/>
  <c r="AA21" i="7" s="1"/>
  <c r="AA28" i="7"/>
  <c r="AA33" i="7" s="1"/>
  <c r="AA34" i="7" s="1"/>
  <c r="Y12" i="8" s="1"/>
  <c r="AC18" i="4"/>
  <c r="AC21" i="3"/>
  <c r="AB43" i="7"/>
  <c r="AB47" i="7" s="1"/>
  <c r="AB14" i="7"/>
  <c r="AB41" i="7"/>
  <c r="AB45" i="7" s="1"/>
  <c r="AB48" i="7" s="1"/>
  <c r="AA34" i="4" s="1"/>
  <c r="Z11" i="8" s="1"/>
  <c r="D74" i="2" l="1"/>
  <c r="E36" i="4"/>
  <c r="E11" i="25"/>
  <c r="D29" i="6"/>
  <c r="D38" i="6"/>
  <c r="AC14" i="7"/>
  <c r="AC43" i="7"/>
  <c r="AC47" i="7" s="1"/>
  <c r="AC41" i="7"/>
  <c r="AC45" i="7" s="1"/>
  <c r="AE7" i="19"/>
  <c r="AE7" i="7"/>
  <c r="AD7" i="4"/>
  <c r="AD7" i="25"/>
  <c r="AF8" i="3"/>
  <c r="AC7" i="8"/>
  <c r="AB18" i="7"/>
  <c r="AB19" i="7" s="1"/>
  <c r="AB21" i="7" s="1"/>
  <c r="AB28" i="7"/>
  <c r="AB33" i="7" s="1"/>
  <c r="AB34" i="7" s="1"/>
  <c r="Z12" i="8" s="1"/>
  <c r="H50" i="7"/>
  <c r="F24" i="4"/>
  <c r="F30" i="4" s="1"/>
  <c r="F32" i="4" s="1"/>
  <c r="AA36" i="7"/>
  <c r="AB36" i="7" s="1"/>
  <c r="AD6" i="7"/>
  <c r="AD6" i="19"/>
  <c r="AC6" i="4"/>
  <c r="AC10" i="4" s="1"/>
  <c r="AC6" i="25"/>
  <c r="AD35" i="3"/>
  <c r="AD36" i="3" s="1"/>
  <c r="AD38" i="3" s="1"/>
  <c r="AC11" i="4" s="1"/>
  <c r="AE7" i="3"/>
  <c r="AB6" i="8"/>
  <c r="B11" i="6"/>
  <c r="B13" i="6" s="1"/>
  <c r="B37" i="6" s="1"/>
  <c r="Z34" i="4"/>
  <c r="Y11" i="8" s="1"/>
  <c r="AB19" i="19"/>
  <c r="AB20" i="19" s="1"/>
  <c r="AB25" i="19" s="1"/>
  <c r="AA19" i="19"/>
  <c r="AA20" i="19" s="1"/>
  <c r="AA25" i="19" s="1"/>
  <c r="AD18" i="4"/>
  <c r="B76" i="2"/>
  <c r="AD21" i="3"/>
  <c r="B42" i="6" l="1"/>
  <c r="B35" i="6"/>
  <c r="AD43" i="7"/>
  <c r="AD47" i="7" s="1"/>
  <c r="AD14" i="7"/>
  <c r="AD41" i="7"/>
  <c r="AD45" i="7" s="1"/>
  <c r="AD48" i="7" s="1"/>
  <c r="AC34" i="4" s="1"/>
  <c r="AB11" i="8" s="1"/>
  <c r="AC18" i="7"/>
  <c r="AC19" i="7" s="1"/>
  <c r="AC21" i="7" s="1"/>
  <c r="AC28" i="7"/>
  <c r="AC33" i="7" s="1"/>
  <c r="AC34" i="7" s="1"/>
  <c r="AA12" i="8" s="1"/>
  <c r="AF7" i="19"/>
  <c r="AF7" i="7"/>
  <c r="AE7" i="4"/>
  <c r="AG8" i="3"/>
  <c r="AE7" i="25"/>
  <c r="AD7" i="8"/>
  <c r="AE6" i="19"/>
  <c r="AE6" i="7"/>
  <c r="AD6" i="4"/>
  <c r="AD10" i="4" s="1"/>
  <c r="AF7" i="3"/>
  <c r="AD6" i="25"/>
  <c r="AE35" i="3"/>
  <c r="AE36" i="3" s="1"/>
  <c r="AE38" i="3" s="1"/>
  <c r="AD11" i="4" s="1"/>
  <c r="AF21" i="3"/>
  <c r="AC6" i="8"/>
  <c r="D11" i="6"/>
  <c r="D13" i="6" s="1"/>
  <c r="AE18" i="4"/>
  <c r="F11" i="25"/>
  <c r="F36" i="4"/>
  <c r="E29" i="6"/>
  <c r="E38" i="6"/>
  <c r="AC36" i="7"/>
  <c r="AE21" i="3"/>
  <c r="I50" i="7"/>
  <c r="G24" i="4"/>
  <c r="G30" i="4" s="1"/>
  <c r="G32" i="4" s="1"/>
  <c r="AC13" i="4"/>
  <c r="AC48" i="7"/>
  <c r="AD28" i="7" l="1"/>
  <c r="AD33" i="7" s="1"/>
  <c r="AD34" i="7" s="1"/>
  <c r="AB12" i="8" s="1"/>
  <c r="AD18" i="7"/>
  <c r="AD19" i="7" s="1"/>
  <c r="AD21" i="7" s="1"/>
  <c r="B48" i="6"/>
  <c r="B56" i="6"/>
  <c r="AF18" i="4"/>
  <c r="AF6" i="19"/>
  <c r="AF6" i="7"/>
  <c r="AE6" i="4"/>
  <c r="AE10" i="4" s="1"/>
  <c r="AE6" i="25"/>
  <c r="AG21" i="3"/>
  <c r="AF35" i="3"/>
  <c r="AF36" i="3" s="1"/>
  <c r="AF38" i="3" s="1"/>
  <c r="AE11" i="4" s="1"/>
  <c r="AG7" i="3"/>
  <c r="AD6" i="8"/>
  <c r="B39" i="6"/>
  <c r="AB34" i="4"/>
  <c r="AA11" i="8" s="1"/>
  <c r="AC19" i="19"/>
  <c r="AC20" i="19" s="1"/>
  <c r="AC25" i="19" s="1"/>
  <c r="AD19" i="19"/>
  <c r="AD20" i="19" s="1"/>
  <c r="AD25" i="19" s="1"/>
  <c r="AG7" i="19"/>
  <c r="AG7" i="7"/>
  <c r="AF7" i="4"/>
  <c r="AF7" i="25"/>
  <c r="AH8" i="3"/>
  <c r="AE7" i="8"/>
  <c r="AD36" i="7"/>
  <c r="AD13" i="4"/>
  <c r="B45" i="6"/>
  <c r="C24" i="6" s="1"/>
  <c r="B44" i="6"/>
  <c r="E11" i="6"/>
  <c r="E13" i="6" s="1"/>
  <c r="G36" i="4"/>
  <c r="G11" i="25"/>
  <c r="F29" i="6"/>
  <c r="F11" i="6" s="1"/>
  <c r="F13" i="6" s="1"/>
  <c r="F38" i="6"/>
  <c r="J50" i="7"/>
  <c r="H24" i="4"/>
  <c r="H30" i="4" s="1"/>
  <c r="H32" i="4" s="1"/>
  <c r="AE14" i="7"/>
  <c r="AE41" i="7"/>
  <c r="AE45" i="7" s="1"/>
  <c r="AE43" i="7"/>
  <c r="AE47" i="7" s="1"/>
  <c r="AH7" i="19" l="1"/>
  <c r="AH7" i="7"/>
  <c r="AG7" i="4"/>
  <c r="AF7" i="8"/>
  <c r="AG7" i="25"/>
  <c r="AE13" i="4"/>
  <c r="B50" i="6"/>
  <c r="B52" i="6" s="1"/>
  <c r="C16" i="25"/>
  <c r="C27" i="6"/>
  <c r="C28" i="6"/>
  <c r="K50" i="7"/>
  <c r="I24" i="4"/>
  <c r="I30" i="4" s="1"/>
  <c r="I32" i="4" s="1"/>
  <c r="AE48" i="7"/>
  <c r="AE18" i="7"/>
  <c r="AE19" i="7" s="1"/>
  <c r="AE21" i="7" s="1"/>
  <c r="AE28" i="7"/>
  <c r="AE33" i="7" s="1"/>
  <c r="AE34" i="7" s="1"/>
  <c r="AC12" i="8" s="1"/>
  <c r="H36" i="4"/>
  <c r="H11" i="25"/>
  <c r="G29" i="6"/>
  <c r="G11" i="6" s="1"/>
  <c r="G13" i="6" s="1"/>
  <c r="G38" i="6"/>
  <c r="AF14" i="7"/>
  <c r="AF41" i="7"/>
  <c r="AF45" i="7" s="1"/>
  <c r="AF43" i="7"/>
  <c r="AF47" i="7" s="1"/>
  <c r="AE36" i="7"/>
  <c r="B57" i="6"/>
  <c r="C38" i="4" s="1"/>
  <c r="C40" i="4" s="1"/>
  <c r="AG6" i="19"/>
  <c r="AG6" i="7"/>
  <c r="AF6" i="4"/>
  <c r="AF10" i="4" s="1"/>
  <c r="AF13" i="4" s="1"/>
  <c r="AG35" i="3"/>
  <c r="AG36" i="3" s="1"/>
  <c r="AG38" i="3" s="1"/>
  <c r="AF11" i="4" s="1"/>
  <c r="AH7" i="3"/>
  <c r="AE6" i="8"/>
  <c r="AH21" i="3"/>
  <c r="AF6" i="25"/>
  <c r="AG18" i="4"/>
  <c r="AH6" i="19" l="1"/>
  <c r="AH6" i="7"/>
  <c r="AG6" i="25"/>
  <c r="AG6" i="4"/>
  <c r="AG10" i="4" s="1"/>
  <c r="AF6" i="8"/>
  <c r="AH35" i="3"/>
  <c r="AH36" i="3" s="1"/>
  <c r="AH38" i="3" s="1"/>
  <c r="AG11" i="4" s="1"/>
  <c r="C30" i="6"/>
  <c r="C33" i="6"/>
  <c r="AF48" i="7"/>
  <c r="AE34" i="4" s="1"/>
  <c r="AD11" i="8" s="1"/>
  <c r="AD34" i="4"/>
  <c r="AC11" i="8" s="1"/>
  <c r="AE19" i="19"/>
  <c r="AE20" i="19" s="1"/>
  <c r="AE25" i="19" s="1"/>
  <c r="AF19" i="19"/>
  <c r="AF20" i="19" s="1"/>
  <c r="AF25" i="19" s="1"/>
  <c r="C26" i="6"/>
  <c r="AF28" i="7"/>
  <c r="AF33" i="7" s="1"/>
  <c r="AF34" i="7" s="1"/>
  <c r="AD12" i="8" s="1"/>
  <c r="AF18" i="7"/>
  <c r="AF19" i="7" s="1"/>
  <c r="AF21" i="7" s="1"/>
  <c r="AG14" i="7"/>
  <c r="AG41" i="7"/>
  <c r="AG45" i="7" s="1"/>
  <c r="AG48" i="7" s="1"/>
  <c r="AF34" i="4" s="1"/>
  <c r="AE11" i="8" s="1"/>
  <c r="AG43" i="7"/>
  <c r="AG47" i="7" s="1"/>
  <c r="H38" i="6"/>
  <c r="I36" i="4"/>
  <c r="I11" i="25"/>
  <c r="H29" i="6"/>
  <c r="H11" i="6" s="1"/>
  <c r="H13" i="6" s="1"/>
  <c r="B58" i="6"/>
  <c r="L50" i="7"/>
  <c r="J24" i="4"/>
  <c r="J30" i="4" s="1"/>
  <c r="J32" i="4" s="1"/>
  <c r="B10" i="8"/>
  <c r="B13" i="8" s="1"/>
  <c r="C42" i="4"/>
  <c r="C45" i="4" s="1"/>
  <c r="C43" i="4"/>
  <c r="B75" i="2" l="1"/>
  <c r="D42" i="19"/>
  <c r="D43" i="19" s="1"/>
  <c r="AG13" i="4"/>
  <c r="B28" i="8"/>
  <c r="B24" i="8"/>
  <c r="B16" i="8"/>
  <c r="M50" i="7"/>
  <c r="K24" i="4"/>
  <c r="K30" i="4" s="1"/>
  <c r="K32" i="4" s="1"/>
  <c r="AG28" i="7"/>
  <c r="AG33" i="7" s="1"/>
  <c r="AG34" i="7" s="1"/>
  <c r="AE12" i="8" s="1"/>
  <c r="AG18" i="7"/>
  <c r="AG19" i="7" s="1"/>
  <c r="AG21" i="7" s="1"/>
  <c r="AF36" i="7"/>
  <c r="AH14" i="7"/>
  <c r="AH43" i="7"/>
  <c r="AH47" i="7" s="1"/>
  <c r="AH41" i="7"/>
  <c r="AH45" i="7" s="1"/>
  <c r="AH48" i="7" s="1"/>
  <c r="AG19" i="19"/>
  <c r="AG20" i="19" s="1"/>
  <c r="AG25" i="19" s="1"/>
  <c r="J36" i="4"/>
  <c r="J11" i="25"/>
  <c r="I29" i="6"/>
  <c r="I11" i="6" s="1"/>
  <c r="I13" i="6" s="1"/>
  <c r="I38" i="6"/>
  <c r="C36" i="6"/>
  <c r="C37" i="6"/>
  <c r="AG36" i="7" l="1"/>
  <c r="B29" i="8"/>
  <c r="B30" i="8" s="1"/>
  <c r="J38" i="6"/>
  <c r="K36" i="4"/>
  <c r="K11" i="25"/>
  <c r="J29" i="6"/>
  <c r="J11" i="6" s="1"/>
  <c r="J13" i="6" s="1"/>
  <c r="AG34" i="4"/>
  <c r="AF11" i="8" s="1"/>
  <c r="AH19" i="19"/>
  <c r="AH20" i="19" s="1"/>
  <c r="AH25" i="19" s="1"/>
  <c r="D12" i="25"/>
  <c r="D13" i="25" s="1"/>
  <c r="C49" i="6"/>
  <c r="L24" i="4"/>
  <c r="L30" i="4" s="1"/>
  <c r="L32" i="4" s="1"/>
  <c r="N50" i="7"/>
  <c r="B19" i="8"/>
  <c r="B21" i="8"/>
  <c r="C42" i="6"/>
  <c r="C35" i="6"/>
  <c r="AH28" i="7"/>
  <c r="AH33" i="7" s="1"/>
  <c r="AH34" i="7" s="1"/>
  <c r="AF12" i="8" s="1"/>
  <c r="AH18" i="7"/>
  <c r="AH19" i="7" s="1"/>
  <c r="AH21" i="7" s="1"/>
  <c r="B41" i="8" l="1"/>
  <c r="C15" i="25" s="1"/>
  <c r="B33" i="8"/>
  <c r="O50" i="7"/>
  <c r="M24" i="4"/>
  <c r="M30" i="4" s="1"/>
  <c r="M32" i="4" s="1"/>
  <c r="C45" i="6"/>
  <c r="D24" i="6" s="1"/>
  <c r="C44" i="6"/>
  <c r="L36" i="4"/>
  <c r="L11" i="25"/>
  <c r="K38" i="6"/>
  <c r="K29" i="6"/>
  <c r="B22" i="8"/>
  <c r="C18" i="8" s="1"/>
  <c r="C48" i="6"/>
  <c r="C56" i="6"/>
  <c r="C76" i="2"/>
  <c r="AH36" i="7"/>
  <c r="C39" i="6"/>
  <c r="D27" i="6" l="1"/>
  <c r="M36" i="4"/>
  <c r="M11" i="25"/>
  <c r="L38" i="6"/>
  <c r="L29" i="6"/>
  <c r="L11" i="6" s="1"/>
  <c r="L13" i="6" s="1"/>
  <c r="P50" i="7"/>
  <c r="N24" i="4"/>
  <c r="N30" i="4" s="1"/>
  <c r="N32" i="4" s="1"/>
  <c r="C50" i="6"/>
  <c r="C52" i="6" s="1"/>
  <c r="D16" i="25"/>
  <c r="K11" i="6"/>
  <c r="K13" i="6" s="1"/>
  <c r="B38" i="8"/>
  <c r="B36" i="8"/>
  <c r="C57" i="6"/>
  <c r="D38" i="4" s="1"/>
  <c r="D40" i="4" s="1"/>
  <c r="D32" i="19"/>
  <c r="C18" i="25"/>
  <c r="C21" i="25" s="1"/>
  <c r="B77" i="2" l="1"/>
  <c r="C27" i="25"/>
  <c r="C28" i="25" s="1"/>
  <c r="C29" i="25" s="1"/>
  <c r="D25" i="25" s="1"/>
  <c r="C37" i="25"/>
  <c r="C38" i="25" s="1"/>
  <c r="C43" i="25"/>
  <c r="C45" i="25" s="1"/>
  <c r="C57" i="25"/>
  <c r="C59" i="25" s="1"/>
  <c r="C50" i="25"/>
  <c r="C52" i="25" s="1"/>
  <c r="D37" i="19"/>
  <c r="D45" i="19" s="1"/>
  <c r="D47" i="19" s="1"/>
  <c r="Q50" i="7"/>
  <c r="O24" i="4"/>
  <c r="O30" i="4" s="1"/>
  <c r="O32" i="4" s="1"/>
  <c r="D28" i="6"/>
  <c r="D42" i="4"/>
  <c r="D43" i="4"/>
  <c r="C10" i="8"/>
  <c r="C13" i="8" s="1"/>
  <c r="D45" i="4"/>
  <c r="B39" i="8"/>
  <c r="C35" i="8" s="1"/>
  <c r="N36" i="4"/>
  <c r="N11" i="25"/>
  <c r="M38" i="6"/>
  <c r="M29" i="6"/>
  <c r="M11" i="6" s="1"/>
  <c r="M13" i="6" s="1"/>
  <c r="C58" i="6"/>
  <c r="C28" i="8" l="1"/>
  <c r="C24" i="8"/>
  <c r="C16" i="8"/>
  <c r="D26" i="25"/>
  <c r="R50" i="7"/>
  <c r="P24" i="4"/>
  <c r="P30" i="4" s="1"/>
  <c r="P32" i="4" s="1"/>
  <c r="O36" i="4"/>
  <c r="O11" i="25"/>
  <c r="N29" i="6"/>
  <c r="N11" i="6" s="1"/>
  <c r="N13" i="6" s="1"/>
  <c r="N38" i="6"/>
  <c r="C75" i="2"/>
  <c r="E42" i="19"/>
  <c r="E43" i="19" s="1"/>
  <c r="D33" i="6"/>
  <c r="D30" i="6"/>
  <c r="D26" i="6"/>
  <c r="C19" i="8" l="1"/>
  <c r="C21" i="8"/>
  <c r="C29" i="8"/>
  <c r="C30" i="8" s="1"/>
  <c r="D36" i="6"/>
  <c r="S50" i="7"/>
  <c r="Q24" i="4"/>
  <c r="Q30" i="4" s="1"/>
  <c r="Q32" i="4" s="1"/>
  <c r="P11" i="25"/>
  <c r="P36" i="4"/>
  <c r="O29" i="6"/>
  <c r="O11" i="6" s="1"/>
  <c r="O13" i="6" s="1"/>
  <c r="O38" i="6"/>
  <c r="C33" i="8" l="1"/>
  <c r="C41" i="8"/>
  <c r="D15" i="25" s="1"/>
  <c r="E12" i="25"/>
  <c r="E13" i="25" s="1"/>
  <c r="D49" i="6"/>
  <c r="P38" i="6"/>
  <c r="P29" i="6"/>
  <c r="P11" i="6" s="1"/>
  <c r="P13" i="6" s="1"/>
  <c r="Q36" i="4"/>
  <c r="Q11" i="25"/>
  <c r="D37" i="6"/>
  <c r="T50" i="7"/>
  <c r="R24" i="4"/>
  <c r="R30" i="4" s="1"/>
  <c r="R32" i="4" s="1"/>
  <c r="C22" i="8"/>
  <c r="D18" i="8" s="1"/>
  <c r="R36" i="4" l="1"/>
  <c r="R11" i="25"/>
  <c r="Q29" i="6"/>
  <c r="Q38" i="6"/>
  <c r="D42" i="6"/>
  <c r="D39" i="6"/>
  <c r="D35" i="6"/>
  <c r="U50" i="7"/>
  <c r="S24" i="4"/>
  <c r="S30" i="4" s="1"/>
  <c r="S32" i="4" s="1"/>
  <c r="D76" i="2"/>
  <c r="D18" i="25"/>
  <c r="D21" i="25" s="1"/>
  <c r="E32" i="19"/>
  <c r="C36" i="8"/>
  <c r="C38" i="8"/>
  <c r="D48" i="6" l="1"/>
  <c r="D56" i="6"/>
  <c r="C77" i="2"/>
  <c r="D50" i="25"/>
  <c r="D52" i="25" s="1"/>
  <c r="D43" i="25"/>
  <c r="D45" i="25" s="1"/>
  <c r="D27" i="25"/>
  <c r="D28" i="25" s="1"/>
  <c r="D29" i="25" s="1"/>
  <c r="E25" i="25" s="1"/>
  <c r="D57" i="25"/>
  <c r="D59" i="25" s="1"/>
  <c r="D37" i="25"/>
  <c r="D38" i="25" s="1"/>
  <c r="D45" i="6"/>
  <c r="E24" i="6" s="1"/>
  <c r="D44" i="6"/>
  <c r="E37" i="19"/>
  <c r="E45" i="19" s="1"/>
  <c r="E47" i="19" s="1"/>
  <c r="Q11" i="6"/>
  <c r="Q13" i="6" s="1"/>
  <c r="R38" i="6"/>
  <c r="S36" i="4"/>
  <c r="S11" i="25"/>
  <c r="R29" i="6"/>
  <c r="C39" i="8"/>
  <c r="D35" i="8" s="1"/>
  <c r="T24" i="4"/>
  <c r="T30" i="4" s="1"/>
  <c r="T32" i="4" s="1"/>
  <c r="V50" i="7"/>
  <c r="T36" i="4" l="1"/>
  <c r="T11" i="25"/>
  <c r="S38" i="6"/>
  <c r="S29" i="6"/>
  <c r="S11" i="6" s="1"/>
  <c r="S13" i="6" s="1"/>
  <c r="E26" i="25"/>
  <c r="W50" i="7"/>
  <c r="U24" i="4"/>
  <c r="U30" i="4" s="1"/>
  <c r="U32" i="4" s="1"/>
  <c r="D57" i="6"/>
  <c r="E38" i="4" s="1"/>
  <c r="E40" i="4" s="1"/>
  <c r="R11" i="6"/>
  <c r="R13" i="6" s="1"/>
  <c r="E27" i="6"/>
  <c r="D50" i="6"/>
  <c r="D52" i="6" s="1"/>
  <c r="E16" i="25"/>
  <c r="D10" i="8" l="1"/>
  <c r="D13" i="8" s="1"/>
  <c r="E42" i="4"/>
  <c r="D58" i="6"/>
  <c r="E28" i="6"/>
  <c r="U36" i="4"/>
  <c r="U11" i="25"/>
  <c r="T38" i="6"/>
  <c r="T29" i="6"/>
  <c r="T11" i="6" s="1"/>
  <c r="T13" i="6" s="1"/>
  <c r="X50" i="7"/>
  <c r="V24" i="4"/>
  <c r="V30" i="4" s="1"/>
  <c r="V32" i="4" s="1"/>
  <c r="D28" i="8" l="1"/>
  <c r="D24" i="8"/>
  <c r="D16" i="8"/>
  <c r="Y50" i="7"/>
  <c r="W24" i="4"/>
  <c r="W30" i="4" s="1"/>
  <c r="W32" i="4" s="1"/>
  <c r="E33" i="6"/>
  <c r="E26" i="6"/>
  <c r="E30" i="6" s="1"/>
  <c r="E43" i="4"/>
  <c r="E45" i="4" s="1"/>
  <c r="V36" i="4"/>
  <c r="V11" i="25"/>
  <c r="U29" i="6"/>
  <c r="U11" i="6" s="1"/>
  <c r="U13" i="6" s="1"/>
  <c r="U38" i="6"/>
  <c r="D75" i="2" l="1"/>
  <c r="F42" i="19"/>
  <c r="F43" i="19" s="1"/>
  <c r="W36" i="4"/>
  <c r="W11" i="25"/>
  <c r="V38" i="6"/>
  <c r="V29" i="6"/>
  <c r="V11" i="6" s="1"/>
  <c r="V13" i="6" s="1"/>
  <c r="D30" i="8"/>
  <c r="Z50" i="7"/>
  <c r="X24" i="4"/>
  <c r="X30" i="4" s="1"/>
  <c r="X32" i="4" s="1"/>
  <c r="D29" i="8"/>
  <c r="E36" i="6"/>
  <c r="E37" i="6"/>
  <c r="D19" i="8"/>
  <c r="D21" i="8"/>
  <c r="E42" i="6" l="1"/>
  <c r="F12" i="25"/>
  <c r="F13" i="25" s="1"/>
  <c r="E49" i="6"/>
  <c r="E35" i="6"/>
  <c r="E39" i="6" s="1"/>
  <c r="X36" i="4"/>
  <c r="X11" i="25"/>
  <c r="W29" i="6"/>
  <c r="W11" i="6" s="1"/>
  <c r="W13" i="6" s="1"/>
  <c r="W38" i="6"/>
  <c r="D41" i="8"/>
  <c r="E15" i="25" s="1"/>
  <c r="D33" i="8"/>
  <c r="D22" i="8"/>
  <c r="E18" i="8" s="1"/>
  <c r="AA50" i="7"/>
  <c r="Y24" i="4"/>
  <c r="Y30" i="4" s="1"/>
  <c r="Y32" i="4" s="1"/>
  <c r="F32" i="19" l="1"/>
  <c r="E18" i="25"/>
  <c r="E21" i="25" s="1"/>
  <c r="D38" i="8"/>
  <c r="D36" i="8"/>
  <c r="Z24" i="4"/>
  <c r="Z30" i="4" s="1"/>
  <c r="Z32" i="4" s="1"/>
  <c r="AB50" i="7"/>
  <c r="X38" i="6"/>
  <c r="Y11" i="25"/>
  <c r="Y36" i="4"/>
  <c r="X29" i="6"/>
  <c r="X11" i="6" s="1"/>
  <c r="X13" i="6" s="1"/>
  <c r="E48" i="6"/>
  <c r="E56" i="6"/>
  <c r="E45" i="6"/>
  <c r="F24" i="6" s="1"/>
  <c r="E44" i="6"/>
  <c r="AC50" i="7" l="1"/>
  <c r="AA24" i="4"/>
  <c r="AA30" i="4" s="1"/>
  <c r="AA32" i="4" s="1"/>
  <c r="E50" i="6"/>
  <c r="E52" i="6" s="1"/>
  <c r="F16" i="25"/>
  <c r="D39" i="8"/>
  <c r="E35" i="8" s="1"/>
  <c r="E57" i="6"/>
  <c r="F38" i="4" s="1"/>
  <c r="F40" i="4" s="1"/>
  <c r="D77" i="2"/>
  <c r="E37" i="25"/>
  <c r="E38" i="25" s="1"/>
  <c r="E43" i="25"/>
  <c r="E45" i="25" s="1"/>
  <c r="E27" i="25"/>
  <c r="E28" i="25" s="1"/>
  <c r="E29" i="25" s="1"/>
  <c r="F25" i="25" s="1"/>
  <c r="E57" i="25"/>
  <c r="E59" i="25" s="1"/>
  <c r="E50" i="25"/>
  <c r="E52" i="25" s="1"/>
  <c r="Y29" i="6"/>
  <c r="Z36" i="4"/>
  <c r="Z11" i="25"/>
  <c r="Y38" i="6"/>
  <c r="F28" i="6"/>
  <c r="F27" i="6"/>
  <c r="F37" i="19"/>
  <c r="F45" i="19" s="1"/>
  <c r="F47" i="19" s="1"/>
  <c r="F33" i="6" l="1"/>
  <c r="F26" i="25"/>
  <c r="F26" i="6"/>
  <c r="F30" i="6" s="1"/>
  <c r="E58" i="6"/>
  <c r="F42" i="4"/>
  <c r="F43" i="4" s="1"/>
  <c r="F45" i="4" s="1"/>
  <c r="G42" i="19" s="1"/>
  <c r="G43" i="19" s="1"/>
  <c r="E10" i="8"/>
  <c r="E13" i="8" s="1"/>
  <c r="Z38" i="6"/>
  <c r="AA36" i="4"/>
  <c r="AA11" i="25"/>
  <c r="Z29" i="6"/>
  <c r="Z11" i="6" s="1"/>
  <c r="Z13" i="6" s="1"/>
  <c r="Y11" i="6"/>
  <c r="Y13" i="6" s="1"/>
  <c r="AD50" i="7"/>
  <c r="AB24" i="4"/>
  <c r="AB30" i="4" s="1"/>
  <c r="AB32" i="4" s="1"/>
  <c r="E28" i="8" l="1"/>
  <c r="E24" i="8"/>
  <c r="E16" i="8"/>
  <c r="F36" i="6"/>
  <c r="AE50" i="7"/>
  <c r="AC24" i="4"/>
  <c r="AC30" i="4" s="1"/>
  <c r="AC32" i="4" s="1"/>
  <c r="AB36" i="4"/>
  <c r="AB11" i="25"/>
  <c r="AA29" i="6"/>
  <c r="AA11" i="6" s="1"/>
  <c r="AA13" i="6" s="1"/>
  <c r="AA38" i="6"/>
  <c r="E29" i="8" l="1"/>
  <c r="G12" i="25"/>
  <c r="G13" i="25" s="1"/>
  <c r="F49" i="6"/>
  <c r="E21" i="8"/>
  <c r="E19" i="8"/>
  <c r="AF50" i="7"/>
  <c r="AD24" i="4"/>
  <c r="AD30" i="4" s="1"/>
  <c r="AD32" i="4" s="1"/>
  <c r="E30" i="8"/>
  <c r="AC36" i="4"/>
  <c r="AC11" i="25"/>
  <c r="AB29" i="6"/>
  <c r="AB38" i="6"/>
  <c r="F37" i="6"/>
  <c r="E33" i="8" l="1"/>
  <c r="E41" i="8"/>
  <c r="F15" i="25" s="1"/>
  <c r="AB11" i="6"/>
  <c r="AB13" i="6" s="1"/>
  <c r="AD36" i="4"/>
  <c r="AD11" i="25"/>
  <c r="AC38" i="6"/>
  <c r="AC29" i="6"/>
  <c r="AC11" i="6" s="1"/>
  <c r="AC13" i="6" s="1"/>
  <c r="AG50" i="7"/>
  <c r="AE24" i="4"/>
  <c r="AE30" i="4" s="1"/>
  <c r="AE32" i="4" s="1"/>
  <c r="F39" i="6"/>
  <c r="F42" i="6"/>
  <c r="F35" i="6"/>
  <c r="E22" i="8"/>
  <c r="F18" i="8" s="1"/>
  <c r="G32" i="19" l="1"/>
  <c r="F18" i="25"/>
  <c r="F21" i="25" s="1"/>
  <c r="AH50" i="7"/>
  <c r="AG24" i="4" s="1"/>
  <c r="AG30" i="4" s="1"/>
  <c r="AG32" i="4" s="1"/>
  <c r="AF24" i="4"/>
  <c r="AF30" i="4" s="1"/>
  <c r="AF32" i="4" s="1"/>
  <c r="F48" i="6"/>
  <c r="F56" i="6"/>
  <c r="AE11" i="25"/>
  <c r="AE36" i="4"/>
  <c r="AD38" i="6"/>
  <c r="AD29" i="6"/>
  <c r="AD11" i="6" s="1"/>
  <c r="AD13" i="6" s="1"/>
  <c r="E36" i="8"/>
  <c r="E38" i="8"/>
  <c r="F45" i="6"/>
  <c r="G24" i="6" s="1"/>
  <c r="F44" i="6"/>
  <c r="E39" i="8" l="1"/>
  <c r="F35" i="8" s="1"/>
  <c r="F50" i="6"/>
  <c r="F52" i="6" s="1"/>
  <c r="G16" i="25"/>
  <c r="AF38" i="6"/>
  <c r="AG11" i="25"/>
  <c r="AG36" i="4"/>
  <c r="AF29" i="6"/>
  <c r="G27" i="6"/>
  <c r="G28" i="6"/>
  <c r="G26" i="6"/>
  <c r="AF11" i="25"/>
  <c r="AF36" i="4"/>
  <c r="AG44" i="25"/>
  <c r="AE38" i="6"/>
  <c r="AE29" i="6"/>
  <c r="AE11" i="6" s="1"/>
  <c r="AE13" i="6" s="1"/>
  <c r="F43" i="25"/>
  <c r="F45" i="25" s="1"/>
  <c r="F57" i="25"/>
  <c r="F59" i="25" s="1"/>
  <c r="F50" i="25"/>
  <c r="F52" i="25" s="1"/>
  <c r="F37" i="25"/>
  <c r="F38" i="25" s="1"/>
  <c r="F27" i="25"/>
  <c r="F28" i="25" s="1"/>
  <c r="F29" i="25" s="1"/>
  <c r="G25" i="25" s="1"/>
  <c r="F57" i="6"/>
  <c r="G38" i="4" s="1"/>
  <c r="G40" i="4" s="1"/>
  <c r="G37" i="19"/>
  <c r="G45" i="19" s="1"/>
  <c r="G47" i="19" s="1"/>
  <c r="G42" i="4" l="1"/>
  <c r="G43" i="4" s="1"/>
  <c r="F10" i="8"/>
  <c r="F13" i="8" s="1"/>
  <c r="G26" i="25"/>
  <c r="G33" i="6"/>
  <c r="G30" i="6"/>
  <c r="AF11" i="6"/>
  <c r="AF13" i="6" s="1"/>
  <c r="F58" i="6"/>
  <c r="F28" i="8" l="1"/>
  <c r="F16" i="8"/>
  <c r="F24" i="8"/>
  <c r="G45" i="4"/>
  <c r="H42" i="19" s="1"/>
  <c r="H43" i="19" s="1"/>
  <c r="G36" i="6"/>
  <c r="G37" i="6" s="1"/>
  <c r="G42" i="6" l="1"/>
  <c r="G35" i="6"/>
  <c r="F21" i="8"/>
  <c r="F19" i="8"/>
  <c r="H12" i="25"/>
  <c r="H13" i="25" s="1"/>
  <c r="G49" i="6"/>
  <c r="F29" i="8"/>
  <c r="F30" i="8"/>
  <c r="F33" i="8" l="1"/>
  <c r="F41" i="8"/>
  <c r="G15" i="25" s="1"/>
  <c r="G56" i="6"/>
  <c r="G48" i="6"/>
  <c r="G44" i="6"/>
  <c r="G45" i="6"/>
  <c r="H24" i="6" s="1"/>
  <c r="F22" i="8"/>
  <c r="G18" i="8" s="1"/>
  <c r="G39" i="6"/>
  <c r="G50" i="6" l="1"/>
  <c r="G52" i="6" s="1"/>
  <c r="H16" i="25"/>
  <c r="H27" i="6"/>
  <c r="H28" i="6"/>
  <c r="H32" i="19"/>
  <c r="G18" i="25"/>
  <c r="G21" i="25" s="1"/>
  <c r="G57" i="6"/>
  <c r="H38" i="4" s="1"/>
  <c r="H40" i="4" s="1"/>
  <c r="F38" i="8"/>
  <c r="F36" i="8"/>
  <c r="F39" i="8" l="1"/>
  <c r="G35" i="8" s="1"/>
  <c r="H33" i="6"/>
  <c r="H26" i="6"/>
  <c r="H30" i="6" s="1"/>
  <c r="H37" i="19"/>
  <c r="H45" i="19" s="1"/>
  <c r="H47" i="19" s="1"/>
  <c r="H42" i="4"/>
  <c r="H43" i="4"/>
  <c r="H45" i="4"/>
  <c r="I42" i="19" s="1"/>
  <c r="I43" i="19" s="1"/>
  <c r="G10" i="8"/>
  <c r="G13" i="8" s="1"/>
  <c r="G58" i="6"/>
  <c r="G27" i="25"/>
  <c r="G28" i="25" s="1"/>
  <c r="G29" i="25" s="1"/>
  <c r="H25" i="25" s="1"/>
  <c r="G37" i="25"/>
  <c r="G38" i="25" s="1"/>
  <c r="G50" i="25"/>
  <c r="G52" i="25" s="1"/>
  <c r="G43" i="25"/>
  <c r="G45" i="25" s="1"/>
  <c r="G57" i="25"/>
  <c r="G59" i="25" s="1"/>
  <c r="H26" i="25" l="1"/>
  <c r="H36" i="6"/>
  <c r="G16" i="8"/>
  <c r="G28" i="8"/>
  <c r="G24" i="8"/>
  <c r="H49" i="6" l="1"/>
  <c r="I12" i="25"/>
  <c r="I13" i="25" s="1"/>
  <c r="H37" i="6"/>
  <c r="G29" i="8"/>
  <c r="G30" i="8" s="1"/>
  <c r="G21" i="8"/>
  <c r="G19" i="8"/>
  <c r="G33" i="8" l="1"/>
  <c r="G41" i="8"/>
  <c r="H15" i="25" s="1"/>
  <c r="H42" i="6"/>
  <c r="H35" i="6"/>
  <c r="G22" i="8"/>
  <c r="H18" i="8" s="1"/>
  <c r="H56" i="6" l="1"/>
  <c r="H48" i="6"/>
  <c r="H45" i="6"/>
  <c r="I24" i="6" s="1"/>
  <c r="H44" i="6"/>
  <c r="H39" i="6"/>
  <c r="I32" i="19"/>
  <c r="H18" i="25"/>
  <c r="H21" i="25" s="1"/>
  <c r="G38" i="8"/>
  <c r="G36" i="8"/>
  <c r="I37" i="19" l="1"/>
  <c r="I45" i="19" s="1"/>
  <c r="I47" i="19" s="1"/>
  <c r="H57" i="6"/>
  <c r="I38" i="4" s="1"/>
  <c r="I40" i="4" s="1"/>
  <c r="G39" i="8"/>
  <c r="H35" i="8" s="1"/>
  <c r="H50" i="6"/>
  <c r="H52" i="6" s="1"/>
  <c r="I16" i="25"/>
  <c r="H43" i="25"/>
  <c r="H45" i="25" s="1"/>
  <c r="H37" i="25"/>
  <c r="H38" i="25" s="1"/>
  <c r="H50" i="25"/>
  <c r="H52" i="25" s="1"/>
  <c r="H27" i="25"/>
  <c r="H28" i="25" s="1"/>
  <c r="H29" i="25" s="1"/>
  <c r="I25" i="25" s="1"/>
  <c r="H57" i="25"/>
  <c r="H59" i="25" s="1"/>
  <c r="I27" i="6"/>
  <c r="I28" i="6" s="1"/>
  <c r="H58" i="6"/>
  <c r="I33" i="6" l="1"/>
  <c r="I26" i="6"/>
  <c r="I30" i="6" s="1"/>
  <c r="I26" i="25"/>
  <c r="I42" i="4"/>
  <c r="I45" i="4" s="1"/>
  <c r="J42" i="19" s="1"/>
  <c r="J43" i="19" s="1"/>
  <c r="I43" i="4"/>
  <c r="H10" i="8"/>
  <c r="H13" i="8" s="1"/>
  <c r="H16" i="8" l="1"/>
  <c r="H28" i="8"/>
  <c r="I36" i="6"/>
  <c r="I49" i="6" l="1"/>
  <c r="J12" i="25"/>
  <c r="J13" i="25" s="1"/>
  <c r="I37" i="6"/>
  <c r="H19" i="8"/>
  <c r="H21" i="8"/>
  <c r="H24" i="8" l="1"/>
  <c r="H22" i="8"/>
  <c r="I18" i="8" s="1"/>
  <c r="I42" i="6"/>
  <c r="I35" i="6"/>
  <c r="H29" i="8" l="1"/>
  <c r="H30" i="8" s="1"/>
  <c r="I56" i="6"/>
  <c r="I48" i="6"/>
  <c r="I39" i="6"/>
  <c r="I44" i="6"/>
  <c r="I45" i="6"/>
  <c r="J24" i="6" s="1"/>
  <c r="I57" i="6" l="1"/>
  <c r="J38" i="4" s="1"/>
  <c r="J40" i="4" s="1"/>
  <c r="H33" i="8"/>
  <c r="J27" i="6"/>
  <c r="J28" i="6" s="1"/>
  <c r="I58" i="6"/>
  <c r="I50" i="6"/>
  <c r="I52" i="6" s="1"/>
  <c r="J16" i="25"/>
  <c r="J33" i="6" l="1"/>
  <c r="J26" i="6"/>
  <c r="J30" i="6" s="1"/>
  <c r="H36" i="8"/>
  <c r="H38" i="8"/>
  <c r="J42" i="4"/>
  <c r="J43" i="4" s="1"/>
  <c r="J45" i="4" s="1"/>
  <c r="K42" i="19" s="1"/>
  <c r="K43" i="19" s="1"/>
  <c r="I10" i="8"/>
  <c r="I13" i="8" s="1"/>
  <c r="I28" i="8" l="1"/>
  <c r="I16" i="8"/>
  <c r="H41" i="8"/>
  <c r="I15" i="25" s="1"/>
  <c r="H39" i="8"/>
  <c r="I35" i="8" s="1"/>
  <c r="J36" i="6"/>
  <c r="I21" i="8" l="1"/>
  <c r="I19" i="8"/>
  <c r="K12" i="25"/>
  <c r="K13" i="25" s="1"/>
  <c r="J49" i="6"/>
  <c r="J37" i="6"/>
  <c r="J32" i="19"/>
  <c r="I18" i="25"/>
  <c r="I21" i="25" s="1"/>
  <c r="J42" i="6" l="1"/>
  <c r="J35" i="6"/>
  <c r="I22" i="8"/>
  <c r="J18" i="8" s="1"/>
  <c r="I27" i="25"/>
  <c r="I28" i="25" s="1"/>
  <c r="I29" i="25" s="1"/>
  <c r="J25" i="25" s="1"/>
  <c r="I37" i="25"/>
  <c r="I38" i="25" s="1"/>
  <c r="I50" i="25"/>
  <c r="I52" i="25" s="1"/>
  <c r="I43" i="25"/>
  <c r="I45" i="25" s="1"/>
  <c r="I57" i="25"/>
  <c r="I59" i="25" s="1"/>
  <c r="J20" i="8"/>
  <c r="I24" i="8"/>
  <c r="J37" i="19"/>
  <c r="J45" i="19" s="1"/>
  <c r="J47" i="19" s="1"/>
  <c r="J26" i="25" l="1"/>
  <c r="J56" i="6"/>
  <c r="J48" i="6"/>
  <c r="J39" i="6"/>
  <c r="I29" i="8"/>
  <c r="I30" i="8" s="1"/>
  <c r="J45" i="6"/>
  <c r="K24" i="6" s="1"/>
  <c r="J44" i="6"/>
  <c r="J50" i="6" l="1"/>
  <c r="J52" i="6" s="1"/>
  <c r="K16" i="25"/>
  <c r="J57" i="6"/>
  <c r="K38" i="4" s="1"/>
  <c r="K40" i="4" s="1"/>
  <c r="I33" i="8"/>
  <c r="J58" i="6"/>
  <c r="K27" i="6"/>
  <c r="I36" i="8" l="1"/>
  <c r="I38" i="8"/>
  <c r="J10" i="8"/>
  <c r="J13" i="8" s="1"/>
  <c r="K42" i="4"/>
  <c r="K28" i="6"/>
  <c r="J28" i="8" l="1"/>
  <c r="J16" i="8"/>
  <c r="I41" i="8"/>
  <c r="J15" i="25" s="1"/>
  <c r="K43" i="4"/>
  <c r="K45" i="4" s="1"/>
  <c r="L42" i="19" s="1"/>
  <c r="L43" i="19" s="1"/>
  <c r="K33" i="6"/>
  <c r="K26" i="6"/>
  <c r="K30" i="6" s="1"/>
  <c r="I39" i="8"/>
  <c r="J35" i="8" s="1"/>
  <c r="J21" i="8" l="1"/>
  <c r="J19" i="8"/>
  <c r="K36" i="6"/>
  <c r="J18" i="25"/>
  <c r="J21" i="25" s="1"/>
  <c r="K32" i="19"/>
  <c r="K37" i="19" l="1"/>
  <c r="K45" i="19" s="1"/>
  <c r="K47" i="19" s="1"/>
  <c r="J22" i="8"/>
  <c r="K18" i="8" s="1"/>
  <c r="L12" i="25"/>
  <c r="L13" i="25" s="1"/>
  <c r="K49" i="6"/>
  <c r="J50" i="25"/>
  <c r="J52" i="25" s="1"/>
  <c r="J57" i="25"/>
  <c r="J59" i="25" s="1"/>
  <c r="J37" i="25"/>
  <c r="J38" i="25" s="1"/>
  <c r="J43" i="25"/>
  <c r="J45" i="25" s="1"/>
  <c r="J27" i="25"/>
  <c r="J28" i="25" s="1"/>
  <c r="J29" i="25" s="1"/>
  <c r="K25" i="25" s="1"/>
  <c r="K20" i="8"/>
  <c r="J24" i="8"/>
  <c r="K37" i="6"/>
  <c r="K26" i="25" l="1"/>
  <c r="K42" i="6"/>
  <c r="K39" i="6"/>
  <c r="K35" i="6"/>
  <c r="J29" i="8"/>
  <c r="J30" i="8" s="1"/>
  <c r="K45" i="6" l="1"/>
  <c r="L24" i="6" s="1"/>
  <c r="K44" i="6"/>
  <c r="K48" i="6"/>
  <c r="K56" i="6"/>
  <c r="J33" i="8"/>
  <c r="J38" i="8" l="1"/>
  <c r="J36" i="8"/>
  <c r="K57" i="6"/>
  <c r="L38" i="4" s="1"/>
  <c r="L40" i="4" s="1"/>
  <c r="K50" i="6"/>
  <c r="K52" i="6" s="1"/>
  <c r="L16" i="25"/>
  <c r="L28" i="6"/>
  <c r="L27" i="6"/>
  <c r="L33" i="6" l="1"/>
  <c r="K58" i="6"/>
  <c r="L42" i="4"/>
  <c r="L43" i="4" s="1"/>
  <c r="L45" i="4" s="1"/>
  <c r="M42" i="19" s="1"/>
  <c r="M43" i="19" s="1"/>
  <c r="K10" i="8"/>
  <c r="K13" i="8" s="1"/>
  <c r="L26" i="6"/>
  <c r="L30" i="6" s="1"/>
  <c r="J39" i="8"/>
  <c r="K35" i="8" s="1"/>
  <c r="J41" i="8"/>
  <c r="K15" i="25" s="1"/>
  <c r="L36" i="6" l="1"/>
  <c r="K16" i="8"/>
  <c r="K28" i="8"/>
  <c r="K18" i="25"/>
  <c r="K21" i="25" s="1"/>
  <c r="L32" i="19"/>
  <c r="K19" i="8" l="1"/>
  <c r="K21" i="8"/>
  <c r="M12" i="25"/>
  <c r="M13" i="25" s="1"/>
  <c r="L49" i="6"/>
  <c r="L37" i="6"/>
  <c r="K27" i="25"/>
  <c r="K28" i="25" s="1"/>
  <c r="K29" i="25" s="1"/>
  <c r="L25" i="25" s="1"/>
  <c r="K37" i="25"/>
  <c r="K38" i="25" s="1"/>
  <c r="K57" i="25"/>
  <c r="K59" i="25" s="1"/>
  <c r="K50" i="25"/>
  <c r="K52" i="25" s="1"/>
  <c r="K43" i="25"/>
  <c r="K45" i="25" s="1"/>
  <c r="L37" i="19"/>
  <c r="L45" i="19" s="1"/>
  <c r="L47" i="19" s="1"/>
  <c r="L26" i="25" l="1"/>
  <c r="L20" i="8"/>
  <c r="K24" i="8"/>
  <c r="L42" i="6"/>
  <c r="L35" i="6"/>
  <c r="K22" i="8"/>
  <c r="L18" i="8" s="1"/>
  <c r="L48" i="6" l="1"/>
  <c r="L56" i="6"/>
  <c r="L39" i="6"/>
  <c r="L45" i="6"/>
  <c r="M24" i="6" s="1"/>
  <c r="L44" i="6"/>
  <c r="K29" i="8"/>
  <c r="K30" i="8" s="1"/>
  <c r="M27" i="6" l="1"/>
  <c r="K33" i="8"/>
  <c r="L50" i="6"/>
  <c r="L52" i="6" s="1"/>
  <c r="M16" i="25"/>
  <c r="L57" i="6"/>
  <c r="M38" i="4" s="1"/>
  <c r="M40" i="4" s="1"/>
  <c r="L58" i="6"/>
  <c r="K38" i="8" l="1"/>
  <c r="K36" i="8"/>
  <c r="M28" i="6"/>
  <c r="L10" i="8"/>
  <c r="L13" i="8" s="1"/>
  <c r="M43" i="4"/>
  <c r="M45" i="4" s="1"/>
  <c r="N42" i="19" s="1"/>
  <c r="N43" i="19" s="1"/>
  <c r="M42" i="4"/>
  <c r="L16" i="8" l="1"/>
  <c r="L28" i="8"/>
  <c r="M33" i="6"/>
  <c r="M26" i="6"/>
  <c r="M30" i="6" s="1"/>
  <c r="K41" i="8"/>
  <c r="L15" i="25" s="1"/>
  <c r="K39" i="8"/>
  <c r="L35" i="8" s="1"/>
  <c r="M36" i="6" l="1"/>
  <c r="M37" i="6"/>
  <c r="M35" i="6"/>
  <c r="L19" i="8"/>
  <c r="L21" i="8"/>
  <c r="L18" i="25"/>
  <c r="L21" i="25" s="1"/>
  <c r="M32" i="19"/>
  <c r="L22" i="8" l="1"/>
  <c r="M18" i="8" s="1"/>
  <c r="M20" i="8"/>
  <c r="L24" i="8"/>
  <c r="M48" i="6"/>
  <c r="M56" i="6"/>
  <c r="M39" i="6"/>
  <c r="M42" i="6"/>
  <c r="M37" i="19"/>
  <c r="M45" i="19" s="1"/>
  <c r="M47" i="19" s="1"/>
  <c r="N12" i="25"/>
  <c r="N13" i="25" s="1"/>
  <c r="M49" i="6"/>
  <c r="L50" i="25"/>
  <c r="L52" i="25" s="1"/>
  <c r="L43" i="25"/>
  <c r="L45" i="25" s="1"/>
  <c r="L27" i="25"/>
  <c r="L28" i="25" s="1"/>
  <c r="L29" i="25" s="1"/>
  <c r="M25" i="25" s="1"/>
  <c r="L57" i="25"/>
  <c r="L59" i="25" s="1"/>
  <c r="L37" i="25"/>
  <c r="L38" i="25" s="1"/>
  <c r="L29" i="8" l="1"/>
  <c r="L30" i="8" s="1"/>
  <c r="M50" i="6"/>
  <c r="M52" i="6" s="1"/>
  <c r="N16" i="25"/>
  <c r="M26" i="25"/>
  <c r="M45" i="6"/>
  <c r="N24" i="6" s="1"/>
  <c r="M44" i="6"/>
  <c r="L33" i="8" l="1"/>
  <c r="N27" i="6"/>
  <c r="M57" i="6"/>
  <c r="N38" i="4" l="1"/>
  <c r="N40" i="4" s="1"/>
  <c r="M58" i="6"/>
  <c r="N28" i="6"/>
  <c r="L36" i="8"/>
  <c r="L38" i="8"/>
  <c r="N33" i="6" l="1"/>
  <c r="N26" i="6"/>
  <c r="N30" i="6" s="1"/>
  <c r="L41" i="8"/>
  <c r="M15" i="25" s="1"/>
  <c r="N42" i="4"/>
  <c r="N43" i="4" s="1"/>
  <c r="M10" i="8"/>
  <c r="M13" i="8" s="1"/>
  <c r="L39" i="8"/>
  <c r="M35" i="8" s="1"/>
  <c r="N45" i="4" l="1"/>
  <c r="O42" i="19" s="1"/>
  <c r="O43" i="19" s="1"/>
  <c r="N36" i="6"/>
  <c r="N37" i="6" s="1"/>
  <c r="M18" i="25"/>
  <c r="M21" i="25" s="1"/>
  <c r="N32" i="19"/>
  <c r="M28" i="8"/>
  <c r="M16" i="8"/>
  <c r="N42" i="6" l="1"/>
  <c r="N35" i="6"/>
  <c r="M43" i="25"/>
  <c r="M45" i="25" s="1"/>
  <c r="M27" i="25"/>
  <c r="M28" i="25" s="1"/>
  <c r="M29" i="25" s="1"/>
  <c r="N25" i="25" s="1"/>
  <c r="M57" i="25"/>
  <c r="M59" i="25" s="1"/>
  <c r="M50" i="25"/>
  <c r="M52" i="25" s="1"/>
  <c r="M37" i="25"/>
  <c r="M38" i="25" s="1"/>
  <c r="M19" i="8"/>
  <c r="M21" i="8"/>
  <c r="N37" i="19"/>
  <c r="N45" i="19" s="1"/>
  <c r="N47" i="19" s="1"/>
  <c r="O12" i="25"/>
  <c r="O13" i="25" s="1"/>
  <c r="N49" i="6"/>
  <c r="N26" i="25" l="1"/>
  <c r="N48" i="6"/>
  <c r="N56" i="6"/>
  <c r="N20" i="8"/>
  <c r="M24" i="8"/>
  <c r="N45" i="6"/>
  <c r="O24" i="6" s="1"/>
  <c r="N44" i="6"/>
  <c r="M22" i="8"/>
  <c r="N18" i="8" s="1"/>
  <c r="N39" i="6"/>
  <c r="N57" i="6" l="1"/>
  <c r="O38" i="4" s="1"/>
  <c r="O40" i="4" s="1"/>
  <c r="M29" i="8"/>
  <c r="M30" i="8" s="1"/>
  <c r="O27" i="6"/>
  <c r="N50" i="6"/>
  <c r="N52" i="6" s="1"/>
  <c r="O16" i="25"/>
  <c r="O28" i="6" l="1"/>
  <c r="M33" i="8"/>
  <c r="O43" i="4"/>
  <c r="O45" i="4" s="1"/>
  <c r="P42" i="19" s="1"/>
  <c r="P43" i="19" s="1"/>
  <c r="N10" i="8"/>
  <c r="N13" i="8" s="1"/>
  <c r="O42" i="4"/>
  <c r="N58" i="6"/>
  <c r="N28" i="8" l="1"/>
  <c r="N16" i="8"/>
  <c r="M36" i="8"/>
  <c r="M38" i="8"/>
  <c r="O33" i="6"/>
  <c r="O30" i="6"/>
  <c r="O26" i="6"/>
  <c r="M39" i="8" l="1"/>
  <c r="N35" i="8" s="1"/>
  <c r="M41" i="8"/>
  <c r="N15" i="25" s="1"/>
  <c r="N21" i="8"/>
  <c r="N19" i="8"/>
  <c r="O36" i="6"/>
  <c r="O37" i="6" s="1"/>
  <c r="O42" i="6" l="1"/>
  <c r="O35" i="6"/>
  <c r="N18" i="25"/>
  <c r="N21" i="25" s="1"/>
  <c r="O32" i="19"/>
  <c r="O20" i="8"/>
  <c r="N24" i="8"/>
  <c r="O49" i="6"/>
  <c r="P12" i="25"/>
  <c r="P13" i="25" s="1"/>
  <c r="N22" i="8"/>
  <c r="O18" i="8" s="1"/>
  <c r="O37" i="19" l="1"/>
  <c r="O45" i="19" s="1"/>
  <c r="O47" i="19" s="1"/>
  <c r="O56" i="6"/>
  <c r="O48" i="6"/>
  <c r="N43" i="25"/>
  <c r="N45" i="25" s="1"/>
  <c r="N57" i="25"/>
  <c r="N59" i="25" s="1"/>
  <c r="N27" i="25"/>
  <c r="N28" i="25" s="1"/>
  <c r="N29" i="25" s="1"/>
  <c r="O25" i="25" s="1"/>
  <c r="N37" i="25"/>
  <c r="N38" i="25" s="1"/>
  <c r="N50" i="25"/>
  <c r="N52" i="25" s="1"/>
  <c r="N29" i="8"/>
  <c r="N30" i="8" s="1"/>
  <c r="O44" i="6"/>
  <c r="O45" i="6"/>
  <c r="P24" i="6" s="1"/>
  <c r="O39" i="6"/>
  <c r="O26" i="25" l="1"/>
  <c r="O50" i="6"/>
  <c r="O52" i="6" s="1"/>
  <c r="P16" i="25"/>
  <c r="P27" i="6"/>
  <c r="P28" i="6"/>
  <c r="N33" i="8"/>
  <c r="O57" i="6"/>
  <c r="P38" i="4" s="1"/>
  <c r="P40" i="4" s="1"/>
  <c r="O58" i="6"/>
  <c r="P33" i="6" l="1"/>
  <c r="N36" i="8"/>
  <c r="N38" i="8"/>
  <c r="P26" i="6"/>
  <c r="P30" i="6" s="1"/>
  <c r="P42" i="4"/>
  <c r="O10" i="8"/>
  <c r="O13" i="8" s="1"/>
  <c r="N39" i="8" l="1"/>
  <c r="O35" i="8" s="1"/>
  <c r="P43" i="4"/>
  <c r="P45" i="4" s="1"/>
  <c r="Q42" i="19" s="1"/>
  <c r="Q43" i="19" s="1"/>
  <c r="N41" i="8"/>
  <c r="O15" i="25" s="1"/>
  <c r="O16" i="8"/>
  <c r="O28" i="8"/>
  <c r="P36" i="6"/>
  <c r="P49" i="6" l="1"/>
  <c r="Q12" i="25"/>
  <c r="Q13" i="25" s="1"/>
  <c r="P37" i="6"/>
  <c r="O21" i="8"/>
  <c r="O19" i="8"/>
  <c r="O18" i="25"/>
  <c r="O21" i="25" s="1"/>
  <c r="P32" i="19"/>
  <c r="P42" i="6" l="1"/>
  <c r="P35" i="6"/>
  <c r="P20" i="8"/>
  <c r="O24" i="8"/>
  <c r="O27" i="25"/>
  <c r="O28" i="25" s="1"/>
  <c r="O29" i="25" s="1"/>
  <c r="P25" i="25" s="1"/>
  <c r="O37" i="25"/>
  <c r="O38" i="25" s="1"/>
  <c r="O43" i="25"/>
  <c r="O45" i="25" s="1"/>
  <c r="O57" i="25"/>
  <c r="O59" i="25" s="1"/>
  <c r="O50" i="25"/>
  <c r="O52" i="25" s="1"/>
  <c r="P37" i="19"/>
  <c r="P45" i="19" s="1"/>
  <c r="P47" i="19" s="1"/>
  <c r="O22" i="8"/>
  <c r="P18" i="8" s="1"/>
  <c r="P26" i="25" l="1"/>
  <c r="P56" i="6"/>
  <c r="P48" i="6"/>
  <c r="P39" i="6"/>
  <c r="O29" i="8"/>
  <c r="O30" i="8" s="1"/>
  <c r="P45" i="6"/>
  <c r="Q24" i="6" s="1"/>
  <c r="P44" i="6"/>
  <c r="P57" i="6" l="1"/>
  <c r="Q38" i="4" s="1"/>
  <c r="Q40" i="4" s="1"/>
  <c r="O33" i="8"/>
  <c r="P50" i="6"/>
  <c r="P52" i="6" s="1"/>
  <c r="Q16" i="25"/>
  <c r="Q28" i="6"/>
  <c r="Q27" i="6"/>
  <c r="Q33" i="6" l="1"/>
  <c r="O38" i="8"/>
  <c r="O36" i="8"/>
  <c r="Q42" i="4"/>
  <c r="Q43" i="4" s="1"/>
  <c r="Q45" i="4" s="1"/>
  <c r="R42" i="19" s="1"/>
  <c r="R43" i="19" s="1"/>
  <c r="P10" i="8"/>
  <c r="P13" i="8" s="1"/>
  <c r="Q26" i="6"/>
  <c r="Q30" i="6" s="1"/>
  <c r="P58" i="6"/>
  <c r="O41" i="8" l="1"/>
  <c r="P15" i="25" s="1"/>
  <c r="P16" i="8"/>
  <c r="P28" i="8"/>
  <c r="Q36" i="6"/>
  <c r="O39" i="8"/>
  <c r="P35" i="8" s="1"/>
  <c r="P19" i="8" l="1"/>
  <c r="P21" i="8"/>
  <c r="P18" i="25"/>
  <c r="P21" i="25" s="1"/>
  <c r="Q32" i="19"/>
  <c r="R12" i="25"/>
  <c r="R13" i="25" s="1"/>
  <c r="Q49" i="6"/>
  <c r="Q37" i="6"/>
  <c r="Q37" i="19" l="1"/>
  <c r="Q45" i="19" s="1"/>
  <c r="Q47" i="19" s="1"/>
  <c r="P43" i="25"/>
  <c r="P45" i="25" s="1"/>
  <c r="P50" i="25"/>
  <c r="P52" i="25" s="1"/>
  <c r="P27" i="25"/>
  <c r="P28" i="25" s="1"/>
  <c r="P29" i="25" s="1"/>
  <c r="Q25" i="25" s="1"/>
  <c r="P57" i="25"/>
  <c r="P59" i="25" s="1"/>
  <c r="P37" i="25"/>
  <c r="P38" i="25" s="1"/>
  <c r="Q20" i="8"/>
  <c r="P24" i="8"/>
  <c r="Q42" i="6"/>
  <c r="Q39" i="6"/>
  <c r="Q35" i="6"/>
  <c r="P22" i="8"/>
  <c r="Q18" i="8" s="1"/>
  <c r="Q26" i="25" l="1"/>
  <c r="Q44" i="6"/>
  <c r="Q45" i="6"/>
  <c r="R24" i="6" s="1"/>
  <c r="P29" i="8"/>
  <c r="P30" i="8" s="1"/>
  <c r="Q56" i="6"/>
  <c r="Q48" i="6"/>
  <c r="P33" i="8" l="1"/>
  <c r="Q57" i="6"/>
  <c r="R38" i="4" s="1"/>
  <c r="R40" i="4" s="1"/>
  <c r="Q58" i="6"/>
  <c r="R27" i="6"/>
  <c r="Q50" i="6"/>
  <c r="Q52" i="6" s="1"/>
  <c r="R16" i="25"/>
  <c r="R28" i="6" l="1"/>
  <c r="R42" i="4"/>
  <c r="R45" i="4" s="1"/>
  <c r="S42" i="19" s="1"/>
  <c r="S43" i="19" s="1"/>
  <c r="R43" i="4"/>
  <c r="Q10" i="8"/>
  <c r="Q13" i="8" s="1"/>
  <c r="P38" i="8"/>
  <c r="P36" i="8"/>
  <c r="Q28" i="8" l="1"/>
  <c r="Q16" i="8"/>
  <c r="P39" i="8"/>
  <c r="Q35" i="8" s="1"/>
  <c r="B20" i="6"/>
  <c r="R33" i="6"/>
  <c r="R30" i="6"/>
  <c r="R26" i="6"/>
  <c r="Q37" i="8"/>
  <c r="P41" i="8"/>
  <c r="Q15" i="25" s="1"/>
  <c r="Q18" i="25" l="1"/>
  <c r="Q21" i="25" s="1"/>
  <c r="R32" i="19"/>
  <c r="R52" i="6"/>
  <c r="R36" i="6"/>
  <c r="Q21" i="8"/>
  <c r="Q19" i="8"/>
  <c r="Q22" i="8" l="1"/>
  <c r="R18" i="8" s="1"/>
  <c r="S12" i="25"/>
  <c r="S13" i="25" s="1"/>
  <c r="R49" i="6"/>
  <c r="R37" i="6"/>
  <c r="R20" i="8"/>
  <c r="Q24" i="8"/>
  <c r="R37" i="19"/>
  <c r="R45" i="19" s="1"/>
  <c r="R47" i="19" s="1"/>
  <c r="Q27" i="25"/>
  <c r="Q28" i="25" s="1"/>
  <c r="Q29" i="25" s="1"/>
  <c r="R25" i="25" s="1"/>
  <c r="Q37" i="25"/>
  <c r="Q38" i="25" s="1"/>
  <c r="Q50" i="25"/>
  <c r="Q52" i="25" s="1"/>
  <c r="Q43" i="25"/>
  <c r="Q45" i="25" s="1"/>
  <c r="Q57" i="25"/>
  <c r="Q59" i="25" s="1"/>
  <c r="R42" i="6" l="1"/>
  <c r="R39" i="6"/>
  <c r="R35" i="6"/>
  <c r="R26" i="25"/>
  <c r="Q29" i="8"/>
  <c r="Q30" i="8" s="1"/>
  <c r="R56" i="6" l="1"/>
  <c r="R48" i="6"/>
  <c r="Q33" i="8"/>
  <c r="R45" i="6"/>
  <c r="S24" i="6" s="1"/>
  <c r="R44" i="6"/>
  <c r="Q36" i="8" l="1"/>
  <c r="Q38" i="8"/>
  <c r="S27" i="6"/>
  <c r="R50" i="6"/>
  <c r="S16" i="25"/>
  <c r="R57" i="6"/>
  <c r="S38" i="4" s="1"/>
  <c r="S40" i="4" s="1"/>
  <c r="R58" i="6"/>
  <c r="S28" i="6" l="1"/>
  <c r="R37" i="8"/>
  <c r="Q41" i="8"/>
  <c r="R15" i="25" s="1"/>
  <c r="S42" i="4"/>
  <c r="S45" i="4" s="1"/>
  <c r="T42" i="19" s="1"/>
  <c r="T43" i="19" s="1"/>
  <c r="R10" i="8"/>
  <c r="R13" i="8" s="1"/>
  <c r="S43" i="4"/>
  <c r="Q39" i="8"/>
  <c r="R35" i="8" s="1"/>
  <c r="R18" i="25" l="1"/>
  <c r="R21" i="25" s="1"/>
  <c r="S32" i="19"/>
  <c r="R28" i="8"/>
  <c r="R16" i="8"/>
  <c r="S33" i="6"/>
  <c r="S30" i="6"/>
  <c r="S26" i="6"/>
  <c r="S36" i="6" l="1"/>
  <c r="S52" i="6"/>
  <c r="S37" i="19"/>
  <c r="S45" i="19" s="1"/>
  <c r="S47" i="19" s="1"/>
  <c r="R19" i="8"/>
  <c r="R21" i="8"/>
  <c r="R50" i="25"/>
  <c r="R52" i="25" s="1"/>
  <c r="R37" i="25"/>
  <c r="R38" i="25" s="1"/>
  <c r="R43" i="25"/>
  <c r="R45" i="25" s="1"/>
  <c r="R27" i="25"/>
  <c r="R28" i="25" s="1"/>
  <c r="R29" i="25" s="1"/>
  <c r="S25" i="25" s="1"/>
  <c r="R57" i="25"/>
  <c r="R59" i="25" s="1"/>
  <c r="R22" i="8" l="1"/>
  <c r="S18" i="8" s="1"/>
  <c r="S20" i="8"/>
  <c r="R24" i="8"/>
  <c r="T12" i="25"/>
  <c r="T13" i="25" s="1"/>
  <c r="S49" i="6"/>
  <c r="S26" i="25"/>
  <c r="S37" i="6"/>
  <c r="R29" i="8" l="1"/>
  <c r="R30" i="8" s="1"/>
  <c r="S42" i="6"/>
  <c r="S39" i="6"/>
  <c r="S35" i="6"/>
  <c r="R33" i="8" l="1"/>
  <c r="S48" i="6"/>
  <c r="S56" i="6"/>
  <c r="S45" i="6"/>
  <c r="T24" i="6" s="1"/>
  <c r="S44" i="6"/>
  <c r="T27" i="6" l="1"/>
  <c r="S57" i="6"/>
  <c r="T38" i="4" s="1"/>
  <c r="T40" i="4" s="1"/>
  <c r="S58" i="6"/>
  <c r="R38" i="8"/>
  <c r="R36" i="8"/>
  <c r="S50" i="6"/>
  <c r="T16" i="25"/>
  <c r="T42" i="4" l="1"/>
  <c r="T43" i="4" s="1"/>
  <c r="T45" i="4" s="1"/>
  <c r="U42" i="19" s="1"/>
  <c r="U43" i="19" s="1"/>
  <c r="S10" i="8"/>
  <c r="S13" i="8" s="1"/>
  <c r="R39" i="8"/>
  <c r="S35" i="8" s="1"/>
  <c r="S37" i="8"/>
  <c r="R41" i="8"/>
  <c r="S15" i="25" s="1"/>
  <c r="T28" i="6"/>
  <c r="S18" i="25" l="1"/>
  <c r="S21" i="25" s="1"/>
  <c r="T32" i="19"/>
  <c r="T33" i="6"/>
  <c r="T30" i="6"/>
  <c r="T26" i="6"/>
  <c r="S28" i="8"/>
  <c r="S16" i="8"/>
  <c r="T37" i="19" l="1"/>
  <c r="T45" i="19" s="1"/>
  <c r="T47" i="19" s="1"/>
  <c r="S27" i="25"/>
  <c r="S28" i="25" s="1"/>
  <c r="S29" i="25" s="1"/>
  <c r="T25" i="25" s="1"/>
  <c r="S37" i="25"/>
  <c r="S38" i="25" s="1"/>
  <c r="S57" i="25"/>
  <c r="S59" i="25" s="1"/>
  <c r="S50" i="25"/>
  <c r="S52" i="25" s="1"/>
  <c r="S43" i="25"/>
  <c r="S45" i="25" s="1"/>
  <c r="T52" i="6"/>
  <c r="T36" i="6"/>
  <c r="S19" i="8"/>
  <c r="S21" i="8"/>
  <c r="T20" i="8" l="1"/>
  <c r="S24" i="8"/>
  <c r="T26" i="25"/>
  <c r="S22" i="8"/>
  <c r="U12" i="25"/>
  <c r="U13" i="25" s="1"/>
  <c r="T49" i="6"/>
  <c r="T37" i="6"/>
  <c r="T42" i="6" l="1"/>
  <c r="T39" i="6"/>
  <c r="T35" i="6"/>
  <c r="S29" i="8"/>
  <c r="S30" i="8" s="1"/>
  <c r="S33" i="8" l="1"/>
  <c r="T48" i="6"/>
  <c r="T56" i="6"/>
  <c r="T45" i="6"/>
  <c r="U24" i="6" s="1"/>
  <c r="T44" i="6"/>
  <c r="U27" i="6" l="1"/>
  <c r="S36" i="8"/>
  <c r="S39" i="8" s="1"/>
  <c r="S38" i="8"/>
  <c r="T57" i="6"/>
  <c r="U38" i="4" s="1"/>
  <c r="U40" i="4" s="1"/>
  <c r="T50" i="6"/>
  <c r="U16" i="25"/>
  <c r="U42" i="4" l="1"/>
  <c r="U45" i="4" s="1"/>
  <c r="V42" i="19" s="1"/>
  <c r="V43" i="19" s="1"/>
  <c r="T10" i="8"/>
  <c r="T13" i="8" s="1"/>
  <c r="U43" i="4"/>
  <c r="T37" i="8"/>
  <c r="S41" i="8"/>
  <c r="T15" i="25" s="1"/>
  <c r="T58" i="6"/>
  <c r="U28" i="6"/>
  <c r="T28" i="8" l="1"/>
  <c r="T16" i="8"/>
  <c r="U30" i="6"/>
  <c r="U33" i="6"/>
  <c r="U26" i="6"/>
  <c r="T18" i="25"/>
  <c r="T21" i="25" s="1"/>
  <c r="U32" i="19"/>
  <c r="T50" i="25" l="1"/>
  <c r="T52" i="25" s="1"/>
  <c r="T43" i="25"/>
  <c r="T45" i="25" s="1"/>
  <c r="T37" i="25"/>
  <c r="T38" i="25" s="1"/>
  <c r="T57" i="25"/>
  <c r="T59" i="25" s="1"/>
  <c r="T27" i="25"/>
  <c r="T28" i="25" s="1"/>
  <c r="T29" i="25" s="1"/>
  <c r="U25" i="25" s="1"/>
  <c r="U36" i="6"/>
  <c r="U52" i="6"/>
  <c r="T19" i="8"/>
  <c r="T21" i="8"/>
  <c r="U37" i="19"/>
  <c r="U45" i="19" s="1"/>
  <c r="U47" i="19" s="1"/>
  <c r="U26" i="25" l="1"/>
  <c r="V12" i="25"/>
  <c r="V13" i="25" s="1"/>
  <c r="U49" i="6"/>
  <c r="U37" i="6"/>
  <c r="U20" i="8"/>
  <c r="T24" i="8"/>
  <c r="T22" i="8"/>
  <c r="U18" i="8" s="1"/>
  <c r="U42" i="6" l="1"/>
  <c r="U39" i="6"/>
  <c r="U35" i="6"/>
  <c r="T29" i="8"/>
  <c r="T30" i="8" s="1"/>
  <c r="T33" i="8" l="1"/>
  <c r="U48" i="6"/>
  <c r="U56" i="6"/>
  <c r="U45" i="6"/>
  <c r="V24" i="6" s="1"/>
  <c r="U44" i="6"/>
  <c r="V27" i="6" l="1"/>
  <c r="T36" i="8"/>
  <c r="T38" i="8"/>
  <c r="U57" i="6"/>
  <c r="V38" i="4" s="1"/>
  <c r="V40" i="4" s="1"/>
  <c r="U50" i="6"/>
  <c r="V16" i="25"/>
  <c r="U58" i="6" l="1"/>
  <c r="V42" i="4"/>
  <c r="V43" i="4"/>
  <c r="V45" i="4"/>
  <c r="W42" i="19" s="1"/>
  <c r="W43" i="19" s="1"/>
  <c r="U10" i="8"/>
  <c r="U13" i="8" s="1"/>
  <c r="T39" i="8"/>
  <c r="U35" i="8" s="1"/>
  <c r="V28" i="6"/>
  <c r="U37" i="8"/>
  <c r="T41" i="8"/>
  <c r="U15" i="25" s="1"/>
  <c r="U16" i="8" l="1"/>
  <c r="U28" i="8"/>
  <c r="V30" i="6"/>
  <c r="V33" i="6"/>
  <c r="V26" i="6"/>
  <c r="U18" i="25"/>
  <c r="U21" i="25" s="1"/>
  <c r="V32" i="19"/>
  <c r="V52" i="6" l="1"/>
  <c r="V36" i="6"/>
  <c r="V37" i="6"/>
  <c r="V35" i="6"/>
  <c r="V37" i="19"/>
  <c r="V45" i="19" s="1"/>
  <c r="V47" i="19" s="1"/>
  <c r="U37" i="25"/>
  <c r="U38" i="25" s="1"/>
  <c r="U57" i="25"/>
  <c r="U59" i="25" s="1"/>
  <c r="U50" i="25"/>
  <c r="U52" i="25" s="1"/>
  <c r="U27" i="25"/>
  <c r="U28" i="25" s="1"/>
  <c r="U29" i="25" s="1"/>
  <c r="V25" i="25" s="1"/>
  <c r="U43" i="25"/>
  <c r="U45" i="25" s="1"/>
  <c r="U19" i="8"/>
  <c r="U21" i="8"/>
  <c r="V48" i="6" l="1"/>
  <c r="V56" i="6"/>
  <c r="V26" i="25"/>
  <c r="W12" i="25"/>
  <c r="W13" i="25" s="1"/>
  <c r="V49" i="6"/>
  <c r="U22" i="8"/>
  <c r="V18" i="8" s="1"/>
  <c r="V39" i="6"/>
  <c r="V42" i="6"/>
  <c r="V20" i="8"/>
  <c r="U24" i="8"/>
  <c r="V45" i="6" l="1"/>
  <c r="W24" i="6" s="1"/>
  <c r="V44" i="6"/>
  <c r="U29" i="8"/>
  <c r="U30" i="8" s="1"/>
  <c r="V50" i="6"/>
  <c r="W16" i="25"/>
  <c r="U33" i="8" l="1"/>
  <c r="V57" i="6"/>
  <c r="W27" i="6"/>
  <c r="W28" i="6" s="1"/>
  <c r="W33" i="6" l="1"/>
  <c r="W26" i="6"/>
  <c r="W30" i="6" s="1"/>
  <c r="W38" i="4"/>
  <c r="W40" i="4" s="1"/>
  <c r="V58" i="6"/>
  <c r="U36" i="8"/>
  <c r="U39" i="8" s="1"/>
  <c r="V35" i="8" s="1"/>
  <c r="U38" i="8"/>
  <c r="W42" i="4" l="1"/>
  <c r="W45" i="4" s="1"/>
  <c r="X42" i="19" s="1"/>
  <c r="X43" i="19" s="1"/>
  <c r="V10" i="8"/>
  <c r="V13" i="8" s="1"/>
  <c r="W43" i="4"/>
  <c r="V37" i="8"/>
  <c r="U41" i="8"/>
  <c r="V15" i="25" s="1"/>
  <c r="W36" i="6"/>
  <c r="W37" i="6"/>
  <c r="W35" i="6" s="1"/>
  <c r="W56" i="6" l="1"/>
  <c r="W48" i="6"/>
  <c r="V18" i="25"/>
  <c r="V21" i="25" s="1"/>
  <c r="W32" i="19"/>
  <c r="V16" i="8"/>
  <c r="V28" i="8"/>
  <c r="W49" i="6"/>
  <c r="X12" i="25"/>
  <c r="X13" i="25" s="1"/>
  <c r="W39" i="6"/>
  <c r="W42" i="6"/>
  <c r="W37" i="19" l="1"/>
  <c r="W45" i="19" s="1"/>
  <c r="W47" i="19" s="1"/>
  <c r="V21" i="8"/>
  <c r="V19" i="8"/>
  <c r="W44" i="6"/>
  <c r="W45" i="6"/>
  <c r="X24" i="6" s="1"/>
  <c r="W50" i="6"/>
  <c r="W52" i="6" s="1"/>
  <c r="X16" i="25"/>
  <c r="V43" i="25"/>
  <c r="V45" i="25" s="1"/>
  <c r="V57" i="25"/>
  <c r="V59" i="25" s="1"/>
  <c r="V37" i="25"/>
  <c r="V38" i="25" s="1"/>
  <c r="V50" i="25"/>
  <c r="V52" i="25" s="1"/>
  <c r="V27" i="25"/>
  <c r="V28" i="25" s="1"/>
  <c r="V29" i="25" s="1"/>
  <c r="W25" i="25" s="1"/>
  <c r="W26" i="25" l="1"/>
  <c r="W57" i="6"/>
  <c r="X27" i="6"/>
  <c r="X28" i="6"/>
  <c r="X26" i="6" s="1"/>
  <c r="W20" i="8"/>
  <c r="V24" i="8"/>
  <c r="V22" i="8"/>
  <c r="W18" i="8" s="1"/>
  <c r="X33" i="6" l="1"/>
  <c r="X30" i="6"/>
  <c r="X38" i="4"/>
  <c r="X40" i="4" s="1"/>
  <c r="W58" i="6"/>
  <c r="V29" i="8"/>
  <c r="V30" i="8" s="1"/>
  <c r="V33" i="8" l="1"/>
  <c r="X42" i="4"/>
  <c r="X43" i="4" s="1"/>
  <c r="X45" i="4" s="1"/>
  <c r="Y42" i="19" s="1"/>
  <c r="Y43" i="19" s="1"/>
  <c r="W10" i="8"/>
  <c r="W13" i="8" s="1"/>
  <c r="X36" i="6"/>
  <c r="X37" i="6" s="1"/>
  <c r="X42" i="6" l="1"/>
  <c r="X35" i="6"/>
  <c r="W16" i="8"/>
  <c r="W28" i="8"/>
  <c r="W24" i="8"/>
  <c r="V38" i="8"/>
  <c r="V36" i="8"/>
  <c r="X49" i="6"/>
  <c r="Y12" i="25"/>
  <c r="Y13" i="25" s="1"/>
  <c r="X56" i="6" l="1"/>
  <c r="X48" i="6"/>
  <c r="W37" i="8"/>
  <c r="V41" i="8"/>
  <c r="W15" i="25" s="1"/>
  <c r="W30" i="8"/>
  <c r="X39" i="6"/>
  <c r="W29" i="8"/>
  <c r="W21" i="8"/>
  <c r="W19" i="8"/>
  <c r="V39" i="8"/>
  <c r="W35" i="8" s="1"/>
  <c r="X45" i="6"/>
  <c r="Y24" i="6" s="1"/>
  <c r="X44" i="6"/>
  <c r="Y27" i="6" l="1"/>
  <c r="W18" i="25"/>
  <c r="W21" i="25" s="1"/>
  <c r="X32" i="19"/>
  <c r="X50" i="6"/>
  <c r="X52" i="6" s="1"/>
  <c r="Y16" i="25"/>
  <c r="W33" i="8"/>
  <c r="W41" i="8"/>
  <c r="X15" i="25" s="1"/>
  <c r="X18" i="25" s="1"/>
  <c r="X21" i="25" s="1"/>
  <c r="X20" i="8"/>
  <c r="X58" i="6"/>
  <c r="X57" i="6"/>
  <c r="Y38" i="4" s="1"/>
  <c r="Y40" i="4" s="1"/>
  <c r="W22" i="8"/>
  <c r="X18" i="8" s="1"/>
  <c r="X37" i="19" l="1"/>
  <c r="X45" i="19" s="1"/>
  <c r="X47" i="19" s="1"/>
  <c r="Y32" i="19"/>
  <c r="W27" i="25"/>
  <c r="W28" i="25" s="1"/>
  <c r="W29" i="25" s="1"/>
  <c r="X25" i="25" s="1"/>
  <c r="W37" i="25"/>
  <c r="W38" i="25" s="1"/>
  <c r="W57" i="25"/>
  <c r="W59" i="25" s="1"/>
  <c r="W43" i="25"/>
  <c r="W45" i="25" s="1"/>
  <c r="W50" i="25"/>
  <c r="W52" i="25" s="1"/>
  <c r="W36" i="8"/>
  <c r="W38" i="8"/>
  <c r="X37" i="8" s="1"/>
  <c r="Y42" i="4"/>
  <c r="Y43" i="4" s="1"/>
  <c r="X10" i="8"/>
  <c r="X13" i="8" s="1"/>
  <c r="X43" i="25"/>
  <c r="X45" i="25" s="1"/>
  <c r="X27" i="25"/>
  <c r="X37" i="25"/>
  <c r="X38" i="25" s="1"/>
  <c r="X57" i="25"/>
  <c r="X59" i="25" s="1"/>
  <c r="X50" i="25"/>
  <c r="X52" i="25" s="1"/>
  <c r="Y28" i="6"/>
  <c r="Y45" i="4" l="1"/>
  <c r="Z42" i="19" s="1"/>
  <c r="Z43" i="19" s="1"/>
  <c r="W39" i="8"/>
  <c r="X35" i="8" s="1"/>
  <c r="Y37" i="19"/>
  <c r="Y45" i="19" s="1"/>
  <c r="Y47" i="19" s="1"/>
  <c r="Y33" i="6"/>
  <c r="Y26" i="6"/>
  <c r="Y30" i="6" s="1"/>
  <c r="X26" i="25"/>
  <c r="X28" i="25" s="1"/>
  <c r="X29" i="25" s="1"/>
  <c r="Y25" i="25" s="1"/>
  <c r="X16" i="8"/>
  <c r="X24" i="8"/>
  <c r="X28" i="8"/>
  <c r="Y26" i="25" l="1"/>
  <c r="Y36" i="6"/>
  <c r="Y37" i="6"/>
  <c r="X29" i="8"/>
  <c r="X30" i="8" s="1"/>
  <c r="X21" i="8"/>
  <c r="X19" i="8"/>
  <c r="X33" i="8" l="1"/>
  <c r="X41" i="8"/>
  <c r="Y15" i="25" s="1"/>
  <c r="Y42" i="6"/>
  <c r="Z12" i="25"/>
  <c r="Z13" i="25" s="1"/>
  <c r="Y49" i="6"/>
  <c r="Y35" i="6"/>
  <c r="X22" i="8"/>
  <c r="Y18" i="8" s="1"/>
  <c r="Y20" i="8"/>
  <c r="Y56" i="6" l="1"/>
  <c r="Y48" i="6"/>
  <c r="Y44" i="6"/>
  <c r="Y45" i="6"/>
  <c r="Z24" i="6" s="1"/>
  <c r="Y18" i="25"/>
  <c r="Y21" i="25" s="1"/>
  <c r="Z32" i="19"/>
  <c r="Y39" i="6"/>
  <c r="X38" i="8"/>
  <c r="Y37" i="8" s="1"/>
  <c r="X36" i="8"/>
  <c r="X39" i="8" s="1"/>
  <c r="Y35" i="8" s="1"/>
  <c r="Y57" i="6" l="1"/>
  <c r="Z38" i="4" s="1"/>
  <c r="Z40" i="4" s="1"/>
  <c r="Y27" i="25"/>
  <c r="Y28" i="25" s="1"/>
  <c r="Y29" i="25" s="1"/>
  <c r="Z25" i="25" s="1"/>
  <c r="Y37" i="25"/>
  <c r="Y38" i="25" s="1"/>
  <c r="Y43" i="25"/>
  <c r="Y45" i="25" s="1"/>
  <c r="Y50" i="25"/>
  <c r="Y52" i="25" s="1"/>
  <c r="Y57" i="25"/>
  <c r="Y59" i="25" s="1"/>
  <c r="Y50" i="6"/>
  <c r="Y52" i="6" s="1"/>
  <c r="Z16" i="25"/>
  <c r="Z37" i="19"/>
  <c r="Z45" i="19" s="1"/>
  <c r="Z47" i="19" s="1"/>
  <c r="Z27" i="6"/>
  <c r="Y58" i="6"/>
  <c r="Z28" i="6" l="1"/>
  <c r="Z42" i="4"/>
  <c r="Z45" i="4" s="1"/>
  <c r="AA42" i="19" s="1"/>
  <c r="AA43" i="19" s="1"/>
  <c r="Z43" i="4"/>
  <c r="Y10" i="8"/>
  <c r="Y13" i="8" s="1"/>
  <c r="Z26" i="25"/>
  <c r="Y28" i="8" l="1"/>
  <c r="Y16" i="8"/>
  <c r="Y24" i="8"/>
  <c r="Z33" i="6"/>
  <c r="Z30" i="6"/>
  <c r="Z26" i="6"/>
  <c r="Z36" i="6" l="1"/>
  <c r="Y29" i="8"/>
  <c r="Y30" i="8"/>
  <c r="Y19" i="8"/>
  <c r="Y22" i="8" s="1"/>
  <c r="Z18" i="8" s="1"/>
  <c r="Y21" i="8"/>
  <c r="Y33" i="8" l="1"/>
  <c r="Y41" i="8"/>
  <c r="Z15" i="25" s="1"/>
  <c r="Z49" i="6"/>
  <c r="AA12" i="25"/>
  <c r="AA13" i="25" s="1"/>
  <c r="Z20" i="8"/>
  <c r="Z37" i="6"/>
  <c r="AA32" i="19" l="1"/>
  <c r="Z18" i="25"/>
  <c r="Z21" i="25" s="1"/>
  <c r="Z42" i="6"/>
  <c r="Z35" i="6"/>
  <c r="Y36" i="8"/>
  <c r="Y39" i="8" s="1"/>
  <c r="Z35" i="8" s="1"/>
  <c r="Y38" i="8"/>
  <c r="Z37" i="8" s="1"/>
  <c r="Z48" i="6" l="1"/>
  <c r="Z56" i="6"/>
  <c r="Z45" i="6"/>
  <c r="AA24" i="6" s="1"/>
  <c r="Z44" i="6"/>
  <c r="Z39" i="6"/>
  <c r="AA37" i="19"/>
  <c r="AA45" i="19" s="1"/>
  <c r="AA47" i="19" s="1"/>
  <c r="Z50" i="25"/>
  <c r="Z52" i="25" s="1"/>
  <c r="Z43" i="25"/>
  <c r="Z45" i="25" s="1"/>
  <c r="Z27" i="25"/>
  <c r="Z28" i="25" s="1"/>
  <c r="Z29" i="25" s="1"/>
  <c r="AA25" i="25" s="1"/>
  <c r="Z57" i="25"/>
  <c r="Z59" i="25" s="1"/>
  <c r="Z37" i="25"/>
  <c r="Z38" i="25" s="1"/>
  <c r="AA26" i="25" l="1"/>
  <c r="AA27" i="6"/>
  <c r="AA28" i="6"/>
  <c r="Z57" i="6"/>
  <c r="AA38" i="4" s="1"/>
  <c r="AA40" i="4" s="1"/>
  <c r="Z58" i="6"/>
  <c r="Z50" i="6"/>
  <c r="Z52" i="6" s="1"/>
  <c r="AA16" i="25"/>
  <c r="Z10" i="8" l="1"/>
  <c r="Z13" i="8" s="1"/>
  <c r="AA42" i="4"/>
  <c r="AA30" i="6"/>
  <c r="AA33" i="6"/>
  <c r="AA26" i="6"/>
  <c r="AA36" i="6" l="1"/>
  <c r="AA43" i="4"/>
  <c r="AA45" i="4" s="1"/>
  <c r="AB42" i="19" s="1"/>
  <c r="AB43" i="19" s="1"/>
  <c r="Z28" i="8"/>
  <c r="Z16" i="8"/>
  <c r="Z24" i="8"/>
  <c r="AB12" i="25" l="1"/>
  <c r="AB13" i="25" s="1"/>
  <c r="AA49" i="6"/>
  <c r="AA37" i="6"/>
  <c r="Z19" i="8"/>
  <c r="Z21" i="8"/>
  <c r="Z29" i="8"/>
  <c r="Z30" i="8" s="1"/>
  <c r="Z41" i="8" l="1"/>
  <c r="AA15" i="25" s="1"/>
  <c r="Z33" i="8"/>
  <c r="Z22" i="8"/>
  <c r="AA18" i="8" s="1"/>
  <c r="AA20" i="8"/>
  <c r="AA42" i="6"/>
  <c r="AA39" i="6"/>
  <c r="AA35" i="6"/>
  <c r="AA45" i="6" l="1"/>
  <c r="AB24" i="6" s="1"/>
  <c r="AA44" i="6"/>
  <c r="AA48" i="6"/>
  <c r="AA56" i="6"/>
  <c r="Z38" i="8"/>
  <c r="AA37" i="8" s="1"/>
  <c r="Z36" i="8"/>
  <c r="Z39" i="8" s="1"/>
  <c r="AA35" i="8" s="1"/>
  <c r="AB32" i="19"/>
  <c r="AA18" i="25"/>
  <c r="AA21" i="25" s="1"/>
  <c r="AA50" i="6" l="1"/>
  <c r="AA52" i="6" s="1"/>
  <c r="AB16" i="25"/>
  <c r="AB37" i="19"/>
  <c r="AB45" i="19" s="1"/>
  <c r="AB47" i="19" s="1"/>
  <c r="AA57" i="6"/>
  <c r="AB38" i="4" s="1"/>
  <c r="AB40" i="4" s="1"/>
  <c r="AB27" i="6"/>
  <c r="AB28" i="6"/>
  <c r="AB26" i="6"/>
  <c r="AA27" i="25"/>
  <c r="AA28" i="25" s="1"/>
  <c r="AA29" i="25" s="1"/>
  <c r="AB25" i="25" s="1"/>
  <c r="AA37" i="25"/>
  <c r="AA38" i="25" s="1"/>
  <c r="AA50" i="25"/>
  <c r="AA52" i="25" s="1"/>
  <c r="AA43" i="25"/>
  <c r="AA45" i="25" s="1"/>
  <c r="AA57" i="25"/>
  <c r="AA59" i="25" s="1"/>
  <c r="AA58" i="6" l="1"/>
  <c r="AB42" i="4"/>
  <c r="AB43" i="4"/>
  <c r="AA10" i="8"/>
  <c r="AA13" i="8" s="1"/>
  <c r="AB45" i="4"/>
  <c r="AC42" i="19" s="1"/>
  <c r="AC43" i="19" s="1"/>
  <c r="AB26" i="25"/>
  <c r="AB30" i="6"/>
  <c r="AB33" i="6"/>
  <c r="AB36" i="6" l="1"/>
  <c r="AB37" i="6" s="1"/>
  <c r="AA28" i="8"/>
  <c r="AA24" i="8"/>
  <c r="AA16" i="8"/>
  <c r="AB42" i="6" l="1"/>
  <c r="AB35" i="6"/>
  <c r="AA19" i="8"/>
  <c r="AA22" i="8" s="1"/>
  <c r="AB18" i="8" s="1"/>
  <c r="AA21" i="8"/>
  <c r="AA29" i="8"/>
  <c r="AA30" i="8" s="1"/>
  <c r="AC12" i="25"/>
  <c r="AC13" i="25" s="1"/>
  <c r="AB49" i="6"/>
  <c r="AA41" i="8" l="1"/>
  <c r="AB15" i="25" s="1"/>
  <c r="AA33" i="8"/>
  <c r="AB20" i="8"/>
  <c r="AB48" i="6"/>
  <c r="AB56" i="6"/>
  <c r="AB39" i="6"/>
  <c r="AB45" i="6"/>
  <c r="AC24" i="6" s="1"/>
  <c r="AB44" i="6"/>
  <c r="AB50" i="6" l="1"/>
  <c r="AB52" i="6" s="1"/>
  <c r="AC16" i="25"/>
  <c r="AB57" i="6"/>
  <c r="AC38" i="4" s="1"/>
  <c r="AC40" i="4" s="1"/>
  <c r="AC28" i="6"/>
  <c r="AC27" i="6"/>
  <c r="AA36" i="8"/>
  <c r="AA38" i="8"/>
  <c r="AB37" i="8" s="1"/>
  <c r="AC32" i="19"/>
  <c r="AB18" i="25"/>
  <c r="AB21" i="25" s="1"/>
  <c r="AC33" i="6" l="1"/>
  <c r="AB10" i="8"/>
  <c r="AB13" i="8" s="1"/>
  <c r="AC42" i="4"/>
  <c r="AC43" i="4" s="1"/>
  <c r="AB50" i="25"/>
  <c r="AB52" i="25" s="1"/>
  <c r="AB43" i="25"/>
  <c r="AB45" i="25" s="1"/>
  <c r="AB57" i="25"/>
  <c r="AB59" i="25" s="1"/>
  <c r="AB27" i="25"/>
  <c r="AB28" i="25" s="1"/>
  <c r="AB29" i="25" s="1"/>
  <c r="AC25" i="25" s="1"/>
  <c r="AB37" i="25"/>
  <c r="AB38" i="25" s="1"/>
  <c r="AC26" i="6"/>
  <c r="AC30" i="6" s="1"/>
  <c r="AC37" i="19"/>
  <c r="AC45" i="19" s="1"/>
  <c r="AC47" i="19" s="1"/>
  <c r="AA39" i="8"/>
  <c r="AB35" i="8" s="1"/>
  <c r="AB58" i="6"/>
  <c r="AB28" i="8" l="1"/>
  <c r="AB16" i="8"/>
  <c r="AB24" i="8"/>
  <c r="AC45" i="4"/>
  <c r="AD42" i="19" s="1"/>
  <c r="AD43" i="19" s="1"/>
  <c r="AC26" i="25"/>
  <c r="AC37" i="6"/>
  <c r="AC36" i="6"/>
  <c r="AC42" i="6" l="1"/>
  <c r="AB29" i="8"/>
  <c r="AB19" i="8"/>
  <c r="AB22" i="8" s="1"/>
  <c r="AC18" i="8" s="1"/>
  <c r="AB21" i="8"/>
  <c r="AC49" i="6"/>
  <c r="AD12" i="25"/>
  <c r="AD13" i="25" s="1"/>
  <c r="AC35" i="6"/>
  <c r="AB30" i="8"/>
  <c r="AC20" i="8" l="1"/>
  <c r="AB41" i="8"/>
  <c r="AC15" i="25" s="1"/>
  <c r="AB33" i="8"/>
  <c r="AC48" i="6"/>
  <c r="AC56" i="6"/>
  <c r="AC39" i="6"/>
  <c r="AC45" i="6"/>
  <c r="AD24" i="6" s="1"/>
  <c r="AC44" i="6"/>
  <c r="AC50" i="6" l="1"/>
  <c r="AC52" i="6" s="1"/>
  <c r="AD16" i="25"/>
  <c r="AC57" i="6"/>
  <c r="AD38" i="4" s="1"/>
  <c r="AD40" i="4" s="1"/>
  <c r="AC18" i="25"/>
  <c r="AC21" i="25" s="1"/>
  <c r="AD32" i="19"/>
  <c r="AB36" i="8"/>
  <c r="AB38" i="8"/>
  <c r="AC37" i="8" s="1"/>
  <c r="AD27" i="6"/>
  <c r="AD28" i="6" s="1"/>
  <c r="AC58" i="6"/>
  <c r="AD33" i="6" l="1"/>
  <c r="AD26" i="6"/>
  <c r="AD30" i="6" s="1"/>
  <c r="AC50" i="25"/>
  <c r="AC52" i="25" s="1"/>
  <c r="AC57" i="25"/>
  <c r="AC59" i="25" s="1"/>
  <c r="AC43" i="25"/>
  <c r="AC45" i="25" s="1"/>
  <c r="AC27" i="25"/>
  <c r="AC28" i="25" s="1"/>
  <c r="AC29" i="25" s="1"/>
  <c r="AD25" i="25" s="1"/>
  <c r="AC37" i="25"/>
  <c r="AC38" i="25" s="1"/>
  <c r="AB39" i="8"/>
  <c r="AC35" i="8" s="1"/>
  <c r="AD42" i="4"/>
  <c r="AD43" i="4"/>
  <c r="AC10" i="8"/>
  <c r="AC13" i="8" s="1"/>
  <c r="AD45" i="4"/>
  <c r="AE42" i="19" s="1"/>
  <c r="AE43" i="19" s="1"/>
  <c r="AD37" i="19"/>
  <c r="AD45" i="19" s="1"/>
  <c r="AD47" i="19" s="1"/>
  <c r="AC16" i="8" l="1"/>
  <c r="AC24" i="8"/>
  <c r="AC28" i="8"/>
  <c r="AD26" i="25"/>
  <c r="AD36" i="6"/>
  <c r="AE12" i="25" l="1"/>
  <c r="AE13" i="25" s="1"/>
  <c r="AD49" i="6"/>
  <c r="AC29" i="8"/>
  <c r="AC30" i="8"/>
  <c r="AD37" i="6"/>
  <c r="AC19" i="8"/>
  <c r="AC22" i="8" s="1"/>
  <c r="AD18" i="8" s="1"/>
  <c r="AC21" i="8"/>
  <c r="AD20" i="8" s="1"/>
  <c r="AD42" i="6" l="1"/>
  <c r="AD35" i="6"/>
  <c r="AC33" i="8"/>
  <c r="AC41" i="8"/>
  <c r="AD15" i="25" s="1"/>
  <c r="AC36" i="8" l="1"/>
  <c r="AC38" i="8"/>
  <c r="AD37" i="8" s="1"/>
  <c r="AD45" i="6"/>
  <c r="AE24" i="6" s="1"/>
  <c r="AD44" i="6"/>
  <c r="AE32" i="19"/>
  <c r="AD18" i="25"/>
  <c r="AD21" i="25" s="1"/>
  <c r="AD48" i="6"/>
  <c r="AD56" i="6"/>
  <c r="AD39" i="6"/>
  <c r="AD43" i="25" l="1"/>
  <c r="AD45" i="25" s="1"/>
  <c r="AD57" i="25"/>
  <c r="AD59" i="25" s="1"/>
  <c r="AD37" i="25"/>
  <c r="AD38" i="25" s="1"/>
  <c r="AD50" i="25"/>
  <c r="AD52" i="25" s="1"/>
  <c r="AD27" i="25"/>
  <c r="AD28" i="25" s="1"/>
  <c r="AD29" i="25" s="1"/>
  <c r="AE25" i="25" s="1"/>
  <c r="AE27" i="6"/>
  <c r="AE37" i="19"/>
  <c r="AE45" i="19" s="1"/>
  <c r="AE47" i="19" s="1"/>
  <c r="AD50" i="6"/>
  <c r="AD52" i="6" s="1"/>
  <c r="AE16" i="25"/>
  <c r="AD57" i="6"/>
  <c r="AE38" i="4" s="1"/>
  <c r="AE40" i="4" s="1"/>
  <c r="AC39" i="8"/>
  <c r="AD35" i="8" s="1"/>
  <c r="AD10" i="8" l="1"/>
  <c r="AD13" i="8" s="1"/>
  <c r="AE42" i="4"/>
  <c r="AE28" i="6"/>
  <c r="AE26" i="25"/>
  <c r="AD58" i="6"/>
  <c r="AE43" i="4" l="1"/>
  <c r="AE45" i="4" s="1"/>
  <c r="AF42" i="19" s="1"/>
  <c r="AF43" i="19" s="1"/>
  <c r="AD28" i="8"/>
  <c r="AD16" i="8"/>
  <c r="AD24" i="8"/>
  <c r="AE33" i="6"/>
  <c r="AE30" i="6"/>
  <c r="AE26" i="6"/>
  <c r="AE36" i="6" l="1"/>
  <c r="AE37" i="6"/>
  <c r="AD21" i="8"/>
  <c r="AE20" i="8" s="1"/>
  <c r="AD19" i="8"/>
  <c r="AD22" i="8" s="1"/>
  <c r="AE18" i="8" s="1"/>
  <c r="AD29" i="8"/>
  <c r="AD30" i="8"/>
  <c r="AE42" i="6" l="1"/>
  <c r="AF12" i="25"/>
  <c r="AF13" i="25" s="1"/>
  <c r="AE49" i="6"/>
  <c r="AE35" i="6"/>
  <c r="AE39" i="6" s="1"/>
  <c r="AD41" i="8"/>
  <c r="AE15" i="25" s="1"/>
  <c r="AD33" i="8"/>
  <c r="AE44" i="6" l="1"/>
  <c r="AE45" i="6"/>
  <c r="AF24" i="6" s="1"/>
  <c r="AF32" i="19"/>
  <c r="AE18" i="25"/>
  <c r="AE21" i="25" s="1"/>
  <c r="AE56" i="6"/>
  <c r="AE48" i="6"/>
  <c r="AD38" i="8"/>
  <c r="AE37" i="8" s="1"/>
  <c r="AD36" i="8"/>
  <c r="AF27" i="6" l="1"/>
  <c r="AF28" i="6"/>
  <c r="AE50" i="6"/>
  <c r="AE52" i="6" s="1"/>
  <c r="AF16" i="25"/>
  <c r="AF37" i="19"/>
  <c r="AF45" i="19" s="1"/>
  <c r="AF47" i="19" s="1"/>
  <c r="AE57" i="6"/>
  <c r="AF38" i="4" s="1"/>
  <c r="AF40" i="4" s="1"/>
  <c r="AE27" i="25"/>
  <c r="AE28" i="25" s="1"/>
  <c r="AE29" i="25" s="1"/>
  <c r="AF25" i="25" s="1"/>
  <c r="AE37" i="25"/>
  <c r="AE38" i="25" s="1"/>
  <c r="AE57" i="25"/>
  <c r="AE59" i="25" s="1"/>
  <c r="AE43" i="25"/>
  <c r="AE45" i="25" s="1"/>
  <c r="AE50" i="25"/>
  <c r="AE52" i="25" s="1"/>
  <c r="AD39" i="8"/>
  <c r="AE35" i="8" s="1"/>
  <c r="AF33" i="6" l="1"/>
  <c r="AF26" i="6"/>
  <c r="AF30" i="6" s="1"/>
  <c r="AF42" i="4"/>
  <c r="AF43" i="4"/>
  <c r="AF45" i="4" s="1"/>
  <c r="AG42" i="19" s="1"/>
  <c r="AG43" i="19" s="1"/>
  <c r="AE10" i="8"/>
  <c r="AE13" i="8" s="1"/>
  <c r="AF26" i="25"/>
  <c r="AE58" i="6"/>
  <c r="AF36" i="6" l="1"/>
  <c r="AF37" i="6"/>
  <c r="AE16" i="8"/>
  <c r="AE24" i="8"/>
  <c r="AE28" i="8"/>
  <c r="AF42" i="6" l="1"/>
  <c r="AE29" i="8"/>
  <c r="AE21" i="8"/>
  <c r="AF20" i="8" s="1"/>
  <c r="AE19" i="8"/>
  <c r="AE22" i="8" s="1"/>
  <c r="AF18" i="8" s="1"/>
  <c r="AF35" i="6"/>
  <c r="AE30" i="8"/>
  <c r="AG12" i="25"/>
  <c r="AG13" i="25" s="1"/>
  <c r="AF49" i="6"/>
  <c r="AE41" i="8" l="1"/>
  <c r="AF15" i="25" s="1"/>
  <c r="AE33" i="8"/>
  <c r="AF56" i="6"/>
  <c r="AF48" i="6"/>
  <c r="B77" i="6"/>
  <c r="E66" i="6" s="1"/>
  <c r="G35" i="2" s="1"/>
  <c r="AF39" i="6"/>
  <c r="AF45" i="6"/>
  <c r="AF44" i="6"/>
  <c r="AF57" i="6" s="1"/>
  <c r="AG38" i="4" s="1"/>
  <c r="AG40" i="4" s="1"/>
  <c r="AF58" i="6" l="1"/>
  <c r="AG42" i="4"/>
  <c r="AG45" i="4" s="1"/>
  <c r="AH42" i="19" s="1"/>
  <c r="AH43" i="19" s="1"/>
  <c r="AG43" i="4"/>
  <c r="AF10" i="8"/>
  <c r="AF13" i="8" s="1"/>
  <c r="AE38" i="8"/>
  <c r="AF37" i="8" s="1"/>
  <c r="AE36" i="8"/>
  <c r="AE39" i="8" s="1"/>
  <c r="AF35" i="8" s="1"/>
  <c r="AF50" i="6"/>
  <c r="AF52" i="6" s="1"/>
  <c r="AG16" i="25"/>
  <c r="AG32" i="19"/>
  <c r="AF18" i="25"/>
  <c r="AF21" i="25" s="1"/>
  <c r="AF43" i="25" l="1"/>
  <c r="AF45" i="25" s="1"/>
  <c r="AF37" i="25"/>
  <c r="AF38" i="25" s="1"/>
  <c r="AF57" i="25"/>
  <c r="AF59" i="25" s="1"/>
  <c r="AF50" i="25"/>
  <c r="AF52" i="25" s="1"/>
  <c r="AF27" i="25"/>
  <c r="AF28" i="25" s="1"/>
  <c r="AF29" i="25" s="1"/>
  <c r="AG25" i="25" s="1"/>
  <c r="AF16" i="8"/>
  <c r="AF24" i="8"/>
  <c r="AF28" i="8"/>
  <c r="AG37" i="19"/>
  <c r="AG45" i="19" s="1"/>
  <c r="AG47" i="19" s="1"/>
  <c r="E68" i="6"/>
  <c r="E69" i="6"/>
  <c r="AG26" i="25" l="1"/>
  <c r="D65" i="2"/>
  <c r="C9" i="16"/>
  <c r="C12" i="16" s="1"/>
  <c r="AF21" i="8"/>
  <c r="AF19" i="8"/>
  <c r="AF22" i="8" s="1"/>
  <c r="AF30" i="8"/>
  <c r="C65" i="2"/>
  <c r="D9" i="16"/>
  <c r="D12" i="16" s="1"/>
  <c r="AF29" i="8"/>
  <c r="AF33" i="8" l="1"/>
  <c r="AF41" i="8"/>
  <c r="AG15" i="25" s="1"/>
  <c r="AH32" i="19" l="1"/>
  <c r="AH37" i="19" s="1"/>
  <c r="AH45" i="19" s="1"/>
  <c r="AH47" i="19" s="1"/>
  <c r="AG18" i="25"/>
  <c r="AG21" i="25" s="1"/>
  <c r="AF36" i="8"/>
  <c r="AF39" i="8" s="1"/>
  <c r="AF38" i="8"/>
  <c r="AG27" i="25" l="1"/>
  <c r="AG28" i="25" s="1"/>
  <c r="AG29" i="25" s="1"/>
  <c r="AG37" i="25"/>
  <c r="AG38" i="25" s="1"/>
  <c r="C39" i="25" s="1"/>
  <c r="AG43" i="25"/>
  <c r="AG45" i="25" s="1"/>
  <c r="C46" i="25" s="1"/>
  <c r="C69" i="2" s="1"/>
  <c r="AG57" i="25"/>
  <c r="AG59" i="25" s="1"/>
  <c r="C60" i="25" s="1"/>
  <c r="C71" i="2" s="1"/>
  <c r="AG50" i="25"/>
  <c r="AG52" i="25" s="1"/>
  <c r="C53" i="25" s="1"/>
  <c r="C70" i="2" s="1"/>
  <c r="C68" i="2" l="1"/>
  <c r="B9" i="16"/>
  <c r="B12" i="16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</t>
        </r>
      </text>
    </comment>
    <comment ref="P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<sst xmlns="http://schemas.openxmlformats.org/spreadsheetml/2006/main" count="576" uniqueCount="449">
  <si>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</si>
  <si>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</si>
  <si>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</si>
  <si>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</si>
  <si>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</si>
  <si>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</si>
  <si>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</si>
  <si>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</si>
  <si>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</si>
  <si>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</si>
  <si>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</si>
  <si>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</si>
  <si>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</si>
  <si>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</si>
  <si>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</si>
  <si>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</si>
  <si>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</si>
  <si>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</si>
  <si>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</si>
  <si>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</si>
  <si>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</si>
  <si>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</si>
  <si>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</si>
  <si>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</si>
  <si>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</si>
  <si>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</si>
  <si>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</si>
  <si>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</si>
  <si>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</si>
  <si>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</si>
  <si>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</si>
  <si>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</si>
  <si>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</si>
  <si>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</si>
  <si>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</si>
  <si>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</si>
  <si>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</si>
  <si>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</si>
  <si>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</si>
  <si>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</si>
  <si>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</si>
  <si>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</si>
  <si>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</si>
  <si>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</si>
  <si>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</si>
  <si>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</si>
  <si>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</si>
  <si>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</si>
  <si>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</si>
  <si>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</si>
  <si>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</si>
  <si>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</si>
  <si>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</si>
  <si>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</si>
  <si>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</si>
  <si>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</si>
  <si>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</si>
  <si>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</si>
  <si>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</si>
  <si>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</si>
  <si>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</si>
  <si>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</si>
  <si>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</si>
  <si>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</si>
  <si>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</si>
  <si>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</si>
  <si>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</si>
  <si>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</si>
  <si>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</si>
  <si>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</si>
  <si>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</si>
  <si>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</si>
  <si>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</si>
  <si>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</si>
  <si>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</si>
  <si>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</si>
  <si>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</si>
  <si>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</si>
  <si>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</si>
  <si>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</si>
  <si>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</si>
  <si>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</si>
  <si>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</si>
  <si>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</si>
  <si>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</si>
  <si>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</si>
  <si>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</si>
  <si>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</si>
  <si>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</si>
  <si>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</si>
  <si>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</si>
  <si>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</si>
  <si>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</si>
  <si>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</si>
  <si>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</si>
  <si>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</si>
  <si>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</si>
  <si>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</si>
  <si>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</si>
  <si>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</si>
  <si>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</si>
  <si>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</si>
  <si>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</si>
  <si>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</si>
  <si>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</si>
  <si>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</si>
  <si>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</si>
  <si>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</si>
  <si>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</si>
  <si>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</si>
  <si>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</si>
  <si>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</si>
  <si>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</si>
  <si>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</si>
  <si>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</si>
  <si>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</si>
  <si>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</si>
  <si>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</si>
  <si>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</si>
  <si>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</si>
  <si>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</si>
  <si>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</si>
  <si>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</si>
  <si>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</si>
  <si>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</si>
  <si>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</si>
  <si>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</si>
  <si>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</si>
  <si>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</si>
  <si>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</si>
  <si>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</si>
  <si>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</si>
  <si>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</si>
  <si>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</si>
  <si>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</si>
  <si>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</si>
  <si>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</si>
  <si>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</si>
  <si>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</si>
  <si>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</si>
  <si>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</si>
  <si>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</si>
  <si>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</si>
  <si>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</si>
  <si>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</si>
  <si>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</si>
  <si>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</si>
  <si>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</si>
  <si>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</si>
  <si>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</si>
  <si>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</si>
  <si>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</si>
  <si>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</si>
  <si>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</si>
  <si>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</si>
  <si>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</si>
  <si>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</si>
  <si>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</si>
  <si>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</si>
  <si>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</si>
  <si>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</si>
  <si>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</si>
  <si>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</si>
  <si>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</si>
  <si>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</si>
  <si>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</si>
  <si>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</si>
  <si>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</si>
  <si>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</si>
  <si>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</si>
  <si>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</si>
  <si>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</si>
  <si>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</si>
  <si>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</si>
  <si>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</si>
  <si>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</si>
  <si>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</si>
  <si>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</si>
  <si>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</si>
  <si>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</si>
  <si>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</si>
  <si>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</si>
  <si>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</si>
  <si>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</si>
  <si>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</si>
  <si>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</si>
  <si>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</si>
  <si>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</si>
  <si>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</si>
  <si>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</si>
  <si>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</si>
  <si>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</si>
  <si>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</si>
  <si>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</si>
  <si>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</si>
  <si>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</si>
  <si>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</si>
  <si>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</si>
  <si>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</si>
  <si>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</si>
  <si>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</si>
  <si>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</si>
  <si>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</si>
  <si>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</si>
  <si>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</si>
  <si>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</si>
  <si>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</si>
  <si>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</si>
  <si>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</si>
  <si>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</si>
  <si>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</si>
  <si>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</si>
  <si>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</si>
  <si>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</si>
  <si>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</si>
  <si>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</si>
  <si>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</si>
  <si>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</si>
  <si>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</si>
  <si>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</si>
  <si>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</si>
  <si>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</si>
  <si>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</si>
  <si>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</si>
  <si>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</si>
  <si>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</si>
  <si>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</si>
  <si>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</si>
  <si>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</si>
  <si>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</si>
  <si>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</si>
  <si>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</si>
  <si>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</si>
  <si>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</si>
  <si>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</si>
  <si>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</si>
  <si>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</si>
  <si>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</si>
  <si>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</si>
  <si>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</si>
  <si>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</si>
  <si>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</si>
  <si>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</si>
  <si>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</si>
  <si>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</si>
  <si>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</si>
  <si>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</si>
  <si>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</si>
  <si>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</si>
  <si>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</si>
  <si>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</si>
  <si>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</si>
  <si>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</si>
  <si>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</si>
  <si>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</si>
  <si>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</si>
  <si>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</si>
  <si>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</si>
  <si>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</si>
  <si>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</si>
  <si>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</si>
  <si>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</si>
  <si>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</si>
  <si>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</si>
  <si>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</si>
  <si>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</si>
  <si>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</si>
  <si>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</si>
  <si>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</si>
  <si>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</si>
  <si>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</si>
  <si>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</si>
  <si>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</si>
  <si>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</si>
  <si>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</si>
  <si>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</si>
  <si>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</si>
  <si>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</si>
  <si>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</si>
  <si>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</si>
  <si>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</si>
  <si>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</si>
  <si>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</si>
  <si>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</si>
  <si>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</si>
  <si>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</si>
  <si>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</si>
  <si>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</si>
  <si>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</si>
  <si>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</si>
  <si>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</si>
  <si>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</si>
  <si>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</si>
  <si>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</si>
  <si>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</si>
  <si>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</si>
  <si>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</si>
  <si>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</si>
  <si>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</si>
  <si>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</si>
  <si>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</si>
  <si>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</si>
  <si>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</si>
  <si>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</si>
  <si>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</si>
  <si>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</si>
  <si>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</si>
  <si>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</si>
  <si>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</si>
  <si>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MO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</si>
  <si>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</si>
  <si>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</si>
  <si>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</si>
  <si>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</si>
  <si>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</si>
  <si>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</si>
  <si>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</si>
  <si>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</si>
  <si>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</si>
  <si>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</si>
  <si>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</si>
  <si>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</si>
  <si>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</si>
  <si>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</si>
  <si>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</si>
  <si>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</si>
  <si>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</si>
  <si>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</si>
  <si>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</si>
  <si>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</si>
  <si>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</si>
  <si>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</si>
  <si>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</si>
  <si>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</si>
  <si>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</si>
  <si>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</si>
  <si>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</si>
  <si>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</si>
  <si>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</si>
  <si>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</si>
  <si>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</si>
  <si>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</si>
  <si>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</si>
  <si>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</si>
  <si>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</si>
  <si>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</si>
  <si>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</si>
  <si>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</si>
  <si>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</si>
  <si>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</si>
  <si>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</si>
  <si>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</si>
  <si>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</si>
  <si>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</si>
  <si>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</si>
  <si>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</si>
  <si>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</si>
  <si>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</si>
  <si>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</si>
  <si>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</si>
  <si>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</si>
  <si>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</si>
  <si>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</si>
  <si>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</si>
  <si>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</si>
  <si>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</si>
  <si>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</si>
  <si>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</si>
  <si>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</si>
  <si>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</si>
  <si>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</si>
  <si>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</si>
  <si>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</si>
  <si>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</si>
  <si>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</si>
  <si>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</si>
  <si>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</si>
  <si>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</si>
  <si>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</si>
  <si>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</si>
  <si>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</si>
  <si>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</si>
  <si>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</si>
  <si>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</si>
  <si>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</si>
  <si>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</si>
  <si>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</si>
  <si>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</si>
  <si>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</si>
  <si>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</si>
  <si>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</si>
  <si>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</si>
  <si>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</si>
  <si>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</si>
  <si>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</si>
  <si>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</si>
  <si>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</si>
  <si>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</si>
  <si>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</si>
  <si>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</si>
  <si>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</si>
  <si>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</si>
  <si>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</si>
  <si>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</si>
  <si>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</si>
  <si>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</si>
  <si>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</si>
  <si>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</si>
  <si>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</si>
  <si>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</si>
  <si>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</si>
  <si>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</si>
  <si>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</si>
  <si>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</si>
  <si>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</si>
  <si>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</si>
  <si>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</si>
  <si>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</si>
  <si>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</si>
  <si>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</si>
  <si>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</si>
  <si>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</si>
  <si>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</si>
  <si>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</si>
  <si>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</si>
  <si>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</si>
  <si>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</si>
  <si>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</si>
  <si>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</si>
  <si>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</si>
  <si>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</si>
  <si>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</si>
  <si>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</si>
  <si>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</si>
  <si>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</si>
  <si>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</si>
  <si>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</si>
  <si>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</si>
  <si>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</si>
  <si>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</si>
  <si>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</si>
  <si>
    <t>Months</t>
  </si>
  <si>
    <t>Rate</t>
  </si>
  <si>
    <t>Draw Schedule</t>
  </si>
  <si>
    <t>Total Project Cost (MM)</t>
  </si>
  <si>
    <t>Turbines Cost (MM)</t>
  </si>
  <si>
    <t>Total IDC for Project less Turbines</t>
  </si>
  <si>
    <t>SUM IDC Costs</t>
  </si>
  <si>
    <t>Net Generation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</si>
</sst>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  <font>
      <b/>
      <sz val="10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51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14" fontId="0" fillId="0" borderId="0" xfId="0" applyNumberFormat="1" applyBorder="1"/>
    <xf numFmtId="10" fontId="110" fillId="0" borderId="0" xfId="20" applyNumberFormat="1" applyFont="1"/>
    <xf numFmtId="9" fontId="0" fillId="0" borderId="0" xfId="0" applyNumberFormat="1"/>
    <xf numFmtId="9" fontId="1" fillId="0" borderId="0" xfId="20"/>
    <xf numFmtId="165" fontId="21" fillId="0" borderId="0" xfId="4" applyNumberFormat="1" applyFont="1"/>
    <xf numFmtId="165" fontId="1" fillId="0" borderId="0" xfId="4" applyNumberFormat="1"/>
    <xf numFmtId="165" fontId="0" fillId="0" borderId="0" xfId="0" applyNumberFormat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version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 Assumption"/>
      <sheetName val="Gas PX"/>
      <sheetName val="IS"/>
      <sheetName val="CF"/>
      <sheetName val="BS"/>
      <sheetName val="Debt (1)"/>
      <sheetName val="Debt (2)"/>
      <sheetName val="Debt Sum"/>
      <sheetName val="Depreciation"/>
      <sheetName val="Taxes"/>
      <sheetName val="IDC-Project"/>
      <sheetName val="IDC-ENA"/>
      <sheetName val="Operational Characteristic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topLeftCell="A20" zoomScale="75" zoomScaleNormal="75" workbookViewId="0">
      <selection activeCell="H40" sqref="H40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167</v>
      </c>
      <c r="C2" s="5"/>
    </row>
    <row r="3" spans="1:18" s="46" customFormat="1" ht="15.75"/>
    <row r="4" spans="1:18" s="46" customFormat="1" ht="18.75">
      <c r="A4" s="478">
        <v>1</v>
      </c>
      <c r="B4" s="210" t="s">
        <v>406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.75">
      <c r="B5" s="210" t="s">
        <v>407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75">
      <c r="A6" s="12">
        <v>2</v>
      </c>
      <c r="B6" s="53" t="s">
        <v>317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318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325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210</v>
      </c>
    </row>
    <row r="13" spans="1:18" s="46" customFormat="1" ht="15.75">
      <c r="A13" s="479"/>
      <c r="B13" s="12"/>
      <c r="C13" s="12"/>
      <c r="D13" s="12"/>
      <c r="E13" s="12"/>
      <c r="F13" s="12"/>
      <c r="G13" s="12"/>
      <c r="H13" s="12"/>
      <c r="I13" s="480" t="s">
        <v>211</v>
      </c>
      <c r="J13" s="12"/>
      <c r="K13" s="12"/>
      <c r="L13" s="12"/>
      <c r="M13" s="12"/>
      <c r="N13" s="12"/>
      <c r="O13" s="480"/>
      <c r="P13" s="12"/>
    </row>
    <row r="14" spans="1:18" s="46" customFormat="1" ht="15.75">
      <c r="A14" s="12">
        <v>1</v>
      </c>
      <c r="B14" s="12" t="s">
        <v>378</v>
      </c>
      <c r="C14" s="12"/>
      <c r="D14" s="12"/>
      <c r="E14" s="12"/>
      <c r="F14" s="12"/>
      <c r="G14" s="12"/>
      <c r="H14" s="12"/>
      <c r="I14" s="12" t="s">
        <v>212</v>
      </c>
      <c r="J14" s="12"/>
      <c r="K14" s="12"/>
      <c r="L14" s="12"/>
      <c r="M14" s="12"/>
      <c r="N14" s="12"/>
      <c r="O14" s="481"/>
      <c r="P14" s="12"/>
    </row>
    <row r="15" spans="1:18" s="46" customFormat="1" ht="15.75">
      <c r="A15" s="12"/>
      <c r="B15" s="12" t="s">
        <v>278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75">
      <c r="A16" s="12">
        <v>2</v>
      </c>
      <c r="B16" s="12" t="s">
        <v>238</v>
      </c>
      <c r="C16" s="12"/>
      <c r="D16" s="12"/>
      <c r="E16" s="12"/>
      <c r="F16" s="12"/>
      <c r="G16" s="12"/>
      <c r="H16" s="12"/>
      <c r="I16" s="12" t="s">
        <v>212</v>
      </c>
      <c r="J16" s="12"/>
      <c r="K16" s="12"/>
      <c r="L16" s="12"/>
      <c r="M16" s="12"/>
      <c r="N16" s="12"/>
      <c r="O16" s="48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373</v>
      </c>
      <c r="J17" s="12"/>
      <c r="K17" s="12"/>
      <c r="L17" s="12"/>
      <c r="M17" s="12"/>
      <c r="N17" s="12"/>
      <c r="O17" s="481"/>
      <c r="P17" s="12"/>
    </row>
    <row r="18" spans="1:16" s="46" customFormat="1" ht="15.75">
      <c r="A18" s="12">
        <v>4</v>
      </c>
      <c r="B18" s="12" t="s">
        <v>264</v>
      </c>
      <c r="C18" s="12"/>
      <c r="D18" s="12"/>
      <c r="E18" s="12"/>
      <c r="F18" s="12"/>
      <c r="G18" s="12"/>
      <c r="H18" s="12"/>
      <c r="I18" s="12" t="s">
        <v>425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319</v>
      </c>
      <c r="C19" s="12"/>
      <c r="D19" s="12"/>
      <c r="E19" s="12"/>
      <c r="F19" s="12"/>
      <c r="G19" s="12"/>
      <c r="H19" s="12"/>
      <c r="I19" s="12" t="s">
        <v>288</v>
      </c>
      <c r="J19" s="12"/>
      <c r="K19" s="12"/>
      <c r="L19" s="12"/>
      <c r="M19" s="12"/>
      <c r="N19" s="12"/>
      <c r="O19" s="481"/>
      <c r="P19" s="12"/>
    </row>
    <row r="20" spans="1:16" s="46" customFormat="1" ht="15.75">
      <c r="A20" s="12">
        <v>6</v>
      </c>
      <c r="B20" s="12" t="s">
        <v>339</v>
      </c>
      <c r="C20" s="12"/>
      <c r="D20" s="12"/>
      <c r="E20" s="12"/>
      <c r="F20" s="12"/>
      <c r="G20" s="12"/>
      <c r="H20" s="12"/>
      <c r="I20" s="12" t="s">
        <v>340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371</v>
      </c>
      <c r="C21" s="12"/>
      <c r="D21" s="12"/>
      <c r="E21" s="12"/>
      <c r="F21" s="12"/>
      <c r="G21" s="12"/>
      <c r="H21" s="12"/>
      <c r="I21" s="12" t="s">
        <v>288</v>
      </c>
      <c r="J21" s="12"/>
      <c r="K21" s="12"/>
      <c r="L21" s="12"/>
      <c r="M21" s="12"/>
      <c r="N21" s="12"/>
      <c r="O21" s="481"/>
      <c r="P21" s="12"/>
    </row>
    <row r="22" spans="1:16" s="46" customFormat="1" ht="15.75">
      <c r="A22" s="12">
        <v>8</v>
      </c>
      <c r="B22" s="12" t="s">
        <v>374</v>
      </c>
      <c r="C22" s="12"/>
      <c r="D22" s="12"/>
      <c r="E22" s="12"/>
      <c r="F22" s="12"/>
      <c r="G22" s="12"/>
      <c r="H22" s="12"/>
      <c r="I22" s="12" t="s">
        <v>375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415</v>
      </c>
      <c r="C23" s="12"/>
      <c r="D23" s="12"/>
      <c r="E23" s="12"/>
      <c r="F23" s="12"/>
      <c r="G23" s="12"/>
      <c r="H23" s="12"/>
      <c r="I23" s="12" t="s">
        <v>288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281</v>
      </c>
    </row>
    <row r="28" spans="1:16" s="46" customFormat="1" ht="18.75">
      <c r="A28" s="286"/>
    </row>
    <row r="29" spans="1:16" s="46" customFormat="1" ht="15.75">
      <c r="A29" s="12"/>
      <c r="B29" s="482" t="s">
        <v>306</v>
      </c>
      <c r="C29" s="12"/>
      <c r="D29" s="12"/>
      <c r="E29" s="482" t="s">
        <v>305</v>
      </c>
      <c r="F29" s="482"/>
      <c r="G29" s="482"/>
      <c r="H29" s="482" t="s">
        <v>307</v>
      </c>
      <c r="I29" s="12"/>
      <c r="J29" s="12"/>
    </row>
    <row r="30" spans="1:16" s="46" customFormat="1" ht="15.75">
      <c r="A30" s="12"/>
      <c r="B30" s="12" t="s">
        <v>380</v>
      </c>
      <c r="C30" s="12"/>
      <c r="D30" s="12"/>
      <c r="E30" s="12" t="s">
        <v>290</v>
      </c>
      <c r="F30" s="12"/>
      <c r="G30" s="12"/>
      <c r="H30" s="12" t="s">
        <v>302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291</v>
      </c>
      <c r="F31" s="12"/>
      <c r="G31" s="12"/>
      <c r="H31" s="12" t="s">
        <v>303</v>
      </c>
      <c r="I31" s="12"/>
      <c r="J31" s="12"/>
    </row>
    <row r="32" spans="1:16" s="46" customFormat="1" ht="15.75">
      <c r="A32" s="12"/>
      <c r="B32" s="12" t="s">
        <v>381</v>
      </c>
      <c r="C32" s="12"/>
      <c r="D32" s="12"/>
      <c r="E32" s="12" t="s">
        <v>292</v>
      </c>
      <c r="F32" s="12"/>
      <c r="G32" s="12"/>
      <c r="H32" s="12" t="s">
        <v>304</v>
      </c>
      <c r="I32" s="12"/>
      <c r="J32" s="12"/>
    </row>
    <row r="33" spans="1:10" s="46" customFormat="1" ht="15.75">
      <c r="A33" s="12"/>
      <c r="B33" s="12" t="s">
        <v>286</v>
      </c>
      <c r="C33" s="12"/>
      <c r="D33" s="12"/>
      <c r="E33" s="12" t="s">
        <v>287</v>
      </c>
      <c r="F33" s="12"/>
      <c r="G33" s="12"/>
      <c r="H33" s="12" t="s">
        <v>299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288</v>
      </c>
      <c r="F34" s="12"/>
      <c r="G34" s="12"/>
      <c r="H34" s="12" t="s">
        <v>300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289</v>
      </c>
      <c r="F35" s="12"/>
      <c r="G35" s="12"/>
      <c r="H35" s="12" t="s">
        <v>301</v>
      </c>
      <c r="I35" s="12"/>
      <c r="J35" s="12"/>
    </row>
    <row r="36" spans="1:10" s="46" customFormat="1" ht="15.75">
      <c r="A36" s="12"/>
      <c r="B36" s="12" t="s">
        <v>284</v>
      </c>
      <c r="C36" s="12"/>
      <c r="D36" s="12"/>
      <c r="E36" s="12" t="s">
        <v>285</v>
      </c>
      <c r="F36" s="12"/>
      <c r="G36" s="12"/>
      <c r="H36" s="12" t="s">
        <v>298</v>
      </c>
      <c r="I36" s="12"/>
      <c r="J36" s="12"/>
    </row>
    <row r="37" spans="1:10" s="46" customFormat="1" ht="15.75">
      <c r="A37" s="12"/>
      <c r="B37" s="12" t="s">
        <v>339</v>
      </c>
      <c r="C37" s="12"/>
      <c r="D37" s="12"/>
      <c r="E37" s="12" t="s">
        <v>340</v>
      </c>
      <c r="F37" s="12"/>
      <c r="G37" s="12"/>
      <c r="H37" s="12" t="s">
        <v>337</v>
      </c>
      <c r="I37" s="12"/>
      <c r="J37" s="12"/>
    </row>
    <row r="38" spans="1:10" s="46" customFormat="1" ht="15.75">
      <c r="A38" s="12"/>
      <c r="B38" s="12" t="s">
        <v>282</v>
      </c>
      <c r="C38" s="12"/>
      <c r="D38" s="12"/>
      <c r="E38" s="12" t="s">
        <v>283</v>
      </c>
      <c r="F38" s="12"/>
      <c r="G38" s="12"/>
      <c r="H38" s="12" t="s">
        <v>338</v>
      </c>
      <c r="I38" s="12"/>
      <c r="J38" s="12"/>
    </row>
    <row r="39" spans="1:10" s="46" customFormat="1" ht="15.75">
      <c r="A39" s="12"/>
      <c r="B39" s="12" t="s">
        <v>420</v>
      </c>
      <c r="C39" s="12"/>
      <c r="D39" s="12"/>
      <c r="E39" s="12" t="s">
        <v>404</v>
      </c>
      <c r="F39" s="12"/>
      <c r="G39" s="12"/>
      <c r="H39" s="12" t="s">
        <v>405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429</v>
      </c>
      <c r="F40" s="12"/>
      <c r="G40" s="12"/>
      <c r="H40" s="12" t="s">
        <v>430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212</v>
      </c>
      <c r="F41" s="12"/>
      <c r="G41" s="12"/>
      <c r="H41" s="12" t="s">
        <v>297</v>
      </c>
      <c r="I41" s="12"/>
      <c r="J41" s="12"/>
    </row>
    <row r="42" spans="1:10" s="46" customFormat="1" ht="15.75">
      <c r="A42" s="12"/>
      <c r="B42" s="12" t="s">
        <v>376</v>
      </c>
      <c r="C42" s="12"/>
      <c r="D42" s="12"/>
      <c r="E42" s="12" t="s">
        <v>402</v>
      </c>
      <c r="F42" s="12"/>
      <c r="G42" s="12"/>
      <c r="H42" s="12" t="s">
        <v>403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375</v>
      </c>
      <c r="F43" s="12"/>
      <c r="G43" s="12"/>
      <c r="H43" s="12" t="s">
        <v>377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20" sqref="B20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6" t="s">
        <v>416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398</v>
      </c>
      <c r="B11" s="394">
        <f>B29+B38</f>
        <v>3209.3249079351326</v>
      </c>
      <c r="C11" s="394">
        <f t="shared" ref="C11:AF11" si="1">C29+C38</f>
        <v>9578.7263428262868</v>
      </c>
      <c r="D11" s="394">
        <f t="shared" si="1"/>
        <v>9544.5703615777638</v>
      </c>
      <c r="E11" s="394">
        <f t="shared" si="1"/>
        <v>10485.568486870721</v>
      </c>
      <c r="F11" s="394">
        <f t="shared" si="1"/>
        <v>11411.508241120695</v>
      </c>
      <c r="G11" s="394">
        <f t="shared" si="1"/>
        <v>11720.667104776492</v>
      </c>
      <c r="H11" s="394">
        <f t="shared" si="1"/>
        <v>11842.725143091615</v>
      </c>
      <c r="I11" s="394">
        <f t="shared" si="1"/>
        <v>11969.653602734496</v>
      </c>
      <c r="J11" s="394">
        <f t="shared" si="1"/>
        <v>12254.572530068817</v>
      </c>
      <c r="K11" s="394">
        <f t="shared" si="1"/>
        <v>12441.357022464596</v>
      </c>
      <c r="L11" s="394">
        <f t="shared" si="1"/>
        <v>12753.353795138162</v>
      </c>
      <c r="M11" s="394">
        <f t="shared" si="1"/>
        <v>12943.84618139231</v>
      </c>
      <c r="N11" s="394">
        <f t="shared" si="1"/>
        <v>13249.113641919495</v>
      </c>
      <c r="O11" s="394">
        <f t="shared" si="1"/>
        <v>13442.359345903798</v>
      </c>
      <c r="P11" s="471">
        <f t="shared" si="1"/>
        <v>13554.183048959661</v>
      </c>
      <c r="Q11" s="394">
        <f t="shared" si="1"/>
        <v>13669.868772307258</v>
      </c>
      <c r="R11" s="394">
        <f t="shared" si="1"/>
        <v>13786.978230927101</v>
      </c>
      <c r="S11" s="394">
        <f t="shared" si="1"/>
        <v>13927.35599072466</v>
      </c>
      <c r="T11" s="394">
        <f t="shared" si="1"/>
        <v>14023.050992252956</v>
      </c>
      <c r="U11" s="394">
        <f t="shared" si="1"/>
        <v>14112.693417767374</v>
      </c>
      <c r="V11" s="394">
        <f t="shared" si="1"/>
        <v>7045.8585106422142</v>
      </c>
      <c r="W11" s="394">
        <f t="shared" si="1"/>
        <v>-423.7199469425608</v>
      </c>
      <c r="X11" s="394">
        <f t="shared" si="1"/>
        <v>-2176.1047019756461</v>
      </c>
      <c r="Y11" s="394">
        <f t="shared" si="1"/>
        <v>-2242.925819306749</v>
      </c>
      <c r="Z11" s="394">
        <f t="shared" si="1"/>
        <v>-2307.091502054127</v>
      </c>
      <c r="AA11" s="394">
        <f t="shared" si="1"/>
        <v>-2377.8883626757406</v>
      </c>
      <c r="AB11" s="394">
        <f t="shared" si="1"/>
        <v>-2449.2250135560148</v>
      </c>
      <c r="AC11" s="394">
        <f t="shared" si="1"/>
        <v>-2524.4327698062161</v>
      </c>
      <c r="AD11" s="394">
        <f t="shared" si="1"/>
        <v>-2596.6518110380557</v>
      </c>
      <c r="AE11" s="394">
        <f t="shared" si="1"/>
        <v>-2676.3343013880235</v>
      </c>
      <c r="AF11" s="471">
        <f t="shared" si="1"/>
        <v>-3448.919487417962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332</v>
      </c>
      <c r="B13" s="312">
        <f>B11/B12</f>
        <v>2468.7114676424098</v>
      </c>
      <c r="C13" s="312">
        <f t="shared" ref="C13:AF13" si="2">C11/C12</f>
        <v>7368.2510329432971</v>
      </c>
      <c r="D13" s="312">
        <f t="shared" si="2"/>
        <v>7341.9772012136646</v>
      </c>
      <c r="E13" s="312">
        <f t="shared" si="2"/>
        <v>8065.821912977478</v>
      </c>
      <c r="F13" s="312">
        <f t="shared" si="2"/>
        <v>8778.0832624005343</v>
      </c>
      <c r="G13" s="312">
        <f t="shared" si="2"/>
        <v>9015.897772904993</v>
      </c>
      <c r="H13" s="312">
        <f t="shared" si="2"/>
        <v>9109.7885716089349</v>
      </c>
      <c r="I13" s="312">
        <f t="shared" si="2"/>
        <v>9207.4258482573041</v>
      </c>
      <c r="J13" s="312">
        <f t="shared" si="2"/>
        <v>9426.5942538990894</v>
      </c>
      <c r="K13" s="312">
        <f t="shared" si="2"/>
        <v>9570.274632665074</v>
      </c>
      <c r="L13" s="312">
        <f t="shared" si="2"/>
        <v>9810.2721501062788</v>
      </c>
      <c r="M13" s="312">
        <f t="shared" si="2"/>
        <v>9956.8047549171606</v>
      </c>
      <c r="N13" s="312">
        <f t="shared" si="2"/>
        <v>10191.625878399611</v>
      </c>
      <c r="O13" s="312">
        <f t="shared" si="2"/>
        <v>10340.276419925998</v>
      </c>
      <c r="P13" s="398">
        <f t="shared" si="2"/>
        <v>10426.294653045892</v>
      </c>
      <c r="Q13" s="312">
        <f t="shared" si="2"/>
        <v>10515.283671005584</v>
      </c>
      <c r="R13" s="312">
        <f t="shared" si="2"/>
        <v>10605.367869943924</v>
      </c>
      <c r="S13" s="312">
        <f t="shared" si="2"/>
        <v>10713.350762095892</v>
      </c>
      <c r="T13" s="312">
        <f t="shared" si="2"/>
        <v>10786.962301733043</v>
      </c>
      <c r="U13" s="312">
        <f t="shared" si="2"/>
        <v>10855.918013667209</v>
      </c>
      <c r="V13" s="312">
        <f t="shared" si="2"/>
        <v>5419.8911620324725</v>
      </c>
      <c r="W13" s="312">
        <f t="shared" si="2"/>
        <v>-325.93842072504674</v>
      </c>
      <c r="X13" s="312">
        <f t="shared" si="2"/>
        <v>-1673.92669382742</v>
      </c>
      <c r="Y13" s="312">
        <f t="shared" si="2"/>
        <v>-1725.3275533128838</v>
      </c>
      <c r="Z13" s="312">
        <f t="shared" si="2"/>
        <v>-1774.6857708108669</v>
      </c>
      <c r="AA13" s="312">
        <f t="shared" si="2"/>
        <v>-1829.1448943659543</v>
      </c>
      <c r="AB13" s="312">
        <f t="shared" si="2"/>
        <v>-1884.0192411969344</v>
      </c>
      <c r="AC13" s="312">
        <f t="shared" si="2"/>
        <v>-1941.871361389397</v>
      </c>
      <c r="AD13" s="312">
        <f t="shared" si="2"/>
        <v>-1997.4244700292736</v>
      </c>
      <c r="AE13" s="312">
        <f t="shared" si="2"/>
        <v>-2058.7186933754028</v>
      </c>
      <c r="AF13" s="398">
        <f t="shared" si="2"/>
        <v>-2653.0149903215092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356</v>
      </c>
      <c r="B19" s="404">
        <v>76645.682528245845</v>
      </c>
      <c r="S19" s="18"/>
      <c r="AF19" s="65"/>
      <c r="AG19"/>
    </row>
    <row r="20" spans="1:33">
      <c r="A20" s="11" t="s">
        <v>355</v>
      </c>
      <c r="B20" s="409">
        <f>HLOOKUP(Assumptions!G34,B23:AF39,AN12)</f>
        <v>0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56</v>
      </c>
      <c r="B24"/>
      <c r="C24" s="48">
        <f>B45</f>
        <v>76353.057926634676</v>
      </c>
      <c r="D24" s="48">
        <f t="shared" ref="D24:AF24" si="3">C45</f>
        <v>75454.569487639412</v>
      </c>
      <c r="E24" s="48">
        <f t="shared" si="3"/>
        <v>74506.075026603401</v>
      </c>
      <c r="F24" s="48">
        <f t="shared" si="3"/>
        <v>72740.944696639504</v>
      </c>
      <c r="G24" s="48">
        <f t="shared" si="3"/>
        <v>70085.792489185842</v>
      </c>
      <c r="H24" s="48">
        <f t="shared" si="3"/>
        <v>66961.665864497481</v>
      </c>
      <c r="I24" s="48">
        <f t="shared" si="3"/>
        <v>63470.454120929782</v>
      </c>
      <c r="J24" s="48">
        <f t="shared" si="3"/>
        <v>59580.833774493105</v>
      </c>
      <c r="K24" s="48">
        <f t="shared" si="3"/>
        <v>55121.766718046922</v>
      </c>
      <c r="L24" s="48">
        <f t="shared" si="3"/>
        <v>50132.479690748136</v>
      </c>
      <c r="M24" s="48">
        <f t="shared" si="3"/>
        <v>44464.979996935072</v>
      </c>
      <c r="N24" s="48">
        <f t="shared" si="3"/>
        <v>38159.115298608194</v>
      </c>
      <c r="O24" s="48">
        <f t="shared" si="3"/>
        <v>31060.469595767656</v>
      </c>
      <c r="P24" s="48">
        <f t="shared" si="3"/>
        <v>23196.102767257071</v>
      </c>
      <c r="Q24" s="48">
        <f t="shared" si="3"/>
        <v>14561.208723878786</v>
      </c>
      <c r="R24" s="48">
        <f t="shared" si="3"/>
        <v>5087.3581409258231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332.88358803241397</v>
      </c>
      <c r="Y24" s="48">
        <f t="shared" si="3"/>
        <v>2071.3750501903905</v>
      </c>
      <c r="Z24" s="48">
        <f t="shared" si="3"/>
        <v>4013.2991464601814</v>
      </c>
      <c r="AA24" s="48">
        <f t="shared" si="3"/>
        <v>6173.937428111225</v>
      </c>
      <c r="AB24" s="48">
        <f t="shared" si="3"/>
        <v>8577.9944149582079</v>
      </c>
      <c r="AC24" s="48">
        <f t="shared" si="3"/>
        <v>11246.782162466245</v>
      </c>
      <c r="AD24" s="48">
        <f t="shared" si="3"/>
        <v>14206.888150781753</v>
      </c>
      <c r="AE24" s="48">
        <f t="shared" si="3"/>
        <v>17479.26302151757</v>
      </c>
      <c r="AF24" s="48">
        <f t="shared" si="3"/>
        <v>21099.158382717105</v>
      </c>
      <c r="AG24"/>
    </row>
    <row r="25" spans="1:33">
      <c r="A25" s="48" t="s">
        <v>333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57</v>
      </c>
      <c r="B26"/>
      <c r="C26" s="48">
        <f t="shared" ref="C26:AF26" si="4">C24-C28</f>
        <v>449.11847898444103</v>
      </c>
      <c r="D26" s="48">
        <f t="shared" si="4"/>
        <v>472.9552034183871</v>
      </c>
      <c r="E26" s="48">
        <f t="shared" si="4"/>
        <v>862.08878859069955</v>
      </c>
      <c r="F26" s="48">
        <f t="shared" si="4"/>
        <v>1310.2330940040702</v>
      </c>
      <c r="G26" s="48">
        <f t="shared" si="4"/>
        <v>1537.4633801300224</v>
      </c>
      <c r="H26" s="48">
        <f t="shared" si="4"/>
        <v>1716.8203928626244</v>
      </c>
      <c r="I26" s="48">
        <f t="shared" si="4"/>
        <v>1902.5436186547158</v>
      </c>
      <c r="J26" s="48">
        <f t="shared" si="4"/>
        <v>2191.4989781464246</v>
      </c>
      <c r="K26" s="48">
        <f t="shared" si="4"/>
        <v>2448.8805187210746</v>
      </c>
      <c r="L26" s="48">
        <f t="shared" si="4"/>
        <v>2780.3430317219827</v>
      </c>
      <c r="M26" s="48">
        <f t="shared" si="4"/>
        <v>3086.0661589813317</v>
      </c>
      <c r="N26" s="48">
        <f t="shared" si="4"/>
        <v>3480.7031761472535</v>
      </c>
      <c r="O26" s="48">
        <f t="shared" si="4"/>
        <v>3853.6848821642998</v>
      </c>
      <c r="P26" s="48">
        <f t="shared" si="4"/>
        <v>4230.0138749901635</v>
      </c>
      <c r="Q26" s="48">
        <f t="shared" si="4"/>
        <v>4637.9473556019366</v>
      </c>
      <c r="R26" s="48">
        <f t="shared" si="4"/>
        <v>5087.3581409258231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-162.96921036252337</v>
      </c>
      <c r="X26" s="48">
        <f t="shared" si="4"/>
        <v>-851.07213898730299</v>
      </c>
      <c r="Y26" s="48">
        <f t="shared" si="4"/>
        <v>-950.81715106019919</v>
      </c>
      <c r="Z26" s="48">
        <f t="shared" si="4"/>
        <v>-1057.2084229781753</v>
      </c>
      <c r="AA26" s="48">
        <f t="shared" si="4"/>
        <v>-1176.2459047525126</v>
      </c>
      <c r="AB26" s="48">
        <f t="shared" si="4"/>
        <v>-1305.5755756653271</v>
      </c>
      <c r="AC26" s="48">
        <f t="shared" si="4"/>
        <v>-1449.5751229889647</v>
      </c>
      <c r="AD26" s="48">
        <f t="shared" si="4"/>
        <v>-1600.0281611142163</v>
      </c>
      <c r="AE26" s="48">
        <f t="shared" si="4"/>
        <v>-1770.1927684490111</v>
      </c>
      <c r="AF26" s="48">
        <f t="shared" si="4"/>
        <v>-2220.764975107697</v>
      </c>
      <c r="AG26"/>
    </row>
    <row r="27" spans="1:33">
      <c r="A27" s="48" t="s">
        <v>58</v>
      </c>
      <c r="B27"/>
      <c r="C27" s="392">
        <f t="shared" ref="C27:AF27" si="5">C24*(C23-B41)/(C41-B41)*$E$64</f>
        <v>1618.0572686644362</v>
      </c>
      <c r="D27" s="392">
        <f t="shared" si="5"/>
        <v>1599.0166985942217</v>
      </c>
      <c r="E27" s="392">
        <f t="shared" si="5"/>
        <v>1591.9057560328924</v>
      </c>
      <c r="F27" s="392">
        <f t="shared" si="5"/>
        <v>1541.5101567904292</v>
      </c>
      <c r="G27" s="392">
        <f t="shared" si="5"/>
        <v>1485.2427531612398</v>
      </c>
      <c r="H27" s="392">
        <f t="shared" si="5"/>
        <v>1419.0369464709263</v>
      </c>
      <c r="I27" s="392">
        <f t="shared" si="5"/>
        <v>1356.1173530756037</v>
      </c>
      <c r="J27" s="392">
        <f t="shared" si="5"/>
        <v>1262.6239705361759</v>
      </c>
      <c r="K27" s="392">
        <f t="shared" si="5"/>
        <v>1168.1283988057342</v>
      </c>
      <c r="L27" s="392">
        <f t="shared" si="5"/>
        <v>1062.3965216655804</v>
      </c>
      <c r="M27" s="392">
        <f t="shared" si="5"/>
        <v>950.0441081312357</v>
      </c>
      <c r="N27" s="392">
        <f t="shared" si="5"/>
        <v>808.65960776639565</v>
      </c>
      <c r="O27" s="392">
        <f t="shared" si="5"/>
        <v>658.22666389935023</v>
      </c>
      <c r="P27" s="392">
        <f t="shared" si="5"/>
        <v>491.56672576639301</v>
      </c>
      <c r="Q27" s="392">
        <f t="shared" si="5"/>
        <v>311.11653612221892</v>
      </c>
      <c r="R27" s="392">
        <f t="shared" si="5"/>
        <v>107.8101786850993</v>
      </c>
      <c r="S27" s="392">
        <f t="shared" si="5"/>
        <v>0</v>
      </c>
      <c r="T27" s="392">
        <f t="shared" si="5"/>
        <v>0</v>
      </c>
      <c r="U27" s="392">
        <f t="shared" si="5"/>
        <v>0</v>
      </c>
      <c r="V27" s="392">
        <f t="shared" si="5"/>
        <v>0</v>
      </c>
      <c r="W27" s="392">
        <f t="shared" si="5"/>
        <v>0</v>
      </c>
      <c r="X27" s="392">
        <f t="shared" si="5"/>
        <v>7.0543960367964988</v>
      </c>
      <c r="Y27" s="392">
        <f t="shared" si="5"/>
        <v>44.257248340133486</v>
      </c>
      <c r="Z27" s="392">
        <f t="shared" si="5"/>
        <v>85.048955884573985</v>
      </c>
      <c r="AA27" s="392">
        <f t="shared" si="5"/>
        <v>130.83672878476801</v>
      </c>
      <c r="AB27" s="392">
        <f t="shared" si="5"/>
        <v>181.78297753342943</v>
      </c>
      <c r="AC27" s="392">
        <f t="shared" si="5"/>
        <v>240.30009975542632</v>
      </c>
      <c r="AD27" s="392">
        <f t="shared" si="5"/>
        <v>301.06925985286813</v>
      </c>
      <c r="AE27" s="392">
        <f t="shared" si="5"/>
        <v>370.41671088065323</v>
      </c>
      <c r="AF27" s="392">
        <f t="shared" si="5"/>
        <v>447.12873997347077</v>
      </c>
      <c r="AG27"/>
    </row>
    <row r="28" spans="1:33">
      <c r="A28" s="48" t="s">
        <v>59</v>
      </c>
      <c r="B28"/>
      <c r="C28" s="163">
        <f t="shared" ref="C28:AF28" si="6">MAX(C24+C25+B44+C27-0.5*C13,0)</f>
        <v>75903.939447650235</v>
      </c>
      <c r="D28" s="163">
        <f t="shared" si="6"/>
        <v>74981.614284221025</v>
      </c>
      <c r="E28" s="163">
        <f t="shared" si="6"/>
        <v>73643.986238012702</v>
      </c>
      <c r="F28" s="163">
        <f t="shared" si="6"/>
        <v>71430.711602635434</v>
      </c>
      <c r="G28" s="163">
        <f t="shared" si="6"/>
        <v>68548.32910905582</v>
      </c>
      <c r="H28" s="163">
        <f t="shared" si="6"/>
        <v>65244.845471634857</v>
      </c>
      <c r="I28" s="163">
        <f t="shared" si="6"/>
        <v>61567.910502275066</v>
      </c>
      <c r="J28" s="163">
        <f t="shared" si="6"/>
        <v>57389.33479634668</v>
      </c>
      <c r="K28" s="163">
        <f t="shared" si="6"/>
        <v>52672.886199325847</v>
      </c>
      <c r="L28" s="163">
        <f t="shared" si="6"/>
        <v>47352.136659026153</v>
      </c>
      <c r="M28" s="163">
        <f t="shared" si="6"/>
        <v>41378.91383795374</v>
      </c>
      <c r="N28" s="163">
        <f t="shared" si="6"/>
        <v>34678.412122460941</v>
      </c>
      <c r="O28" s="163">
        <f t="shared" si="6"/>
        <v>27206.784713603356</v>
      </c>
      <c r="P28" s="163">
        <f t="shared" si="6"/>
        <v>18966.088892266907</v>
      </c>
      <c r="Q28" s="163">
        <f t="shared" si="6"/>
        <v>9923.2613682768497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162.96921036252337</v>
      </c>
      <c r="X28" s="163">
        <f t="shared" si="6"/>
        <v>1183.955727019717</v>
      </c>
      <c r="Y28" s="163">
        <f t="shared" si="6"/>
        <v>3022.1922012505897</v>
      </c>
      <c r="Z28" s="163">
        <f t="shared" si="6"/>
        <v>5070.5075694383568</v>
      </c>
      <c r="AA28" s="163">
        <f t="shared" si="6"/>
        <v>7350.1833328637376</v>
      </c>
      <c r="AB28" s="163">
        <f t="shared" si="6"/>
        <v>9883.569990623535</v>
      </c>
      <c r="AC28" s="163">
        <f t="shared" si="6"/>
        <v>12696.357285455209</v>
      </c>
      <c r="AD28" s="163">
        <f t="shared" si="6"/>
        <v>15806.91631189597</v>
      </c>
      <c r="AE28" s="163">
        <f t="shared" si="6"/>
        <v>19249.455789966582</v>
      </c>
      <c r="AF28" s="163">
        <f t="shared" si="6"/>
        <v>23319.923357824802</v>
      </c>
      <c r="AG28"/>
    </row>
    <row r="29" spans="1:33">
      <c r="A29" s="48" t="s">
        <v>335</v>
      </c>
      <c r="B29"/>
      <c r="C29" s="163">
        <f>(C23-B41)/(C41-B41)*IS!D32+(B41-B32)/(B41-Assumptions!H17)*IS!C32</f>
        <v>4780.0618508406478</v>
      </c>
      <c r="D29" s="163">
        <f>(D23-C41)/(D41-C41)*IS!E32+(C41-C32)/(C41-B41)*IS!D32</f>
        <v>4763.6290937017138</v>
      </c>
      <c r="E29" s="163">
        <f>(E23-D41)/(E41-D41)*IS!F32+(D41-D32)/(D41-C41)*IS!E32</f>
        <v>5089.9562042502794</v>
      </c>
      <c r="F29" s="163">
        <f>(F23-E41)/(F41-E41)*IS!G32+(E41-E32)/(E41-D41)*IS!F32</f>
        <v>5581.9268892716909</v>
      </c>
      <c r="G29" s="163">
        <f>(G23-F41)/(G41-F41)*IS!H32+(F41-F32)/(F41-E41)*IS!G32</f>
        <v>5828.7321516529928</v>
      </c>
      <c r="H29" s="163">
        <f>(H23-G41)/(H41-G41)*IS!I32+(G41-G32)/(G41-F41)*IS!H32</f>
        <v>5889.9783531225376</v>
      </c>
      <c r="I29" s="163">
        <f>(I23-H41)/(I41-H41)*IS!J32+(H41-H32)/(H41-G41)*IS!I32</f>
        <v>5974.2112339591258</v>
      </c>
      <c r="J29" s="163">
        <f>(J23-I41)/(J41-I41)*IS!K32+(I41-I32)/(I41-H41)*IS!J32</f>
        <v>6061.1363350175943</v>
      </c>
      <c r="K29" s="163">
        <f>(K23-J41)/(K41-J41)*IS!L32+(J41-J32)/(J41-I41)*IS!K32</f>
        <v>6188.9276744304352</v>
      </c>
      <c r="L29" s="163">
        <f>(L23-K41)/(L41-K41)*IS!M32+(K41-K32)/(K41-J41)*IS!L32</f>
        <v>6312.1396570389825</v>
      </c>
      <c r="M29" s="163">
        <f>(M23-L41)/(M41-L41)*IS!N32+(L41-L32)/(L41-K41)*IS!M32</f>
        <v>6461.7612191095195</v>
      </c>
      <c r="N29" s="163">
        <f>(N23-M41)/(N41-M41)*IS!O32+(M41-M32)/(M41-L41)*IS!N32</f>
        <v>6553.0623101547735</v>
      </c>
      <c r="O29" s="163">
        <f>(O23-N41)/(O41-N41)*IS!P32+(N41-N32)/(N41-M41)*IS!O32</f>
        <v>6688.3042761599827</v>
      </c>
      <c r="P29" s="163">
        <f>(P23-O41)/(P41-O41)*IS!Q32+(O41-O32)/(O41-N41)*IS!P32</f>
        <v>6744.7068204453153</v>
      </c>
      <c r="Q29" s="163">
        <f>(Q23-P41)/(Q41-P41)*IS!R32+(P41-P32)/(P41-O41)*IS!Q32</f>
        <v>6826.5100503529939</v>
      </c>
      <c r="R29" s="163">
        <f>(R23-Q41)/(R41-Q41)*IS!S32+(Q41-Q32)/(Q41-P41)*IS!R32</f>
        <v>6851.681250774468</v>
      </c>
      <c r="S29" s="163">
        <f>(S23-R41)/(S41-R41)*IS!T32+(R41-R32)/(R41-Q41)*IS!S32</f>
        <v>6928.8373005468384</v>
      </c>
      <c r="T29" s="163">
        <f>(T23-S41)/(T41-S41)*IS!U32+(S41-S32)/(S41-R41)*IS!T32</f>
        <v>6981.6162083985419</v>
      </c>
      <c r="U29" s="163">
        <f>(U23-T41)/(U41-T41)*IS!V32+(T41-T32)/(T41-S41)*IS!U32</f>
        <v>7051.412217328545</v>
      </c>
      <c r="V29" s="163">
        <f>(V23-U41)/(V41-U41)*IS!W32+(U41-U32)/(U41-T41)*IS!V32</f>
        <v>4685.2179332422438</v>
      </c>
      <c r="W29" s="163">
        <f>(W23-V41)/(W41-V41)*IS!X32+(V41-V32)/(V41-U41)*IS!W32</f>
        <v>643.28385902052662</v>
      </c>
      <c r="X29" s="163">
        <f>(X23-W41)/(X41-W41)*IS!Y32+(W41-W32)/(W41-V41)*IS!X32</f>
        <v>-1077.0907818336668</v>
      </c>
      <c r="Y29" s="163">
        <f>(Y23-X41)/(Y41-X41)*IS!Z32+(X41-X32)/(X41-W41)*IS!Y32</f>
        <v>-1114.034334942331</v>
      </c>
      <c r="Z29" s="163">
        <f>(Z23-Y41)/(Z41-Y41)*IS!AA32+(Y41-Y32)/(Y41-X41)*IS!Z32</f>
        <v>-1141.1476341755022</v>
      </c>
      <c r="AA29" s="163">
        <f>(AA23-Z41)/(AA41-Z41)*IS!AB32+(Z41-Z32)/(Z41-Y41)*IS!AA32</f>
        <v>-1176.9661787607565</v>
      </c>
      <c r="AB29" s="163">
        <f>(AB23-AA41)/(AB41-AA41)*IS!AC32+(AA41-AA32)/(AA41-Z41)*IS!AB32</f>
        <v>-1212.27516412358</v>
      </c>
      <c r="AC29" s="163">
        <f>(AC23-AB41)/(AC41-AB41)*IS!AD32+(AB41-AB32)/(AB41-AA41)*IS!AC32</f>
        <v>-1253.8554586200853</v>
      </c>
      <c r="AD29" s="163">
        <f>(AD23-AC41)/(AD41-AC41)*IS!AE32+(AC41-AC32)/(AC41-AB41)*IS!AD32</f>
        <v>-1284.371715775186</v>
      </c>
      <c r="AE29" s="163">
        <f>(AE23-AD41)/(AE41-AD41)*IS!AF32+(AD41-AD32)/(AD41-AC41)*IS!AE32</f>
        <v>-1324.6858032672674</v>
      </c>
      <c r="AF29" s="163">
        <f>(AF23-AE41)/(AG23-AE41)*IS!AG32+(AE41-AE32)/(AE41-AD41)*IS!AF32</f>
        <v>-2760.4595864987123</v>
      </c>
      <c r="AG29"/>
    </row>
    <row r="30" spans="1:33">
      <c r="A30" s="412" t="s">
        <v>0</v>
      </c>
      <c r="B30" s="414"/>
      <c r="C30" s="413">
        <f>IF(C28&gt;0.1,C29/(C27+C26+B44)," ")</f>
        <v>1.2974752975893693</v>
      </c>
      <c r="D30" s="413">
        <f t="shared" ref="D30:AF30" si="7">IF(D28&gt;0.1,D29/(D27+D26+C44)," ")</f>
        <v>1.2976420283392505</v>
      </c>
      <c r="E30" s="413">
        <f t="shared" si="7"/>
        <v>1.2621047821700142</v>
      </c>
      <c r="F30" s="413">
        <f t="shared" si="7"/>
        <v>1.2717871823296472</v>
      </c>
      <c r="G30" s="413">
        <f t="shared" si="7"/>
        <v>1.2929898493680285</v>
      </c>
      <c r="H30" s="413">
        <f t="shared" si="7"/>
        <v>1.2931097811597749</v>
      </c>
      <c r="I30" s="413">
        <f t="shared" si="7"/>
        <v>1.297694129155516</v>
      </c>
      <c r="J30" s="413">
        <f t="shared" si="7"/>
        <v>1.2859652535719437</v>
      </c>
      <c r="K30" s="413">
        <f t="shared" si="7"/>
        <v>1.293364696830434</v>
      </c>
      <c r="L30" s="413">
        <f t="shared" si="7"/>
        <v>1.2868429255493374</v>
      </c>
      <c r="M30" s="413">
        <f t="shared" si="7"/>
        <v>1.2979588087068576</v>
      </c>
      <c r="N30" s="413">
        <f t="shared" si="7"/>
        <v>1.2859699499063237</v>
      </c>
      <c r="O30" s="413">
        <f t="shared" si="7"/>
        <v>1.2936412924651479</v>
      </c>
      <c r="P30" s="413">
        <f t="shared" si="7"/>
        <v>1.2937878786065082</v>
      </c>
      <c r="Q30" s="413">
        <f t="shared" si="7"/>
        <v>1.2983976969021072</v>
      </c>
      <c r="R30" s="413" t="str">
        <f t="shared" si="7"/>
        <v xml:space="preserve"> </v>
      </c>
      <c r="S30" s="413" t="str">
        <f t="shared" si="7"/>
        <v xml:space="preserve"> </v>
      </c>
      <c r="T30" s="413" t="str">
        <f t="shared" si="7"/>
        <v xml:space="preserve"> </v>
      </c>
      <c r="U30" s="413" t="str">
        <f t="shared" si="7"/>
        <v xml:space="preserve"> </v>
      </c>
      <c r="V30" s="413" t="str">
        <f t="shared" si="7"/>
        <v xml:space="preserve"> </v>
      </c>
      <c r="W30" s="413">
        <f t="shared" si="7"/>
        <v>-3.9472723564748713</v>
      </c>
      <c r="X30" s="413">
        <f t="shared" si="7"/>
        <v>1.2869031670328492</v>
      </c>
      <c r="Y30" s="413">
        <f t="shared" si="7"/>
        <v>1.2913887949024179</v>
      </c>
      <c r="Z30" s="413">
        <f t="shared" si="7"/>
        <v>1.2860278173685966</v>
      </c>
      <c r="AA30" s="413">
        <f t="shared" si="7"/>
        <v>1.2869031670328499</v>
      </c>
      <c r="AB30" s="413">
        <f t="shared" si="7"/>
        <v>1.2869031670328477</v>
      </c>
      <c r="AC30" s="413">
        <f t="shared" si="7"/>
        <v>1.2913887949024172</v>
      </c>
      <c r="AD30" s="413">
        <f t="shared" si="7"/>
        <v>1.2860278173685979</v>
      </c>
      <c r="AE30" s="413">
        <f t="shared" si="7"/>
        <v>1.286903167032845</v>
      </c>
      <c r="AF30" s="413">
        <f t="shared" si="7"/>
        <v>2.0809981071114723</v>
      </c>
      <c r="AG30"/>
    </row>
    <row r="31" spans="1:33">
      <c r="A31" s="11"/>
      <c r="B31" s="388"/>
      <c r="C31" s="53"/>
      <c r="AG31"/>
    </row>
    <row r="32" spans="1:33">
      <c r="A32" s="411" t="s">
        <v>421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56</v>
      </c>
      <c r="B33" s="389">
        <f>B19</f>
        <v>76645.682528245845</v>
      </c>
      <c r="C33" s="48">
        <f>C28</f>
        <v>75903.939447650235</v>
      </c>
      <c r="D33" s="48">
        <f t="shared" ref="D33:AF33" si="8">D28</f>
        <v>74981.614284221025</v>
      </c>
      <c r="E33" s="48">
        <f t="shared" si="8"/>
        <v>73643.986238012702</v>
      </c>
      <c r="F33" s="48">
        <f t="shared" si="8"/>
        <v>71430.711602635434</v>
      </c>
      <c r="G33" s="48">
        <f t="shared" si="8"/>
        <v>68548.32910905582</v>
      </c>
      <c r="H33" s="48">
        <f t="shared" si="8"/>
        <v>65244.845471634857</v>
      </c>
      <c r="I33" s="48">
        <f t="shared" si="8"/>
        <v>61567.910502275066</v>
      </c>
      <c r="J33" s="48">
        <f t="shared" si="8"/>
        <v>57389.33479634668</v>
      </c>
      <c r="K33" s="48">
        <f t="shared" si="8"/>
        <v>52672.886199325847</v>
      </c>
      <c r="L33" s="48">
        <f t="shared" si="8"/>
        <v>47352.136659026153</v>
      </c>
      <c r="M33" s="48">
        <f t="shared" si="8"/>
        <v>41378.91383795374</v>
      </c>
      <c r="N33" s="48">
        <f t="shared" si="8"/>
        <v>34678.412122460941</v>
      </c>
      <c r="O33" s="48">
        <f t="shared" si="8"/>
        <v>27206.784713603356</v>
      </c>
      <c r="P33" s="48">
        <f t="shared" si="8"/>
        <v>18966.088892266907</v>
      </c>
      <c r="Q33" s="48">
        <f t="shared" si="8"/>
        <v>9923.2613682768497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162.96921036252337</v>
      </c>
      <c r="X33" s="48">
        <f t="shared" si="8"/>
        <v>1183.955727019717</v>
      </c>
      <c r="Y33" s="48">
        <f t="shared" si="8"/>
        <v>3022.1922012505897</v>
      </c>
      <c r="Z33" s="48">
        <f t="shared" si="8"/>
        <v>5070.5075694383568</v>
      </c>
      <c r="AA33" s="48">
        <f t="shared" si="8"/>
        <v>7350.1833328637376</v>
      </c>
      <c r="AB33" s="48">
        <f t="shared" si="8"/>
        <v>9883.569990623535</v>
      </c>
      <c r="AC33" s="48">
        <f t="shared" si="8"/>
        <v>12696.357285455209</v>
      </c>
      <c r="AD33" s="48">
        <f t="shared" si="8"/>
        <v>15806.91631189597</v>
      </c>
      <c r="AE33" s="48">
        <f t="shared" si="8"/>
        <v>19249.455789966582</v>
      </c>
      <c r="AF33" s="48">
        <f t="shared" si="8"/>
        <v>23319.923357824802</v>
      </c>
      <c r="AG33"/>
    </row>
    <row r="34" spans="1:39">
      <c r="A34" s="48" t="s">
        <v>333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57</v>
      </c>
      <c r="B35" s="48">
        <f>B33-B37</f>
        <v>292.62460161116906</v>
      </c>
      <c r="C35" s="48">
        <f>C33-C37</f>
        <v>449.36996001082298</v>
      </c>
      <c r="D35" s="48">
        <f t="shared" ref="D35:AF35" si="9">D33-D37</f>
        <v>475.53925761762366</v>
      </c>
      <c r="E35" s="48">
        <f t="shared" si="9"/>
        <v>903.04154137319711</v>
      </c>
      <c r="F35" s="48">
        <f t="shared" si="9"/>
        <v>1344.9191134495923</v>
      </c>
      <c r="G35" s="48">
        <f t="shared" si="9"/>
        <v>1586.6632445583382</v>
      </c>
      <c r="H35" s="48">
        <f t="shared" si="9"/>
        <v>1774.3913507050747</v>
      </c>
      <c r="I35" s="48">
        <f t="shared" si="9"/>
        <v>1987.0767277819614</v>
      </c>
      <c r="J35" s="48">
        <f t="shared" si="9"/>
        <v>2267.5680782997588</v>
      </c>
      <c r="K35" s="48">
        <f t="shared" si="9"/>
        <v>2540.4065085777111</v>
      </c>
      <c r="L35" s="48">
        <f t="shared" si="9"/>
        <v>2887.1566620910817</v>
      </c>
      <c r="M35" s="48">
        <f t="shared" si="9"/>
        <v>3219.7985393455456</v>
      </c>
      <c r="N35" s="48">
        <f t="shared" si="9"/>
        <v>3617.9425266932849</v>
      </c>
      <c r="O35" s="48">
        <f t="shared" si="9"/>
        <v>4010.6819463462853</v>
      </c>
      <c r="P35" s="48">
        <f t="shared" si="9"/>
        <v>4404.8801683881211</v>
      </c>
      <c r="Q35" s="48">
        <f t="shared" si="9"/>
        <v>4835.9032273510265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-169.9143776698906</v>
      </c>
      <c r="X35" s="48">
        <f t="shared" si="9"/>
        <v>-887.41932317067358</v>
      </c>
      <c r="Y35" s="48">
        <f t="shared" si="9"/>
        <v>-991.10694520959169</v>
      </c>
      <c r="Z35" s="48">
        <f t="shared" si="9"/>
        <v>-1103.4298586728682</v>
      </c>
      <c r="AA35" s="48">
        <f t="shared" si="9"/>
        <v>-1227.8110820944703</v>
      </c>
      <c r="AB35" s="48">
        <f t="shared" si="9"/>
        <v>-1363.2121718427097</v>
      </c>
      <c r="AC35" s="48">
        <f t="shared" si="9"/>
        <v>-1510.5308653265438</v>
      </c>
      <c r="AD35" s="48">
        <f t="shared" si="9"/>
        <v>-1672.3467096216009</v>
      </c>
      <c r="AE35" s="48">
        <f t="shared" si="9"/>
        <v>-1849.7025927505238</v>
      </c>
      <c r="AF35" s="48">
        <f t="shared" si="9"/>
        <v>-1489.4275076606245</v>
      </c>
      <c r="AG35"/>
    </row>
    <row r="36" spans="1:39">
      <c r="A36" s="48" t="s">
        <v>58</v>
      </c>
      <c r="B36" s="392">
        <f>B33*(B32-Assumptions!H17)/365.25*$E$64</f>
        <v>2176.0868660312376</v>
      </c>
      <c r="C36" s="392">
        <f t="shared" ref="C36:AF36" si="10">C33*(C32-C23)/(C41-B41)*$E$64</f>
        <v>3234.755556460821</v>
      </c>
      <c r="D36" s="392">
        <f t="shared" si="10"/>
        <v>3195.4493429892</v>
      </c>
      <c r="E36" s="392">
        <f t="shared" si="10"/>
        <v>3129.8694151155401</v>
      </c>
      <c r="F36" s="392">
        <f t="shared" si="10"/>
        <v>3044.1225177506694</v>
      </c>
      <c r="G36" s="392">
        <f t="shared" si="10"/>
        <v>2921.285641894146</v>
      </c>
      <c r="H36" s="392">
        <f t="shared" si="10"/>
        <v>2780.5029350993982</v>
      </c>
      <c r="I36" s="392">
        <f t="shared" si="10"/>
        <v>2616.6361963466907</v>
      </c>
      <c r="J36" s="392">
        <f t="shared" si="10"/>
        <v>2445.7290486497882</v>
      </c>
      <c r="K36" s="392">
        <f t="shared" si="10"/>
        <v>2244.7308077548314</v>
      </c>
      <c r="L36" s="392">
        <f t="shared" si="10"/>
        <v>2017.9794129620602</v>
      </c>
      <c r="M36" s="392">
        <f t="shared" si="10"/>
        <v>1758.603838113034</v>
      </c>
      <c r="N36" s="392">
        <f t="shared" si="10"/>
        <v>1477.8704125065203</v>
      </c>
      <c r="O36" s="392">
        <f t="shared" si="10"/>
        <v>1159.4562636167132</v>
      </c>
      <c r="P36" s="392">
        <f t="shared" si="10"/>
        <v>808.26715813482679</v>
      </c>
      <c r="Q36" s="392">
        <f t="shared" si="10"/>
        <v>421.73860815176613</v>
      </c>
      <c r="R36" s="392">
        <f t="shared" si="10"/>
        <v>0</v>
      </c>
      <c r="S36" s="392">
        <f t="shared" si="10"/>
        <v>0</v>
      </c>
      <c r="T36" s="392">
        <f t="shared" si="10"/>
        <v>0</v>
      </c>
      <c r="U36" s="392">
        <f t="shared" si="10"/>
        <v>0</v>
      </c>
      <c r="V36" s="392">
        <f t="shared" si="10"/>
        <v>0</v>
      </c>
      <c r="W36" s="392">
        <f t="shared" si="10"/>
        <v>6.9451673073672628</v>
      </c>
      <c r="X36" s="392">
        <f t="shared" si="10"/>
        <v>50.455976256963559</v>
      </c>
      <c r="Y36" s="392">
        <f t="shared" si="10"/>
        <v>128.44316855315006</v>
      </c>
      <c r="Z36" s="392">
        <f t="shared" si="10"/>
        <v>216.08697326743464</v>
      </c>
      <c r="AA36" s="392">
        <f t="shared" si="10"/>
        <v>313.23863491149433</v>
      </c>
      <c r="AB36" s="392">
        <f t="shared" si="10"/>
        <v>421.20255124424409</v>
      </c>
      <c r="AC36" s="392">
        <f t="shared" si="10"/>
        <v>539.59518463184645</v>
      </c>
      <c r="AD36" s="392">
        <f t="shared" si="10"/>
        <v>673.63447460696386</v>
      </c>
      <c r="AE36" s="392">
        <f t="shared" si="10"/>
        <v>820.34324606282246</v>
      </c>
      <c r="AF36" s="392">
        <f t="shared" si="10"/>
        <v>162.92001249987192</v>
      </c>
      <c r="AG36"/>
    </row>
    <row r="37" spans="1:39">
      <c r="A37" s="48" t="s">
        <v>59</v>
      </c>
      <c r="B37" s="163">
        <f>MAX(B33+B34+B36-B13,0)</f>
        <v>76353.057926634676</v>
      </c>
      <c r="C37" s="163">
        <f>MAX(C33+C34+C36-0.5*C13,0)</f>
        <v>75454.569487639412</v>
      </c>
      <c r="D37" s="163">
        <f t="shared" ref="D37:AF37" si="11">MAX(D33+D34+D36-0.5*D13,0)</f>
        <v>74506.075026603401</v>
      </c>
      <c r="E37" s="163">
        <f t="shared" si="11"/>
        <v>72740.944696639504</v>
      </c>
      <c r="F37" s="163">
        <f t="shared" si="11"/>
        <v>70085.792489185842</v>
      </c>
      <c r="G37" s="163">
        <f t="shared" si="11"/>
        <v>66961.665864497481</v>
      </c>
      <c r="H37" s="163">
        <f t="shared" si="11"/>
        <v>63470.454120929782</v>
      </c>
      <c r="I37" s="163">
        <f t="shared" si="11"/>
        <v>59580.833774493105</v>
      </c>
      <c r="J37" s="163">
        <f t="shared" si="11"/>
        <v>55121.766718046922</v>
      </c>
      <c r="K37" s="163">
        <f t="shared" si="11"/>
        <v>50132.479690748136</v>
      </c>
      <c r="L37" s="163">
        <f t="shared" si="11"/>
        <v>44464.979996935072</v>
      </c>
      <c r="M37" s="163">
        <f t="shared" si="11"/>
        <v>38159.115298608194</v>
      </c>
      <c r="N37" s="163">
        <f t="shared" si="11"/>
        <v>31060.469595767656</v>
      </c>
      <c r="O37" s="163">
        <f t="shared" si="11"/>
        <v>23196.102767257071</v>
      </c>
      <c r="P37" s="163">
        <f t="shared" si="11"/>
        <v>14561.208723878786</v>
      </c>
      <c r="Q37" s="163">
        <f t="shared" si="11"/>
        <v>5087.3581409258231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332.88358803241397</v>
      </c>
      <c r="X37" s="163">
        <f t="shared" si="11"/>
        <v>2071.3750501903905</v>
      </c>
      <c r="Y37" s="163">
        <f t="shared" si="11"/>
        <v>4013.2991464601814</v>
      </c>
      <c r="Z37" s="163">
        <f t="shared" si="11"/>
        <v>6173.937428111225</v>
      </c>
      <c r="AA37" s="163">
        <f t="shared" si="11"/>
        <v>8577.9944149582079</v>
      </c>
      <c r="AB37" s="163">
        <f t="shared" si="11"/>
        <v>11246.782162466245</v>
      </c>
      <c r="AC37" s="163">
        <f t="shared" si="11"/>
        <v>14206.888150781753</v>
      </c>
      <c r="AD37" s="163">
        <f t="shared" si="11"/>
        <v>17479.26302151757</v>
      </c>
      <c r="AE37" s="163">
        <f t="shared" si="11"/>
        <v>21099.158382717105</v>
      </c>
      <c r="AF37" s="163">
        <f t="shared" si="11"/>
        <v>24809.350865485427</v>
      </c>
      <c r="AG37"/>
    </row>
    <row r="38" spans="1:39">
      <c r="A38" s="48" t="s">
        <v>335</v>
      </c>
      <c r="B38" s="163">
        <f>(B32-Assumptions!H17)/(Debt!B41-Assumptions!H17)*IS!C32</f>
        <v>3209.3249079351326</v>
      </c>
      <c r="C38" s="163">
        <f>(C32-C23)/(C41-B41)*IS!D32</f>
        <v>4798.664491985639</v>
      </c>
      <c r="D38" s="163">
        <f>(D32-D23)/(D41-C41)*IS!E32</f>
        <v>4780.9412678760509</v>
      </c>
      <c r="E38" s="163">
        <f>(E32-E23)/(E41-D41)*IS!F32</f>
        <v>5395.612282620441</v>
      </c>
      <c r="F38" s="163">
        <f>(F32-F23)/(F41-E41)*IS!G32</f>
        <v>5829.581351849004</v>
      </c>
      <c r="G38" s="163">
        <f>(G32-G23)/(G41-F41)*IS!H32</f>
        <v>5891.9349531234993</v>
      </c>
      <c r="H38" s="163">
        <f>(H32-H23)/(H41-G41)*IS!I32</f>
        <v>5952.7467899690773</v>
      </c>
      <c r="I38" s="163">
        <f>(I32-I23)/(I41-H41)*IS!J32</f>
        <v>5995.4423687753688</v>
      </c>
      <c r="J38" s="163">
        <f>(J32-J23)/(J41-I41)*IS!K32</f>
        <v>6193.4361950512221</v>
      </c>
      <c r="K38" s="163">
        <f>(K32-K23)/(K41-J41)*IS!L32</f>
        <v>6252.4293480341603</v>
      </c>
      <c r="L38" s="163">
        <f>(L32-L23)/(L41-K41)*IS!M32</f>
        <v>6441.2141380991807</v>
      </c>
      <c r="M38" s="163">
        <f>(M32-M23)/(M41-L41)*IS!N32</f>
        <v>6482.0849622827909</v>
      </c>
      <c r="N38" s="163">
        <f>(N32-N23)/(N41-M41)*IS!O32</f>
        <v>6696.0513317647228</v>
      </c>
      <c r="O38" s="163">
        <f>(O32-O23)/(O41-N41)*IS!P32</f>
        <v>6754.0550697438157</v>
      </c>
      <c r="P38" s="163">
        <f>(P32-P23)/(P41-O41)*IS!Q32</f>
        <v>6809.476228514347</v>
      </c>
      <c r="Q38" s="163">
        <f>(Q32-Q23)/(Q41-P41)*IS!R32</f>
        <v>6843.3587219542642</v>
      </c>
      <c r="R38" s="163">
        <f>(R32-R23)/(R41-Q41)*IS!S32</f>
        <v>6935.2969801526333</v>
      </c>
      <c r="S38" s="163">
        <f>(S32-S23)/(S41-R41)*IS!T32</f>
        <v>6998.5186901778216</v>
      </c>
      <c r="T38" s="163">
        <f>(T32-T23)/(T41-S41)*IS!U32</f>
        <v>7041.4347838544136</v>
      </c>
      <c r="U38" s="163">
        <f>(U32-U23)/(U41-T41)*IS!V32</f>
        <v>7061.2812004388288</v>
      </c>
      <c r="V38" s="163">
        <f>(V32-V23)/(V41-U41)*IS!W32</f>
        <v>2360.6405773999709</v>
      </c>
      <c r="W38" s="163">
        <f>(W32-W23)/(W41-V41)*IS!X32</f>
        <v>-1067.0038059630874</v>
      </c>
      <c r="X38" s="163">
        <f>(X32-X23)/(X41-W41)*IS!Y32</f>
        <v>-1099.0139201419793</v>
      </c>
      <c r="Y38" s="163">
        <f>(Y32-Y23)/(Y41-X41)*IS!Z32</f>
        <v>-1128.8914843644179</v>
      </c>
      <c r="Z38" s="163">
        <f>(Z32-Z23)/(Z41-Y41)*IS!AA32</f>
        <v>-1165.943867878625</v>
      </c>
      <c r="AA38" s="163">
        <f>(AA32-AA23)/(AA41-Z41)*IS!AB32</f>
        <v>-1200.9221839149843</v>
      </c>
      <c r="AB38" s="163">
        <f>(AB32-AB23)/(AB41-AA41)*IS!AC32</f>
        <v>-1236.9498494324348</v>
      </c>
      <c r="AC38" s="163">
        <f>(AC32-AC23)/(AC41-AB41)*IS!AD32</f>
        <v>-1270.5773111861308</v>
      </c>
      <c r="AD38" s="163">
        <f>(AD32-AD23)/(AD41-AC41)*IS!AE32</f>
        <v>-1312.2800952628697</v>
      </c>
      <c r="AE38" s="163">
        <f>(AE32-AE23)/(AE41-AD41)*IS!AF32</f>
        <v>-1351.6484981207561</v>
      </c>
      <c r="AF38" s="163">
        <f>(AF32-AF23)/(AG23-AE41)*IS!AG32</f>
        <v>-688.45990091924966</v>
      </c>
      <c r="AG38"/>
    </row>
    <row r="39" spans="1:39">
      <c r="A39" s="412" t="s">
        <v>0</v>
      </c>
      <c r="B39" s="413">
        <f t="shared" ref="B39:AF39" si="12">IF(B37&gt;0.1,B38/(B36+B35)," ")</f>
        <v>1.3000000000000016</v>
      </c>
      <c r="C39" s="413">
        <f t="shared" si="12"/>
        <v>1.3025247024106306</v>
      </c>
      <c r="D39" s="413">
        <f t="shared" si="12"/>
        <v>1.3023579716607536</v>
      </c>
      <c r="E39" s="413">
        <f t="shared" si="12"/>
        <v>1.3378952178299872</v>
      </c>
      <c r="F39" s="413">
        <f t="shared" si="12"/>
        <v>1.328212817670358</v>
      </c>
      <c r="G39" s="413">
        <f t="shared" si="12"/>
        <v>1.3070101506319736</v>
      </c>
      <c r="H39" s="413">
        <f t="shared" si="12"/>
        <v>1.3068902188402205</v>
      </c>
      <c r="I39" s="413">
        <f t="shared" si="12"/>
        <v>1.3023058708444837</v>
      </c>
      <c r="J39" s="413">
        <f t="shared" si="12"/>
        <v>1.3140347464280537</v>
      </c>
      <c r="K39" s="413">
        <f t="shared" si="12"/>
        <v>1.306635303169563</v>
      </c>
      <c r="L39" s="413">
        <f t="shared" si="12"/>
        <v>1.3131570744506607</v>
      </c>
      <c r="M39" s="413">
        <f t="shared" si="12"/>
        <v>1.3020411912931444</v>
      </c>
      <c r="N39" s="413">
        <f t="shared" si="12"/>
        <v>1.3140300500936761</v>
      </c>
      <c r="O39" s="413">
        <f t="shared" si="12"/>
        <v>1.3063587075348519</v>
      </c>
      <c r="P39" s="413">
        <f t="shared" si="12"/>
        <v>1.3062121213934912</v>
      </c>
      <c r="Q39" s="413">
        <f t="shared" si="12"/>
        <v>1.3016023030978923</v>
      </c>
      <c r="R39" s="413" t="str">
        <f t="shared" si="12"/>
        <v xml:space="preserve"> </v>
      </c>
      <c r="S39" s="413" t="str">
        <f t="shared" si="12"/>
        <v xml:space="preserve"> </v>
      </c>
      <c r="T39" s="413" t="str">
        <f t="shared" si="12"/>
        <v xml:space="preserve"> </v>
      </c>
      <c r="U39" s="413" t="str">
        <f t="shared" si="12"/>
        <v xml:space="preserve"> </v>
      </c>
      <c r="V39" s="413" t="str">
        <f t="shared" si="12"/>
        <v xml:space="preserve"> </v>
      </c>
      <c r="W39" s="413">
        <f t="shared" si="12"/>
        <v>6.5472723564748723</v>
      </c>
      <c r="X39" s="413">
        <f t="shared" si="12"/>
        <v>1.3130968329671506</v>
      </c>
      <c r="Y39" s="413">
        <f t="shared" si="12"/>
        <v>1.3086112050975827</v>
      </c>
      <c r="Z39" s="413">
        <f t="shared" si="12"/>
        <v>1.3139721826314035</v>
      </c>
      <c r="AA39" s="413">
        <f t="shared" si="12"/>
        <v>1.3130968329671526</v>
      </c>
      <c r="AB39" s="413">
        <f t="shared" si="12"/>
        <v>1.3130968329671533</v>
      </c>
      <c r="AC39" s="413">
        <f t="shared" si="12"/>
        <v>1.308611205097584</v>
      </c>
      <c r="AD39" s="413">
        <f t="shared" si="12"/>
        <v>1.3139721826314035</v>
      </c>
      <c r="AE39" s="413">
        <f t="shared" si="12"/>
        <v>1.3130968329671509</v>
      </c>
      <c r="AF39" s="413">
        <f t="shared" si="12"/>
        <v>0.51900189288852738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56</v>
      </c>
      <c r="B42" s="48">
        <f>B37</f>
        <v>76353.057926634676</v>
      </c>
      <c r="C42" s="48">
        <f>C37</f>
        <v>75454.569487639412</v>
      </c>
      <c r="D42" s="48">
        <f t="shared" ref="D42:AF42" si="14">D37</f>
        <v>74506.075026603401</v>
      </c>
      <c r="E42" s="48">
        <f t="shared" si="14"/>
        <v>72740.944696639504</v>
      </c>
      <c r="F42" s="48">
        <f t="shared" si="14"/>
        <v>70085.792489185842</v>
      </c>
      <c r="G42" s="48">
        <f t="shared" si="14"/>
        <v>66961.665864497481</v>
      </c>
      <c r="H42" s="48">
        <f t="shared" si="14"/>
        <v>63470.454120929782</v>
      </c>
      <c r="I42" s="48">
        <f t="shared" si="14"/>
        <v>59580.833774493105</v>
      </c>
      <c r="J42" s="48">
        <f t="shared" si="14"/>
        <v>55121.766718046922</v>
      </c>
      <c r="K42" s="48">
        <f t="shared" si="14"/>
        <v>50132.479690748136</v>
      </c>
      <c r="L42" s="48">
        <f t="shared" si="14"/>
        <v>44464.979996935072</v>
      </c>
      <c r="M42" s="48">
        <f t="shared" si="14"/>
        <v>38159.115298608194</v>
      </c>
      <c r="N42" s="48">
        <f t="shared" si="14"/>
        <v>31060.469595767656</v>
      </c>
      <c r="O42" s="48">
        <f t="shared" si="14"/>
        <v>23196.102767257071</v>
      </c>
      <c r="P42" s="48">
        <f t="shared" si="14"/>
        <v>14561.208723878786</v>
      </c>
      <c r="Q42" s="48">
        <f t="shared" si="14"/>
        <v>5087.3581409258231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332.88358803241397</v>
      </c>
      <c r="X42" s="48">
        <f t="shared" si="14"/>
        <v>2071.3750501903905</v>
      </c>
      <c r="Y42" s="48">
        <f t="shared" si="14"/>
        <v>4013.2991464601814</v>
      </c>
      <c r="Z42" s="48">
        <f t="shared" si="14"/>
        <v>6173.937428111225</v>
      </c>
      <c r="AA42" s="48">
        <f t="shared" si="14"/>
        <v>8577.9944149582079</v>
      </c>
      <c r="AB42" s="48">
        <f t="shared" si="14"/>
        <v>11246.782162466245</v>
      </c>
      <c r="AC42" s="48">
        <f t="shared" si="14"/>
        <v>14206.888150781753</v>
      </c>
      <c r="AD42" s="48">
        <f t="shared" si="14"/>
        <v>17479.26302151757</v>
      </c>
      <c r="AE42" s="48">
        <f t="shared" si="14"/>
        <v>21099.158382717105</v>
      </c>
      <c r="AF42" s="48">
        <f t="shared" si="14"/>
        <v>24809.350865485427</v>
      </c>
    </row>
    <row r="43" spans="1:39">
      <c r="A43" s="48" t="s">
        <v>333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58</v>
      </c>
      <c r="B44" s="392">
        <f>B42*(B41-B32)/365.25*$E$64</f>
        <v>1616.9497688227768</v>
      </c>
      <c r="C44" s="392">
        <f t="shared" ref="C44:AF44" si="15">C42*(C41-C32)/(C41-B41)*$E$64</f>
        <v>1599.0166985942217</v>
      </c>
      <c r="D44" s="392">
        <f t="shared" si="15"/>
        <v>1578.9164118651436</v>
      </c>
      <c r="E44" s="392">
        <f t="shared" si="15"/>
        <v>1537.2983804057558</v>
      </c>
      <c r="F44" s="392">
        <f t="shared" si="15"/>
        <v>1485.2427531612398</v>
      </c>
      <c r="G44" s="392">
        <f t="shared" si="15"/>
        <v>1419.0369464709263</v>
      </c>
      <c r="H44" s="392">
        <f t="shared" si="15"/>
        <v>1345.0519523983339</v>
      </c>
      <c r="I44" s="392">
        <f t="shared" si="15"/>
        <v>1259.1741782669512</v>
      </c>
      <c r="J44" s="392">
        <f t="shared" si="15"/>
        <v>1168.1283988057342</v>
      </c>
      <c r="K44" s="392">
        <f t="shared" si="15"/>
        <v>1062.3965216655804</v>
      </c>
      <c r="L44" s="392">
        <f t="shared" si="15"/>
        <v>942.29211034600769</v>
      </c>
      <c r="M44" s="392">
        <f t="shared" si="15"/>
        <v>806.45015528615954</v>
      </c>
      <c r="N44" s="392">
        <f t="shared" si="15"/>
        <v>658.22666389935023</v>
      </c>
      <c r="O44" s="392">
        <f t="shared" si="15"/>
        <v>491.56672576639301</v>
      </c>
      <c r="P44" s="392">
        <f t="shared" si="15"/>
        <v>308.57794377863678</v>
      </c>
      <c r="Q44" s="392">
        <f t="shared" si="15"/>
        <v>107.51561535535859</v>
      </c>
      <c r="R44" s="392">
        <f t="shared" si="15"/>
        <v>0</v>
      </c>
      <c r="S44" s="392">
        <f t="shared" si="15"/>
        <v>0</v>
      </c>
      <c r="T44" s="392">
        <f t="shared" si="15"/>
        <v>0</v>
      </c>
      <c r="U44" s="392">
        <f t="shared" si="15"/>
        <v>0</v>
      </c>
      <c r="V44" s="392">
        <f t="shared" si="15"/>
        <v>0</v>
      </c>
      <c r="W44" s="392">
        <f t="shared" si="15"/>
        <v>7.0543960367964988</v>
      </c>
      <c r="X44" s="392">
        <f t="shared" si="15"/>
        <v>43.896126063623768</v>
      </c>
      <c r="Y44" s="392">
        <f t="shared" si="15"/>
        <v>84.816581688168043</v>
      </c>
      <c r="Z44" s="392">
        <f t="shared" si="15"/>
        <v>130.83672878476801</v>
      </c>
      <c r="AA44" s="392">
        <f t="shared" si="15"/>
        <v>181.78297753342943</v>
      </c>
      <c r="AB44" s="392">
        <f t="shared" si="15"/>
        <v>238.33934253883947</v>
      </c>
      <c r="AC44" s="392">
        <f t="shared" si="15"/>
        <v>300.24666624671278</v>
      </c>
      <c r="AD44" s="392">
        <f t="shared" si="15"/>
        <v>370.41671088065323</v>
      </c>
      <c r="AE44" s="392">
        <f t="shared" si="15"/>
        <v>447.12873997347077</v>
      </c>
      <c r="AF44" s="392">
        <f t="shared" si="15"/>
        <v>1409.7148957538843</v>
      </c>
    </row>
    <row r="45" spans="1:39">
      <c r="A45" s="48" t="s">
        <v>59</v>
      </c>
      <c r="B45" s="48">
        <f>B42+B43</f>
        <v>76353.057926634676</v>
      </c>
      <c r="C45" s="48">
        <f t="shared" ref="C45:AF45" si="16">C42+C43</f>
        <v>75454.569487639412</v>
      </c>
      <c r="D45" s="48">
        <f t="shared" si="16"/>
        <v>74506.075026603401</v>
      </c>
      <c r="E45" s="48">
        <f t="shared" si="16"/>
        <v>72740.944696639504</v>
      </c>
      <c r="F45" s="48">
        <f t="shared" si="16"/>
        <v>70085.792489185842</v>
      </c>
      <c r="G45" s="48">
        <f t="shared" si="16"/>
        <v>66961.665864497481</v>
      </c>
      <c r="H45" s="48">
        <f t="shared" si="16"/>
        <v>63470.454120929782</v>
      </c>
      <c r="I45" s="48">
        <f t="shared" si="16"/>
        <v>59580.833774493105</v>
      </c>
      <c r="J45" s="48">
        <f t="shared" si="16"/>
        <v>55121.766718046922</v>
      </c>
      <c r="K45" s="48">
        <f t="shared" si="16"/>
        <v>50132.479690748136</v>
      </c>
      <c r="L45" s="48">
        <f t="shared" si="16"/>
        <v>44464.979996935072</v>
      </c>
      <c r="M45" s="48">
        <f t="shared" si="16"/>
        <v>38159.115298608194</v>
      </c>
      <c r="N45" s="48">
        <f t="shared" si="16"/>
        <v>31060.469595767656</v>
      </c>
      <c r="O45" s="48">
        <f t="shared" si="16"/>
        <v>23196.102767257071</v>
      </c>
      <c r="P45" s="48">
        <f t="shared" si="16"/>
        <v>14561.208723878786</v>
      </c>
      <c r="Q45" s="48">
        <f t="shared" si="16"/>
        <v>5087.3581409258231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332.88358803241397</v>
      </c>
      <c r="X45" s="48">
        <f t="shared" si="16"/>
        <v>2071.3750501903905</v>
      </c>
      <c r="Y45" s="48">
        <f t="shared" si="16"/>
        <v>4013.2991464601814</v>
      </c>
      <c r="Z45" s="48">
        <f t="shared" si="16"/>
        <v>6173.937428111225</v>
      </c>
      <c r="AA45" s="48">
        <f t="shared" si="16"/>
        <v>8577.9944149582079</v>
      </c>
      <c r="AB45" s="48">
        <f t="shared" si="16"/>
        <v>11246.782162466245</v>
      </c>
      <c r="AC45" s="48">
        <f t="shared" si="16"/>
        <v>14206.888150781753</v>
      </c>
      <c r="AD45" s="48">
        <f t="shared" si="16"/>
        <v>17479.26302151757</v>
      </c>
      <c r="AE45" s="48">
        <f t="shared" si="16"/>
        <v>21099.158382717105</v>
      </c>
      <c r="AF45" s="48">
        <f t="shared" si="16"/>
        <v>24809.350865485427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393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>
        <f>SUM(B35,B26)</f>
        <v>292.62460161116906</v>
      </c>
      <c r="C48" s="163">
        <f t="shared" ref="C48:AF48" si="17">SUM(C35,C26)</f>
        <v>898.488438995264</v>
      </c>
      <c r="D48" s="163">
        <f t="shared" si="17"/>
        <v>948.49446103601076</v>
      </c>
      <c r="E48" s="163">
        <f t="shared" si="17"/>
        <v>1765.1303299638967</v>
      </c>
      <c r="F48" s="163">
        <f t="shared" si="17"/>
        <v>2655.1522074536624</v>
      </c>
      <c r="G48" s="163">
        <f t="shared" si="17"/>
        <v>3124.1266246883606</v>
      </c>
      <c r="H48" s="163">
        <f t="shared" si="17"/>
        <v>3491.2117435676992</v>
      </c>
      <c r="I48" s="163">
        <f t="shared" si="17"/>
        <v>3889.6203464366772</v>
      </c>
      <c r="J48" s="163">
        <f t="shared" si="17"/>
        <v>4459.0670564461834</v>
      </c>
      <c r="K48" s="163">
        <f t="shared" si="17"/>
        <v>4989.2870272987857</v>
      </c>
      <c r="L48" s="163">
        <f t="shared" si="17"/>
        <v>5667.4996938130644</v>
      </c>
      <c r="M48" s="163">
        <f t="shared" si="17"/>
        <v>6305.8646983268773</v>
      </c>
      <c r="N48" s="163">
        <f t="shared" si="17"/>
        <v>7098.6457028405384</v>
      </c>
      <c r="O48" s="163">
        <f t="shared" si="17"/>
        <v>7864.366828510585</v>
      </c>
      <c r="P48" s="163">
        <f t="shared" si="17"/>
        <v>8634.8940433782846</v>
      </c>
      <c r="Q48" s="163">
        <f t="shared" si="17"/>
        <v>9473.850582952964</v>
      </c>
      <c r="R48" s="163">
        <f t="shared" si="17"/>
        <v>5087.3581409258231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-332.88358803241397</v>
      </c>
      <c r="X48" s="163">
        <f t="shared" si="17"/>
        <v>-1738.4914621579765</v>
      </c>
      <c r="Y48" s="163">
        <f t="shared" si="17"/>
        <v>-1941.9240962697909</v>
      </c>
      <c r="Z48" s="163">
        <f t="shared" si="17"/>
        <v>-2160.6382816510436</v>
      </c>
      <c r="AA48" s="163">
        <f t="shared" si="17"/>
        <v>-2404.0569868469829</v>
      </c>
      <c r="AB48" s="163">
        <f t="shared" si="17"/>
        <v>-2668.7877475080368</v>
      </c>
      <c r="AC48" s="163">
        <f t="shared" si="17"/>
        <v>-2960.1059883155085</v>
      </c>
      <c r="AD48" s="163">
        <f t="shared" si="17"/>
        <v>-3272.3748707358172</v>
      </c>
      <c r="AE48" s="163">
        <f t="shared" si="17"/>
        <v>-3619.8953611995348</v>
      </c>
      <c r="AF48" s="163">
        <f t="shared" si="17"/>
        <v>-3710.1924827683215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137</v>
      </c>
      <c r="B49" s="392">
        <f>B36</f>
        <v>2176.0868660312376</v>
      </c>
      <c r="C49" s="392">
        <f t="shared" ref="C49:AF49" si="18">C27+C36+B44</f>
        <v>6469.762593948034</v>
      </c>
      <c r="D49" s="392">
        <f t="shared" si="18"/>
        <v>6393.4827401776429</v>
      </c>
      <c r="E49" s="392">
        <f t="shared" si="18"/>
        <v>6300.6915830135758</v>
      </c>
      <c r="F49" s="392">
        <f t="shared" si="18"/>
        <v>6122.9310549468546</v>
      </c>
      <c r="G49" s="392">
        <f t="shared" si="18"/>
        <v>5891.7711482166251</v>
      </c>
      <c r="H49" s="392">
        <f t="shared" si="18"/>
        <v>5618.5768280412512</v>
      </c>
      <c r="I49" s="392">
        <f t="shared" si="18"/>
        <v>5317.8055018206287</v>
      </c>
      <c r="J49" s="392">
        <f t="shared" si="18"/>
        <v>4967.5271974529151</v>
      </c>
      <c r="K49" s="392">
        <f t="shared" si="18"/>
        <v>4580.9876053662992</v>
      </c>
      <c r="L49" s="392">
        <f t="shared" si="18"/>
        <v>4142.7724562932208</v>
      </c>
      <c r="M49" s="392">
        <f t="shared" si="18"/>
        <v>3650.9400565902774</v>
      </c>
      <c r="N49" s="392">
        <f t="shared" si="18"/>
        <v>3092.9801755590752</v>
      </c>
      <c r="O49" s="392">
        <f t="shared" si="18"/>
        <v>2475.9095914154136</v>
      </c>
      <c r="P49" s="392">
        <f t="shared" si="18"/>
        <v>1791.400609667613</v>
      </c>
      <c r="Q49" s="392">
        <f t="shared" si="18"/>
        <v>1041.4330880526218</v>
      </c>
      <c r="R49" s="392">
        <f t="shared" si="18"/>
        <v>215.32579404045788</v>
      </c>
      <c r="S49" s="392">
        <f t="shared" si="18"/>
        <v>0</v>
      </c>
      <c r="T49" s="392">
        <f t="shared" si="18"/>
        <v>0</v>
      </c>
      <c r="U49" s="392">
        <f t="shared" si="18"/>
        <v>0</v>
      </c>
      <c r="V49" s="392">
        <f t="shared" si="18"/>
        <v>0</v>
      </c>
      <c r="W49" s="392">
        <f t="shared" si="18"/>
        <v>6.9451673073672628</v>
      </c>
      <c r="X49" s="392">
        <f t="shared" si="18"/>
        <v>64.564768330556561</v>
      </c>
      <c r="Y49" s="392">
        <f t="shared" si="18"/>
        <v>216.59654295690731</v>
      </c>
      <c r="Z49" s="392">
        <f t="shared" si="18"/>
        <v>385.95251084017673</v>
      </c>
      <c r="AA49" s="392">
        <f t="shared" si="18"/>
        <v>574.91209248103041</v>
      </c>
      <c r="AB49" s="392">
        <f t="shared" si="18"/>
        <v>784.7685063111029</v>
      </c>
      <c r="AC49" s="392">
        <f t="shared" si="18"/>
        <v>1018.2346269261122</v>
      </c>
      <c r="AD49" s="392">
        <f t="shared" si="18"/>
        <v>1274.9504007065448</v>
      </c>
      <c r="AE49" s="392">
        <f t="shared" si="18"/>
        <v>1561.1766678241288</v>
      </c>
      <c r="AF49" s="392">
        <f t="shared" si="18"/>
        <v>1057.1774924468134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2468.7114676424067</v>
      </c>
      <c r="C50" s="49">
        <f t="shared" si="19"/>
        <v>7368.251032943298</v>
      </c>
      <c r="D50" s="49">
        <f t="shared" si="19"/>
        <v>7341.9772012136536</v>
      </c>
      <c r="E50" s="49">
        <f t="shared" si="19"/>
        <v>8065.8219129774725</v>
      </c>
      <c r="F50" s="49">
        <f t="shared" si="19"/>
        <v>8778.0832624005161</v>
      </c>
      <c r="G50" s="49">
        <f t="shared" si="19"/>
        <v>9015.8977729049857</v>
      </c>
      <c r="H50" s="49">
        <f t="shared" si="19"/>
        <v>9109.7885716089513</v>
      </c>
      <c r="I50" s="49">
        <f t="shared" si="19"/>
        <v>9207.4258482573059</v>
      </c>
      <c r="J50" s="49">
        <f t="shared" si="19"/>
        <v>9426.5942538990985</v>
      </c>
      <c r="K50" s="49">
        <f t="shared" si="19"/>
        <v>9570.2746326650849</v>
      </c>
      <c r="L50" s="49">
        <f t="shared" si="19"/>
        <v>9810.2721501062842</v>
      </c>
      <c r="M50" s="49">
        <f t="shared" si="19"/>
        <v>9956.8047549171552</v>
      </c>
      <c r="N50" s="49">
        <f t="shared" si="19"/>
        <v>10191.625878399613</v>
      </c>
      <c r="O50" s="49">
        <f t="shared" si="19"/>
        <v>10340.276419925998</v>
      </c>
      <c r="P50" s="49">
        <f t="shared" si="19"/>
        <v>10426.294653045898</v>
      </c>
      <c r="Q50" s="49">
        <f t="shared" si="19"/>
        <v>10515.283671005585</v>
      </c>
      <c r="R50" s="49">
        <f t="shared" si="19"/>
        <v>5302.6839349662814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-325.93842072504668</v>
      </c>
      <c r="X50" s="49">
        <f t="shared" si="19"/>
        <v>-1673.92669382742</v>
      </c>
      <c r="Y50" s="49">
        <f t="shared" si="19"/>
        <v>-1725.3275533128835</v>
      </c>
      <c r="Z50" s="49">
        <f t="shared" si="19"/>
        <v>-1774.6857708108669</v>
      </c>
      <c r="AA50" s="49">
        <f t="shared" si="19"/>
        <v>-1829.1448943659525</v>
      </c>
      <c r="AB50" s="49">
        <f t="shared" si="19"/>
        <v>-1884.0192411969338</v>
      </c>
      <c r="AC50" s="49">
        <f t="shared" si="19"/>
        <v>-1941.8713613893963</v>
      </c>
      <c r="AD50" s="49">
        <f t="shared" si="19"/>
        <v>-1997.4244700292725</v>
      </c>
      <c r="AE50" s="49">
        <f t="shared" si="19"/>
        <v>-2058.718693375406</v>
      </c>
      <c r="AF50" s="49">
        <f t="shared" si="19"/>
        <v>-2653.0149903215079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408</v>
      </c>
      <c r="B52" s="410">
        <f>IF(B33&gt;0.1,(B38+B29)/B50," ")</f>
        <v>1.3000000000000016</v>
      </c>
      <c r="C52" s="410">
        <f t="shared" ref="C52:AF52" si="20">IF(C33&gt;0.1,(C38+C29)/C50," ")</f>
        <v>1.2999999999999998</v>
      </c>
      <c r="D52" s="410">
        <f t="shared" si="20"/>
        <v>1.3000000000000018</v>
      </c>
      <c r="E52" s="410">
        <f t="shared" si="20"/>
        <v>1.3000000000000009</v>
      </c>
      <c r="F52" s="410">
        <f t="shared" si="20"/>
        <v>1.3000000000000027</v>
      </c>
      <c r="G52" s="410">
        <f t="shared" si="20"/>
        <v>1.3000000000000012</v>
      </c>
      <c r="H52" s="410">
        <f t="shared" si="20"/>
        <v>1.2999999999999976</v>
      </c>
      <c r="I52" s="410">
        <f t="shared" si="20"/>
        <v>1.2999999999999998</v>
      </c>
      <c r="J52" s="410">
        <f t="shared" si="20"/>
        <v>1.2999999999999989</v>
      </c>
      <c r="K52" s="410">
        <f t="shared" si="20"/>
        <v>1.2999999999999985</v>
      </c>
      <c r="L52" s="410">
        <f t="shared" si="20"/>
        <v>1.2999999999999992</v>
      </c>
      <c r="M52" s="410">
        <f t="shared" si="20"/>
        <v>1.3000000000000007</v>
      </c>
      <c r="N52" s="410">
        <f t="shared" si="20"/>
        <v>1.2999999999999998</v>
      </c>
      <c r="O52" s="410">
        <f t="shared" si="20"/>
        <v>1.3</v>
      </c>
      <c r="P52" s="472">
        <f t="shared" si="20"/>
        <v>1.2999999999999994</v>
      </c>
      <c r="Q52" s="410">
        <f t="shared" si="20"/>
        <v>1.2999999999999998</v>
      </c>
      <c r="R52" s="410" t="str">
        <f t="shared" si="20"/>
        <v xml:space="preserve"> </v>
      </c>
      <c r="S52" s="410" t="str">
        <f t="shared" si="20"/>
        <v xml:space="preserve"> </v>
      </c>
      <c r="T52" s="410" t="str">
        <f t="shared" si="20"/>
        <v xml:space="preserve"> </v>
      </c>
      <c r="U52" s="410" t="str">
        <f t="shared" si="20"/>
        <v xml:space="preserve"> </v>
      </c>
      <c r="V52" s="410" t="str">
        <f t="shared" si="20"/>
        <v xml:space="preserve"> </v>
      </c>
      <c r="W52" s="410">
        <f t="shared" si="20"/>
        <v>1.3000000000000003</v>
      </c>
      <c r="X52" s="410">
        <f t="shared" si="20"/>
        <v>1.3</v>
      </c>
      <c r="Y52" s="410">
        <f t="shared" si="20"/>
        <v>1.3000000000000003</v>
      </c>
      <c r="Z52" s="410">
        <f t="shared" si="20"/>
        <v>1.3</v>
      </c>
      <c r="AA52" s="410">
        <f t="shared" si="20"/>
        <v>1.3000000000000014</v>
      </c>
      <c r="AB52" s="410">
        <f t="shared" si="20"/>
        <v>1.3000000000000005</v>
      </c>
      <c r="AC52" s="410">
        <f t="shared" si="20"/>
        <v>1.3000000000000005</v>
      </c>
      <c r="AD52" s="410">
        <f t="shared" si="20"/>
        <v>1.3000000000000007</v>
      </c>
      <c r="AE52" s="410">
        <f t="shared" si="20"/>
        <v>1.2999999999999978</v>
      </c>
      <c r="AF52" s="472">
        <f t="shared" si="20"/>
        <v>1.3000000000000007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392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138</v>
      </c>
      <c r="B56" s="163">
        <f t="shared" ref="B56:AF56" si="21">B35+B26</f>
        <v>292.62460161116906</v>
      </c>
      <c r="C56" s="163">
        <f t="shared" si="21"/>
        <v>898.488438995264</v>
      </c>
      <c r="D56" s="163">
        <f t="shared" si="21"/>
        <v>948.49446103601076</v>
      </c>
      <c r="E56" s="163">
        <f t="shared" si="21"/>
        <v>1765.1303299638967</v>
      </c>
      <c r="F56" s="163">
        <f t="shared" si="21"/>
        <v>2655.1522074536624</v>
      </c>
      <c r="G56" s="163">
        <f t="shared" si="21"/>
        <v>3124.1266246883606</v>
      </c>
      <c r="H56" s="163">
        <f t="shared" si="21"/>
        <v>3491.2117435676992</v>
      </c>
      <c r="I56" s="163">
        <f t="shared" si="21"/>
        <v>3889.6203464366772</v>
      </c>
      <c r="J56" s="163">
        <f t="shared" si="21"/>
        <v>4459.0670564461834</v>
      </c>
      <c r="K56" s="163">
        <f t="shared" si="21"/>
        <v>4989.2870272987857</v>
      </c>
      <c r="L56" s="163">
        <f t="shared" si="21"/>
        <v>5667.4996938130644</v>
      </c>
      <c r="M56" s="163">
        <f t="shared" si="21"/>
        <v>6305.8646983268773</v>
      </c>
      <c r="N56" s="163">
        <f t="shared" si="21"/>
        <v>7098.6457028405384</v>
      </c>
      <c r="O56" s="163">
        <f t="shared" si="21"/>
        <v>7864.366828510585</v>
      </c>
      <c r="P56" s="163">
        <f t="shared" si="21"/>
        <v>8634.8940433782846</v>
      </c>
      <c r="Q56" s="163">
        <f t="shared" si="21"/>
        <v>9473.850582952964</v>
      </c>
      <c r="R56" s="163">
        <f t="shared" si="21"/>
        <v>5087.3581409258231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-332.88358803241397</v>
      </c>
      <c r="X56" s="163">
        <f t="shared" si="21"/>
        <v>-1738.4914621579765</v>
      </c>
      <c r="Y56" s="163">
        <f t="shared" si="21"/>
        <v>-1941.9240962697909</v>
      </c>
      <c r="Z56" s="163">
        <f t="shared" si="21"/>
        <v>-2160.6382816510436</v>
      </c>
      <c r="AA56" s="163">
        <f t="shared" si="21"/>
        <v>-2404.0569868469829</v>
      </c>
      <c r="AB56" s="163">
        <f t="shared" si="21"/>
        <v>-2668.7877475080368</v>
      </c>
      <c r="AC56" s="163">
        <f t="shared" si="21"/>
        <v>-2960.1059883155085</v>
      </c>
      <c r="AD56" s="163">
        <f t="shared" si="21"/>
        <v>-3272.3748707358172</v>
      </c>
      <c r="AE56" s="163">
        <f t="shared" si="21"/>
        <v>-3619.8953611995348</v>
      </c>
      <c r="AF56" s="163">
        <f t="shared" si="21"/>
        <v>-3710.1924827683215</v>
      </c>
    </row>
    <row r="57" spans="1:39">
      <c r="A57" s="403" t="s">
        <v>137</v>
      </c>
      <c r="B57" s="392">
        <f t="shared" ref="B57:AF57" si="22">B36+B44+B27</f>
        <v>3793.0366348540147</v>
      </c>
      <c r="C57" s="392">
        <f t="shared" si="22"/>
        <v>6451.8295237194789</v>
      </c>
      <c r="D57" s="392">
        <f t="shared" si="22"/>
        <v>6373.3824534485648</v>
      </c>
      <c r="E57" s="392">
        <f t="shared" si="22"/>
        <v>6259.0735515541892</v>
      </c>
      <c r="F57" s="392">
        <f t="shared" si="22"/>
        <v>6070.8754277023381</v>
      </c>
      <c r="G57" s="392">
        <f t="shared" si="22"/>
        <v>5825.5653415263114</v>
      </c>
      <c r="H57" s="392">
        <f t="shared" si="22"/>
        <v>5544.5918339686586</v>
      </c>
      <c r="I57" s="392">
        <f t="shared" si="22"/>
        <v>5231.9277276892462</v>
      </c>
      <c r="J57" s="392">
        <f t="shared" si="22"/>
        <v>4876.4814179916984</v>
      </c>
      <c r="K57" s="392">
        <f t="shared" si="22"/>
        <v>4475.2557282261459</v>
      </c>
      <c r="L57" s="392">
        <f t="shared" si="22"/>
        <v>4022.6680449736486</v>
      </c>
      <c r="M57" s="392">
        <f t="shared" si="22"/>
        <v>3515.0981015304292</v>
      </c>
      <c r="N57" s="392">
        <f t="shared" si="22"/>
        <v>2944.7566841722664</v>
      </c>
      <c r="O57" s="392">
        <f t="shared" si="22"/>
        <v>2309.2496532824562</v>
      </c>
      <c r="P57" s="392">
        <f t="shared" si="22"/>
        <v>1608.4118276798567</v>
      </c>
      <c r="Q57" s="392">
        <f t="shared" si="22"/>
        <v>840.37075962934364</v>
      </c>
      <c r="R57" s="392">
        <f t="shared" si="22"/>
        <v>107.8101786850993</v>
      </c>
      <c r="S57" s="392">
        <f t="shared" si="22"/>
        <v>0</v>
      </c>
      <c r="T57" s="392">
        <f t="shared" si="22"/>
        <v>0</v>
      </c>
      <c r="U57" s="392">
        <f t="shared" si="22"/>
        <v>0</v>
      </c>
      <c r="V57" s="392">
        <f t="shared" si="22"/>
        <v>0</v>
      </c>
      <c r="W57" s="392">
        <f t="shared" si="22"/>
        <v>13.999563344163761</v>
      </c>
      <c r="X57" s="392">
        <f t="shared" si="22"/>
        <v>101.40649835738384</v>
      </c>
      <c r="Y57" s="392">
        <f t="shared" si="22"/>
        <v>257.51699858145162</v>
      </c>
      <c r="Z57" s="392">
        <f t="shared" si="22"/>
        <v>431.97265793677661</v>
      </c>
      <c r="AA57" s="392">
        <f t="shared" si="22"/>
        <v>625.85834122969186</v>
      </c>
      <c r="AB57" s="392">
        <f t="shared" si="22"/>
        <v>841.32487131651294</v>
      </c>
      <c r="AC57" s="392">
        <f t="shared" si="22"/>
        <v>1080.1419506339855</v>
      </c>
      <c r="AD57" s="392">
        <f t="shared" si="22"/>
        <v>1345.1204453404853</v>
      </c>
      <c r="AE57" s="392">
        <f t="shared" si="22"/>
        <v>1637.8886969169464</v>
      </c>
      <c r="AF57" s="392">
        <f t="shared" si="22"/>
        <v>2019.7636482272271</v>
      </c>
    </row>
    <row r="58" spans="1:39">
      <c r="A58" s="49" t="s">
        <v>60</v>
      </c>
      <c r="B58" s="49">
        <f>SUM(B56:B57)</f>
        <v>4085.6612364651837</v>
      </c>
      <c r="C58" s="49">
        <f t="shared" ref="C58:AF58" si="23">SUM(C56:C57)</f>
        <v>7350.3179627147429</v>
      </c>
      <c r="D58" s="49">
        <f t="shared" si="23"/>
        <v>7321.8769144845755</v>
      </c>
      <c r="E58" s="49">
        <f t="shared" si="23"/>
        <v>8024.2038815180858</v>
      </c>
      <c r="F58" s="49">
        <f t="shared" si="23"/>
        <v>8726.0276351560005</v>
      </c>
      <c r="G58" s="49">
        <f t="shared" si="23"/>
        <v>8949.691966214672</v>
      </c>
      <c r="H58" s="49">
        <f t="shared" si="23"/>
        <v>9035.8035775363569</v>
      </c>
      <c r="I58" s="49">
        <f t="shared" si="23"/>
        <v>9121.5480741259234</v>
      </c>
      <c r="J58" s="49">
        <f t="shared" si="23"/>
        <v>9335.5484744378809</v>
      </c>
      <c r="K58" s="49">
        <f t="shared" si="23"/>
        <v>9464.5427555249316</v>
      </c>
      <c r="L58" s="49">
        <f t="shared" si="23"/>
        <v>9690.167738786713</v>
      </c>
      <c r="M58" s="49">
        <f t="shared" si="23"/>
        <v>9820.9627998573069</v>
      </c>
      <c r="N58" s="49">
        <f t="shared" si="23"/>
        <v>10043.402387012804</v>
      </c>
      <c r="O58" s="49">
        <f t="shared" si="23"/>
        <v>10173.61648179304</v>
      </c>
      <c r="P58" s="49">
        <f t="shared" si="23"/>
        <v>10243.305871058141</v>
      </c>
      <c r="Q58" s="49">
        <f t="shared" si="23"/>
        <v>10314.221342582308</v>
      </c>
      <c r="R58" s="49">
        <f t="shared" si="23"/>
        <v>5195.1683196109225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-318.88402468825018</v>
      </c>
      <c r="X58" s="49">
        <f t="shared" si="23"/>
        <v>-1637.0849638005925</v>
      </c>
      <c r="Y58" s="49">
        <f t="shared" si="23"/>
        <v>-1684.4070976883393</v>
      </c>
      <c r="Z58" s="49">
        <f t="shared" si="23"/>
        <v>-1728.665623714267</v>
      </c>
      <c r="AA58" s="49">
        <f t="shared" si="23"/>
        <v>-1778.198645617291</v>
      </c>
      <c r="AB58" s="49">
        <f t="shared" si="23"/>
        <v>-1827.4628761915237</v>
      </c>
      <c r="AC58" s="49">
        <f t="shared" si="23"/>
        <v>-1879.964037681523</v>
      </c>
      <c r="AD58" s="49">
        <f t="shared" si="23"/>
        <v>-1927.254425395332</v>
      </c>
      <c r="AE58" s="49">
        <f t="shared" si="23"/>
        <v>-1982.0066642825884</v>
      </c>
      <c r="AF58" s="49">
        <f t="shared" si="23"/>
        <v>-1690.4288345410944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48" t="s">
        <v>334</v>
      </c>
      <c r="C61" s="549"/>
      <c r="D61" s="549"/>
      <c r="E61" s="550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396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0.02</v>
      </c>
      <c r="AA63" s="12"/>
      <c r="AB63" s="12"/>
    </row>
    <row r="64" spans="1:39">
      <c r="A64" s="48"/>
      <c r="B64" s="339" t="s">
        <v>397</v>
      </c>
      <c r="C64" s="58"/>
      <c r="D64" s="58"/>
      <c r="E64" s="406">
        <f>E63+E62</f>
        <v>8.5000000000000006E-2</v>
      </c>
      <c r="AA64" s="12"/>
      <c r="AB64" s="12"/>
    </row>
    <row r="65" spans="1:43">
      <c r="B65" s="408" t="s">
        <v>395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394</v>
      </c>
      <c r="C66" s="13"/>
      <c r="D66" s="13"/>
      <c r="E66" s="465">
        <f>B77</f>
        <v>2.3254030870578943</v>
      </c>
      <c r="AA66" s="12"/>
      <c r="AB66" s="12"/>
    </row>
    <row r="67" spans="1:43">
      <c r="B67" s="339" t="s">
        <v>55</v>
      </c>
      <c r="C67" s="58"/>
      <c r="D67" s="58"/>
      <c r="E67" s="451">
        <f>B19</f>
        <v>76645.682528245845</v>
      </c>
      <c r="AA67" s="12"/>
      <c r="AB67" s="12"/>
    </row>
    <row r="68" spans="1:43">
      <c r="B68" s="336" t="s">
        <v>0</v>
      </c>
      <c r="C68" s="57"/>
      <c r="D68" s="57" t="s">
        <v>390</v>
      </c>
      <c r="E68" s="468">
        <f>AVERAGE(B52:AF52)</f>
        <v>1.3000000000000005</v>
      </c>
      <c r="AA68" s="12"/>
      <c r="AB68" s="12"/>
    </row>
    <row r="69" spans="1:43">
      <c r="B69" s="466"/>
      <c r="C69" s="58"/>
      <c r="D69" s="58" t="s">
        <v>391</v>
      </c>
      <c r="E69" s="469">
        <f>MIN(B52:AF52)</f>
        <v>1.2999999999999976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0">
        <f>(SUMPRODUCT(B74:AF74,B35:AF35)+SUMPRODUCT(B75:AF75,B26:AF26))/E67</f>
        <v>2.3254030870578943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Calpine</v>
      </c>
    </row>
    <row r="4" spans="1:34" ht="18.75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255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256</v>
      </c>
      <c r="B13" s="31">
        <f>Assumptions!$N$40</f>
        <v>5</v>
      </c>
      <c r="C13" s="32"/>
      <c r="D13" s="283">
        <f>1/$B$13*D6</f>
        <v>0.11666666666666668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8.3333333333333329E-2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324</v>
      </c>
      <c r="B14" s="68">
        <f>Assumptions!$N$41</f>
        <v>20</v>
      </c>
      <c r="C14" s="69"/>
      <c r="D14" s="283">
        <f>1/Assumptions!$N$41*D6</f>
        <v>2.9166666666666671E-2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2.0833333333333332E-2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255</v>
      </c>
      <c r="B16" s="380">
        <f>Assumptions!C34+Assumptions!C46+Assumptions!C38</f>
        <v>101502.72718007819</v>
      </c>
      <c r="C16" s="309"/>
      <c r="D16" s="18">
        <f>$B$16*D12</f>
        <v>5075.13635900391</v>
      </c>
      <c r="E16" s="18">
        <f t="shared" ref="E16:Y16" si="0">$B$16*E12</f>
        <v>9642.7590821074282</v>
      </c>
      <c r="F16" s="18">
        <f t="shared" si="0"/>
        <v>8678.4831738966859</v>
      </c>
      <c r="G16" s="18">
        <f t="shared" si="0"/>
        <v>7815.7099928660209</v>
      </c>
      <c r="H16" s="18">
        <f t="shared" si="0"/>
        <v>7034.1389935794186</v>
      </c>
      <c r="I16" s="18">
        <f t="shared" si="0"/>
        <v>6323.6199033188714</v>
      </c>
      <c r="J16" s="18">
        <f t="shared" si="0"/>
        <v>5988.6609036246127</v>
      </c>
      <c r="K16" s="18">
        <f t="shared" si="0"/>
        <v>5998.8111763426214</v>
      </c>
      <c r="L16" s="18">
        <f t="shared" si="0"/>
        <v>5988.6609036246127</v>
      </c>
      <c r="M16" s="18">
        <f t="shared" si="0"/>
        <v>5998.8111763426214</v>
      </c>
      <c r="N16" s="18">
        <f t="shared" si="0"/>
        <v>5988.6609036246127</v>
      </c>
      <c r="O16" s="18">
        <f t="shared" si="0"/>
        <v>5998.8111763426214</v>
      </c>
      <c r="P16" s="18">
        <f t="shared" si="0"/>
        <v>5988.6609036246127</v>
      </c>
      <c r="Q16" s="18">
        <f t="shared" si="0"/>
        <v>5998.8111763426214</v>
      </c>
      <c r="R16" s="18">
        <f t="shared" si="0"/>
        <v>5988.6609036246127</v>
      </c>
      <c r="S16" s="18">
        <f t="shared" si="0"/>
        <v>2994.3304518123064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256</v>
      </c>
      <c r="B17" s="308">
        <f>Assumptions!C50-Assumptions!C46-Assumptions!C47</f>
        <v>4788</v>
      </c>
      <c r="C17" s="309"/>
      <c r="D17" s="306">
        <f>$B$17*D13</f>
        <v>558.6</v>
      </c>
      <c r="E17" s="306">
        <f t="shared" ref="E17:AH17" si="2">$B$17*E13</f>
        <v>957.6</v>
      </c>
      <c r="F17" s="306">
        <f t="shared" si="2"/>
        <v>957.6</v>
      </c>
      <c r="G17" s="306">
        <f t="shared" si="2"/>
        <v>957.6</v>
      </c>
      <c r="H17" s="306">
        <f t="shared" si="2"/>
        <v>957.6</v>
      </c>
      <c r="I17" s="306">
        <f t="shared" si="2"/>
        <v>399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324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63</v>
      </c>
      <c r="B19" s="18">
        <f>SUM(B16:B18)</f>
        <v>106290.72718007819</v>
      </c>
      <c r="C19" s="309"/>
      <c r="D19" s="18">
        <f t="shared" ref="D19:Y19" si="5">SUM(D16:D18)</f>
        <v>5633.7363590039104</v>
      </c>
      <c r="E19" s="18">
        <f t="shared" si="5"/>
        <v>10600.359082107429</v>
      </c>
      <c r="F19" s="18">
        <f t="shared" si="5"/>
        <v>9636.0831738966863</v>
      </c>
      <c r="G19" s="18">
        <f t="shared" si="5"/>
        <v>8773.3099928660213</v>
      </c>
      <c r="H19" s="18">
        <f t="shared" si="5"/>
        <v>7991.738993579419</v>
      </c>
      <c r="I19" s="18">
        <f t="shared" si="5"/>
        <v>6722.6199033188714</v>
      </c>
      <c r="J19" s="18">
        <f t="shared" si="5"/>
        <v>5988.6609036246127</v>
      </c>
      <c r="K19" s="18">
        <f t="shared" si="5"/>
        <v>5998.8111763426214</v>
      </c>
      <c r="L19" s="18">
        <f t="shared" si="5"/>
        <v>5988.6609036246127</v>
      </c>
      <c r="M19" s="18">
        <f t="shared" si="5"/>
        <v>5998.8111763426214</v>
      </c>
      <c r="N19" s="18">
        <f t="shared" si="5"/>
        <v>5988.6609036246127</v>
      </c>
      <c r="O19" s="18">
        <f t="shared" si="5"/>
        <v>5998.8111763426214</v>
      </c>
      <c r="P19" s="18">
        <f t="shared" si="5"/>
        <v>5988.6609036246127</v>
      </c>
      <c r="Q19" s="18">
        <f t="shared" si="5"/>
        <v>5998.8111763426214</v>
      </c>
      <c r="R19" s="18">
        <f t="shared" si="5"/>
        <v>5988.6609036246127</v>
      </c>
      <c r="S19" s="18">
        <f t="shared" si="5"/>
        <v>2994.3304518123064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0">
        <f>B19</f>
        <v>106290.72718007819</v>
      </c>
      <c r="C21" s="383"/>
      <c r="D21" s="310">
        <f>B19-D19</f>
        <v>100656.99082107427</v>
      </c>
      <c r="E21" s="310">
        <f>D21-E19</f>
        <v>90056.63173896684</v>
      </c>
      <c r="F21" s="310">
        <f t="shared" ref="F21:X21" si="7">E21-F19</f>
        <v>80420.548565070159</v>
      </c>
      <c r="G21" s="310">
        <f t="shared" si="7"/>
        <v>71647.238572204136</v>
      </c>
      <c r="H21" s="310">
        <f t="shared" si="7"/>
        <v>63655.499578624716</v>
      </c>
      <c r="I21" s="310">
        <f t="shared" si="7"/>
        <v>56932.879675305841</v>
      </c>
      <c r="J21" s="310">
        <f t="shared" si="7"/>
        <v>50944.218771681226</v>
      </c>
      <c r="K21" s="310">
        <f t="shared" si="7"/>
        <v>44945.407595338605</v>
      </c>
      <c r="L21" s="310">
        <f t="shared" si="7"/>
        <v>38956.74669171399</v>
      </c>
      <c r="M21" s="310">
        <f t="shared" si="7"/>
        <v>32957.93551537137</v>
      </c>
      <c r="N21" s="310">
        <f t="shared" si="7"/>
        <v>26969.274611746758</v>
      </c>
      <c r="O21" s="310">
        <f t="shared" si="7"/>
        <v>20970.463435404137</v>
      </c>
      <c r="P21" s="310">
        <f t="shared" si="7"/>
        <v>14981.802531779525</v>
      </c>
      <c r="Q21" s="310">
        <f t="shared" si="7"/>
        <v>8982.991355436905</v>
      </c>
      <c r="R21" s="310">
        <f t="shared" si="7"/>
        <v>2994.3304518122923</v>
      </c>
      <c r="S21" s="310">
        <f t="shared" si="7"/>
        <v>-1.4097167877480388E-11</v>
      </c>
      <c r="T21" s="310">
        <f t="shared" si="7"/>
        <v>-1.4097167877480388E-11</v>
      </c>
      <c r="U21" s="310">
        <f t="shared" si="7"/>
        <v>-1.4097167877480388E-11</v>
      </c>
      <c r="V21" s="310">
        <f t="shared" si="7"/>
        <v>-1.4097167877480388E-11</v>
      </c>
      <c r="W21" s="310">
        <f t="shared" si="7"/>
        <v>-1.4097167877480388E-11</v>
      </c>
      <c r="X21" s="310">
        <f t="shared" si="7"/>
        <v>-1.4097167877480388E-11</v>
      </c>
      <c r="Y21" s="310">
        <f>X21-Y19</f>
        <v>-1.4097167877480388E-11</v>
      </c>
      <c r="Z21" s="310">
        <f t="shared" ref="Z21:AH21" si="8">Y21-Z19</f>
        <v>-1.4097167877480388E-11</v>
      </c>
      <c r="AA21" s="310">
        <f t="shared" si="8"/>
        <v>-1.4097167877480388E-11</v>
      </c>
      <c r="AB21" s="310">
        <f t="shared" si="8"/>
        <v>-1.4097167877480388E-11</v>
      </c>
      <c r="AC21" s="310">
        <f t="shared" si="8"/>
        <v>-1.4097167877480388E-11</v>
      </c>
      <c r="AD21" s="310">
        <f t="shared" si="8"/>
        <v>-1.4097167877480388E-11</v>
      </c>
      <c r="AE21" s="310">
        <f t="shared" si="8"/>
        <v>-1.4097167877480388E-11</v>
      </c>
      <c r="AF21" s="310">
        <f t="shared" si="8"/>
        <v>-1.4097167877480388E-11</v>
      </c>
      <c r="AG21" s="310">
        <f t="shared" si="8"/>
        <v>-1.4097167877480388E-11</v>
      </c>
      <c r="AH21" s="310">
        <f t="shared" si="8"/>
        <v>-1.4097167877480388E-11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255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256</v>
      </c>
      <c r="B27" s="31">
        <f>Assumptions!$N$40</f>
        <v>5</v>
      </c>
      <c r="C27" s="32"/>
      <c r="D27" s="283">
        <f>D13</f>
        <v>0.11666666666666668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8.3333333333333329E-2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324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255</v>
      </c>
      <c r="B31" s="380">
        <f>B16</f>
        <v>101502.72718007819</v>
      </c>
      <c r="C31" s="309"/>
      <c r="D31" s="18">
        <f>$B$31*D26</f>
        <v>5075.13635900391</v>
      </c>
      <c r="E31" s="18">
        <f t="shared" ref="E31:Y31" si="14">$B$31*E26</f>
        <v>9642.7590821074282</v>
      </c>
      <c r="F31" s="18">
        <f t="shared" si="14"/>
        <v>8678.4831738966859</v>
      </c>
      <c r="G31" s="18">
        <f t="shared" si="14"/>
        <v>7815.7099928660209</v>
      </c>
      <c r="H31" s="18">
        <f t="shared" si="14"/>
        <v>7034.1389935794186</v>
      </c>
      <c r="I31" s="18">
        <f t="shared" si="14"/>
        <v>6323.6199033188714</v>
      </c>
      <c r="J31" s="18">
        <f t="shared" si="14"/>
        <v>5988.6609036246127</v>
      </c>
      <c r="K31" s="18">
        <f t="shared" si="14"/>
        <v>5998.8111763426214</v>
      </c>
      <c r="L31" s="18">
        <f t="shared" si="14"/>
        <v>5988.6609036246127</v>
      </c>
      <c r="M31" s="18">
        <f t="shared" si="14"/>
        <v>5998.8111763426214</v>
      </c>
      <c r="N31" s="18">
        <f t="shared" si="14"/>
        <v>5988.6609036246127</v>
      </c>
      <c r="O31" s="18">
        <f t="shared" si="14"/>
        <v>5998.8111763426214</v>
      </c>
      <c r="P31" s="18">
        <f t="shared" si="14"/>
        <v>5988.6609036246127</v>
      </c>
      <c r="Q31" s="18">
        <f t="shared" si="14"/>
        <v>5998.8111763426214</v>
      </c>
      <c r="R31" s="18">
        <f t="shared" si="14"/>
        <v>5988.6609036246127</v>
      </c>
      <c r="S31" s="18">
        <f t="shared" si="14"/>
        <v>2994.3304518123064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256</v>
      </c>
      <c r="B32" s="308">
        <f>B17</f>
        <v>4788</v>
      </c>
      <c r="C32" s="309"/>
      <c r="D32" s="306">
        <f>D27*$B$32</f>
        <v>558.6</v>
      </c>
      <c r="E32" s="306">
        <f t="shared" ref="E32:AH32" si="16">E27*$B$32</f>
        <v>957.6</v>
      </c>
      <c r="F32" s="306">
        <f t="shared" si="16"/>
        <v>957.6</v>
      </c>
      <c r="G32" s="306">
        <f t="shared" si="16"/>
        <v>957.6</v>
      </c>
      <c r="H32" s="306">
        <f t="shared" si="16"/>
        <v>957.6</v>
      </c>
      <c r="I32" s="306">
        <f t="shared" si="16"/>
        <v>399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324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63</v>
      </c>
      <c r="B34" s="18">
        <f>SUM(B31:B33)</f>
        <v>106290.72718007819</v>
      </c>
      <c r="C34" s="309"/>
      <c r="D34" s="18">
        <f t="shared" ref="D34:Y34" si="19">SUM(D31:D33)</f>
        <v>5633.7363590039104</v>
      </c>
      <c r="E34" s="18">
        <f t="shared" si="19"/>
        <v>10600.359082107429</v>
      </c>
      <c r="F34" s="18">
        <f t="shared" si="19"/>
        <v>9636.0831738966863</v>
      </c>
      <c r="G34" s="18">
        <f t="shared" si="19"/>
        <v>8773.3099928660213</v>
      </c>
      <c r="H34" s="18">
        <f t="shared" si="19"/>
        <v>7991.738993579419</v>
      </c>
      <c r="I34" s="18">
        <f t="shared" si="19"/>
        <v>6722.6199033188714</v>
      </c>
      <c r="J34" s="18">
        <f t="shared" si="19"/>
        <v>5988.6609036246127</v>
      </c>
      <c r="K34" s="18">
        <f t="shared" si="19"/>
        <v>5998.8111763426214</v>
      </c>
      <c r="L34" s="18">
        <f t="shared" si="19"/>
        <v>5988.6609036246127</v>
      </c>
      <c r="M34" s="18">
        <f t="shared" si="19"/>
        <v>5998.8111763426214</v>
      </c>
      <c r="N34" s="18">
        <f t="shared" si="19"/>
        <v>5988.6609036246127</v>
      </c>
      <c r="O34" s="18">
        <f t="shared" si="19"/>
        <v>5998.8111763426214</v>
      </c>
      <c r="P34" s="18">
        <f t="shared" si="19"/>
        <v>5988.6609036246127</v>
      </c>
      <c r="Q34" s="18">
        <f t="shared" si="19"/>
        <v>5998.8111763426214</v>
      </c>
      <c r="R34" s="18">
        <f t="shared" si="19"/>
        <v>5988.6609036246127</v>
      </c>
      <c r="S34" s="18">
        <f t="shared" si="19"/>
        <v>2994.3304518123064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0">
        <f>B34</f>
        <v>106290.72718007819</v>
      </c>
      <c r="C36" s="385"/>
      <c r="D36" s="310">
        <f>B34-D34</f>
        <v>100656.99082107427</v>
      </c>
      <c r="E36" s="310">
        <f>D36-E34</f>
        <v>90056.63173896684</v>
      </c>
      <c r="F36" s="310">
        <f t="shared" ref="F36:W36" si="21">E36-F34</f>
        <v>80420.548565070159</v>
      </c>
      <c r="G36" s="310">
        <f t="shared" si="21"/>
        <v>71647.238572204136</v>
      </c>
      <c r="H36" s="310">
        <f t="shared" si="21"/>
        <v>63655.499578624716</v>
      </c>
      <c r="I36" s="310">
        <f t="shared" si="21"/>
        <v>56932.879675305841</v>
      </c>
      <c r="J36" s="310">
        <f t="shared" si="21"/>
        <v>50944.218771681226</v>
      </c>
      <c r="K36" s="310">
        <f t="shared" si="21"/>
        <v>44945.407595338605</v>
      </c>
      <c r="L36" s="310">
        <f t="shared" si="21"/>
        <v>38956.74669171399</v>
      </c>
      <c r="M36" s="310">
        <f t="shared" si="21"/>
        <v>32957.93551537137</v>
      </c>
      <c r="N36" s="310">
        <f t="shared" si="21"/>
        <v>26969.274611746758</v>
      </c>
      <c r="O36" s="310">
        <f t="shared" si="21"/>
        <v>20970.463435404137</v>
      </c>
      <c r="P36" s="310">
        <f t="shared" si="21"/>
        <v>14981.802531779525</v>
      </c>
      <c r="Q36" s="310">
        <f t="shared" si="21"/>
        <v>8982.991355436905</v>
      </c>
      <c r="R36" s="310">
        <f t="shared" si="21"/>
        <v>2994.3304518122923</v>
      </c>
      <c r="S36" s="310">
        <f t="shared" si="21"/>
        <v>-1.4097167877480388E-11</v>
      </c>
      <c r="T36" s="310">
        <f t="shared" si="21"/>
        <v>-1.4097167877480388E-11</v>
      </c>
      <c r="U36" s="310">
        <f t="shared" si="21"/>
        <v>-1.4097167877480388E-11</v>
      </c>
      <c r="V36" s="310">
        <f t="shared" si="21"/>
        <v>-1.4097167877480388E-11</v>
      </c>
      <c r="W36" s="310">
        <f t="shared" si="21"/>
        <v>-1.4097167877480388E-11</v>
      </c>
      <c r="X36" s="310">
        <f>W36-X34</f>
        <v>-1.4097167877480388E-11</v>
      </c>
      <c r="Y36" s="310">
        <f>X36-Y34</f>
        <v>-1.4097167877480388E-11</v>
      </c>
      <c r="Z36" s="310">
        <f t="shared" ref="Z36:AH36" si="22">Y36-Z34</f>
        <v>-1.4097167877480388E-11</v>
      </c>
      <c r="AA36" s="310">
        <f t="shared" si="22"/>
        <v>-1.4097167877480388E-11</v>
      </c>
      <c r="AB36" s="310">
        <f t="shared" si="22"/>
        <v>-1.4097167877480388E-11</v>
      </c>
      <c r="AC36" s="310">
        <f t="shared" si="22"/>
        <v>-1.4097167877480388E-11</v>
      </c>
      <c r="AD36" s="310">
        <f t="shared" si="22"/>
        <v>-1.4097167877480388E-11</v>
      </c>
      <c r="AE36" s="310">
        <f t="shared" si="22"/>
        <v>-1.4097167877480388E-11</v>
      </c>
      <c r="AF36" s="310">
        <f t="shared" si="22"/>
        <v>-1.4097167877480388E-11</v>
      </c>
      <c r="AG36" s="310">
        <f t="shared" si="22"/>
        <v>-1.4097167877480388E-11</v>
      </c>
      <c r="AH36" s="310">
        <f t="shared" si="22"/>
        <v>-1.4097167877480388E-11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8" t="s">
        <v>67</v>
      </c>
    </row>
    <row r="41" spans="1:38" s="10" customFormat="1">
      <c r="A41" s="21" t="s">
        <v>379</v>
      </c>
      <c r="B41" s="31">
        <f>Assumptions!$N$44</f>
        <v>30</v>
      </c>
      <c r="C41" s="379">
        <f>Assumptions!P44</f>
        <v>0.1</v>
      </c>
      <c r="D41" s="283">
        <f>1/Assumptions!$N$44*D6*(1-$C$41)</f>
        <v>1.7500000000000002E-2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256</v>
      </c>
      <c r="B42" s="31">
        <f>Assumptions!$N$40</f>
        <v>5</v>
      </c>
      <c r="C42" s="32"/>
      <c r="D42" s="283">
        <f>D13</f>
        <v>0.11666666666666668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8.3333333333333329E-2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324</v>
      </c>
      <c r="B43" s="34">
        <f>Assumptions!$N$46</f>
        <v>20</v>
      </c>
      <c r="C43" s="24"/>
      <c r="D43" s="283">
        <f>1/Assumptions!$N$46*D6</f>
        <v>2.9166666666666671E-2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2.0833333333333332E-2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255</v>
      </c>
      <c r="B45" s="380">
        <f>B16</f>
        <v>101502.72718007819</v>
      </c>
      <c r="C45" s="309"/>
      <c r="D45" s="18">
        <f t="shared" ref="D45:Y45" si="24">D41*$B$45</f>
        <v>1776.2977256513684</v>
      </c>
      <c r="E45" s="18">
        <f t="shared" si="24"/>
        <v>3045.0818154023455</v>
      </c>
      <c r="F45" s="18">
        <f t="shared" si="24"/>
        <v>3045.0818154023455</v>
      </c>
      <c r="G45" s="18">
        <f t="shared" si="24"/>
        <v>3045.0818154023455</v>
      </c>
      <c r="H45" s="18">
        <f t="shared" si="24"/>
        <v>3045.0818154023455</v>
      </c>
      <c r="I45" s="18">
        <f t="shared" si="24"/>
        <v>3045.0818154023455</v>
      </c>
      <c r="J45" s="18">
        <f t="shared" si="24"/>
        <v>3045.0818154023455</v>
      </c>
      <c r="K45" s="18">
        <f t="shared" si="24"/>
        <v>3045.0818154023455</v>
      </c>
      <c r="L45" s="18">
        <f t="shared" si="24"/>
        <v>3045.0818154023455</v>
      </c>
      <c r="M45" s="18">
        <f t="shared" si="24"/>
        <v>3045.0818154023455</v>
      </c>
      <c r="N45" s="18">
        <f t="shared" si="24"/>
        <v>3045.0818154023455</v>
      </c>
      <c r="O45" s="18">
        <f t="shared" si="24"/>
        <v>3045.0818154023455</v>
      </c>
      <c r="P45" s="18">
        <f t="shared" si="24"/>
        <v>3045.0818154023455</v>
      </c>
      <c r="Q45" s="18">
        <f t="shared" si="24"/>
        <v>3045.0818154023455</v>
      </c>
      <c r="R45" s="18">
        <f t="shared" si="24"/>
        <v>3045.0818154023455</v>
      </c>
      <c r="S45" s="18">
        <f t="shared" si="24"/>
        <v>3045.0818154023455</v>
      </c>
      <c r="T45" s="18">
        <f t="shared" si="24"/>
        <v>3045.0818154023455</v>
      </c>
      <c r="U45" s="18">
        <f t="shared" si="24"/>
        <v>3045.0818154023455</v>
      </c>
      <c r="V45" s="18">
        <f t="shared" si="24"/>
        <v>3045.0818154023455</v>
      </c>
      <c r="W45" s="18">
        <f t="shared" si="24"/>
        <v>3045.0818154023455</v>
      </c>
      <c r="X45" s="18">
        <f t="shared" si="24"/>
        <v>3045.0818154023455</v>
      </c>
      <c r="Y45" s="18">
        <f t="shared" si="24"/>
        <v>3045.0818154023455</v>
      </c>
      <c r="Z45" s="18">
        <f t="shared" ref="Z45:AH45" si="25">Z41*$B$45</f>
        <v>3045.0818154023455</v>
      </c>
      <c r="AA45" s="18">
        <f t="shared" si="25"/>
        <v>3045.0818154023455</v>
      </c>
      <c r="AB45" s="18">
        <f t="shared" si="25"/>
        <v>3045.0818154023455</v>
      </c>
      <c r="AC45" s="18">
        <f t="shared" si="25"/>
        <v>3045.0818154023455</v>
      </c>
      <c r="AD45" s="18">
        <f t="shared" si="25"/>
        <v>3045.0818154023455</v>
      </c>
      <c r="AE45" s="18">
        <f t="shared" si="25"/>
        <v>3045.0818154023455</v>
      </c>
      <c r="AF45" s="18">
        <f t="shared" si="25"/>
        <v>3045.0818154023455</v>
      </c>
      <c r="AG45" s="18">
        <f t="shared" si="25"/>
        <v>3045.0818154023455</v>
      </c>
      <c r="AH45" s="18">
        <f t="shared" si="25"/>
        <v>1268.784089750977</v>
      </c>
      <c r="AI45" s="20"/>
      <c r="AJ45" s="20"/>
      <c r="AK45" s="20"/>
      <c r="AL45" s="20"/>
    </row>
    <row r="46" spans="1:38" s="10" customFormat="1">
      <c r="A46" s="21" t="s">
        <v>256</v>
      </c>
      <c r="B46" s="308">
        <f>B17</f>
        <v>4788</v>
      </c>
      <c r="C46" s="309"/>
      <c r="D46" s="306">
        <f>D42*$B$46</f>
        <v>558.6</v>
      </c>
      <c r="E46" s="306">
        <f t="shared" ref="E46:AH46" si="26">E42*$B$46</f>
        <v>957.6</v>
      </c>
      <c r="F46" s="306">
        <f t="shared" si="26"/>
        <v>957.6</v>
      </c>
      <c r="G46" s="306">
        <f t="shared" si="26"/>
        <v>957.6</v>
      </c>
      <c r="H46" s="306">
        <f t="shared" si="26"/>
        <v>957.6</v>
      </c>
      <c r="I46" s="306">
        <f t="shared" si="26"/>
        <v>399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324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106290.72718007819</v>
      </c>
      <c r="C48" s="309"/>
      <c r="D48" s="18">
        <f t="shared" ref="D48:Y48" si="29">SUM(D45:D47)</f>
        <v>2334.8977256513685</v>
      </c>
      <c r="E48" s="18">
        <f t="shared" si="29"/>
        <v>4002.6818154023454</v>
      </c>
      <c r="F48" s="18">
        <f t="shared" si="29"/>
        <v>4002.6818154023454</v>
      </c>
      <c r="G48" s="18">
        <f t="shared" si="29"/>
        <v>4002.6818154023454</v>
      </c>
      <c r="H48" s="18">
        <f t="shared" si="29"/>
        <v>4002.6818154023454</v>
      </c>
      <c r="I48" s="18">
        <f t="shared" si="29"/>
        <v>3444.0818154023455</v>
      </c>
      <c r="J48" s="18">
        <f t="shared" si="29"/>
        <v>3045.0818154023455</v>
      </c>
      <c r="K48" s="18">
        <f t="shared" si="29"/>
        <v>3045.0818154023455</v>
      </c>
      <c r="L48" s="18">
        <f t="shared" si="29"/>
        <v>3045.0818154023455</v>
      </c>
      <c r="M48" s="18">
        <f t="shared" si="29"/>
        <v>3045.0818154023455</v>
      </c>
      <c r="N48" s="18">
        <f t="shared" si="29"/>
        <v>3045.0818154023455</v>
      </c>
      <c r="O48" s="18">
        <f t="shared" si="29"/>
        <v>3045.0818154023455</v>
      </c>
      <c r="P48" s="18">
        <f t="shared" si="29"/>
        <v>3045.0818154023455</v>
      </c>
      <c r="Q48" s="18">
        <f t="shared" si="29"/>
        <v>3045.0818154023455</v>
      </c>
      <c r="R48" s="18">
        <f t="shared" si="29"/>
        <v>3045.0818154023455</v>
      </c>
      <c r="S48" s="18">
        <f t="shared" si="29"/>
        <v>3045.0818154023455</v>
      </c>
      <c r="T48" s="18">
        <f t="shared" si="29"/>
        <v>3045.0818154023455</v>
      </c>
      <c r="U48" s="18">
        <f t="shared" si="29"/>
        <v>3045.0818154023455</v>
      </c>
      <c r="V48" s="18">
        <f t="shared" si="29"/>
        <v>3045.0818154023455</v>
      </c>
      <c r="W48" s="18">
        <f t="shared" si="29"/>
        <v>3045.0818154023455</v>
      </c>
      <c r="X48" s="18">
        <f t="shared" si="29"/>
        <v>3045.0818154023455</v>
      </c>
      <c r="Y48" s="18">
        <f t="shared" si="29"/>
        <v>3045.0818154023455</v>
      </c>
      <c r="Z48" s="18">
        <f t="shared" ref="Z48:AH48" si="30">SUM(Z45:Z47)</f>
        <v>3045.0818154023455</v>
      </c>
      <c r="AA48" s="18">
        <f t="shared" si="30"/>
        <v>3045.0818154023455</v>
      </c>
      <c r="AB48" s="18">
        <f t="shared" si="30"/>
        <v>3045.0818154023455</v>
      </c>
      <c r="AC48" s="18">
        <f t="shared" si="30"/>
        <v>3045.0818154023455</v>
      </c>
      <c r="AD48" s="18">
        <f t="shared" si="30"/>
        <v>3045.0818154023455</v>
      </c>
      <c r="AE48" s="18">
        <f t="shared" si="30"/>
        <v>3045.0818154023455</v>
      </c>
      <c r="AF48" s="18">
        <f t="shared" si="30"/>
        <v>3045.0818154023455</v>
      </c>
      <c r="AG48" s="18">
        <f t="shared" si="30"/>
        <v>3045.0818154023455</v>
      </c>
      <c r="AH48" s="18">
        <f t="shared" si="30"/>
        <v>1268.784089750977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68</v>
      </c>
      <c r="B50" s="386">
        <f>B48</f>
        <v>106290.72718007819</v>
      </c>
      <c r="C50" s="385"/>
      <c r="D50" s="310">
        <f>B48-D48</f>
        <v>103955.82945442681</v>
      </c>
      <c r="E50" s="310">
        <f>D50-E48</f>
        <v>99953.147639024464</v>
      </c>
      <c r="F50" s="310">
        <f t="shared" ref="F50:Y50" si="31">E50-F48</f>
        <v>95950.465823622115</v>
      </c>
      <c r="G50" s="310">
        <f t="shared" si="31"/>
        <v>91947.784008219765</v>
      </c>
      <c r="H50" s="310">
        <f t="shared" si="31"/>
        <v>87945.102192817416</v>
      </c>
      <c r="I50" s="310">
        <f t="shared" si="31"/>
        <v>84501.020377415072</v>
      </c>
      <c r="J50" s="310">
        <f t="shared" si="31"/>
        <v>81455.938562012729</v>
      </c>
      <c r="K50" s="310">
        <f t="shared" si="31"/>
        <v>78410.856746610385</v>
      </c>
      <c r="L50" s="310">
        <f t="shared" si="31"/>
        <v>75365.774931208041</v>
      </c>
      <c r="M50" s="310">
        <f t="shared" si="31"/>
        <v>72320.693115805698</v>
      </c>
      <c r="N50" s="310">
        <f t="shared" si="31"/>
        <v>69275.611300403354</v>
      </c>
      <c r="O50" s="310">
        <f t="shared" si="31"/>
        <v>66230.52948500101</v>
      </c>
      <c r="P50" s="310">
        <f t="shared" si="31"/>
        <v>63185.447669598667</v>
      </c>
      <c r="Q50" s="310">
        <f t="shared" si="31"/>
        <v>60140.365854196323</v>
      </c>
      <c r="R50" s="310">
        <f t="shared" si="31"/>
        <v>57095.28403879398</v>
      </c>
      <c r="S50" s="310">
        <f t="shared" si="31"/>
        <v>54050.202223391636</v>
      </c>
      <c r="T50" s="310">
        <f t="shared" si="31"/>
        <v>51005.120407989292</v>
      </c>
      <c r="U50" s="310">
        <f t="shared" si="31"/>
        <v>47960.038592586949</v>
      </c>
      <c r="V50" s="310">
        <f t="shared" si="31"/>
        <v>44914.956777184605</v>
      </c>
      <c r="W50" s="310">
        <f t="shared" si="31"/>
        <v>41869.874961782261</v>
      </c>
      <c r="X50" s="310">
        <f t="shared" si="31"/>
        <v>38824.793146379918</v>
      </c>
      <c r="Y50" s="310">
        <f t="shared" si="31"/>
        <v>35779.711330977574</v>
      </c>
      <c r="Z50" s="310">
        <f t="shared" ref="Z50:AH50" si="32">Y50-Z48</f>
        <v>32734.62951557523</v>
      </c>
      <c r="AA50" s="310">
        <f t="shared" si="32"/>
        <v>29689.547700172887</v>
      </c>
      <c r="AB50" s="310">
        <f t="shared" si="32"/>
        <v>26644.465884770543</v>
      </c>
      <c r="AC50" s="310">
        <f t="shared" si="32"/>
        <v>23599.3840693682</v>
      </c>
      <c r="AD50" s="310">
        <f t="shared" si="32"/>
        <v>20554.302253965856</v>
      </c>
      <c r="AE50" s="310">
        <f t="shared" si="32"/>
        <v>17509.220438563512</v>
      </c>
      <c r="AF50" s="310">
        <f t="shared" si="32"/>
        <v>14464.138623161167</v>
      </c>
      <c r="AG50" s="310">
        <f t="shared" si="32"/>
        <v>11419.056807758821</v>
      </c>
      <c r="AH50" s="310">
        <f t="shared" si="32"/>
        <v>10150.272718007844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Calpine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216</v>
      </c>
      <c r="B10" s="19">
        <f>IS!C40</f>
        <v>-524.76874255306166</v>
      </c>
      <c r="C10" s="19">
        <f>IS!D40</f>
        <v>-883.40456548926795</v>
      </c>
      <c r="D10" s="19">
        <f>IS!E40</f>
        <v>-840.30709521835161</v>
      </c>
      <c r="E10" s="19">
        <f>IS!F40</f>
        <v>529.46919828434693</v>
      </c>
      <c r="F10" s="19">
        <f>IS!G40</f>
        <v>1553.7498247908698</v>
      </c>
      <c r="G10" s="19">
        <f>IS!H40</f>
        <v>2482.0263834542784</v>
      </c>
      <c r="H10" s="19">
        <f>IS!I40</f>
        <v>3283.2912595837124</v>
      </c>
      <c r="I10" s="19">
        <f>IS!J40</f>
        <v>3713.8751944591459</v>
      </c>
      <c r="J10" s="19">
        <f>IS!K40</f>
        <v>4431.4652430742399</v>
      </c>
      <c r="K10" s="19">
        <f>IS!L40</f>
        <v>4950.3548718494767</v>
      </c>
      <c r="L10" s="19">
        <f>IS!M40</f>
        <v>5779.4805243573428</v>
      </c>
      <c r="M10" s="19">
        <f>IS!N40</f>
        <v>6403.9900076328067</v>
      </c>
      <c r="N10" s="19">
        <f>IS!O40</f>
        <v>7365.6737195189589</v>
      </c>
      <c r="O10" s="19">
        <f>IS!P40</f>
        <v>8116.8712660501305</v>
      </c>
      <c r="P10" s="19">
        <f>IS!Q40</f>
        <v>8928.2485613316585</v>
      </c>
      <c r="Q10" s="19">
        <f>IS!R40</f>
        <v>9801.2648688768386</v>
      </c>
      <c r="R10" s="19">
        <f>IS!S40</f>
        <v>10679.80416851207</v>
      </c>
      <c r="S10" s="19">
        <f>IS!T40</f>
        <v>10913.71229342227</v>
      </c>
      <c r="T10" s="19">
        <f>IS!U40</f>
        <v>10999.309966602357</v>
      </c>
      <c r="U10" s="19">
        <f>IS!V40</f>
        <v>11077.480585475312</v>
      </c>
      <c r="V10" s="19">
        <f>IS!W40</f>
        <v>1663.2996641112568</v>
      </c>
      <c r="W10" s="19">
        <f>IS!X40</f>
        <v>-5187.2583687821752</v>
      </c>
      <c r="X10" s="19">
        <f>IS!Y40</f>
        <v>-5338.5106134964635</v>
      </c>
      <c r="Y10" s="19">
        <f>IS!Z40</f>
        <v>-5560.3817827126331</v>
      </c>
      <c r="Z10" s="19">
        <f>IS!AA40</f>
        <v>-5802.5709311298215</v>
      </c>
      <c r="AA10" s="19">
        <f>IS!AB40</f>
        <v>-6066.2221081564594</v>
      </c>
      <c r="AB10" s="19">
        <f>IS!AC40</f>
        <v>-6353.5470967890151</v>
      </c>
      <c r="AC10" s="19">
        <f>IS!AD40</f>
        <v>-6666.3783884085924</v>
      </c>
      <c r="AD10" s="19">
        <f>IS!AE40</f>
        <v>-7007.5915217862594</v>
      </c>
      <c r="AE10" s="19">
        <f>IS!AF40</f>
        <v>-7378.8814511940236</v>
      </c>
      <c r="AF10" s="19">
        <f>IS!AG40</f>
        <v>-6065.3360050191777</v>
      </c>
    </row>
    <row r="11" spans="1:32">
      <c r="A11" s="21" t="s">
        <v>70</v>
      </c>
      <c r="B11" s="19">
        <f>IS!C34</f>
        <v>2334.8977256513685</v>
      </c>
      <c r="C11" s="19">
        <f>IS!D34</f>
        <v>4002.6818154023454</v>
      </c>
      <c r="D11" s="19">
        <f>IS!E34</f>
        <v>4002.6818154023454</v>
      </c>
      <c r="E11" s="19">
        <f>IS!F34</f>
        <v>4002.6818154023454</v>
      </c>
      <c r="F11" s="19">
        <f>IS!G34</f>
        <v>4002.6818154023454</v>
      </c>
      <c r="G11" s="19">
        <f>IS!H34</f>
        <v>3444.0818154023455</v>
      </c>
      <c r="H11" s="19">
        <f>IS!I34</f>
        <v>3045.0818154023455</v>
      </c>
      <c r="I11" s="19">
        <f>IS!J34</f>
        <v>3045.0818154023455</v>
      </c>
      <c r="J11" s="19">
        <f>IS!K34</f>
        <v>3045.0818154023455</v>
      </c>
      <c r="K11" s="19">
        <f>IS!L34</f>
        <v>3045.0818154023455</v>
      </c>
      <c r="L11" s="19">
        <f>IS!M34</f>
        <v>3045.0818154023455</v>
      </c>
      <c r="M11" s="19">
        <f>IS!N34</f>
        <v>3045.0818154023455</v>
      </c>
      <c r="N11" s="19">
        <f>IS!O34</f>
        <v>3045.0818154023455</v>
      </c>
      <c r="O11" s="19">
        <f>IS!P34</f>
        <v>3045.0818154023455</v>
      </c>
      <c r="P11" s="19">
        <f>IS!Q34</f>
        <v>3045.0818154023455</v>
      </c>
      <c r="Q11" s="19">
        <f>IS!R34</f>
        <v>3045.0818154023455</v>
      </c>
      <c r="R11" s="19">
        <f>IS!S34</f>
        <v>3045.0818154023455</v>
      </c>
      <c r="S11" s="19">
        <f>IS!T34</f>
        <v>3045.0818154023455</v>
      </c>
      <c r="T11" s="19">
        <f>IS!U34</f>
        <v>3045.0818154023455</v>
      </c>
      <c r="U11" s="19">
        <f>IS!V34</f>
        <v>3045.0818154023455</v>
      </c>
      <c r="V11" s="19">
        <f>IS!W34</f>
        <v>3045.0818154023455</v>
      </c>
      <c r="W11" s="19">
        <f>IS!X34</f>
        <v>3045.0818154023455</v>
      </c>
      <c r="X11" s="19">
        <f>IS!Y34</f>
        <v>3045.0818154023455</v>
      </c>
      <c r="Y11" s="19">
        <f>IS!Z34</f>
        <v>3045.0818154023455</v>
      </c>
      <c r="Z11" s="19">
        <f>IS!AA34</f>
        <v>3045.0818154023455</v>
      </c>
      <c r="AA11" s="19">
        <f>IS!AB34</f>
        <v>3045.0818154023455</v>
      </c>
      <c r="AB11" s="19">
        <f>IS!AC34</f>
        <v>3045.0818154023455</v>
      </c>
      <c r="AC11" s="19">
        <f>IS!AD34</f>
        <v>3045.0818154023455</v>
      </c>
      <c r="AD11" s="19">
        <f>IS!AE34</f>
        <v>3045.0818154023455</v>
      </c>
      <c r="AE11" s="19">
        <f>IS!AF34</f>
        <v>3045.0818154023455</v>
      </c>
      <c r="AF11" s="19">
        <f>IS!AG34</f>
        <v>1268.784089750977</v>
      </c>
    </row>
    <row r="12" spans="1:32" ht="15">
      <c r="A12" s="21" t="s">
        <v>71</v>
      </c>
      <c r="B12" s="131">
        <f>-Depreciation!D34</f>
        <v>-5633.7363590039104</v>
      </c>
      <c r="C12" s="131">
        <f>-Depreciation!E34</f>
        <v>-10600.359082107429</v>
      </c>
      <c r="D12" s="131">
        <f>-Depreciation!F34</f>
        <v>-9636.0831738966863</v>
      </c>
      <c r="E12" s="131">
        <f>-Depreciation!G34</f>
        <v>-8773.3099928660213</v>
      </c>
      <c r="F12" s="131">
        <f>-Depreciation!H34</f>
        <v>-7991.738993579419</v>
      </c>
      <c r="G12" s="131">
        <f>-Depreciation!I34</f>
        <v>-6722.6199033188714</v>
      </c>
      <c r="H12" s="131">
        <f>-Depreciation!J34</f>
        <v>-5988.6609036246127</v>
      </c>
      <c r="I12" s="131">
        <f>-Depreciation!K34</f>
        <v>-5998.8111763426214</v>
      </c>
      <c r="J12" s="131">
        <f>-Depreciation!L34</f>
        <v>-5988.6609036246127</v>
      </c>
      <c r="K12" s="131">
        <f>-Depreciation!M34</f>
        <v>-5998.8111763426214</v>
      </c>
      <c r="L12" s="131">
        <f>-Depreciation!N34</f>
        <v>-5988.6609036246127</v>
      </c>
      <c r="M12" s="131">
        <f>-Depreciation!O34</f>
        <v>-5998.8111763426214</v>
      </c>
      <c r="N12" s="131">
        <f>-Depreciation!P34</f>
        <v>-5988.6609036246127</v>
      </c>
      <c r="O12" s="131">
        <f>-Depreciation!Q34</f>
        <v>-5998.8111763426214</v>
      </c>
      <c r="P12" s="131">
        <f>-Depreciation!R34</f>
        <v>-5988.6609036246127</v>
      </c>
      <c r="Q12" s="131">
        <f>-Depreciation!S34</f>
        <v>-2994.3304518123064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-3823.6073759056035</v>
      </c>
      <c r="C13" s="23">
        <f t="shared" ref="C13:W13" si="0">SUM(C10:C12)</f>
        <v>-7481.0818321943516</v>
      </c>
      <c r="D13" s="23">
        <f t="shared" si="0"/>
        <v>-6473.7084537126921</v>
      </c>
      <c r="E13" s="23">
        <f t="shared" si="0"/>
        <v>-4241.1589791793285</v>
      </c>
      <c r="F13" s="23">
        <f t="shared" si="0"/>
        <v>-2435.3073533862034</v>
      </c>
      <c r="G13" s="23">
        <f t="shared" si="0"/>
        <v>-796.51170446224751</v>
      </c>
      <c r="H13" s="23">
        <f t="shared" si="0"/>
        <v>339.71217136144514</v>
      </c>
      <c r="I13" s="23">
        <f t="shared" si="0"/>
        <v>760.14583351886995</v>
      </c>
      <c r="J13" s="23">
        <f t="shared" si="0"/>
        <v>1487.8861548519726</v>
      </c>
      <c r="K13" s="23">
        <f t="shared" si="0"/>
        <v>1996.6255109092008</v>
      </c>
      <c r="L13" s="23">
        <f t="shared" si="0"/>
        <v>2835.9014361350755</v>
      </c>
      <c r="M13" s="23">
        <f t="shared" si="0"/>
        <v>3450.2606466925308</v>
      </c>
      <c r="N13" s="23">
        <f t="shared" si="0"/>
        <v>4422.0946312966907</v>
      </c>
      <c r="O13" s="23">
        <f t="shared" si="0"/>
        <v>5163.1419051098555</v>
      </c>
      <c r="P13" s="23">
        <f t="shared" si="0"/>
        <v>5984.6694731093912</v>
      </c>
      <c r="Q13" s="23">
        <f t="shared" si="0"/>
        <v>9852.0162324668781</v>
      </c>
      <c r="R13" s="23">
        <f t="shared" si="0"/>
        <v>13724.885983914415</v>
      </c>
      <c r="S13" s="23">
        <f t="shared" si="0"/>
        <v>13958.794108824615</v>
      </c>
      <c r="T13" s="23">
        <f t="shared" si="0"/>
        <v>14044.391782004703</v>
      </c>
      <c r="U13" s="23">
        <f t="shared" si="0"/>
        <v>14122.562400877658</v>
      </c>
      <c r="V13" s="23">
        <f t="shared" si="0"/>
        <v>4708.3814795136022</v>
      </c>
      <c r="W13" s="23">
        <f t="shared" si="0"/>
        <v>-2142.1765533798298</v>
      </c>
      <c r="X13" s="23">
        <f t="shared" ref="X13:AF13" si="1">SUM(X10:X12)</f>
        <v>-2293.4287980941181</v>
      </c>
      <c r="Y13" s="23">
        <f t="shared" si="1"/>
        <v>-2515.2999673102877</v>
      </c>
      <c r="Z13" s="23">
        <f t="shared" si="1"/>
        <v>-2757.489115727476</v>
      </c>
      <c r="AA13" s="23">
        <f t="shared" si="1"/>
        <v>-3021.1402927541139</v>
      </c>
      <c r="AB13" s="23">
        <f t="shared" si="1"/>
        <v>-3308.4652813866696</v>
      </c>
      <c r="AC13" s="23">
        <f t="shared" si="1"/>
        <v>-3621.2965730062469</v>
      </c>
      <c r="AD13" s="23">
        <f t="shared" si="1"/>
        <v>-3962.5097063839139</v>
      </c>
      <c r="AE13" s="23">
        <f t="shared" si="1"/>
        <v>-4333.7996357916782</v>
      </c>
      <c r="AF13" s="23">
        <f t="shared" si="1"/>
        <v>-4796.5519152682009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-267.65251631339225</v>
      </c>
      <c r="C16" s="19">
        <f t="shared" si="2"/>
        <v>-523.67572825360469</v>
      </c>
      <c r="D16" s="19">
        <f t="shared" si="2"/>
        <v>-453.15959175988849</v>
      </c>
      <c r="E16" s="19">
        <f t="shared" si="2"/>
        <v>-296.88112854255303</v>
      </c>
      <c r="F16" s="19">
        <f t="shared" si="2"/>
        <v>-170.47151473703425</v>
      </c>
      <c r="G16" s="19">
        <f t="shared" si="2"/>
        <v>-55.755819312357332</v>
      </c>
      <c r="H16" s="19">
        <f t="shared" si="2"/>
        <v>23.779851995301161</v>
      </c>
      <c r="I16" s="19">
        <f t="shared" si="2"/>
        <v>53.210208346320904</v>
      </c>
      <c r="J16" s="19">
        <f t="shared" si="2"/>
        <v>104.15203083963809</v>
      </c>
      <c r="K16" s="19">
        <f t="shared" si="2"/>
        <v>139.76378576364408</v>
      </c>
      <c r="L16" s="19">
        <f t="shared" si="2"/>
        <v>198.5131005294553</v>
      </c>
      <c r="M16" s="19">
        <f t="shared" si="2"/>
        <v>241.51824526847719</v>
      </c>
      <c r="N16" s="19">
        <f t="shared" si="2"/>
        <v>309.5466241907684</v>
      </c>
      <c r="O16" s="19">
        <f t="shared" si="2"/>
        <v>361.4199333576899</v>
      </c>
      <c r="P16" s="19">
        <f t="shared" si="2"/>
        <v>418.92686311765743</v>
      </c>
      <c r="Q16" s="19">
        <f t="shared" si="2"/>
        <v>689.64113627268148</v>
      </c>
      <c r="R16" s="19">
        <f t="shared" si="2"/>
        <v>960.7420188740092</v>
      </c>
      <c r="S16" s="19">
        <f t="shared" si="2"/>
        <v>977.11558761772312</v>
      </c>
      <c r="T16" s="19">
        <f t="shared" si="2"/>
        <v>983.10742474032929</v>
      </c>
      <c r="U16" s="19">
        <f t="shared" si="2"/>
        <v>988.57936806143618</v>
      </c>
      <c r="V16" s="19">
        <f t="shared" si="2"/>
        <v>329.58670356595218</v>
      </c>
      <c r="W16" s="19">
        <f t="shared" si="2"/>
        <v>-149.95235873658811</v>
      </c>
      <c r="X16" s="19">
        <f t="shared" si="2"/>
        <v>-160.54001586658828</v>
      </c>
      <c r="Y16" s="19">
        <f t="shared" si="2"/>
        <v>-176.07099771172017</v>
      </c>
      <c r="Z16" s="19">
        <f t="shared" si="2"/>
        <v>-193.02423810092333</v>
      </c>
      <c r="AA16" s="19">
        <f t="shared" si="2"/>
        <v>-211.47982049278801</v>
      </c>
      <c r="AB16" s="19">
        <f t="shared" si="2"/>
        <v>-231.59256969706689</v>
      </c>
      <c r="AC16" s="19">
        <f t="shared" si="2"/>
        <v>-253.49076011043732</v>
      </c>
      <c r="AD16" s="19">
        <f t="shared" si="2"/>
        <v>-277.37567944687402</v>
      </c>
      <c r="AE16" s="19">
        <f t="shared" si="2"/>
        <v>-303.36597450541751</v>
      </c>
      <c r="AF16" s="19">
        <f t="shared" si="2"/>
        <v>-335.75863406877409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267.65251631339225</v>
      </c>
      <c r="D18" s="19">
        <f t="shared" ref="D18:W18" si="3">C22</f>
        <v>791.328244566997</v>
      </c>
      <c r="E18" s="19">
        <f t="shared" si="3"/>
        <v>1244.4878363268854</v>
      </c>
      <c r="F18" s="19">
        <f t="shared" si="3"/>
        <v>1541.3689648694385</v>
      </c>
      <c r="G18" s="19">
        <f t="shared" si="3"/>
        <v>1711.8404796064729</v>
      </c>
      <c r="H18" s="19">
        <f t="shared" si="3"/>
        <v>1767.5962989188301</v>
      </c>
      <c r="I18" s="19">
        <f t="shared" si="3"/>
        <v>1743.8164469235289</v>
      </c>
      <c r="J18" s="19">
        <f t="shared" si="3"/>
        <v>1690.6062385772079</v>
      </c>
      <c r="K18" s="19">
        <f t="shared" si="3"/>
        <v>1395.7917517657997</v>
      </c>
      <c r="L18" s="19">
        <f t="shared" si="3"/>
        <v>1104.1567849015812</v>
      </c>
      <c r="M18" s="19">
        <f t="shared" si="3"/>
        <v>905.6436843721259</v>
      </c>
      <c r="N18" s="19">
        <f t="shared" si="3"/>
        <v>664.12543910364866</v>
      </c>
      <c r="O18" s="19">
        <f t="shared" si="3"/>
        <v>354.57881491288026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149.95235873658811</v>
      </c>
      <c r="Y18" s="19">
        <f t="shared" si="4"/>
        <v>310.49237460317636</v>
      </c>
      <c r="Z18" s="19">
        <f t="shared" si="4"/>
        <v>486.56337231489653</v>
      </c>
      <c r="AA18" s="19">
        <f t="shared" si="4"/>
        <v>679.58761041581988</v>
      </c>
      <c r="AB18" s="19">
        <f t="shared" si="4"/>
        <v>891.06743090860789</v>
      </c>
      <c r="AC18" s="19">
        <f t="shared" si="4"/>
        <v>1122.6600006056747</v>
      </c>
      <c r="AD18" s="19">
        <f t="shared" si="4"/>
        <v>1376.150760716112</v>
      </c>
      <c r="AE18" s="19">
        <f t="shared" si="4"/>
        <v>1653.5264401629861</v>
      </c>
      <c r="AF18" s="19">
        <f t="shared" si="4"/>
        <v>1806.9400559318153</v>
      </c>
    </row>
    <row r="19" spans="1:32">
      <c r="A19" s="21" t="s">
        <v>75</v>
      </c>
      <c r="B19" s="140">
        <f>IF(B16&lt;0,-B16,0)</f>
        <v>267.65251631339225</v>
      </c>
      <c r="C19" s="140">
        <f t="shared" ref="C19:W19" si="5">IF(C16&lt;0,-C16,0)</f>
        <v>523.67572825360469</v>
      </c>
      <c r="D19" s="140">
        <f t="shared" si="5"/>
        <v>453.15959175988849</v>
      </c>
      <c r="E19" s="140">
        <f t="shared" si="5"/>
        <v>296.88112854255303</v>
      </c>
      <c r="F19" s="140">
        <f t="shared" si="5"/>
        <v>170.47151473703425</v>
      </c>
      <c r="G19" s="140">
        <f t="shared" si="5"/>
        <v>55.755819312357332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149.95235873658811</v>
      </c>
      <c r="X19" s="140">
        <f t="shared" ref="X19:AF19" si="6">IF(X16&lt;0,-X16,0)</f>
        <v>160.54001586658828</v>
      </c>
      <c r="Y19" s="140">
        <f t="shared" si="6"/>
        <v>176.07099771172017</v>
      </c>
      <c r="Z19" s="140">
        <f t="shared" si="6"/>
        <v>193.02423810092333</v>
      </c>
      <c r="AA19" s="140">
        <f t="shared" si="6"/>
        <v>211.47982049278801</v>
      </c>
      <c r="AB19" s="140">
        <f t="shared" si="6"/>
        <v>231.59256969706689</v>
      </c>
      <c r="AC19" s="140">
        <f t="shared" si="6"/>
        <v>253.49076011043732</v>
      </c>
      <c r="AD19" s="140">
        <f t="shared" si="6"/>
        <v>277.37567944687402</v>
      </c>
      <c r="AE19" s="140">
        <f t="shared" si="6"/>
        <v>303.36597450541751</v>
      </c>
      <c r="AF19" s="140">
        <f t="shared" si="6"/>
        <v>335.75863406877409</v>
      </c>
    </row>
    <row r="20" spans="1:32">
      <c r="A20" s="13" t="s">
        <v>295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-190.66245597177019</v>
      </c>
      <c r="K20" s="476">
        <f t="shared" ref="K20:AF20" si="7">IF(-SUM(C21:J21, C20:J20)&gt;C19,0,-C19-SUM(C21:J21,C20:J20))</f>
        <v>-151.87118110057435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0</v>
      </c>
      <c r="AE20" s="476">
        <f t="shared" si="7"/>
        <v>-149.95235873658811</v>
      </c>
      <c r="AF20" s="476">
        <f t="shared" si="7"/>
        <v>-10.587657130000167</v>
      </c>
    </row>
    <row r="21" spans="1:32">
      <c r="A21" s="13" t="s">
        <v>294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-23.779851995301161</v>
      </c>
      <c r="I21" s="133">
        <f t="shared" si="8"/>
        <v>-53.210208346320904</v>
      </c>
      <c r="J21" s="133">
        <f t="shared" si="8"/>
        <v>-104.15203083963809</v>
      </c>
      <c r="K21" s="133">
        <f t="shared" si="8"/>
        <v>-139.76378576364408</v>
      </c>
      <c r="L21" s="133">
        <f t="shared" si="8"/>
        <v>-198.5131005294553</v>
      </c>
      <c r="M21" s="133">
        <f t="shared" si="8"/>
        <v>-241.51824526847719</v>
      </c>
      <c r="N21" s="133">
        <f t="shared" si="8"/>
        <v>-309.5466241907684</v>
      </c>
      <c r="O21" s="133">
        <f t="shared" si="8"/>
        <v>-354.57881491288026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267.65251631339225</v>
      </c>
      <c r="C22" s="133">
        <f t="shared" si="10"/>
        <v>791.328244566997</v>
      </c>
      <c r="D22" s="133">
        <f t="shared" si="10"/>
        <v>1244.4878363268854</v>
      </c>
      <c r="E22" s="133">
        <f t="shared" si="10"/>
        <v>1541.3689648694385</v>
      </c>
      <c r="F22" s="133">
        <f t="shared" si="10"/>
        <v>1711.8404796064729</v>
      </c>
      <c r="G22" s="133">
        <f t="shared" si="10"/>
        <v>1767.5962989188301</v>
      </c>
      <c r="H22" s="133">
        <f t="shared" si="10"/>
        <v>1743.8164469235289</v>
      </c>
      <c r="I22" s="133">
        <f t="shared" si="10"/>
        <v>1690.6062385772079</v>
      </c>
      <c r="J22" s="133">
        <f t="shared" si="10"/>
        <v>1395.7917517657997</v>
      </c>
      <c r="K22" s="133">
        <f t="shared" si="10"/>
        <v>1104.1567849015812</v>
      </c>
      <c r="L22" s="133">
        <f t="shared" si="10"/>
        <v>905.6436843721259</v>
      </c>
      <c r="M22" s="133">
        <f t="shared" si="10"/>
        <v>664.12543910364866</v>
      </c>
      <c r="N22" s="133">
        <f t="shared" si="10"/>
        <v>354.57881491288026</v>
      </c>
      <c r="O22" s="133">
        <f t="shared" si="10"/>
        <v>0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149.95235873658811</v>
      </c>
      <c r="X22" s="133">
        <f t="shared" si="10"/>
        <v>310.49237460317636</v>
      </c>
      <c r="Y22" s="133">
        <f t="shared" si="10"/>
        <v>486.56337231489653</v>
      </c>
      <c r="Z22" s="133">
        <f t="shared" si="10"/>
        <v>679.58761041581988</v>
      </c>
      <c r="AA22" s="133">
        <f t="shared" si="10"/>
        <v>891.06743090860789</v>
      </c>
      <c r="AB22" s="133">
        <f t="shared" si="10"/>
        <v>1122.6600006056747</v>
      </c>
      <c r="AC22" s="133">
        <f t="shared" si="10"/>
        <v>1376.150760716112</v>
      </c>
      <c r="AD22" s="133">
        <f t="shared" si="10"/>
        <v>1653.5264401629861</v>
      </c>
      <c r="AE22" s="133">
        <f t="shared" si="10"/>
        <v>1806.9400559318153</v>
      </c>
      <c r="AF22" s="133">
        <f t="shared" si="10"/>
        <v>2132.1110328705895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218</v>
      </c>
      <c r="B24" s="137">
        <f>IF(B13&lt;0,0,B21+B16)</f>
        <v>0</v>
      </c>
      <c r="C24" s="137">
        <f t="shared" ref="C24:AF24" si="11">IF(C13&lt;0,0,C21+C16)</f>
        <v>0</v>
      </c>
      <c r="D24" s="137">
        <f t="shared" si="11"/>
        <v>0</v>
      </c>
      <c r="E24" s="137">
        <f t="shared" si="11"/>
        <v>0</v>
      </c>
      <c r="F24" s="137">
        <f t="shared" si="11"/>
        <v>0</v>
      </c>
      <c r="G24" s="137">
        <f t="shared" si="11"/>
        <v>0</v>
      </c>
      <c r="H24" s="137">
        <f t="shared" si="11"/>
        <v>0</v>
      </c>
      <c r="I24" s="137">
        <f t="shared" si="11"/>
        <v>0</v>
      </c>
      <c r="J24" s="137">
        <f t="shared" si="11"/>
        <v>0</v>
      </c>
      <c r="K24" s="137">
        <f t="shared" si="11"/>
        <v>0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6.8411184448096378</v>
      </c>
      <c r="P24" s="137">
        <f t="shared" si="11"/>
        <v>418.92686311765743</v>
      </c>
      <c r="Q24" s="137">
        <f t="shared" si="11"/>
        <v>689.64113627268148</v>
      </c>
      <c r="R24" s="137">
        <f t="shared" si="11"/>
        <v>960.7420188740092</v>
      </c>
      <c r="S24" s="137">
        <f t="shared" si="11"/>
        <v>977.11558761772312</v>
      </c>
      <c r="T24" s="137">
        <f t="shared" si="11"/>
        <v>983.10742474032929</v>
      </c>
      <c r="U24" s="137">
        <f t="shared" si="11"/>
        <v>988.57936806143618</v>
      </c>
      <c r="V24" s="137">
        <f t="shared" si="11"/>
        <v>329.58670356595218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-3823.6073759056035</v>
      </c>
      <c r="C28" s="19">
        <f t="shared" ref="C28:AF28" si="12">C13</f>
        <v>-7481.0818321943516</v>
      </c>
      <c r="D28" s="19">
        <f t="shared" si="12"/>
        <v>-6473.7084537126921</v>
      </c>
      <c r="E28" s="19">
        <f t="shared" si="12"/>
        <v>-4241.1589791793285</v>
      </c>
      <c r="F28" s="19">
        <f t="shared" si="12"/>
        <v>-2435.3073533862034</v>
      </c>
      <c r="G28" s="19">
        <f t="shared" si="12"/>
        <v>-796.51170446224751</v>
      </c>
      <c r="H28" s="19">
        <f t="shared" si="12"/>
        <v>339.71217136144514</v>
      </c>
      <c r="I28" s="19">
        <f t="shared" si="12"/>
        <v>760.14583351886995</v>
      </c>
      <c r="J28" s="19">
        <f t="shared" si="12"/>
        <v>1487.8861548519726</v>
      </c>
      <c r="K28" s="19">
        <f t="shared" si="12"/>
        <v>1996.6255109092008</v>
      </c>
      <c r="L28" s="19">
        <f t="shared" si="12"/>
        <v>2835.9014361350755</v>
      </c>
      <c r="M28" s="19">
        <f t="shared" si="12"/>
        <v>3450.2606466925308</v>
      </c>
      <c r="N28" s="19">
        <f t="shared" si="12"/>
        <v>4422.0946312966907</v>
      </c>
      <c r="O28" s="19">
        <f t="shared" si="12"/>
        <v>5163.1419051098555</v>
      </c>
      <c r="P28" s="19">
        <f t="shared" si="12"/>
        <v>5984.6694731093912</v>
      </c>
      <c r="Q28" s="19">
        <f t="shared" si="12"/>
        <v>9852.0162324668781</v>
      </c>
      <c r="R28" s="19">
        <f t="shared" si="12"/>
        <v>13724.885983914415</v>
      </c>
      <c r="S28" s="19">
        <f t="shared" si="12"/>
        <v>13958.794108824615</v>
      </c>
      <c r="T28" s="19">
        <f t="shared" si="12"/>
        <v>14044.391782004703</v>
      </c>
      <c r="U28" s="19">
        <f t="shared" si="12"/>
        <v>14122.562400877658</v>
      </c>
      <c r="V28" s="19">
        <f t="shared" si="12"/>
        <v>4708.3814795136022</v>
      </c>
      <c r="W28" s="19">
        <f t="shared" si="12"/>
        <v>-2142.1765533798298</v>
      </c>
      <c r="X28" s="19">
        <f t="shared" si="12"/>
        <v>-2293.4287980941181</v>
      </c>
      <c r="Y28" s="19">
        <f t="shared" si="12"/>
        <v>-2515.2999673102877</v>
      </c>
      <c r="Z28" s="19">
        <f t="shared" si="12"/>
        <v>-2757.489115727476</v>
      </c>
      <c r="AA28" s="19">
        <f t="shared" si="12"/>
        <v>-3021.1402927541139</v>
      </c>
      <c r="AB28" s="19">
        <f t="shared" si="12"/>
        <v>-3308.4652813866696</v>
      </c>
      <c r="AC28" s="19">
        <f t="shared" si="12"/>
        <v>-3621.2965730062469</v>
      </c>
      <c r="AD28" s="19">
        <f t="shared" si="12"/>
        <v>-3962.5097063839139</v>
      </c>
      <c r="AE28" s="19">
        <f t="shared" si="12"/>
        <v>-4333.7996357916782</v>
      </c>
      <c r="AF28" s="19">
        <f t="shared" si="12"/>
        <v>-4796.5519152682009</v>
      </c>
    </row>
    <row r="29" spans="1:32" ht="15">
      <c r="A29" s="21" t="s">
        <v>78</v>
      </c>
      <c r="B29" s="135">
        <f>-B24</f>
        <v>0</v>
      </c>
      <c r="C29" s="135">
        <f t="shared" ref="C29:AF29" si="13">-C24</f>
        <v>0</v>
      </c>
      <c r="D29" s="135">
        <f t="shared" si="13"/>
        <v>0</v>
      </c>
      <c r="E29" s="135">
        <f t="shared" si="13"/>
        <v>0</v>
      </c>
      <c r="F29" s="135">
        <f t="shared" si="13"/>
        <v>0</v>
      </c>
      <c r="G29" s="135">
        <f t="shared" si="13"/>
        <v>0</v>
      </c>
      <c r="H29" s="135">
        <f t="shared" si="13"/>
        <v>0</v>
      </c>
      <c r="I29" s="135">
        <f t="shared" si="13"/>
        <v>0</v>
      </c>
      <c r="J29" s="135">
        <f t="shared" si="13"/>
        <v>0</v>
      </c>
      <c r="K29" s="135">
        <f t="shared" si="13"/>
        <v>0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-6.8411184448096378</v>
      </c>
      <c r="P29" s="135">
        <f t="shared" si="13"/>
        <v>-418.92686311765743</v>
      </c>
      <c r="Q29" s="135">
        <f t="shared" si="13"/>
        <v>-689.64113627268148</v>
      </c>
      <c r="R29" s="135">
        <f t="shared" si="13"/>
        <v>-960.7420188740092</v>
      </c>
      <c r="S29" s="135">
        <f t="shared" si="13"/>
        <v>-977.11558761772312</v>
      </c>
      <c r="T29" s="135">
        <f t="shared" si="13"/>
        <v>-983.10742474032929</v>
      </c>
      <c r="U29" s="135">
        <f t="shared" si="13"/>
        <v>-988.57936806143618</v>
      </c>
      <c r="V29" s="135">
        <f t="shared" si="13"/>
        <v>-329.58670356595218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217</v>
      </c>
      <c r="B30" s="44">
        <f t="shared" ref="B30:AF30" si="14">SUM(B28:B29)</f>
        <v>-3823.6073759056035</v>
      </c>
      <c r="C30" s="44">
        <f t="shared" si="14"/>
        <v>-7481.0818321943516</v>
      </c>
      <c r="D30" s="44">
        <f t="shared" si="14"/>
        <v>-6473.7084537126921</v>
      </c>
      <c r="E30" s="44">
        <f t="shared" si="14"/>
        <v>-4241.1589791793285</v>
      </c>
      <c r="F30" s="44">
        <f t="shared" si="14"/>
        <v>-2435.3073533862034</v>
      </c>
      <c r="G30" s="44">
        <f t="shared" si="14"/>
        <v>-796.51170446224751</v>
      </c>
      <c r="H30" s="44">
        <f t="shared" si="14"/>
        <v>339.71217136144514</v>
      </c>
      <c r="I30" s="44">
        <f t="shared" si="14"/>
        <v>760.14583351886995</v>
      </c>
      <c r="J30" s="44">
        <f t="shared" si="14"/>
        <v>1487.8861548519726</v>
      </c>
      <c r="K30" s="44">
        <f t="shared" si="14"/>
        <v>1996.6255109092008</v>
      </c>
      <c r="L30" s="44">
        <f t="shared" si="14"/>
        <v>2835.9014361350755</v>
      </c>
      <c r="M30" s="44">
        <f t="shared" si="14"/>
        <v>3450.2606466925308</v>
      </c>
      <c r="N30" s="44">
        <f t="shared" si="14"/>
        <v>4422.0946312966907</v>
      </c>
      <c r="O30" s="44">
        <f t="shared" si="14"/>
        <v>5156.300786665046</v>
      </c>
      <c r="P30" s="44">
        <f t="shared" si="14"/>
        <v>5565.7426099917338</v>
      </c>
      <c r="Q30" s="44">
        <f t="shared" si="14"/>
        <v>9162.3750961941969</v>
      </c>
      <c r="R30" s="44">
        <f t="shared" si="14"/>
        <v>12764.143965040406</v>
      </c>
      <c r="S30" s="44">
        <f t="shared" si="14"/>
        <v>12981.678521206892</v>
      </c>
      <c r="T30" s="44">
        <f t="shared" si="14"/>
        <v>13061.284357264374</v>
      </c>
      <c r="U30" s="44">
        <f t="shared" si="14"/>
        <v>13133.983032816221</v>
      </c>
      <c r="V30" s="44">
        <f t="shared" si="14"/>
        <v>4378.7947759476501</v>
      </c>
      <c r="W30" s="44">
        <f t="shared" si="14"/>
        <v>-2142.1765533798298</v>
      </c>
      <c r="X30" s="44">
        <f t="shared" si="14"/>
        <v>-2293.4287980941181</v>
      </c>
      <c r="Y30" s="44">
        <f t="shared" si="14"/>
        <v>-2515.2999673102877</v>
      </c>
      <c r="Z30" s="44">
        <f t="shared" si="14"/>
        <v>-2757.489115727476</v>
      </c>
      <c r="AA30" s="44">
        <f t="shared" si="14"/>
        <v>-3021.1402927541139</v>
      </c>
      <c r="AB30" s="44">
        <f t="shared" si="14"/>
        <v>-3308.4652813866696</v>
      </c>
      <c r="AC30" s="44">
        <f t="shared" si="14"/>
        <v>-3621.2965730062469</v>
      </c>
      <c r="AD30" s="44">
        <f t="shared" si="14"/>
        <v>-3962.5097063839139</v>
      </c>
      <c r="AE30" s="44">
        <f t="shared" si="14"/>
        <v>-4333.7996357916782</v>
      </c>
      <c r="AF30" s="44">
        <f t="shared" si="14"/>
        <v>-4796.5519152682009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-1338.2625815669612</v>
      </c>
      <c r="C33" s="19">
        <f t="shared" ref="C33:W33" si="15">C30*C32</f>
        <v>-2618.3786412680229</v>
      </c>
      <c r="D33" s="19">
        <f t="shared" si="15"/>
        <v>-2265.7979587994419</v>
      </c>
      <c r="E33" s="19">
        <f t="shared" si="15"/>
        <v>-1484.4056427127648</v>
      </c>
      <c r="F33" s="19">
        <f t="shared" si="15"/>
        <v>-852.35757368517113</v>
      </c>
      <c r="G33" s="19">
        <f t="shared" si="15"/>
        <v>-278.77909656178662</v>
      </c>
      <c r="H33" s="19">
        <f t="shared" si="15"/>
        <v>118.89925997650579</v>
      </c>
      <c r="I33" s="19">
        <f t="shared" si="15"/>
        <v>266.05104173160447</v>
      </c>
      <c r="J33" s="19">
        <f t="shared" si="15"/>
        <v>520.76015419819043</v>
      </c>
      <c r="K33" s="19">
        <f t="shared" si="15"/>
        <v>698.81892881822023</v>
      </c>
      <c r="L33" s="19">
        <f t="shared" si="15"/>
        <v>992.56550264727639</v>
      </c>
      <c r="M33" s="19">
        <f t="shared" si="15"/>
        <v>1207.5912263423857</v>
      </c>
      <c r="N33" s="19">
        <f t="shared" si="15"/>
        <v>1547.7331209538418</v>
      </c>
      <c r="O33" s="19">
        <f t="shared" si="15"/>
        <v>1804.705275332766</v>
      </c>
      <c r="P33" s="19">
        <f t="shared" si="15"/>
        <v>1948.0099134971067</v>
      </c>
      <c r="Q33" s="19">
        <f t="shared" si="15"/>
        <v>3206.8312836679688</v>
      </c>
      <c r="R33" s="19">
        <f t="shared" si="15"/>
        <v>4467.4503877641419</v>
      </c>
      <c r="S33" s="19">
        <f t="shared" si="15"/>
        <v>4543.587482422412</v>
      </c>
      <c r="T33" s="19">
        <f t="shared" si="15"/>
        <v>4571.4495250425307</v>
      </c>
      <c r="U33" s="19">
        <f t="shared" si="15"/>
        <v>4596.8940614856765</v>
      </c>
      <c r="V33" s="19">
        <f t="shared" si="15"/>
        <v>1532.5781715816775</v>
      </c>
      <c r="W33" s="19">
        <f t="shared" si="15"/>
        <v>-749.76179368294038</v>
      </c>
      <c r="X33" s="19">
        <f t="shared" ref="X33:AF33" si="16">X30*X32</f>
        <v>-802.7000793329413</v>
      </c>
      <c r="Y33" s="19">
        <f t="shared" si="16"/>
        <v>-880.35498855860067</v>
      </c>
      <c r="Z33" s="19">
        <f t="shared" si="16"/>
        <v>-965.12119050461649</v>
      </c>
      <c r="AA33" s="19">
        <f t="shared" si="16"/>
        <v>-1057.3991024639399</v>
      </c>
      <c r="AB33" s="19">
        <f t="shared" si="16"/>
        <v>-1157.9628484853342</v>
      </c>
      <c r="AC33" s="19">
        <f t="shared" si="16"/>
        <v>-1267.4538005521863</v>
      </c>
      <c r="AD33" s="19">
        <f t="shared" si="16"/>
        <v>-1386.8783972343697</v>
      </c>
      <c r="AE33" s="19">
        <f t="shared" si="16"/>
        <v>-1516.8298725270872</v>
      </c>
      <c r="AF33" s="19">
        <f t="shared" si="16"/>
        <v>-1678.7931703438703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1338.2625815669612</v>
      </c>
      <c r="D35" s="19">
        <f t="shared" si="17"/>
        <v>3956.6412228349841</v>
      </c>
      <c r="E35" s="19">
        <f t="shared" si="17"/>
        <v>6222.4391816344259</v>
      </c>
      <c r="F35" s="19">
        <f t="shared" si="17"/>
        <v>7706.8448243471903</v>
      </c>
      <c r="G35" s="19">
        <f t="shared" si="17"/>
        <v>8559.2023980323611</v>
      </c>
      <c r="H35" s="19">
        <f t="shared" si="17"/>
        <v>8837.9814945941471</v>
      </c>
      <c r="I35" s="19">
        <f t="shared" si="17"/>
        <v>8719.082234617641</v>
      </c>
      <c r="J35" s="19">
        <f t="shared" si="17"/>
        <v>8453.0311928860374</v>
      </c>
      <c r="K35" s="19">
        <f t="shared" si="17"/>
        <v>7932.2710386878471</v>
      </c>
      <c r="L35" s="19">
        <f t="shared" si="17"/>
        <v>7233.4521098696268</v>
      </c>
      <c r="M35" s="19">
        <f t="shared" si="17"/>
        <v>6240.88660722235</v>
      </c>
      <c r="N35" s="19">
        <f t="shared" si="17"/>
        <v>5033.2953808799648</v>
      </c>
      <c r="O35" s="19">
        <f t="shared" si="17"/>
        <v>3485.5622599261233</v>
      </c>
      <c r="P35" s="19">
        <f t="shared" si="17"/>
        <v>1680.8569845933573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749.76179368294038</v>
      </c>
      <c r="Y35" s="19">
        <f t="shared" si="18"/>
        <v>1552.4618730158818</v>
      </c>
      <c r="Z35" s="19">
        <f t="shared" si="18"/>
        <v>2432.8168615744826</v>
      </c>
      <c r="AA35" s="19">
        <f t="shared" si="18"/>
        <v>3397.9380520790992</v>
      </c>
      <c r="AB35" s="19">
        <f t="shared" si="18"/>
        <v>4455.3371545430391</v>
      </c>
      <c r="AC35" s="19">
        <f t="shared" si="18"/>
        <v>5613.3000030283729</v>
      </c>
      <c r="AD35" s="19">
        <f t="shared" si="18"/>
        <v>6880.7538035805592</v>
      </c>
      <c r="AE35" s="19">
        <f t="shared" si="18"/>
        <v>8267.6322008149291</v>
      </c>
      <c r="AF35" s="19">
        <f t="shared" si="18"/>
        <v>9784.4620733420161</v>
      </c>
    </row>
    <row r="36" spans="1:32">
      <c r="A36" s="21" t="s">
        <v>75</v>
      </c>
      <c r="B36" s="140">
        <f>IF(B33&lt;0,-B33,0)</f>
        <v>1338.2625815669612</v>
      </c>
      <c r="C36" s="140">
        <f t="shared" ref="C36:AF36" si="19">IF(C33&lt;0,-C33,0)</f>
        <v>2618.3786412680229</v>
      </c>
      <c r="D36" s="140">
        <f t="shared" si="19"/>
        <v>2265.7979587994419</v>
      </c>
      <c r="E36" s="140">
        <f t="shared" si="19"/>
        <v>1484.4056427127648</v>
      </c>
      <c r="F36" s="140">
        <f t="shared" si="19"/>
        <v>852.35757368517113</v>
      </c>
      <c r="G36" s="140">
        <f t="shared" si="19"/>
        <v>278.77909656178662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749.76179368294038</v>
      </c>
      <c r="X36" s="140">
        <f t="shared" si="19"/>
        <v>802.7000793329413</v>
      </c>
      <c r="Y36" s="140">
        <f t="shared" si="19"/>
        <v>880.35498855860067</v>
      </c>
      <c r="Z36" s="140">
        <f t="shared" si="19"/>
        <v>965.12119050461649</v>
      </c>
      <c r="AA36" s="140">
        <f t="shared" si="19"/>
        <v>1057.3991024639399</v>
      </c>
      <c r="AB36" s="140">
        <f t="shared" si="19"/>
        <v>1157.9628484853342</v>
      </c>
      <c r="AC36" s="140">
        <f t="shared" si="19"/>
        <v>1267.4538005521863</v>
      </c>
      <c r="AD36" s="140">
        <f t="shared" si="19"/>
        <v>1386.8783972343697</v>
      </c>
      <c r="AE36" s="140">
        <f t="shared" si="19"/>
        <v>1516.8298725270872</v>
      </c>
      <c r="AF36" s="140">
        <f t="shared" si="19"/>
        <v>1678.7931703438703</v>
      </c>
    </row>
    <row r="37" spans="1:32">
      <c r="A37" s="13" t="s">
        <v>295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0</v>
      </c>
      <c r="R37" s="476">
        <f t="shared" ref="R37:AF37" si="20">IF(-SUM(C38:Q38, C37:Q37)&gt;C36,0,-C36-SUM(C38:Q38,C37:Q37))</f>
        <v>0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296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-118.89925997650579</v>
      </c>
      <c r="I38" s="133">
        <f t="shared" si="21"/>
        <v>-266.05104173160447</v>
      </c>
      <c r="J38" s="133">
        <f t="shared" si="21"/>
        <v>-520.76015419819043</v>
      </c>
      <c r="K38" s="133">
        <f t="shared" si="21"/>
        <v>-698.81892881822023</v>
      </c>
      <c r="L38" s="133">
        <f t="shared" si="21"/>
        <v>-992.56550264727639</v>
      </c>
      <c r="M38" s="133">
        <f t="shared" si="21"/>
        <v>-1207.5912263423857</v>
      </c>
      <c r="N38" s="133">
        <f t="shared" si="21"/>
        <v>-1547.7331209538418</v>
      </c>
      <c r="O38" s="133">
        <f t="shared" si="21"/>
        <v>-1804.705275332766</v>
      </c>
      <c r="P38" s="133">
        <f t="shared" si="21"/>
        <v>-1680.8569845933573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1338.2625815669612</v>
      </c>
      <c r="C39" s="133">
        <f t="shared" si="23"/>
        <v>3956.6412228349841</v>
      </c>
      <c r="D39" s="133">
        <f t="shared" si="23"/>
        <v>6222.4391816344259</v>
      </c>
      <c r="E39" s="133">
        <f t="shared" si="23"/>
        <v>7706.8448243471903</v>
      </c>
      <c r="F39" s="133">
        <f t="shared" si="23"/>
        <v>8559.2023980323611</v>
      </c>
      <c r="G39" s="133">
        <f t="shared" si="23"/>
        <v>8837.9814945941471</v>
      </c>
      <c r="H39" s="133">
        <f t="shared" si="23"/>
        <v>8719.082234617641</v>
      </c>
      <c r="I39" s="133">
        <f t="shared" si="23"/>
        <v>8453.0311928860374</v>
      </c>
      <c r="J39" s="133">
        <f t="shared" si="23"/>
        <v>7932.2710386878471</v>
      </c>
      <c r="K39" s="133">
        <f t="shared" si="23"/>
        <v>7233.4521098696268</v>
      </c>
      <c r="L39" s="133">
        <f t="shared" si="23"/>
        <v>6240.88660722235</v>
      </c>
      <c r="M39" s="133">
        <f t="shared" si="23"/>
        <v>5033.2953808799648</v>
      </c>
      <c r="N39" s="133">
        <f t="shared" si="23"/>
        <v>3485.5622599261233</v>
      </c>
      <c r="O39" s="133">
        <f t="shared" si="23"/>
        <v>1680.8569845933573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749.76179368294038</v>
      </c>
      <c r="X39" s="133">
        <f t="shared" si="23"/>
        <v>1552.4618730158818</v>
      </c>
      <c r="Y39" s="133">
        <f t="shared" si="23"/>
        <v>2432.8168615744826</v>
      </c>
      <c r="Z39" s="133">
        <f t="shared" si="23"/>
        <v>3397.9380520790992</v>
      </c>
      <c r="AA39" s="133">
        <f t="shared" si="23"/>
        <v>4455.3371545430391</v>
      </c>
      <c r="AB39" s="133">
        <f t="shared" si="23"/>
        <v>5613.3000030283729</v>
      </c>
      <c r="AC39" s="133">
        <f t="shared" si="23"/>
        <v>6880.7538035805592</v>
      </c>
      <c r="AD39" s="133">
        <f t="shared" si="23"/>
        <v>8267.6322008149291</v>
      </c>
      <c r="AE39" s="133">
        <f t="shared" si="23"/>
        <v>9784.4620733420161</v>
      </c>
      <c r="AF39" s="133">
        <f t="shared" si="23"/>
        <v>11463.255243685886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218</v>
      </c>
      <c r="B41" s="137">
        <f>IF(B30&lt;0,0,B38+B33)</f>
        <v>0</v>
      </c>
      <c r="C41" s="137">
        <f t="shared" ref="C41:AF41" si="24">IF(C30&lt;0,0,C38+C33)</f>
        <v>0</v>
      </c>
      <c r="D41" s="137">
        <f t="shared" si="24"/>
        <v>0</v>
      </c>
      <c r="E41" s="137">
        <f t="shared" si="24"/>
        <v>0</v>
      </c>
      <c r="F41" s="137">
        <f t="shared" si="24"/>
        <v>0</v>
      </c>
      <c r="G41" s="137">
        <f t="shared" si="24"/>
        <v>0</v>
      </c>
      <c r="H41" s="137">
        <f t="shared" si="24"/>
        <v>0</v>
      </c>
      <c r="I41" s="137">
        <f t="shared" si="24"/>
        <v>0</v>
      </c>
      <c r="J41" s="137">
        <f t="shared" si="24"/>
        <v>0</v>
      </c>
      <c r="K41" s="137">
        <f t="shared" si="24"/>
        <v>0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267.1529289037494</v>
      </c>
      <c r="Q41" s="137">
        <f t="shared" si="24"/>
        <v>3206.8312836679688</v>
      </c>
      <c r="R41" s="137">
        <f t="shared" si="24"/>
        <v>4467.4503877641419</v>
      </c>
      <c r="S41" s="137">
        <f t="shared" si="24"/>
        <v>4543.587482422412</v>
      </c>
      <c r="T41" s="137">
        <f t="shared" si="24"/>
        <v>4571.4495250425307</v>
      </c>
      <c r="U41" s="137">
        <f t="shared" si="24"/>
        <v>4596.8940614856765</v>
      </c>
      <c r="V41" s="137">
        <f t="shared" si="24"/>
        <v>1532.5781715816775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zoomScale="75" zoomScaleNormal="75" workbookViewId="0">
      <selection activeCell="J43" sqref="J43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Calpine</v>
      </c>
    </row>
    <row r="4" spans="1:25" ht="18.75">
      <c r="A4" s="61" t="s">
        <v>195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357</v>
      </c>
      <c r="B6" s="236"/>
      <c r="C6" s="449">
        <f>Assumptions!C22</f>
        <v>27189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202</v>
      </c>
      <c r="B7" s="236"/>
      <c r="C7" s="459">
        <f>Assumptions!H16</f>
        <v>8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200</v>
      </c>
      <c r="B8" s="236"/>
      <c r="C8" s="532">
        <f>Assumptions!H39</f>
        <v>8.5000000000000006E-2</v>
      </c>
      <c r="D8" s="245">
        <f>C8/360</f>
        <v>2.3611111111111112E-4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201</v>
      </c>
      <c r="D9" s="244" t="s">
        <v>237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189</v>
      </c>
      <c r="E12" s="232" t="s">
        <v>196</v>
      </c>
      <c r="F12" s="233"/>
      <c r="G12" s="233"/>
      <c r="H12" s="233"/>
      <c r="I12" s="233"/>
      <c r="J12" s="228"/>
    </row>
    <row r="13" spans="1:25">
      <c r="A13" s="232" t="s">
        <v>186</v>
      </c>
      <c r="B13" s="5"/>
      <c r="C13" s="5"/>
      <c r="D13" s="234" t="s">
        <v>197</v>
      </c>
      <c r="E13" s="234" t="s">
        <v>190</v>
      </c>
      <c r="F13" s="234" t="s">
        <v>191</v>
      </c>
      <c r="G13" s="239" t="s">
        <v>192</v>
      </c>
      <c r="H13" s="234" t="s">
        <v>193</v>
      </c>
      <c r="I13" s="234" t="s">
        <v>194</v>
      </c>
      <c r="J13" s="66"/>
    </row>
    <row r="14" spans="1:25">
      <c r="A14" s="229" t="s">
        <v>187</v>
      </c>
      <c r="B14" s="229" t="s">
        <v>135</v>
      </c>
      <c r="C14" s="229" t="s">
        <v>188</v>
      </c>
      <c r="D14" s="229" t="s">
        <v>199</v>
      </c>
      <c r="E14" s="229" t="s">
        <v>199</v>
      </c>
      <c r="F14" s="229" t="s">
        <v>199</v>
      </c>
      <c r="G14" s="229" t="s">
        <v>199</v>
      </c>
      <c r="H14" s="229" t="s">
        <v>199</v>
      </c>
      <c r="I14" s="229" t="s">
        <v>199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</v>
      </c>
      <c r="D15" s="241">
        <f>D59*Assumptions!H12</f>
        <v>57041.798429326831</v>
      </c>
      <c r="E15" s="242">
        <f t="shared" ref="E15:E33" si="0">C15*$C$6</f>
        <v>2718.9</v>
      </c>
      <c r="F15" s="242">
        <f t="shared" ref="F15:F33" si="1">+E15+D15</f>
        <v>59760.698429326832</v>
      </c>
      <c r="G15" s="242">
        <f>F15+H15</f>
        <v>59760.698429326832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0.04</v>
      </c>
      <c r="D16" s="241">
        <v>0</v>
      </c>
      <c r="E16" s="242">
        <f t="shared" si="0"/>
        <v>1087.56</v>
      </c>
      <c r="F16" s="242">
        <f t="shared" si="1"/>
        <v>1087.56</v>
      </c>
      <c r="G16" s="242">
        <f t="shared" ref="G16:G33" si="3">F16+G15+H16</f>
        <v>61271.563376534563</v>
      </c>
      <c r="H16" s="242">
        <f>IF(A16&gt;$C$7+1,0,G15*(B16-B15)*$D$8)</f>
        <v>423.30494720773174</v>
      </c>
      <c r="I16" s="242">
        <f>IF(A16&lt;=$C$7+1,H16+I15,I15)</f>
        <v>423.30494720773174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0.08</v>
      </c>
      <c r="D17" s="241">
        <v>0</v>
      </c>
      <c r="E17" s="242">
        <f t="shared" si="0"/>
        <v>2175.12</v>
      </c>
      <c r="F17" s="242">
        <f t="shared" si="1"/>
        <v>2175.12</v>
      </c>
      <c r="G17" s="242">
        <f t="shared" si="3"/>
        <v>63895.157180693364</v>
      </c>
      <c r="H17" s="242">
        <f t="shared" ref="H17:H33" si="4">IF(A17&gt;$C$7+1,0,G16*(B17-B16)*$D$8)</f>
        <v>448.47380415880161</v>
      </c>
      <c r="I17" s="242">
        <f t="shared" ref="I17:I33" si="5">IF(A17&lt;=$C$7+1,H17+I16,I16)</f>
        <v>871.77875136653336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</v>
      </c>
      <c r="D18" s="241">
        <v>0</v>
      </c>
      <c r="E18" s="242">
        <f t="shared" si="0"/>
        <v>2718.9</v>
      </c>
      <c r="F18" s="242">
        <f t="shared" si="1"/>
        <v>2718.9</v>
      </c>
      <c r="G18" s="242">
        <f t="shared" si="3"/>
        <v>67066.647877389943</v>
      </c>
      <c r="H18" s="242">
        <f t="shared" si="4"/>
        <v>452.59069669657799</v>
      </c>
      <c r="I18" s="242">
        <f t="shared" si="5"/>
        <v>1324.3694480631113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0.11</v>
      </c>
      <c r="D19" s="241">
        <v>0</v>
      </c>
      <c r="E19" s="242">
        <f t="shared" si="0"/>
        <v>2990.79</v>
      </c>
      <c r="F19" s="242">
        <f t="shared" si="1"/>
        <v>2990.79</v>
      </c>
      <c r="G19" s="242">
        <f t="shared" si="3"/>
        <v>70548.32848060361</v>
      </c>
      <c r="H19" s="242">
        <f t="shared" si="4"/>
        <v>490.89060321367361</v>
      </c>
      <c r="I19" s="242">
        <f t="shared" si="5"/>
        <v>1815.2600512767849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2990.79</v>
      </c>
      <c r="F20" s="242">
        <f t="shared" si="1"/>
        <v>2990.79</v>
      </c>
      <c r="G20" s="242">
        <f t="shared" si="3"/>
        <v>74055.493051565805</v>
      </c>
      <c r="H20" s="242">
        <f t="shared" si="4"/>
        <v>516.37457096219589</v>
      </c>
      <c r="I20" s="242">
        <f t="shared" si="5"/>
        <v>2331.6346222389807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</v>
      </c>
      <c r="D21" s="241">
        <v>0</v>
      </c>
      <c r="E21" s="242">
        <f t="shared" si="0"/>
        <v>2718.9</v>
      </c>
      <c r="F21" s="242">
        <f t="shared" si="1"/>
        <v>2718.9</v>
      </c>
      <c r="G21" s="242">
        <f t="shared" si="3"/>
        <v>77298.952794014389</v>
      </c>
      <c r="H21" s="242">
        <f t="shared" si="4"/>
        <v>524.55974244859112</v>
      </c>
      <c r="I21" s="242">
        <f t="shared" si="5"/>
        <v>2856.1943646875716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0.08</v>
      </c>
      <c r="D22" s="241">
        <v>0</v>
      </c>
      <c r="E22" s="242">
        <f t="shared" si="0"/>
        <v>2175.12</v>
      </c>
      <c r="F22" s="242">
        <f t="shared" si="1"/>
        <v>2175.12</v>
      </c>
      <c r="G22" s="242">
        <f t="shared" si="3"/>
        <v>80039.858184603901</v>
      </c>
      <c r="H22" s="242">
        <f t="shared" si="4"/>
        <v>565.78539058952197</v>
      </c>
      <c r="I22" s="242">
        <f t="shared" si="5"/>
        <v>3421.9797552770933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0.06</v>
      </c>
      <c r="D23" s="241">
        <v>0</v>
      </c>
      <c r="E23" s="242">
        <f t="shared" si="0"/>
        <v>1631.34</v>
      </c>
      <c r="F23" s="242">
        <f t="shared" si="1"/>
        <v>1631.34</v>
      </c>
      <c r="G23" s="242">
        <f t="shared" si="3"/>
        <v>82238.147180078173</v>
      </c>
      <c r="H23" s="242">
        <f t="shared" si="4"/>
        <v>566.94899547427758</v>
      </c>
      <c r="I23" s="242">
        <f t="shared" si="5"/>
        <v>3988.9287507513709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0.06</v>
      </c>
      <c r="D24" s="241">
        <v>0</v>
      </c>
      <c r="E24" s="242">
        <f t="shared" si="0"/>
        <v>1631.34</v>
      </c>
      <c r="F24" s="242">
        <f t="shared" si="1"/>
        <v>1631.34</v>
      </c>
      <c r="G24" s="242">
        <f t="shared" si="3"/>
        <v>83869.487180078169</v>
      </c>
      <c r="H24" s="242">
        <f t="shared" si="4"/>
        <v>0</v>
      </c>
      <c r="I24" s="242">
        <f t="shared" si="5"/>
        <v>3988.9287507513709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0.03</v>
      </c>
      <c r="D25" s="241">
        <v>0</v>
      </c>
      <c r="E25" s="242">
        <f t="shared" si="0"/>
        <v>815.67</v>
      </c>
      <c r="F25" s="242">
        <f t="shared" si="1"/>
        <v>815.67</v>
      </c>
      <c r="G25" s="242">
        <f t="shared" si="3"/>
        <v>84685.157180078168</v>
      </c>
      <c r="H25" s="242">
        <f t="shared" si="4"/>
        <v>0</v>
      </c>
      <c r="I25" s="242">
        <f t="shared" si="5"/>
        <v>3988.9287507513709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0.04</v>
      </c>
      <c r="D26" s="241">
        <v>0</v>
      </c>
      <c r="E26" s="242">
        <f t="shared" si="0"/>
        <v>1087.56</v>
      </c>
      <c r="F26" s="242">
        <f t="shared" si="1"/>
        <v>1087.56</v>
      </c>
      <c r="G26" s="242">
        <f t="shared" si="3"/>
        <v>85772.717180078165</v>
      </c>
      <c r="H26" s="242">
        <f t="shared" si="4"/>
        <v>0</v>
      </c>
      <c r="I26" s="242">
        <f t="shared" si="5"/>
        <v>3988.9287507513709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0.04</v>
      </c>
      <c r="D27" s="241">
        <v>0</v>
      </c>
      <c r="E27" s="242">
        <f t="shared" si="0"/>
        <v>1087.56</v>
      </c>
      <c r="F27" s="242">
        <f t="shared" si="1"/>
        <v>1087.56</v>
      </c>
      <c r="G27" s="242">
        <f t="shared" si="3"/>
        <v>86860.277180078163</v>
      </c>
      <c r="H27" s="242">
        <f t="shared" si="4"/>
        <v>0</v>
      </c>
      <c r="I27" s="242">
        <f t="shared" si="5"/>
        <v>3988.9287507513709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0.05</v>
      </c>
      <c r="D28" s="241">
        <v>0</v>
      </c>
      <c r="E28" s="242">
        <f t="shared" si="0"/>
        <v>1359.45</v>
      </c>
      <c r="F28" s="242">
        <f t="shared" si="1"/>
        <v>1359.45</v>
      </c>
      <c r="G28" s="242">
        <f t="shared" si="3"/>
        <v>88219.72718007816</v>
      </c>
      <c r="H28" s="242">
        <f t="shared" si="4"/>
        <v>0</v>
      </c>
      <c r="I28" s="242">
        <f t="shared" si="5"/>
        <v>3988.9287507513709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88219.72718007816</v>
      </c>
      <c r="H29" s="242">
        <f t="shared" si="4"/>
        <v>0</v>
      </c>
      <c r="I29" s="242">
        <f t="shared" si="5"/>
        <v>3988.9287507513709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88219.72718007816</v>
      </c>
      <c r="H30" s="242">
        <f t="shared" si="4"/>
        <v>0</v>
      </c>
      <c r="I30" s="242">
        <f t="shared" si="5"/>
        <v>3988.9287507513709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88219.72718007816</v>
      </c>
      <c r="H31" s="242">
        <f t="shared" si="4"/>
        <v>0</v>
      </c>
      <c r="I31" s="242">
        <f t="shared" si="5"/>
        <v>3988.9287507513709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88219.72718007816</v>
      </c>
      <c r="H32" s="242">
        <f t="shared" si="4"/>
        <v>0</v>
      </c>
      <c r="I32" s="242">
        <f t="shared" si="5"/>
        <v>3988.9287507513709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88219.72718007816</v>
      </c>
      <c r="H33" s="247">
        <f t="shared" si="4"/>
        <v>0</v>
      </c>
      <c r="I33" s="247">
        <f t="shared" si="5"/>
        <v>3988.9287507513709</v>
      </c>
      <c r="K33" s="447"/>
    </row>
    <row r="34" spans="1:12">
      <c r="C34" s="235">
        <f>SUM(C15:C33)</f>
        <v>1.0000000000000002</v>
      </c>
      <c r="D34" s="243">
        <f>SUM(D15:D33)</f>
        <v>57041.798429326831</v>
      </c>
      <c r="E34" s="243">
        <f>SUM(E15:E33)</f>
        <v>27189.000000000004</v>
      </c>
      <c r="F34" s="243">
        <f>SUM(F15:F33)</f>
        <v>84230.798429326795</v>
      </c>
      <c r="G34" s="18"/>
      <c r="H34" s="243">
        <f>SUM(H15:H33)</f>
        <v>3988.9287507513709</v>
      </c>
      <c r="I34" s="243"/>
    </row>
    <row r="38" spans="1:12" ht="18.75">
      <c r="A38" s="61" t="s">
        <v>233</v>
      </c>
      <c r="B38" s="288"/>
      <c r="F38"/>
      <c r="G38"/>
      <c r="H38"/>
      <c r="I38"/>
      <c r="J38"/>
      <c r="K38"/>
      <c r="L38"/>
    </row>
    <row r="39" spans="1:12" ht="13.5" thickBot="1">
      <c r="F39" s="411" t="s">
        <v>435</v>
      </c>
    </row>
    <row r="40" spans="1:12">
      <c r="F40" s="429"/>
      <c r="G40" s="425" t="s">
        <v>343</v>
      </c>
      <c r="H40" s="425">
        <v>2</v>
      </c>
      <c r="I40" s="425">
        <v>3</v>
      </c>
      <c r="J40" s="425">
        <v>4</v>
      </c>
      <c r="K40" s="425">
        <v>5</v>
      </c>
      <c r="L40" s="426">
        <v>6</v>
      </c>
    </row>
    <row r="41" spans="1:12" ht="13.5" thickBot="1">
      <c r="A41" s="232" t="s">
        <v>344</v>
      </c>
      <c r="B41" s="232" t="s">
        <v>346</v>
      </c>
      <c r="C41" s="232" t="s">
        <v>348</v>
      </c>
      <c r="D41" s="232" t="s">
        <v>232</v>
      </c>
      <c r="F41" s="430" t="s">
        <v>187</v>
      </c>
      <c r="G41" s="427" t="s">
        <v>353</v>
      </c>
      <c r="H41" s="427">
        <v>13</v>
      </c>
      <c r="I41" s="427">
        <v>13.5</v>
      </c>
      <c r="J41" s="427">
        <v>14</v>
      </c>
      <c r="K41" s="427">
        <v>14.5</v>
      </c>
      <c r="L41" s="428">
        <v>15</v>
      </c>
    </row>
    <row r="42" spans="1:12" ht="13.5" thickBot="1">
      <c r="A42" s="232" t="s">
        <v>345</v>
      </c>
      <c r="B42" s="232" t="s">
        <v>347</v>
      </c>
      <c r="C42" s="232" t="s">
        <v>349</v>
      </c>
      <c r="D42" s="232" t="s">
        <v>350</v>
      </c>
      <c r="F42" s="431">
        <v>1</v>
      </c>
      <c r="G42" s="417"/>
      <c r="H42" s="529">
        <v>0.1</v>
      </c>
      <c r="I42" s="529">
        <v>0.1</v>
      </c>
      <c r="J42" s="418">
        <v>0.1</v>
      </c>
      <c r="K42" s="418">
        <v>0.1</v>
      </c>
      <c r="L42" s="419">
        <v>0.1</v>
      </c>
    </row>
    <row r="43" spans="1:12">
      <c r="A43" s="435" t="s">
        <v>231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420">
        <v>0.04</v>
      </c>
      <c r="K43" s="420">
        <v>0.04</v>
      </c>
      <c r="L43" s="421">
        <v>0.04</v>
      </c>
    </row>
    <row r="44" spans="1:12">
      <c r="A44" s="439" t="s">
        <v>230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420">
        <v>0.08</v>
      </c>
      <c r="K44" s="420">
        <v>0.08</v>
      </c>
      <c r="L44" s="421">
        <v>0.08</v>
      </c>
    </row>
    <row r="45" spans="1:12">
      <c r="A45" s="439" t="s">
        <v>229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420">
        <v>0.1</v>
      </c>
      <c r="K45" s="420">
        <v>0.1</v>
      </c>
      <c r="L45" s="421">
        <v>0.1</v>
      </c>
    </row>
    <row r="46" spans="1:12">
      <c r="A46" s="439" t="s">
        <v>228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420">
        <v>0.11</v>
      </c>
      <c r="K46" s="420">
        <v>0.11</v>
      </c>
      <c r="L46" s="421">
        <v>0.1</v>
      </c>
    </row>
    <row r="47" spans="1:12">
      <c r="A47" s="439" t="s">
        <v>227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420">
        <v>0.11</v>
      </c>
      <c r="K47" s="420">
        <v>0.11</v>
      </c>
      <c r="L47" s="421">
        <v>0.1</v>
      </c>
    </row>
    <row r="48" spans="1:12">
      <c r="A48" s="441" t="s">
        <v>226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420">
        <v>0.1</v>
      </c>
      <c r="K48" s="420">
        <v>0.1</v>
      </c>
      <c r="L48" s="421">
        <v>0.08</v>
      </c>
    </row>
    <row r="49" spans="1:12">
      <c r="A49" s="441" t="s">
        <v>225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420">
        <v>0.08</v>
      </c>
      <c r="K49" s="420">
        <v>0.08</v>
      </c>
      <c r="L49" s="421">
        <v>0.08</v>
      </c>
    </row>
    <row r="50" spans="1:12">
      <c r="A50" s="441" t="s">
        <v>224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420">
        <v>0.06</v>
      </c>
      <c r="K50" s="420">
        <v>0.06</v>
      </c>
      <c r="L50" s="421">
        <v>0.06</v>
      </c>
    </row>
    <row r="51" spans="1:12">
      <c r="A51" s="441" t="s">
        <v>223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420">
        <v>0.06</v>
      </c>
      <c r="K51" s="420">
        <v>0.06</v>
      </c>
      <c r="L51" s="421">
        <v>0.06</v>
      </c>
    </row>
    <row r="52" spans="1:12" ht="13.5" thickBot="1">
      <c r="A52" s="442" t="s">
        <v>222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420">
        <v>0.03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420">
        <v>0.04</v>
      </c>
      <c r="K53" s="420">
        <v>0.04</v>
      </c>
      <c r="L53" s="421">
        <v>0.04</v>
      </c>
    </row>
    <row r="54" spans="1:12" ht="13.5" thickBot="1">
      <c r="F54" s="432">
        <v>13</v>
      </c>
      <c r="G54" s="181"/>
      <c r="H54" s="530">
        <v>0.05</v>
      </c>
      <c r="I54" s="530">
        <v>0.05</v>
      </c>
      <c r="J54" s="420">
        <v>0.04</v>
      </c>
      <c r="K54" s="420">
        <v>0.04</v>
      </c>
      <c r="L54" s="421">
        <v>0.04</v>
      </c>
    </row>
    <row r="55" spans="1:12">
      <c r="A55" s="292" t="s">
        <v>351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420">
        <v>0.05</v>
      </c>
      <c r="K55" s="420">
        <v>0.05</v>
      </c>
      <c r="L55" s="421">
        <v>0.04</v>
      </c>
    </row>
    <row r="56" spans="1:12" ht="13.5" thickBot="1">
      <c r="A56" s="41" t="s">
        <v>235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423">
        <v>0</v>
      </c>
      <c r="K56" s="423">
        <v>0</v>
      </c>
      <c r="L56" s="424">
        <v>0.05</v>
      </c>
    </row>
    <row r="57" spans="1:12" ht="13.5" thickBot="1">
      <c r="A57" s="41" t="s">
        <v>236</v>
      </c>
      <c r="B57" s="13"/>
      <c r="C57" s="13"/>
      <c r="D57" s="290">
        <v>289.6162739983738</v>
      </c>
      <c r="F57" s="448" t="s">
        <v>354</v>
      </c>
      <c r="G57" s="422"/>
      <c r="H57" s="423">
        <f>SUM(H42:H56)</f>
        <v>1.0000000000000002</v>
      </c>
      <c r="I57" s="423">
        <f>SUM(I42:I56)</f>
        <v>1.0000000000000002</v>
      </c>
      <c r="J57" s="423">
        <f>SUM(J42:J56)</f>
        <v>1.0000000000000002</v>
      </c>
      <c r="K57" s="423">
        <f>SUM(K42:K56)</f>
        <v>1.0000000000000002</v>
      </c>
      <c r="L57" s="424">
        <f>SUM(L42:L56)</f>
        <v>1.0000000000000002</v>
      </c>
    </row>
    <row r="58" spans="1:12" ht="13.5" thickBot="1">
      <c r="A58" s="173" t="s">
        <v>234</v>
      </c>
      <c r="B58" s="42"/>
      <c r="C58" s="42"/>
      <c r="D58" s="291">
        <v>20.833333333333314</v>
      </c>
      <c r="E58" s="66"/>
    </row>
    <row r="59" spans="1:12" ht="13.5" thickBot="1">
      <c r="A59" s="293" t="s">
        <v>352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Calpine</v>
      </c>
    </row>
    <row r="4" spans="1:4" ht="18.75">
      <c r="A4" s="171" t="s">
        <v>126</v>
      </c>
    </row>
    <row r="6" spans="1:4" ht="13.5" thickBot="1"/>
    <row r="7" spans="1:4" ht="13.5" thickBot="1">
      <c r="A7" s="527"/>
      <c r="B7" s="483" t="s">
        <v>417</v>
      </c>
      <c r="C7" s="484" t="s">
        <v>0</v>
      </c>
      <c r="D7" s="485"/>
    </row>
    <row r="8" spans="1:4">
      <c r="A8" s="486"/>
      <c r="B8" s="298" t="s">
        <v>128</v>
      </c>
      <c r="C8" s="298" t="s">
        <v>2</v>
      </c>
      <c r="D8" s="487" t="s">
        <v>424</v>
      </c>
    </row>
    <row r="9" spans="1:4" ht="13.5" thickBot="1">
      <c r="A9" s="488" t="s">
        <v>125</v>
      </c>
      <c r="B9" s="489">
        <f>'Returns Analysis'!C39</f>
        <v>7.8000870347023021E-2</v>
      </c>
      <c r="C9" s="490">
        <f>Debt!E69</f>
        <v>1.2999999999999976</v>
      </c>
      <c r="D9" s="491">
        <f>Debt!E68</f>
        <v>1.3000000000000005</v>
      </c>
    </row>
    <row r="10" spans="1:4">
      <c r="A10" s="63"/>
      <c r="C10" s="492"/>
      <c r="D10" s="492"/>
    </row>
    <row r="11" spans="1:4" ht="13.5" thickBot="1"/>
    <row r="12" spans="1:4">
      <c r="A12" s="493" t="s">
        <v>382</v>
      </c>
      <c r="B12" s="494">
        <f>B9</f>
        <v>7.8000870347023021E-2</v>
      </c>
      <c r="C12" s="495">
        <f>C9</f>
        <v>1.2999999999999976</v>
      </c>
      <c r="D12" s="496">
        <f>D9</f>
        <v>1.3000000000000005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31" zoomScale="75" zoomScaleNormal="75" workbookViewId="0">
      <selection activeCell="H62" sqref="H62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436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208</v>
      </c>
      <c r="M8" s="120"/>
      <c r="N8" s="38"/>
      <c r="O8" s="38"/>
      <c r="P8" s="39"/>
      <c r="U8" s="342" t="s">
        <v>241</v>
      </c>
      <c r="V8" s="343" t="s">
        <v>246</v>
      </c>
      <c r="W8" s="343" t="s">
        <v>250</v>
      </c>
      <c r="X8" s="343" t="s">
        <v>127</v>
      </c>
      <c r="Y8" s="343" t="s">
        <v>266</v>
      </c>
      <c r="Z8" s="343" t="s">
        <v>267</v>
      </c>
      <c r="AA8" s="343" t="s">
        <v>268</v>
      </c>
      <c r="AB8" s="365" t="s">
        <v>327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315</v>
      </c>
      <c r="M9" s="13"/>
      <c r="N9" s="13"/>
      <c r="O9" s="13"/>
      <c r="P9" s="40"/>
      <c r="U9" s="332" t="s">
        <v>245</v>
      </c>
      <c r="V9" s="333" t="s">
        <v>247</v>
      </c>
      <c r="W9" s="333" t="s">
        <v>321</v>
      </c>
      <c r="X9" s="333" t="s">
        <v>262</v>
      </c>
      <c r="Y9" s="333" t="s">
        <v>271</v>
      </c>
      <c r="Z9" s="333" t="s">
        <v>269</v>
      </c>
      <c r="AA9" s="333" t="s">
        <v>269</v>
      </c>
      <c r="AB9" s="366" t="s">
        <v>330</v>
      </c>
    </row>
    <row r="10" spans="1:38" ht="15.75">
      <c r="A10" s="96" t="s">
        <v>6</v>
      </c>
      <c r="B10" s="97" t="s">
        <v>7</v>
      </c>
      <c r="C10" s="196" t="s">
        <v>8</v>
      </c>
      <c r="D10" s="351" t="s">
        <v>203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6" t="s">
        <v>242</v>
      </c>
      <c r="V10" s="208" t="s">
        <v>248</v>
      </c>
      <c r="W10" s="208" t="s">
        <v>322</v>
      </c>
      <c r="X10" s="208" t="s">
        <v>260</v>
      </c>
      <c r="Y10" s="208" t="s">
        <v>336</v>
      </c>
      <c r="Z10" s="208" t="s">
        <v>270</v>
      </c>
      <c r="AA10" s="208" t="s">
        <v>270</v>
      </c>
      <c r="AB10" s="367" t="s">
        <v>328</v>
      </c>
    </row>
    <row r="11" spans="1:38" ht="15.75">
      <c r="A11" s="99" t="s">
        <v>9</v>
      </c>
      <c r="B11" s="273">
        <f>C11/C14</f>
        <v>0.27189070486508771</v>
      </c>
      <c r="C11" s="197">
        <f>C58-C12</f>
        <v>28621.044651832344</v>
      </c>
      <c r="D11" s="352">
        <f>C11/$H$68</f>
        <v>150.63707711490707</v>
      </c>
      <c r="E11" s="13"/>
      <c r="F11" s="117" t="s">
        <v>220</v>
      </c>
      <c r="G11" s="13"/>
      <c r="H11" s="287">
        <v>14260.449607331708</v>
      </c>
      <c r="I11" s="13"/>
      <c r="J11" s="40"/>
      <c r="L11" s="119" t="s">
        <v>133</v>
      </c>
      <c r="M11" s="13"/>
      <c r="N11" s="264">
        <v>0.03</v>
      </c>
      <c r="O11" s="224"/>
      <c r="P11" s="40"/>
      <c r="U11" s="296" t="s">
        <v>39</v>
      </c>
      <c r="V11" s="208" t="s">
        <v>245</v>
      </c>
      <c r="W11" s="208"/>
      <c r="X11" s="208" t="s">
        <v>323</v>
      </c>
      <c r="Y11" s="208"/>
      <c r="Z11" s="208"/>
      <c r="AA11" s="208"/>
      <c r="AB11" s="367" t="s">
        <v>329</v>
      </c>
    </row>
    <row r="12" spans="1:38" ht="15.75">
      <c r="A12" s="99" t="s">
        <v>87</v>
      </c>
      <c r="B12" s="152">
        <f>C12/C14</f>
        <v>0.72810929513491229</v>
      </c>
      <c r="C12" s="197">
        <f>Debt!B19</f>
        <v>76645.682528245845</v>
      </c>
      <c r="D12" s="352">
        <f>C12/$H$68</f>
        <v>403.39832909603075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4"/>
      <c r="V12" s="208" t="s">
        <v>39</v>
      </c>
      <c r="W12" s="13"/>
      <c r="X12" s="208" t="s">
        <v>265</v>
      </c>
      <c r="Y12" s="13"/>
      <c r="Z12" s="13"/>
      <c r="AA12" s="13"/>
      <c r="AB12" s="338"/>
    </row>
    <row r="13" spans="1:38" ht="15.75">
      <c r="A13" s="100"/>
      <c r="B13" s="250"/>
      <c r="C13" s="197"/>
      <c r="D13" s="352"/>
      <c r="E13" s="13"/>
      <c r="F13" s="117" t="s">
        <v>274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2">
        <v>1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105266.72718007819</v>
      </c>
      <c r="D14" s="458">
        <f>C14/$H$68</f>
        <v>554.03540621093782</v>
      </c>
      <c r="E14" s="13"/>
      <c r="F14" s="117" t="s">
        <v>385</v>
      </c>
      <c r="G14" s="177"/>
      <c r="H14" s="254">
        <v>10300</v>
      </c>
      <c r="I14" s="13"/>
      <c r="J14" s="40"/>
      <c r="L14" s="41"/>
      <c r="M14" s="13"/>
      <c r="N14" s="276" t="s">
        <v>205</v>
      </c>
      <c r="O14" s="207" t="s">
        <v>179</v>
      </c>
      <c r="P14" s="204" t="s">
        <v>432</v>
      </c>
      <c r="U14" s="297" t="str">
        <f>CHOOSE(U13,U9,U10,U11)</f>
        <v>Index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75">
      <c r="A15" s="41"/>
      <c r="B15" s="13"/>
      <c r="C15" s="13"/>
      <c r="D15" s="354"/>
      <c r="E15" s="13"/>
      <c r="F15" s="117" t="s">
        <v>386</v>
      </c>
      <c r="G15" s="177"/>
      <c r="H15" s="254">
        <v>10500</v>
      </c>
      <c r="I15" s="111"/>
      <c r="J15" s="40"/>
      <c r="L15" s="102" t="s">
        <v>206</v>
      </c>
      <c r="M15" s="13"/>
      <c r="N15" s="539">
        <v>153.19999999999999</v>
      </c>
      <c r="O15" s="225"/>
      <c r="P15" s="265">
        <v>0.59</v>
      </c>
    </row>
    <row r="16" spans="1:38" ht="15.75">
      <c r="A16" s="41"/>
      <c r="B16" s="13"/>
      <c r="C16" s="13"/>
      <c r="D16" s="354"/>
      <c r="E16" s="13"/>
      <c r="F16" s="117" t="s">
        <v>198</v>
      </c>
      <c r="G16" s="13"/>
      <c r="H16" s="223">
        <v>8</v>
      </c>
      <c r="I16" s="13"/>
      <c r="J16" s="40"/>
      <c r="L16" s="105" t="s">
        <v>254</v>
      </c>
      <c r="M16" s="13"/>
      <c r="N16" s="540">
        <v>576.9</v>
      </c>
      <c r="O16" s="301"/>
      <c r="P16" s="302">
        <v>1.64</v>
      </c>
      <c r="U16" s="336"/>
      <c r="V16" s="57" t="s">
        <v>275</v>
      </c>
      <c r="W16" s="337" t="s">
        <v>276</v>
      </c>
    </row>
    <row r="17" spans="1:23" ht="15.75">
      <c r="A17" s="96" t="s">
        <v>105</v>
      </c>
      <c r="B17" s="97"/>
      <c r="C17" s="199"/>
      <c r="D17" s="352"/>
      <c r="E17" s="13"/>
      <c r="F17" s="117" t="s">
        <v>108</v>
      </c>
      <c r="G17" s="177"/>
      <c r="H17" s="257">
        <v>37043</v>
      </c>
      <c r="I17" s="13"/>
      <c r="J17" s="40"/>
      <c r="L17" s="117" t="s">
        <v>251</v>
      </c>
      <c r="M17" s="6"/>
      <c r="N17" s="279">
        <f>SUM(N15:N16)</f>
        <v>730.09999999999991</v>
      </c>
      <c r="O17" s="226"/>
      <c r="P17" s="303">
        <f>SUM(P15:P16)</f>
        <v>2.23</v>
      </c>
      <c r="U17" s="55" t="s">
        <v>271</v>
      </c>
      <c r="V17" s="13">
        <v>11</v>
      </c>
      <c r="W17" s="338">
        <v>21</v>
      </c>
    </row>
    <row r="18" spans="1:23" ht="15.75">
      <c r="A18" s="187"/>
      <c r="B18" s="168"/>
      <c r="C18" s="13"/>
      <c r="D18" s="354"/>
      <c r="E18" s="13"/>
      <c r="F18" s="102" t="s">
        <v>136</v>
      </c>
      <c r="G18" s="98"/>
      <c r="H18" s="279">
        <f>13-MONTH(H17)</f>
        <v>7</v>
      </c>
      <c r="I18" s="111"/>
      <c r="J18" s="40"/>
      <c r="L18" s="41"/>
      <c r="M18" s="13"/>
      <c r="N18" s="13"/>
      <c r="O18" s="13"/>
      <c r="P18" s="40"/>
      <c r="U18" s="339" t="s">
        <v>272</v>
      </c>
      <c r="V18" s="58">
        <v>12</v>
      </c>
      <c r="W18" s="299">
        <v>22</v>
      </c>
    </row>
    <row r="19" spans="1:23" ht="15.75">
      <c r="A19" s="99" t="s">
        <v>426</v>
      </c>
      <c r="B19" s="13"/>
      <c r="C19" s="13"/>
      <c r="D19" s="354"/>
      <c r="E19" s="13"/>
      <c r="F19" s="117" t="s">
        <v>107</v>
      </c>
      <c r="G19" s="13"/>
      <c r="H19" s="254">
        <v>20</v>
      </c>
      <c r="I19" s="111"/>
      <c r="J19" s="40"/>
      <c r="L19" s="102" t="s">
        <v>207</v>
      </c>
      <c r="M19" s="13"/>
      <c r="N19" s="256">
        <v>652</v>
      </c>
      <c r="O19" s="275">
        <f t="shared" ref="O19:O25" si="0">N19/$H$68</f>
        <v>3.4315789473684211</v>
      </c>
      <c r="P19" s="40"/>
    </row>
    <row r="20" spans="1:23" ht="15.75">
      <c r="A20" s="102" t="s">
        <v>427</v>
      </c>
      <c r="B20" s="169">
        <f t="shared" ref="B20:B33" si="1">C20/$C$58</f>
        <v>0.54187871094107731</v>
      </c>
      <c r="C20" s="200">
        <f>H11*H12</f>
        <v>57041.798429326831</v>
      </c>
      <c r="D20" s="352">
        <f t="shared" ref="D20:D33" si="2">C20/$H$68</f>
        <v>300.21999173329908</v>
      </c>
      <c r="E20" s="13"/>
      <c r="F20" s="117" t="s">
        <v>308</v>
      </c>
      <c r="G20" s="13"/>
      <c r="H20" s="341" t="s">
        <v>309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0.58947368421052626</v>
      </c>
      <c r="P20" s="40"/>
    </row>
    <row r="21" spans="1:23" ht="15.75">
      <c r="A21" s="102" t="s">
        <v>263</v>
      </c>
      <c r="B21" s="169">
        <f t="shared" si="1"/>
        <v>2.3559201149642487E-3</v>
      </c>
      <c r="C21" s="200">
        <f>62*H12</f>
        <v>248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0.94736842105263153</v>
      </c>
      <c r="P21" s="40"/>
    </row>
    <row r="22" spans="1:23" ht="15.75">
      <c r="A22" s="102" t="s">
        <v>181</v>
      </c>
      <c r="B22" s="169">
        <f t="shared" si="1"/>
        <v>0.25828674195872159</v>
      </c>
      <c r="C22" s="252">
        <v>27189</v>
      </c>
      <c r="D22" s="352">
        <f t="shared" si="2"/>
        <v>143.1</v>
      </c>
      <c r="E22" s="13"/>
      <c r="F22" s="116" t="s">
        <v>261</v>
      </c>
      <c r="G22" s="13"/>
      <c r="H22" s="331"/>
      <c r="I22" s="13"/>
      <c r="J22" s="40"/>
      <c r="L22" s="102" t="s">
        <v>358</v>
      </c>
      <c r="M22" s="13"/>
      <c r="N22" s="256">
        <v>0</v>
      </c>
      <c r="O22" s="275">
        <f t="shared" si="0"/>
        <v>0</v>
      </c>
      <c r="P22" s="40"/>
    </row>
    <row r="23" spans="1:23" ht="15.75">
      <c r="A23" s="102" t="s">
        <v>110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262</v>
      </c>
      <c r="G23" s="177"/>
      <c r="H23" s="329">
        <v>5</v>
      </c>
      <c r="I23" s="363"/>
      <c r="J23" s="40"/>
      <c r="L23" s="102" t="s">
        <v>45</v>
      </c>
      <c r="M23" s="13"/>
      <c r="N23" s="256">
        <v>0</v>
      </c>
      <c r="O23" s="275">
        <f t="shared" si="0"/>
        <v>0</v>
      </c>
      <c r="P23" s="40"/>
    </row>
    <row r="24" spans="1:23" ht="15.75">
      <c r="A24" s="102" t="s">
        <v>111</v>
      </c>
      <c r="B24" s="169">
        <f t="shared" si="1"/>
        <v>1.0782134397114606E-2</v>
      </c>
      <c r="C24" s="252">
        <v>1135</v>
      </c>
      <c r="D24" s="352">
        <f t="shared" si="2"/>
        <v>5.9736842105263159</v>
      </c>
      <c r="E24" s="13"/>
      <c r="F24" s="330" t="s">
        <v>384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5" thickBot="1">
      <c r="A25" s="102" t="s">
        <v>112</v>
      </c>
      <c r="B25" s="169">
        <f t="shared" si="1"/>
        <v>4.5598453838017715E-2</v>
      </c>
      <c r="C25" s="252">
        <v>4800</v>
      </c>
      <c r="D25" s="352">
        <f t="shared" si="2"/>
        <v>25.263157894736842</v>
      </c>
      <c r="E25" s="13"/>
      <c r="F25" s="251" t="s">
        <v>203</v>
      </c>
      <c r="G25" s="42"/>
      <c r="H25" s="361">
        <v>200</v>
      </c>
      <c r="I25" s="42"/>
      <c r="J25" s="81"/>
      <c r="L25" s="105" t="s">
        <v>38</v>
      </c>
      <c r="M25" s="220"/>
      <c r="N25" s="300">
        <v>200</v>
      </c>
      <c r="O25" s="304">
        <f t="shared" si="0"/>
        <v>1.0526315789473684</v>
      </c>
      <c r="P25" s="40"/>
    </row>
    <row r="26" spans="1:23" ht="16.5" thickBot="1">
      <c r="A26" s="102" t="s">
        <v>113</v>
      </c>
      <c r="B26" s="169">
        <f t="shared" si="1"/>
        <v>0</v>
      </c>
      <c r="C26" s="252">
        <v>0</v>
      </c>
      <c r="D26" s="352">
        <f t="shared" si="2"/>
        <v>0</v>
      </c>
      <c r="E26" s="13"/>
      <c r="L26" s="117" t="s">
        <v>252</v>
      </c>
      <c r="M26" s="6"/>
      <c r="N26" s="279">
        <f>SUM(N19:N25)</f>
        <v>1144</v>
      </c>
      <c r="O26" s="305">
        <f>SUM(O19:O25)</f>
        <v>6.0210526315789474</v>
      </c>
      <c r="P26" s="368"/>
    </row>
    <row r="27" spans="1:23" ht="15.75">
      <c r="A27" s="102" t="s">
        <v>114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341</v>
      </c>
      <c r="B28" s="169">
        <f t="shared" si="1"/>
        <v>5.8423018979960198E-3</v>
      </c>
      <c r="C28" s="252">
        <v>615</v>
      </c>
      <c r="D28" s="352">
        <f t="shared" si="2"/>
        <v>3.236842105263158</v>
      </c>
      <c r="E28" s="13"/>
      <c r="F28" s="359" t="s">
        <v>117</v>
      </c>
      <c r="G28" s="360"/>
      <c r="H28" s="360" t="s">
        <v>326</v>
      </c>
      <c r="I28" s="181"/>
      <c r="J28" s="335"/>
      <c r="L28" s="119" t="s">
        <v>90</v>
      </c>
      <c r="M28" s="13"/>
      <c r="N28" s="162"/>
      <c r="O28" s="226"/>
      <c r="P28" s="40"/>
      <c r="R28" s="3"/>
    </row>
    <row r="29" spans="1:23" ht="15.75">
      <c r="A29" s="102" t="s">
        <v>115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85</v>
      </c>
      <c r="G29" s="257">
        <v>36800</v>
      </c>
      <c r="H29" s="358"/>
      <c r="I29" s="181"/>
      <c r="J29" s="335"/>
      <c r="L29" s="102" t="s">
        <v>241</v>
      </c>
      <c r="M29" s="13"/>
      <c r="N29" s="279">
        <f>IS!C16</f>
        <v>9667.6802962500005</v>
      </c>
      <c r="O29" s="226">
        <f>N29/$H$68</f>
        <v>50.882527875000001</v>
      </c>
      <c r="P29" s="40"/>
      <c r="R29" s="346"/>
    </row>
    <row r="30" spans="1:23" ht="15.75">
      <c r="A30" s="102" t="s">
        <v>182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129</v>
      </c>
      <c r="G30" s="257">
        <v>36571</v>
      </c>
      <c r="H30" s="358"/>
      <c r="I30" s="181"/>
      <c r="J30" s="335"/>
      <c r="L30" s="102" t="s">
        <v>219</v>
      </c>
      <c r="M30" s="13"/>
      <c r="N30" s="279">
        <f>IS!C23/IS!C6</f>
        <v>0</v>
      </c>
      <c r="O30" s="226">
        <f>N30/$H$68</f>
        <v>0</v>
      </c>
      <c r="P30" s="40"/>
      <c r="R30" s="3"/>
    </row>
    <row r="31" spans="1:23" ht="15.75">
      <c r="A31" s="102" t="s">
        <v>183</v>
      </c>
      <c r="B31" s="169">
        <f t="shared" si="1"/>
        <v>9.4996778829203573E-4</v>
      </c>
      <c r="C31" s="252">
        <v>100</v>
      </c>
      <c r="D31" s="352">
        <f t="shared" si="2"/>
        <v>0.52631578947368418</v>
      </c>
      <c r="E31" s="13"/>
      <c r="F31" s="41"/>
      <c r="G31" s="13"/>
      <c r="H31" s="6"/>
      <c r="I31" s="181"/>
      <c r="J31" s="335"/>
      <c r="L31" s="102" t="s">
        <v>209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433</v>
      </c>
      <c r="B32" s="169">
        <f t="shared" si="1"/>
        <v>3.8578191882539574E-2</v>
      </c>
      <c r="C32" s="252">
        <v>4061</v>
      </c>
      <c r="D32" s="352">
        <f t="shared" si="2"/>
        <v>21.373684210526317</v>
      </c>
      <c r="E32" s="13"/>
      <c r="F32" s="106" t="s">
        <v>14</v>
      </c>
      <c r="G32" s="107">
        <f>Debt!B19</f>
        <v>76645.682528245845</v>
      </c>
      <c r="H32" s="107"/>
      <c r="I32" s="181"/>
      <c r="J32" s="335"/>
      <c r="L32" s="102" t="s">
        <v>213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5">
        <f t="shared" si="1"/>
        <v>1.2349581247796464E-2</v>
      </c>
      <c r="C33" s="253">
        <v>1300</v>
      </c>
      <c r="D33" s="353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434</v>
      </c>
      <c r="M33" s="42"/>
      <c r="N33" s="282">
        <f>IS!C26/IS!C6</f>
        <v>80.573226367445926</v>
      </c>
      <c r="O33" s="227">
        <f>N33/$H$68</f>
        <v>0.42406961246024172</v>
      </c>
      <c r="P33" s="81"/>
      <c r="R33" s="3"/>
    </row>
    <row r="34" spans="1:18" ht="16.5" thickBot="1">
      <c r="A34" s="102" t="s">
        <v>109</v>
      </c>
      <c r="B34" s="169">
        <f>SUM(B20:B33)</f>
        <v>0.91662200406651961</v>
      </c>
      <c r="C34" s="200">
        <f>SUM(C20:C33)</f>
        <v>96489.798429326824</v>
      </c>
      <c r="D34" s="352">
        <f>SUM(D20:D33)</f>
        <v>507.84104436487803</v>
      </c>
      <c r="E34" s="13"/>
      <c r="F34" s="106" t="s">
        <v>16</v>
      </c>
      <c r="G34" s="358">
        <v>42826</v>
      </c>
      <c r="H34" s="358"/>
      <c r="I34" s="181"/>
      <c r="J34" s="335"/>
      <c r="N34" s="202"/>
      <c r="R34" s="3"/>
    </row>
    <row r="35" spans="1:18" ht="15.75">
      <c r="A35" s="41"/>
      <c r="B35" s="13"/>
      <c r="C35" s="13"/>
      <c r="D35" s="354"/>
      <c r="E35" s="13"/>
      <c r="F35" s="106" t="s">
        <v>17</v>
      </c>
      <c r="G35" s="122">
        <f>Debt!E66</f>
        <v>2.3254030870578943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387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75">
      <c r="A37" s="99" t="s">
        <v>168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176</v>
      </c>
      <c r="B38" s="169">
        <f t="shared" si="3"/>
        <v>9.7276701521104465E-3</v>
      </c>
      <c r="C38" s="252">
        <v>1024</v>
      </c>
      <c r="D38" s="352">
        <f t="shared" si="4"/>
        <v>5.3894736842105262</v>
      </c>
      <c r="E38" s="13"/>
      <c r="F38" s="102" t="s">
        <v>19</v>
      </c>
      <c r="G38" s="260">
        <v>0.02</v>
      </c>
      <c r="H38" s="260">
        <v>0.02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169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331</v>
      </c>
      <c r="G39" s="108">
        <f>Debt!E64</f>
        <v>8.5000000000000006E-2</v>
      </c>
      <c r="H39" s="108">
        <f>SUM(H37:H38)</f>
        <v>8.5000000000000006E-2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75">
      <c r="A40" s="102" t="s">
        <v>170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257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75">
      <c r="A41" s="99" t="s">
        <v>171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130</v>
      </c>
      <c r="G41" s="258">
        <v>4028.6613183722961</v>
      </c>
      <c r="H41" s="258">
        <v>6</v>
      </c>
      <c r="I41" s="98" t="s">
        <v>131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75">
      <c r="A42" s="99" t="s">
        <v>180</v>
      </c>
      <c r="B42" s="169">
        <f t="shared" si="3"/>
        <v>9.4996778829203564E-3</v>
      </c>
      <c r="C42" s="252">
        <v>1000</v>
      </c>
      <c r="D42" s="352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172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173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75">
      <c r="A45" s="99" t="s">
        <v>177</v>
      </c>
      <c r="B45" s="169">
        <f t="shared" si="3"/>
        <v>1.8999355765840715E-4</v>
      </c>
      <c r="C45" s="252">
        <v>20</v>
      </c>
      <c r="D45" s="352">
        <f t="shared" si="4"/>
        <v>0.10526315789473684</v>
      </c>
      <c r="E45" s="13"/>
      <c r="F45" s="359" t="s">
        <v>118</v>
      </c>
      <c r="G45" s="13"/>
      <c r="H45" s="13"/>
      <c r="I45" s="13"/>
      <c r="J45" s="40"/>
      <c r="L45" s="117" t="s">
        <v>257</v>
      </c>
      <c r="M45" s="13"/>
      <c r="N45" s="277">
        <v>5</v>
      </c>
      <c r="O45" s="268" t="s">
        <v>30</v>
      </c>
      <c r="P45" s="191">
        <v>0</v>
      </c>
    </row>
    <row r="46" spans="1:18" ht="16.5" thickBot="1">
      <c r="A46" s="102" t="s">
        <v>221</v>
      </c>
      <c r="B46" s="169">
        <f t="shared" si="3"/>
        <v>3.7893538230057928E-2</v>
      </c>
      <c r="C46" s="200">
        <f>IDC!H34</f>
        <v>3988.9287507513709</v>
      </c>
      <c r="D46" s="352">
        <f t="shared" si="4"/>
        <v>20.994361846059846</v>
      </c>
      <c r="E46" s="13"/>
      <c r="F46" s="330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5" thickBot="1">
      <c r="A47" s="102" t="s">
        <v>184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5" thickBot="1">
      <c r="A48" s="102" t="s">
        <v>279</v>
      </c>
      <c r="B48" s="169">
        <f t="shared" si="3"/>
        <v>2.6067116110733465E-2</v>
      </c>
      <c r="C48" s="200">
        <f>SUM(C22:C33)*N55</f>
        <v>2744.0000000000005</v>
      </c>
      <c r="D48" s="352">
        <f t="shared" si="4"/>
        <v>14.442105263157897</v>
      </c>
      <c r="E48" s="64"/>
      <c r="F48" s="104" t="s">
        <v>13</v>
      </c>
      <c r="G48" s="274">
        <f>1-G47</f>
        <v>1</v>
      </c>
      <c r="H48" s="146">
        <f>G48*C11</f>
        <v>28621.044651832344</v>
      </c>
      <c r="I48" s="42"/>
      <c r="J48" s="81"/>
      <c r="L48" s="94" t="s">
        <v>388</v>
      </c>
      <c r="M48" s="115"/>
      <c r="N48" s="284"/>
      <c r="O48" s="285"/>
      <c r="P48" s="369"/>
    </row>
    <row r="49" spans="1:16" ht="16.5" thickBot="1">
      <c r="A49" s="96" t="s">
        <v>185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75">
      <c r="A50" s="102" t="s">
        <v>109</v>
      </c>
      <c r="B50" s="169">
        <f>SUM(B37:B49)</f>
        <v>8.3377995933480609E-2</v>
      </c>
      <c r="C50" s="200">
        <f>SUM(C37:C49)</f>
        <v>8776.9287507513709</v>
      </c>
      <c r="D50" s="352">
        <f t="shared" si="4"/>
        <v>46.194361846059849</v>
      </c>
      <c r="E50" s="13"/>
      <c r="F50" s="94" t="s">
        <v>204</v>
      </c>
      <c r="G50" s="114"/>
      <c r="H50" s="120"/>
      <c r="I50" s="205"/>
      <c r="J50" s="39"/>
      <c r="L50" s="117" t="s">
        <v>134</v>
      </c>
      <c r="M50" s="6"/>
      <c r="N50" s="267">
        <v>0.35</v>
      </c>
      <c r="O50" s="6"/>
      <c r="P50" s="368"/>
    </row>
    <row r="51" spans="1:16" ht="15.75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293</v>
      </c>
      <c r="M51" s="6"/>
      <c r="N51" s="264">
        <v>7.0000000000000007E-2</v>
      </c>
      <c r="O51" s="370" t="s">
        <v>239</v>
      </c>
      <c r="P51" s="368"/>
    </row>
    <row r="52" spans="1:16" ht="15.75">
      <c r="A52" s="99" t="s">
        <v>102</v>
      </c>
      <c r="B52" s="13"/>
      <c r="C52" s="200"/>
      <c r="D52" s="354"/>
      <c r="E52" s="85"/>
      <c r="F52" s="105" t="s">
        <v>310</v>
      </c>
      <c r="G52" s="13"/>
      <c r="H52" s="13"/>
      <c r="I52" s="13"/>
      <c r="J52" s="40"/>
      <c r="L52" s="117" t="s">
        <v>259</v>
      </c>
      <c r="M52" s="6"/>
      <c r="N52" s="264">
        <v>0</v>
      </c>
      <c r="O52" s="370" t="s">
        <v>239</v>
      </c>
      <c r="P52" s="368"/>
    </row>
    <row r="53" spans="1:16" ht="15.75">
      <c r="A53" s="99" t="s">
        <v>174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312</v>
      </c>
      <c r="G53" s="13"/>
      <c r="H53" s="256">
        <v>3</v>
      </c>
      <c r="I53" s="111"/>
      <c r="J53" s="40"/>
      <c r="L53" s="117" t="s">
        <v>214</v>
      </c>
      <c r="M53" s="6"/>
      <c r="N53" s="264">
        <v>0</v>
      </c>
      <c r="O53" s="370" t="s">
        <v>239</v>
      </c>
      <c r="P53" s="368"/>
    </row>
    <row r="54" spans="1:16" ht="15.75">
      <c r="A54" s="99" t="s">
        <v>175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423</v>
      </c>
      <c r="G54" s="13"/>
      <c r="H54" s="255">
        <v>4.75</v>
      </c>
      <c r="I54" s="13"/>
      <c r="J54" s="40"/>
      <c r="L54" s="117" t="s">
        <v>244</v>
      </c>
      <c r="M54" s="13"/>
      <c r="N54" s="264">
        <v>1.4999999999999999E-2</v>
      </c>
      <c r="O54" s="370" t="s">
        <v>239</v>
      </c>
      <c r="P54" s="40"/>
    </row>
    <row r="55" spans="1:16" ht="16.5" thickBot="1">
      <c r="A55" s="105" t="s">
        <v>103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280</v>
      </c>
      <c r="M55" s="42"/>
      <c r="N55" s="280">
        <v>7.0000000000000007E-2</v>
      </c>
      <c r="O55" s="371" t="s">
        <v>239</v>
      </c>
      <c r="P55" s="81"/>
    </row>
    <row r="56" spans="1:16" ht="15.75">
      <c r="A56" s="102" t="s">
        <v>109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313</v>
      </c>
      <c r="G56" s="13"/>
      <c r="H56" s="13"/>
      <c r="I56" s="13"/>
      <c r="J56" s="40"/>
    </row>
    <row r="57" spans="1:16" ht="15.75">
      <c r="A57" s="41"/>
      <c r="B57" s="13"/>
      <c r="C57" s="13"/>
      <c r="D57" s="355"/>
      <c r="E57" s="13"/>
      <c r="F57" s="102" t="s">
        <v>312</v>
      </c>
      <c r="G57" s="13"/>
      <c r="H57" s="279">
        <f>H19-H53</f>
        <v>17</v>
      </c>
      <c r="I57" s="111"/>
      <c r="J57" s="40"/>
    </row>
    <row r="58" spans="1:16" ht="16.5" thickBot="1">
      <c r="A58" s="188" t="s">
        <v>104</v>
      </c>
      <c r="B58" s="184">
        <f>B56+B50+B34</f>
        <v>1.0000000000000002</v>
      </c>
      <c r="C58" s="201">
        <f>C56+C50+C34</f>
        <v>105266.72718007819</v>
      </c>
      <c r="D58" s="356">
        <f>C58/$H$68</f>
        <v>554.03540621093782</v>
      </c>
      <c r="E58" s="13"/>
      <c r="F58" s="102" t="s">
        <v>423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431</v>
      </c>
      <c r="G60" s="98"/>
      <c r="H60" s="155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7" t="s">
        <v>277</v>
      </c>
      <c r="B62" s="348"/>
      <c r="C62" s="349">
        <f>D58</f>
        <v>554.03540621093782</v>
      </c>
      <c r="D62" s="40"/>
      <c r="E62" s="13"/>
      <c r="F62" s="104" t="s">
        <v>448</v>
      </c>
      <c r="G62" s="42"/>
      <c r="H62" s="281">
        <f>H68*H72</f>
        <v>285000</v>
      </c>
      <c r="I62" s="206"/>
      <c r="J62" s="81"/>
    </row>
    <row r="63" spans="1:16" ht="13.5" thickBot="1">
      <c r="A63" s="528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1.3000000000000005</v>
      </c>
      <c r="D65" s="357">
        <f>Debt!E69</f>
        <v>1.2999999999999976</v>
      </c>
      <c r="E65" s="13"/>
      <c r="F65" s="183"/>
      <c r="G65" s="153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132</v>
      </c>
      <c r="G66" s="13"/>
      <c r="H66" s="223">
        <f>H12*H13</f>
        <v>190</v>
      </c>
      <c r="I66" s="13"/>
      <c r="J66" s="40"/>
    </row>
    <row r="67" spans="1:10" ht="15.75">
      <c r="A67" s="105" t="s">
        <v>342</v>
      </c>
      <c r="B67" s="13"/>
      <c r="C67" s="13"/>
      <c r="D67" s="40"/>
      <c r="E67" s="13"/>
      <c r="F67" s="105" t="s">
        <v>91</v>
      </c>
      <c r="G67" s="13"/>
      <c r="H67" s="345">
        <v>0</v>
      </c>
      <c r="I67" s="13"/>
      <c r="J67" s="40"/>
    </row>
    <row r="68" spans="1:10" ht="15.75">
      <c r="A68" s="102" t="s">
        <v>383</v>
      </c>
      <c r="B68" s="98"/>
      <c r="C68" s="147">
        <f>'Returns Analysis'!C39</f>
        <v>7.8000870347023021E-2</v>
      </c>
      <c r="D68" s="40"/>
      <c r="E68" s="13"/>
      <c r="F68" s="119" t="s">
        <v>316</v>
      </c>
      <c r="G68" s="43"/>
      <c r="H68" s="364">
        <f>SUM(H66:H67)</f>
        <v>190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5x EBITDA Exit Multiple Residual Value</v>
      </c>
      <c r="B69" s="13"/>
      <c r="C69" s="147">
        <f>'Returns Analysis'!C46</f>
        <v>7.2694823145866394E-2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20% Initial Project Cost Residual Value</v>
      </c>
      <c r="B70" s="13"/>
      <c r="C70" s="147">
        <f>'Returns Analysis'!C53</f>
        <v>8.4352561831474313E-2</v>
      </c>
      <c r="D70" s="103"/>
      <c r="E70" s="13"/>
      <c r="F70" s="102" t="s">
        <v>359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$200/kW Residual Value</v>
      </c>
      <c r="B71" s="13"/>
      <c r="C71" s="147">
        <f>'Returns Analysis'!C60</f>
        <v>8.8444086909294145E-2</v>
      </c>
      <c r="D71" s="103"/>
      <c r="E71" s="13"/>
      <c r="F71" s="102" t="s">
        <v>273</v>
      </c>
      <c r="G71" s="13"/>
      <c r="H71" s="254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178</v>
      </c>
      <c r="G72" s="42"/>
      <c r="H72" s="263">
        <v>1500</v>
      </c>
      <c r="I72" s="42"/>
      <c r="J72" s="81"/>
    </row>
    <row r="73" spans="1:10" ht="15.75">
      <c r="A73" s="105" t="s">
        <v>88</v>
      </c>
      <c r="B73" s="97">
        <f>IS!C7</f>
        <v>2001</v>
      </c>
      <c r="C73" s="97">
        <f>IS!D7</f>
        <v>2002</v>
      </c>
      <c r="D73" s="172">
        <f>IS!E7</f>
        <v>2003</v>
      </c>
    </row>
    <row r="74" spans="1:10" ht="15.75">
      <c r="A74" s="102" t="s">
        <v>99</v>
      </c>
      <c r="B74" s="112">
        <f>IS!C32</f>
        <v>5603.1656179523216</v>
      </c>
      <c r="C74" s="112">
        <f>IS!D32</f>
        <v>9571.1067736325567</v>
      </c>
      <c r="D74" s="167">
        <f>IS!E32</f>
        <v>9535.757173632559</v>
      </c>
      <c r="E74" s="98"/>
    </row>
    <row r="75" spans="1:10" ht="15.75">
      <c r="A75" s="102" t="s">
        <v>100</v>
      </c>
      <c r="B75" s="112">
        <f>IS!C45</f>
        <v>-317.22270487332582</v>
      </c>
      <c r="C75" s="112">
        <f>IS!D45</f>
        <v>-534.0180598382625</v>
      </c>
      <c r="D75" s="167">
        <f>IS!E45</f>
        <v>-507.96563905949358</v>
      </c>
      <c r="E75" s="98"/>
    </row>
    <row r="76" spans="1:10" ht="15.75">
      <c r="A76" s="102" t="s">
        <v>101</v>
      </c>
      <c r="B76" s="112">
        <f>'Returns Analysis'!C13</f>
        <v>3427.0787519210839</v>
      </c>
      <c r="C76" s="112">
        <f>'Returns Analysis'!D13</f>
        <v>3101.3441796845227</v>
      </c>
      <c r="D76" s="167">
        <f>'Returns Analysis'!E13</f>
        <v>3142.2744334549152</v>
      </c>
      <c r="E76" s="13"/>
    </row>
    <row r="77" spans="1:10" ht="16.5" thickBot="1">
      <c r="A77" s="104" t="s">
        <v>372</v>
      </c>
      <c r="B77" s="113">
        <f>'Returns Analysis'!C21</f>
        <v>3134.4541503099149</v>
      </c>
      <c r="C77" s="113">
        <f>'Returns Analysis'!D21</f>
        <v>2202.8557406892587</v>
      </c>
      <c r="D77" s="194">
        <f>'Returns Analysis'!E21</f>
        <v>2193.7799724189044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15" zoomScale="75" zoomScaleNormal="75" workbookViewId="0">
      <selection activeCell="D44" sqref="D44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409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5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422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311</v>
      </c>
      <c r="C12" s="13"/>
      <c r="D12" s="499">
        <f>Assumptions!$H$54</f>
        <v>4.75</v>
      </c>
      <c r="E12" s="499">
        <f>Assumptions!$H$54</f>
        <v>4.75</v>
      </c>
      <c r="F12" s="499">
        <f>Assumptions!$H$54</f>
        <v>4.75</v>
      </c>
      <c r="G12" s="499">
        <f>Assumptions!$H$54</f>
        <v>4.75</v>
      </c>
      <c r="H12" s="499">
        <f>Assumptions!$H$54</f>
        <v>4.75</v>
      </c>
      <c r="I12" s="499">
        <f>Assumptions!$H$54</f>
        <v>4.75</v>
      </c>
      <c r="J12" s="499">
        <f>Assumptions!$H$54</f>
        <v>4.75</v>
      </c>
      <c r="K12" s="499">
        <f>Assumptions!$H$54</f>
        <v>4.75</v>
      </c>
      <c r="L12" s="499">
        <f>Assumptions!$H$54</f>
        <v>4.75</v>
      </c>
      <c r="M12" s="499">
        <f>Assumptions!$H$54</f>
        <v>4.75</v>
      </c>
      <c r="N12" s="499">
        <f>Assumptions!$H$54</f>
        <v>4.75</v>
      </c>
      <c r="O12" s="499">
        <f>Assumptions!$H$54</f>
        <v>4.75</v>
      </c>
      <c r="P12" s="499">
        <f>Assumptions!$H$54</f>
        <v>4.75</v>
      </c>
      <c r="Q12" s="499">
        <f>Assumptions!$H$54</f>
        <v>4.75</v>
      </c>
      <c r="R12" s="499">
        <f>Assumptions!$H$54</f>
        <v>4.75</v>
      </c>
      <c r="S12" s="499">
        <f>Assumptions!$H$54</f>
        <v>4.75</v>
      </c>
      <c r="T12" s="499">
        <f>Assumptions!$H$54</f>
        <v>4.75</v>
      </c>
      <c r="U12" s="499">
        <f>Assumptions!$H$54</f>
        <v>4.75</v>
      </c>
      <c r="V12" s="499">
        <f>Assumptions!$H$54</f>
        <v>4.75</v>
      </c>
      <c r="W12" s="499">
        <f>Assumptions!$H$54</f>
        <v>4.75</v>
      </c>
      <c r="X12" s="499">
        <f>Assumptions!$H$54</f>
        <v>4.75</v>
      </c>
      <c r="Y12" s="499">
        <f>Assumptions!$H$54</f>
        <v>4.75</v>
      </c>
      <c r="Z12" s="499">
        <f>Assumptions!$H$54</f>
        <v>4.75</v>
      </c>
      <c r="AA12" s="499">
        <f>Assumptions!$H$54</f>
        <v>4.75</v>
      </c>
      <c r="AB12" s="499">
        <f>Assumptions!$H$54</f>
        <v>4.75</v>
      </c>
      <c r="AC12" s="499">
        <f>Assumptions!$H$54</f>
        <v>4.75</v>
      </c>
      <c r="AD12" s="499">
        <f>Assumptions!$H$54</f>
        <v>4.75</v>
      </c>
      <c r="AE12" s="499">
        <f>Assumptions!$H$54</f>
        <v>4.75</v>
      </c>
      <c r="AF12" s="499">
        <f>Assumptions!$H$54</f>
        <v>4.75</v>
      </c>
      <c r="AG12" s="499">
        <f>Assumptions!$H$54</f>
        <v>4.75</v>
      </c>
      <c r="AH12" s="499">
        <f>Assumptions!$H$54</f>
        <v>4.75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320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247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248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245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124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314</v>
      </c>
      <c r="C21" s="505"/>
      <c r="D21" s="510">
        <f>IF(AND(C7&lt;$D$7+Assumptions!$H$53,D7&lt;$D$7+Assumptions!$H$53),D12,IF(AND(C7&lt;$D$7+Assumptions!$H$53,D7&gt;$D$7+Assumptions!$H$53),D12*(1-$D$7)+D19*$D$7,D19))</f>
        <v>4.75</v>
      </c>
      <c r="E21" s="511">
        <f>IF(AND(D7&lt;$D$7+Assumptions!$H$53,E7&lt;$D$7+Assumptions!$H$53),E12,IF(AND(D7&lt;$D$7+Assumptions!$H$53,E7&gt;=$D$7+Assumptions!$H$53),E12*(1-$D$7)+E19*$D$7,E19))</f>
        <v>4.75</v>
      </c>
      <c r="F21" s="511">
        <f>IF(AND(E7&lt;$D$7+Assumptions!$H$53,F7&lt;$D$7+Assumptions!$H$53),F12,IF(AND(E7&lt;$D$7+Assumptions!$H$53,F7&gt;=$D$7+Assumptions!$H$53),F12*(1-$D$7)+F19*$D$7,F19))</f>
        <v>4.75</v>
      </c>
      <c r="G21" s="511">
        <f>IF(AND(F7&lt;$D$7+Assumptions!$H$53,G7&lt;$D$7+Assumptions!$H$53),G12,IF(AND(F7&lt;$D$7+Assumptions!$H$53,G7&gt;=$D$7+Assumptions!$H$53),G12*(1-$D$7)+G19*$D$7,G19))</f>
        <v>5.316612929652778</v>
      </c>
      <c r="H21" s="511">
        <f>IF(AND(G7&lt;$D$7+Assumptions!$H$53,H7&lt;$D$7+Assumptions!$H$53),H12,IF(AND(G7&lt;$D$7+Assumptions!$H$53,H7&gt;=$D$7+Assumptions!$H$53),H12*(1-$D$7)+H19*$D$7,H19))</f>
        <v>5.6997641986416658</v>
      </c>
      <c r="I21" s="511">
        <f>IF(AND(H7&lt;$D$7+Assumptions!$H$53,I7&lt;$D$7+Assumptions!$H$53),I12,IF(AND(H7&lt;$D$7+Assumptions!$H$53,I7&gt;=$D$7+Assumptions!$H$53),I12*(1-$D$7)+I19*$D$7,I19))</f>
        <v>5.7712527665568336</v>
      </c>
      <c r="J21" s="511">
        <f>IF(AND(I7&lt;$D$7+Assumptions!$H$53,J7&lt;$D$7+Assumptions!$H$53),J12,IF(AND(I7&lt;$D$7+Assumptions!$H$53,J7&gt;=$D$7+Assumptions!$H$53),J12*(1-$D$7)+J19*$D$7,J19))</f>
        <v>5.8419008607681322</v>
      </c>
      <c r="K21" s="511">
        <f>IF(AND(J7&lt;$D$7+Assumptions!$H$53,K7&lt;$D$7+Assumptions!$H$53),K12,IF(AND(J7&lt;$D$7+Assumptions!$H$53,K7&gt;=$D$7+Assumptions!$H$53),K12*(1-$D$7)+K19*$D$7,K19))</f>
        <v>5.9115937131422074</v>
      </c>
      <c r="L21" s="511">
        <f>IF(AND(K7&lt;$D$7+Assumptions!$H$53,L7&lt;$D$7+Assumptions!$H$53),L12,IF(AND(K7&lt;$D$7+Assumptions!$H$53,L7&gt;=$D$7+Assumptions!$H$53),L12*(1-$D$7)+L19*$D$7,L19))</f>
        <v>6.088941524536474</v>
      </c>
      <c r="M21" s="511">
        <f>IF(AND(L7&lt;$D$7+Assumptions!$H$53,M7&lt;$D$7+Assumptions!$H$53),M12,IF(AND(L7&lt;$D$7+Assumptions!$H$53,M7&gt;=$D$7+Assumptions!$H$53),M12*(1-$D$7)+M19*$D$7,M19))</f>
        <v>6.1596167386605574</v>
      </c>
      <c r="N21" s="511">
        <f>IF(AND(M7&lt;$D$7+Assumptions!$H$53,N7&lt;$D$7+Assumptions!$H$53),N12,IF(AND(M7&lt;$D$7+Assumptions!$H$53,N7&gt;=$D$7+Assumptions!$H$53),N12*(1-$D$7)+N19*$D$7,N19))</f>
        <v>6.3444052408203753</v>
      </c>
      <c r="O21" s="511">
        <f>IF(AND(N7&lt;$D$7+Assumptions!$H$53,O7&lt;$D$7+Assumptions!$H$53),O12,IF(AND(N7&lt;$D$7+Assumptions!$H$53,O7&gt;=$D$7+Assumptions!$H$53),O12*(1-$D$7)+O19*$D$7,O19))</f>
        <v>6.4159239908078041</v>
      </c>
      <c r="P21" s="511">
        <f>IF(AND(O7&lt;$D$7+Assumptions!$H$53,P7&lt;$D$7+Assumptions!$H$53),P12,IF(AND(O7&lt;$D$7+Assumptions!$H$53,P7&gt;=$D$7+Assumptions!$H$53),P12*(1-$D$7)+P19*$D$7,P19))</f>
        <v>6.6084017105320383</v>
      </c>
      <c r="Q21" s="511">
        <f>IF(AND(P7&lt;$D$7+Assumptions!$H$53,Q7&lt;$D$7+Assumptions!$H$53),Q12,IF(AND(P7&lt;$D$7+Assumptions!$H$53,Q7&gt;=$D$7+Assumptions!$H$53),Q12*(1-$D$7)+Q19*$D$7,Q19))</f>
        <v>6.680604618110074</v>
      </c>
      <c r="R21" s="512">
        <f>IF(AND(Q7&lt;$D$7+Assumptions!$H$53,R7&lt;$D$7+Assumptions!$H$53),R12,IF(AND(Q7&lt;$D$7+Assumptions!$H$53,R7&gt;=$D$7+Assumptions!$H$53),R12*(1-$D$7)+R19*$D$7,R19))</f>
        <v>6.7511921386033125</v>
      </c>
      <c r="S21" s="510">
        <f>IF(AND(R7&lt;$D$7+Assumptions!$H$53,S7&lt;$D$7+Assumptions!$H$53),S12,IF(AND(R7&lt;$D$7+Assumptions!$H$53,S7&gt;=$D$7+Assumptions!$H$53),S12*(1-$D$7)+S19*$D$7,S19))</f>
        <v>6.8200023661698452</v>
      </c>
      <c r="T21" s="511">
        <f>IF(AND(S7&lt;$D$7+Assumptions!$H$53,T7&lt;$D$7+Assumptions!$H$53),T12,IF(AND(S7&lt;$D$7+Assumptions!$H$53,T7&gt;=$D$7+Assumptions!$H$53),T12*(1-$D$7)+T19*$D$7,T19))</f>
        <v>6.8868651344656273</v>
      </c>
      <c r="U21" s="511">
        <f>IF(AND(T7&lt;$D$7+Assumptions!$H$53,U7&lt;$D$7+Assumptions!$H$53),U12,IF(AND(T7&lt;$D$7+Assumptions!$H$53,U7&gt;=$D$7+Assumptions!$H$53),U12*(1-$D$7)+U19*$D$7,U19))</f>
        <v>6.951601666729605</v>
      </c>
      <c r="V21" s="511">
        <f>IF(AND(U7&lt;$D$7+Assumptions!$H$53,V7&lt;$D$7+Assumptions!$H$53),V12,IF(AND(U7&lt;$D$7+Assumptions!$H$53,V7&gt;=$D$7+Assumptions!$H$53),V12*(1-$D$7)+V19*$D$7,V19))</f>
        <v>7.014024212308402</v>
      </c>
      <c r="W21" s="511">
        <f>IF(AND(V7&lt;$D$7+Assumptions!$H$53,W7&lt;$D$7+Assumptions!$H$53),W12,IF(AND(V7&lt;$D$7+Assumptions!$H$53,W7&gt;=$D$7+Assumptions!$H$53),W12*(1-$D$7)+W19*$D$7,W19))</f>
        <v>7.0739356691218687</v>
      </c>
      <c r="X21" s="511">
        <f>IF(AND(W7&lt;$D$7+Assumptions!$H$53,X7&lt;$D$7+Assumptions!$H$53),X12,IF(AND(W7&lt;$D$7+Assumptions!$H$53,X7&gt;=$D$7+Assumptions!$H$53),X12*(1-$D$7)+X19*$D$7,X19))</f>
        <v>7.1311291915530655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440</v>
      </c>
      <c r="C25" s="513"/>
      <c r="D25" s="501">
        <f>GCurve!I8</f>
        <v>3.2287916666666665</v>
      </c>
      <c r="E25" s="501">
        <f>GCurve!I9</f>
        <v>3.1855000000000007</v>
      </c>
      <c r="F25" s="501">
        <f>GCurve!I10</f>
        <v>3.1967083333333335</v>
      </c>
      <c r="G25" s="501">
        <f>GCurve!I11</f>
        <v>3.2458750000000003</v>
      </c>
      <c r="H25" s="501">
        <f>GCurve!I12</f>
        <v>3.3050416666666664</v>
      </c>
      <c r="I25" s="501">
        <f>GCurve!I13</f>
        <v>3.3679583333333336</v>
      </c>
      <c r="J25" s="501">
        <f>GCurve!I14</f>
        <v>3.4329583333333336</v>
      </c>
      <c r="K25" s="501">
        <f>GCurve!I15</f>
        <v>3.5029583333333334</v>
      </c>
      <c r="L25" s="501">
        <f>GCurve!I16</f>
        <v>3.5779583333333336</v>
      </c>
      <c r="M25" s="501">
        <f>GCurve!I17</f>
        <v>3.6579583333333332</v>
      </c>
      <c r="N25" s="501">
        <f>GCurve!I18</f>
        <v>3.7429583333333336</v>
      </c>
      <c r="O25" s="501">
        <f>GCurve!I19</f>
        <v>3.8329583333333335</v>
      </c>
      <c r="P25" s="501">
        <f>GCurve!I20</f>
        <v>3.9279583333333328</v>
      </c>
      <c r="Q25" s="501">
        <f>GCurve!I21</f>
        <v>4.0279583333333333</v>
      </c>
      <c r="R25" s="501">
        <f>GCurve!I22</f>
        <v>4.1329583333333337</v>
      </c>
      <c r="S25" s="501">
        <f>GCurve!I23</f>
        <v>4.2429583333333332</v>
      </c>
      <c r="T25" s="501">
        <f>GCurve!I24</f>
        <v>4.3579583333333334</v>
      </c>
      <c r="U25" s="501">
        <f>GCurve!I25</f>
        <v>4.4779583333333335</v>
      </c>
      <c r="V25" s="501">
        <f>GCurve!I26</f>
        <v>4.6029583333333335</v>
      </c>
      <c r="W25" s="501">
        <f>GCurve!I27</f>
        <v>4.7180322916666668</v>
      </c>
      <c r="X25" s="501">
        <f>GCurve!I28</f>
        <v>4.8359830989583328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242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243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f>Assumptions!U13</f>
        <v>1</v>
      </c>
      <c r="B30" s="43" t="s">
        <v>240</v>
      </c>
      <c r="C30" s="12"/>
      <c r="D30" s="516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6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6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6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6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6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6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6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6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6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6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6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6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6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6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6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6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6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6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6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6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6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6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6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6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6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6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6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6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6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6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400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241</v>
      </c>
      <c r="C34" s="12"/>
      <c r="D34" s="502">
        <f>D44*'Price_Technical Assumption'!D30/1000</f>
        <v>33.921685249999996</v>
      </c>
      <c r="E34" s="502">
        <f>E44*'Price_Technical Assumption'!E30/1000</f>
        <v>33.466863000000004</v>
      </c>
      <c r="F34" s="502">
        <f>F44*'Price_Technical Assumption'!F30/1000</f>
        <v>33.584617750000007</v>
      </c>
      <c r="G34" s="502">
        <f>G44*'Price_Technical Assumption'!G30/1000</f>
        <v>34.10116275</v>
      </c>
      <c r="H34" s="502">
        <f>H44*'Price_Technical Assumption'!H30/1000</f>
        <v>34.722767749999996</v>
      </c>
      <c r="I34" s="502">
        <f>I44*'Price_Technical Assumption'!I30/1000</f>
        <v>35.383770250000005</v>
      </c>
      <c r="J34" s="502">
        <f>J44*'Price_Technical Assumption'!J30/1000</f>
        <v>36.066660249999998</v>
      </c>
      <c r="K34" s="502">
        <f>K44*'Price_Technical Assumption'!K30/1000</f>
        <v>36.802080249999996</v>
      </c>
      <c r="L34" s="502">
        <f>L44*'Price_Technical Assumption'!L30/1000</f>
        <v>37.590030250000005</v>
      </c>
      <c r="M34" s="502">
        <f>M44*'Price_Technical Assumption'!M30/1000</f>
        <v>38.430510249999998</v>
      </c>
      <c r="N34" s="502">
        <f>N44*'Price_Technical Assumption'!N30/1000</f>
        <v>39.323520250000001</v>
      </c>
      <c r="O34" s="502">
        <f>O44*'Price_Technical Assumption'!O30/1000</f>
        <v>40.269060250000003</v>
      </c>
      <c r="P34" s="502">
        <f>P44*'Price_Technical Assumption'!P30/1000</f>
        <v>41.267130249999994</v>
      </c>
      <c r="Q34" s="502">
        <f>Q44*'Price_Technical Assumption'!Q30/1000</f>
        <v>42.317730250000004</v>
      </c>
      <c r="R34" s="502">
        <f>R44*'Price_Technical Assumption'!R30/1000</f>
        <v>43.420860250000004</v>
      </c>
      <c r="S34" s="502">
        <f>S44*'Price_Technical Assumption'!S30/1000</f>
        <v>44.576520250000002</v>
      </c>
      <c r="T34" s="502">
        <f>T44*'Price_Technical Assumption'!T30/1000</f>
        <v>45.784710250000003</v>
      </c>
      <c r="U34" s="502">
        <f>U44*'Price_Technical Assumption'!U30/1000</f>
        <v>47.045430250000003</v>
      </c>
      <c r="V34" s="502">
        <f>V44*'Price_Technical Assumption'!V30/1000</f>
        <v>48.358680250000006</v>
      </c>
      <c r="W34" s="502">
        <f>W44*'Price_Technical Assumption'!W30/1000</f>
        <v>49.567647256249998</v>
      </c>
      <c r="X34" s="502">
        <f>X44*'Price_Technical Assumption'!X30/1000</f>
        <v>50.806838437656246</v>
      </c>
      <c r="Y34" s="502">
        <f>Y44*'Price_Technical Assumption'!Y30/1000</f>
        <v>23.113199999999999</v>
      </c>
      <c r="Z34" s="502">
        <f>Z44*'Price_Technical Assumption'!Z30/1000</f>
        <v>23.113199999999999</v>
      </c>
      <c r="AA34" s="502">
        <f>AA44*'Price_Technical Assumption'!AA30/1000</f>
        <v>23.113199999999999</v>
      </c>
      <c r="AB34" s="502">
        <f>AB44*'Price_Technical Assumption'!AB30/1000</f>
        <v>23.113199999999999</v>
      </c>
      <c r="AC34" s="502">
        <f>AC44*'Price_Technical Assumption'!AC30/1000</f>
        <v>23.113199999999999</v>
      </c>
      <c r="AD34" s="502">
        <f>AD44*'Price_Technical Assumption'!AD30/1000</f>
        <v>23.113199999999999</v>
      </c>
      <c r="AE34" s="502">
        <f>AE44*'Price_Technical Assumption'!AE30/1000</f>
        <v>23.113199999999999</v>
      </c>
      <c r="AF34" s="502">
        <f>AF44*'Price_Technical Assumption'!AF30/1000</f>
        <v>23.113199999999999</v>
      </c>
      <c r="AG34" s="502">
        <f>AG44*'Price_Technical Assumption'!AG30/1000</f>
        <v>23.113199999999999</v>
      </c>
      <c r="AH34" s="502">
        <f>AH44*'Price_Technical Assumption'!AH30/1000</f>
        <v>23.113199999999999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419</v>
      </c>
      <c r="C35" s="482"/>
      <c r="D35" s="519">
        <f>Assumptions!$H$60*(1+Assumptions!$N$11)^(D7)</f>
        <v>2.2687844877166952</v>
      </c>
      <c r="E35" s="519">
        <f>Assumptions!$H$60*(1+Assumptions!$N$11)^(E7)</f>
        <v>2.3368480223481964</v>
      </c>
      <c r="F35" s="519">
        <f>Assumptions!$H$60*(1+Assumptions!$N$11)^(F7)</f>
        <v>2.4069534630186422</v>
      </c>
      <c r="G35" s="519">
        <f>Assumptions!$H$60*(1+Assumptions!$N$11)^(G7)</f>
        <v>2.4791620669092014</v>
      </c>
      <c r="H35" s="519">
        <f>Assumptions!$H$60*(1+Assumptions!$N$11)^(H7)</f>
        <v>2.5535369289164778</v>
      </c>
      <c r="I35" s="519">
        <f>Assumptions!$H$60*(1+Assumptions!$N$11)^(I7)</f>
        <v>2.6301430367839718</v>
      </c>
      <c r="J35" s="519">
        <f>Assumptions!$H$60*(1+Assumptions!$N$11)^(J7)</f>
        <v>2.7090473278874914</v>
      </c>
      <c r="K35" s="519">
        <f>Assumptions!$H$60*(1+Assumptions!$N$11)^(K7)</f>
        <v>2.790318747724116</v>
      </c>
      <c r="L35" s="519">
        <f>Assumptions!$H$60*(1+Assumptions!$N$11)^(L7)</f>
        <v>2.8740283101558397</v>
      </c>
      <c r="M35" s="519">
        <f>Assumptions!$H$60*(1+Assumptions!$N$11)^(M7)</f>
        <v>2.9602491594605151</v>
      </c>
      <c r="N35" s="519">
        <f>Assumptions!$H$60*(1+Assumptions!$N$11)^(N7)</f>
        <v>3.0490566342443306</v>
      </c>
      <c r="O35" s="519">
        <f>Assumptions!$H$60*(1+Assumptions!$N$11)^(O7)</f>
        <v>3.1405283332716607</v>
      </c>
      <c r="P35" s="519">
        <f>Assumptions!$H$60*(1+Assumptions!$N$11)^(P7)</f>
        <v>3.2347441832698105</v>
      </c>
      <c r="Q35" s="519">
        <f>Assumptions!$H$60*(1+Assumptions!$N$11)^(Q7)</f>
        <v>3.3317865087679044</v>
      </c>
      <c r="R35" s="519">
        <f>Assumptions!$H$60*(1+Assumptions!$N$11)^(R7)</f>
        <v>3.4317401040309417</v>
      </c>
      <c r="S35" s="519">
        <f>Assumptions!$H$60*(1+Assumptions!$N$11)^(S7)</f>
        <v>3.5346923071518703</v>
      </c>
      <c r="T35" s="519">
        <f>Assumptions!$H$60*(1+Assumptions!$N$11)^(T7)</f>
        <v>3.6407330763664265</v>
      </c>
      <c r="U35" s="519">
        <f>Assumptions!$H$60*(1+Assumptions!$N$11)^(U7)</f>
        <v>3.7499550686574197</v>
      </c>
      <c r="V35" s="519">
        <f>Assumptions!$H$60*(1+Assumptions!$N$11)^(V7)</f>
        <v>3.8624537207171423</v>
      </c>
      <c r="W35" s="519">
        <f>Assumptions!$H$60*(1+Assumptions!$N$11)^(W7)</f>
        <v>3.9783273323386568</v>
      </c>
      <c r="X35" s="519">
        <f>Assumptions!$H$60*(1+Assumptions!$N$11)^(X7)</f>
        <v>4.0976771523088162</v>
      </c>
      <c r="Y35" s="519">
        <f>Assumptions!$H$60*(1+Assumptions!$N$11)^(Y7)</f>
        <v>4.2206074668780813</v>
      </c>
      <c r="Z35" s="519">
        <f>Assumptions!$H$60*(1+Assumptions!$N$11)^(Z7)</f>
        <v>4.3472256908844233</v>
      </c>
      <c r="AA35" s="519">
        <f>Assumptions!$H$60*(1+Assumptions!$N$11)^(AA7)</f>
        <v>4.4776424616109569</v>
      </c>
      <c r="AB35" s="519">
        <f>Assumptions!$H$60*(1+Assumptions!$N$11)^(AB7)</f>
        <v>4.6119717354592851</v>
      </c>
      <c r="AC35" s="519">
        <f>Assumptions!$H$60*(1+Assumptions!$N$11)^(AC7)</f>
        <v>4.7503308875230639</v>
      </c>
      <c r="AD35" s="519">
        <f>Assumptions!$H$60*(1+Assumptions!$N$11)^(AD7)</f>
        <v>4.892840814148756</v>
      </c>
      <c r="AE35" s="519">
        <f>Assumptions!$H$60*(1+Assumptions!$N$11)^(AE7)</f>
        <v>5.0396260385732186</v>
      </c>
      <c r="AF35" s="519">
        <f>Assumptions!$H$60*(1+Assumptions!$N$11)^(AF7)</f>
        <v>5.1908148197304156</v>
      </c>
      <c r="AG35" s="519">
        <f>Assumptions!$H$60*(1+Assumptions!$N$11)^(AG7)</f>
        <v>5.3465392643223284</v>
      </c>
      <c r="AH35" s="519">
        <f>Assumptions!$H$60*(1+Assumptions!$N$11)^(AH7)</f>
        <v>5.506935442251998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428</v>
      </c>
      <c r="C36" s="12"/>
      <c r="D36" s="499">
        <f>SUM(D34:D35)</f>
        <v>36.19046973771669</v>
      </c>
      <c r="E36" s="499">
        <f t="shared" ref="E36:AH36" si="5">SUM(E34:E35)</f>
        <v>35.803711022348203</v>
      </c>
      <c r="F36" s="499">
        <f t="shared" si="5"/>
        <v>35.991571213018652</v>
      </c>
      <c r="G36" s="499">
        <f t="shared" si="5"/>
        <v>36.580324816909204</v>
      </c>
      <c r="H36" s="499">
        <f t="shared" si="5"/>
        <v>37.276304678916475</v>
      </c>
      <c r="I36" s="499">
        <f t="shared" si="5"/>
        <v>38.013913286783975</v>
      </c>
      <c r="J36" s="499">
        <f t="shared" si="5"/>
        <v>38.775707577887488</v>
      </c>
      <c r="K36" s="499">
        <f t="shared" si="5"/>
        <v>39.592398997724111</v>
      </c>
      <c r="L36" s="499">
        <f t="shared" si="5"/>
        <v>40.464058560155848</v>
      </c>
      <c r="M36" s="499">
        <f t="shared" si="5"/>
        <v>41.390759409460514</v>
      </c>
      <c r="N36" s="499">
        <f t="shared" si="5"/>
        <v>42.372576884244332</v>
      </c>
      <c r="O36" s="499">
        <f t="shared" si="5"/>
        <v>43.409588583271663</v>
      </c>
      <c r="P36" s="499">
        <f t="shared" si="5"/>
        <v>44.501874433269805</v>
      </c>
      <c r="Q36" s="499">
        <f t="shared" si="5"/>
        <v>45.649516758767909</v>
      </c>
      <c r="R36" s="499">
        <f t="shared" si="5"/>
        <v>46.852600354030947</v>
      </c>
      <c r="S36" s="499">
        <f t="shared" si="5"/>
        <v>48.111212557151873</v>
      </c>
      <c r="T36" s="499">
        <f t="shared" si="5"/>
        <v>49.425443326366427</v>
      </c>
      <c r="U36" s="499">
        <f t="shared" si="5"/>
        <v>50.795385318657424</v>
      </c>
      <c r="V36" s="499">
        <f t="shared" si="5"/>
        <v>52.221133970717148</v>
      </c>
      <c r="W36" s="499">
        <f t="shared" si="5"/>
        <v>53.545974588588656</v>
      </c>
      <c r="X36" s="499">
        <f t="shared" si="5"/>
        <v>54.904515589965065</v>
      </c>
      <c r="Y36" s="499">
        <f t="shared" si="5"/>
        <v>27.333807466878081</v>
      </c>
      <c r="Z36" s="499">
        <f t="shared" si="5"/>
        <v>27.460425690884421</v>
      </c>
      <c r="AA36" s="499">
        <f t="shared" si="5"/>
        <v>27.590842461610954</v>
      </c>
      <c r="AB36" s="499">
        <f t="shared" si="5"/>
        <v>27.725171735459284</v>
      </c>
      <c r="AC36" s="499">
        <f t="shared" si="5"/>
        <v>27.863530887523062</v>
      </c>
      <c r="AD36" s="499">
        <f t="shared" si="5"/>
        <v>28.006040814148754</v>
      </c>
      <c r="AE36" s="499">
        <f t="shared" si="5"/>
        <v>28.152826038573217</v>
      </c>
      <c r="AF36" s="499">
        <f t="shared" si="5"/>
        <v>28.304014819730416</v>
      </c>
      <c r="AG36" s="499">
        <f t="shared" si="5"/>
        <v>28.459739264322327</v>
      </c>
      <c r="AH36" s="499">
        <f t="shared" si="5"/>
        <v>28.620135442251996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249</v>
      </c>
      <c r="C38" s="12"/>
      <c r="D38" s="516">
        <f>IF($A$38="Pass-through",D36,D34)</f>
        <v>36.19046973771669</v>
      </c>
      <c r="E38" s="517">
        <f t="shared" ref="E38:AH38" si="6">IF($A$38="Pass-through",E36,E34)</f>
        <v>35.803711022348203</v>
      </c>
      <c r="F38" s="517">
        <f t="shared" si="6"/>
        <v>35.991571213018652</v>
      </c>
      <c r="G38" s="517">
        <f t="shared" si="6"/>
        <v>36.580324816909204</v>
      </c>
      <c r="H38" s="517">
        <f t="shared" si="6"/>
        <v>37.276304678916475</v>
      </c>
      <c r="I38" s="517">
        <f t="shared" si="6"/>
        <v>38.013913286783975</v>
      </c>
      <c r="J38" s="517">
        <f t="shared" si="6"/>
        <v>38.775707577887488</v>
      </c>
      <c r="K38" s="517">
        <f t="shared" si="6"/>
        <v>39.592398997724111</v>
      </c>
      <c r="L38" s="517">
        <f t="shared" si="6"/>
        <v>40.464058560155848</v>
      </c>
      <c r="M38" s="517">
        <f t="shared" si="6"/>
        <v>41.390759409460514</v>
      </c>
      <c r="N38" s="517">
        <f t="shared" si="6"/>
        <v>42.372576884244332</v>
      </c>
      <c r="O38" s="517">
        <f t="shared" si="6"/>
        <v>43.409588583271663</v>
      </c>
      <c r="P38" s="517">
        <f t="shared" si="6"/>
        <v>44.501874433269805</v>
      </c>
      <c r="Q38" s="517">
        <f t="shared" si="6"/>
        <v>45.649516758767909</v>
      </c>
      <c r="R38" s="518">
        <f t="shared" si="6"/>
        <v>46.852600354030947</v>
      </c>
      <c r="S38" s="516">
        <f t="shared" si="6"/>
        <v>48.111212557151873</v>
      </c>
      <c r="T38" s="517">
        <f t="shared" si="6"/>
        <v>49.425443326366427</v>
      </c>
      <c r="U38" s="517">
        <f t="shared" si="6"/>
        <v>50.795385318657424</v>
      </c>
      <c r="V38" s="517">
        <f t="shared" si="6"/>
        <v>52.221133970717148</v>
      </c>
      <c r="W38" s="517">
        <f t="shared" si="6"/>
        <v>53.545974588588656</v>
      </c>
      <c r="X38" s="517">
        <f t="shared" si="6"/>
        <v>54.904515589965065</v>
      </c>
      <c r="Y38" s="517">
        <f t="shared" si="6"/>
        <v>27.333807466878081</v>
      </c>
      <c r="Z38" s="517">
        <f t="shared" si="6"/>
        <v>27.460425690884421</v>
      </c>
      <c r="AA38" s="517">
        <f t="shared" si="6"/>
        <v>27.590842461610954</v>
      </c>
      <c r="AB38" s="517">
        <f t="shared" si="6"/>
        <v>27.725171735459284</v>
      </c>
      <c r="AC38" s="517">
        <f t="shared" si="6"/>
        <v>27.863530887523062</v>
      </c>
      <c r="AD38" s="517">
        <f t="shared" si="6"/>
        <v>28.006040814148754</v>
      </c>
      <c r="AE38" s="517">
        <f t="shared" si="6"/>
        <v>28.152826038573217</v>
      </c>
      <c r="AF38" s="517">
        <f t="shared" si="6"/>
        <v>28.304014819730416</v>
      </c>
      <c r="AG38" s="517">
        <f t="shared" si="6"/>
        <v>28.459739264322327</v>
      </c>
      <c r="AH38" s="518">
        <f t="shared" si="6"/>
        <v>28.620135442251996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410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411</v>
      </c>
      <c r="C42" s="12"/>
      <c r="D42" s="65">
        <f>Assumptions!$H$14</f>
        <v>10300</v>
      </c>
      <c r="E42" s="65">
        <f>Assumptions!$H$14</f>
        <v>10300</v>
      </c>
      <c r="F42" s="65">
        <f>Assumptions!$H$14</f>
        <v>10300</v>
      </c>
      <c r="G42" s="65">
        <f>Assumptions!$H$14</f>
        <v>10300</v>
      </c>
      <c r="H42" s="65">
        <f>Assumptions!$H$14</f>
        <v>10300</v>
      </c>
      <c r="I42" s="65">
        <f>Assumptions!$H$14</f>
        <v>10300</v>
      </c>
      <c r="J42" s="65">
        <f>Assumptions!$H$14</f>
        <v>10300</v>
      </c>
      <c r="K42" s="65">
        <f>Assumptions!$H$14</f>
        <v>10300</v>
      </c>
      <c r="L42" s="65">
        <f>Assumptions!$H$14</f>
        <v>10300</v>
      </c>
      <c r="M42" s="65">
        <f>Assumptions!$H$14</f>
        <v>10300</v>
      </c>
      <c r="N42" s="65">
        <f>Assumptions!$H$14</f>
        <v>10300</v>
      </c>
      <c r="O42" s="65">
        <f>Assumptions!$H$14</f>
        <v>10300</v>
      </c>
      <c r="P42" s="65">
        <f>Assumptions!$H$14</f>
        <v>10300</v>
      </c>
      <c r="Q42" s="65">
        <f>Assumptions!$H$14</f>
        <v>10300</v>
      </c>
      <c r="R42" s="65">
        <f>Assumptions!$H$14</f>
        <v>10300</v>
      </c>
      <c r="S42" s="65">
        <f>Assumptions!$H$14</f>
        <v>10300</v>
      </c>
      <c r="T42" s="65">
        <f>Assumptions!$H$14</f>
        <v>10300</v>
      </c>
      <c r="U42" s="65">
        <f>Assumptions!$H$14</f>
        <v>10300</v>
      </c>
      <c r="V42" s="65">
        <f>Assumptions!$H$14</f>
        <v>10300</v>
      </c>
      <c r="W42" s="65">
        <f>Assumptions!$H$14</f>
        <v>10300</v>
      </c>
      <c r="X42" s="65">
        <f>Assumptions!$H$14</f>
        <v>10300</v>
      </c>
      <c r="Y42" s="65">
        <f>Assumptions!$H$14</f>
        <v>10300</v>
      </c>
      <c r="Z42" s="65">
        <f>Assumptions!$H$14</f>
        <v>10300</v>
      </c>
      <c r="AA42" s="65">
        <f>Assumptions!$H$14</f>
        <v>10300</v>
      </c>
      <c r="AB42" s="65">
        <f>Assumptions!$H$14</f>
        <v>10300</v>
      </c>
      <c r="AC42" s="65">
        <f>Assumptions!$H$14</f>
        <v>10300</v>
      </c>
      <c r="AD42" s="65">
        <f>Assumptions!$H$14</f>
        <v>10300</v>
      </c>
      <c r="AE42" s="65">
        <f>Assumptions!$H$14</f>
        <v>10300</v>
      </c>
      <c r="AF42" s="65">
        <f>Assumptions!$H$14</f>
        <v>10300</v>
      </c>
      <c r="AG42" s="65">
        <f>Assumptions!$H$14</f>
        <v>10300</v>
      </c>
      <c r="AH42" s="65">
        <f>Assumptions!$H$14</f>
        <v>10300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413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412</v>
      </c>
      <c r="C44" s="12"/>
      <c r="D44" s="521">
        <f>D42*(1+D43)</f>
        <v>10506</v>
      </c>
      <c r="E44" s="522">
        <f t="shared" ref="E44:AH44" si="7">E42*(1+E43)</f>
        <v>10506</v>
      </c>
      <c r="F44" s="522">
        <f t="shared" si="7"/>
        <v>10506</v>
      </c>
      <c r="G44" s="522">
        <f t="shared" si="7"/>
        <v>10506</v>
      </c>
      <c r="H44" s="522">
        <f t="shared" si="7"/>
        <v>10506</v>
      </c>
      <c r="I44" s="522">
        <f t="shared" si="7"/>
        <v>10506</v>
      </c>
      <c r="J44" s="522">
        <f t="shared" si="7"/>
        <v>10506</v>
      </c>
      <c r="K44" s="522">
        <f t="shared" si="7"/>
        <v>10506</v>
      </c>
      <c r="L44" s="522">
        <f t="shared" si="7"/>
        <v>10506</v>
      </c>
      <c r="M44" s="522">
        <f t="shared" si="7"/>
        <v>10506</v>
      </c>
      <c r="N44" s="522">
        <f t="shared" si="7"/>
        <v>10506</v>
      </c>
      <c r="O44" s="522">
        <f t="shared" si="7"/>
        <v>10506</v>
      </c>
      <c r="P44" s="522">
        <f t="shared" si="7"/>
        <v>10506</v>
      </c>
      <c r="Q44" s="522">
        <f t="shared" si="7"/>
        <v>10506</v>
      </c>
      <c r="R44" s="523">
        <f t="shared" si="7"/>
        <v>10506</v>
      </c>
      <c r="S44" s="521">
        <f t="shared" si="7"/>
        <v>10506</v>
      </c>
      <c r="T44" s="522">
        <f t="shared" si="7"/>
        <v>10506</v>
      </c>
      <c r="U44" s="522">
        <f t="shared" si="7"/>
        <v>10506</v>
      </c>
      <c r="V44" s="522">
        <f t="shared" si="7"/>
        <v>10506</v>
      </c>
      <c r="W44" s="522">
        <f t="shared" si="7"/>
        <v>10506</v>
      </c>
      <c r="X44" s="522">
        <f t="shared" si="7"/>
        <v>10506</v>
      </c>
      <c r="Y44" s="522">
        <f t="shared" si="7"/>
        <v>10506</v>
      </c>
      <c r="Z44" s="522">
        <f t="shared" si="7"/>
        <v>10506</v>
      </c>
      <c r="AA44" s="522">
        <f t="shared" si="7"/>
        <v>10506</v>
      </c>
      <c r="AB44" s="522">
        <f t="shared" si="7"/>
        <v>10506</v>
      </c>
      <c r="AC44" s="522">
        <f t="shared" si="7"/>
        <v>10506</v>
      </c>
      <c r="AD44" s="522">
        <f t="shared" si="7"/>
        <v>10506</v>
      </c>
      <c r="AE44" s="522">
        <f t="shared" si="7"/>
        <v>10506</v>
      </c>
      <c r="AF44" s="522">
        <f t="shared" si="7"/>
        <v>10506</v>
      </c>
      <c r="AG44" s="522">
        <f t="shared" si="7"/>
        <v>10506</v>
      </c>
      <c r="AH44" s="523">
        <f t="shared" si="7"/>
        <v>10506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2.75"/>
  <cols>
    <col min="3" max="3" width="10.140625" bestFit="1" customWidth="1"/>
    <col min="4" max="4" width="14.5703125" customWidth="1"/>
  </cols>
  <sheetData>
    <row r="3" spans="3:9">
      <c r="C3" s="535"/>
      <c r="D3" s="535" t="s">
        <v>437</v>
      </c>
    </row>
    <row r="4" spans="3:9">
      <c r="C4" s="535" t="s">
        <v>187</v>
      </c>
      <c r="D4" s="535" t="s">
        <v>438</v>
      </c>
    </row>
    <row r="5" spans="3:9">
      <c r="C5" s="536">
        <v>36586</v>
      </c>
      <c r="D5" s="537">
        <v>3.1789999999999998</v>
      </c>
    </row>
    <row r="6" spans="3:9">
      <c r="C6" s="536">
        <v>36617</v>
      </c>
      <c r="D6" s="537">
        <v>3.0345</v>
      </c>
    </row>
    <row r="7" spans="3:9">
      <c r="C7" s="536">
        <v>36647</v>
      </c>
      <c r="D7" s="537">
        <v>2.8849999999999998</v>
      </c>
      <c r="H7" s="538" t="s">
        <v>23</v>
      </c>
      <c r="I7" s="538" t="s">
        <v>439</v>
      </c>
    </row>
    <row r="8" spans="3:9">
      <c r="C8" s="536">
        <v>36678</v>
      </c>
      <c r="D8" s="537">
        <v>2.8755000000000002</v>
      </c>
      <c r="G8">
        <v>1</v>
      </c>
      <c r="H8">
        <v>2001</v>
      </c>
      <c r="I8" s="537">
        <f>E26</f>
        <v>3.2287916666666665</v>
      </c>
    </row>
    <row r="9" spans="3:9">
      <c r="C9" s="536">
        <v>36708</v>
      </c>
      <c r="D9" s="537">
        <v>2.948</v>
      </c>
      <c r="G9">
        <v>2</v>
      </c>
      <c r="H9">
        <v>2002</v>
      </c>
      <c r="I9" s="537">
        <f>E38</f>
        <v>3.1855000000000007</v>
      </c>
    </row>
    <row r="10" spans="3:9">
      <c r="C10" s="536">
        <v>36739</v>
      </c>
      <c r="D10" s="537">
        <v>2.9860000000000002</v>
      </c>
      <c r="G10">
        <v>3</v>
      </c>
      <c r="H10">
        <v>2003</v>
      </c>
      <c r="I10" s="537">
        <f>E50</f>
        <v>3.1967083333333335</v>
      </c>
    </row>
    <row r="11" spans="3:9">
      <c r="C11" s="536">
        <v>36770</v>
      </c>
      <c r="D11" s="537">
        <v>2.9119999999999999</v>
      </c>
      <c r="G11">
        <v>4</v>
      </c>
      <c r="H11">
        <v>2004</v>
      </c>
      <c r="I11" s="537">
        <f>E62</f>
        <v>3.2458750000000003</v>
      </c>
    </row>
    <row r="12" spans="3:9">
      <c r="C12" s="536">
        <v>36800</v>
      </c>
      <c r="D12" s="537">
        <v>2.9530000000000003</v>
      </c>
      <c r="G12">
        <v>5</v>
      </c>
      <c r="H12">
        <v>2005</v>
      </c>
      <c r="I12" s="537">
        <f>E74</f>
        <v>3.3050416666666664</v>
      </c>
    </row>
    <row r="13" spans="3:9">
      <c r="C13" s="536">
        <v>36831</v>
      </c>
      <c r="D13" s="537">
        <v>3.4805000000000001</v>
      </c>
      <c r="G13">
        <v>6</v>
      </c>
      <c r="H13">
        <v>2006</v>
      </c>
      <c r="I13" s="537">
        <f>E86</f>
        <v>3.3679583333333336</v>
      </c>
    </row>
    <row r="14" spans="3:9">
      <c r="C14" s="536">
        <v>36861</v>
      </c>
      <c r="D14" s="537">
        <v>3.9580000000000002</v>
      </c>
      <c r="G14">
        <v>7</v>
      </c>
      <c r="H14">
        <v>2007</v>
      </c>
      <c r="I14" s="537">
        <f>E98</f>
        <v>3.4329583333333336</v>
      </c>
    </row>
    <row r="15" spans="3:9">
      <c r="C15" s="536">
        <v>36892</v>
      </c>
      <c r="D15" s="537">
        <v>4.2229999999999999</v>
      </c>
      <c r="G15">
        <v>8</v>
      </c>
      <c r="H15">
        <v>2008</v>
      </c>
      <c r="I15" s="537">
        <f>E110</f>
        <v>3.5029583333333334</v>
      </c>
    </row>
    <row r="16" spans="3:9">
      <c r="C16" s="536">
        <v>36923</v>
      </c>
      <c r="D16" s="537">
        <v>4.0955000000000004</v>
      </c>
      <c r="G16">
        <v>9</v>
      </c>
      <c r="H16">
        <v>2009</v>
      </c>
      <c r="I16" s="537">
        <f>E122</f>
        <v>3.5779583333333336</v>
      </c>
    </row>
    <row r="17" spans="3:9">
      <c r="C17" s="536">
        <v>36951</v>
      </c>
      <c r="D17" s="537">
        <v>3.5080000000000005</v>
      </c>
      <c r="G17">
        <v>10</v>
      </c>
      <c r="H17">
        <v>2010</v>
      </c>
      <c r="I17" s="537">
        <f>E134</f>
        <v>3.6579583333333332</v>
      </c>
    </row>
    <row r="18" spans="3:9">
      <c r="C18" s="536">
        <v>36982</v>
      </c>
      <c r="D18" s="537">
        <v>2.9380000000000002</v>
      </c>
      <c r="G18">
        <v>11</v>
      </c>
      <c r="H18">
        <v>2011</v>
      </c>
      <c r="I18" s="537">
        <f>E146</f>
        <v>3.7429583333333336</v>
      </c>
    </row>
    <row r="19" spans="3:9">
      <c r="C19" s="536">
        <v>37012</v>
      </c>
      <c r="D19" s="537">
        <v>2.7885</v>
      </c>
      <c r="G19">
        <v>12</v>
      </c>
      <c r="H19">
        <v>2012</v>
      </c>
      <c r="I19" s="537">
        <f>E158</f>
        <v>3.8329583333333335</v>
      </c>
    </row>
    <row r="20" spans="3:9">
      <c r="C20" s="536">
        <v>37043</v>
      </c>
      <c r="D20" s="537">
        <v>2.7905000000000002</v>
      </c>
      <c r="G20">
        <v>13</v>
      </c>
      <c r="H20">
        <v>2013</v>
      </c>
      <c r="I20" s="537">
        <f>E170</f>
        <v>3.9279583333333328</v>
      </c>
    </row>
    <row r="21" spans="3:9">
      <c r="C21" s="536">
        <v>37073</v>
      </c>
      <c r="D21" s="537">
        <v>2.8034999999999997</v>
      </c>
      <c r="G21">
        <v>14</v>
      </c>
      <c r="H21">
        <v>2014</v>
      </c>
      <c r="I21" s="537">
        <f>E182</f>
        <v>4.0279583333333333</v>
      </c>
    </row>
    <row r="22" spans="3:9">
      <c r="C22" s="536">
        <v>37104</v>
      </c>
      <c r="D22" s="537">
        <v>2.8405</v>
      </c>
      <c r="G22">
        <v>15</v>
      </c>
      <c r="H22">
        <v>2015</v>
      </c>
      <c r="I22" s="537">
        <f>E194</f>
        <v>4.1329583333333337</v>
      </c>
    </row>
    <row r="23" spans="3:9">
      <c r="C23" s="536">
        <v>37135</v>
      </c>
      <c r="D23" s="537">
        <v>2.8134999999999999</v>
      </c>
      <c r="G23">
        <v>16</v>
      </c>
      <c r="H23">
        <v>2016</v>
      </c>
      <c r="I23" s="537">
        <f>E206</f>
        <v>4.2429583333333332</v>
      </c>
    </row>
    <row r="24" spans="3:9">
      <c r="C24" s="536">
        <v>37165</v>
      </c>
      <c r="D24" s="537">
        <v>2.8479999999999999</v>
      </c>
      <c r="G24">
        <v>17</v>
      </c>
      <c r="H24">
        <v>2017</v>
      </c>
      <c r="I24" s="537">
        <f>E218</f>
        <v>4.3579583333333334</v>
      </c>
    </row>
    <row r="25" spans="3:9">
      <c r="C25" s="536">
        <v>37196</v>
      </c>
      <c r="D25" s="537">
        <v>3.3245</v>
      </c>
      <c r="G25">
        <v>18</v>
      </c>
      <c r="H25">
        <v>2018</v>
      </c>
      <c r="I25" s="537">
        <f>E230</f>
        <v>4.4779583333333335</v>
      </c>
    </row>
    <row r="26" spans="3:9">
      <c r="C26" s="536">
        <v>37226</v>
      </c>
      <c r="D26" s="537">
        <v>3.7720000000000002</v>
      </c>
      <c r="E26" s="537">
        <f>AVERAGE(D15:D26)</f>
        <v>3.2287916666666665</v>
      </c>
      <c r="G26">
        <v>19</v>
      </c>
      <c r="H26">
        <v>2019</v>
      </c>
      <c r="I26" s="537">
        <f>E242</f>
        <v>4.6029583333333335</v>
      </c>
    </row>
    <row r="27" spans="3:9">
      <c r="C27" s="536">
        <v>37257</v>
      </c>
      <c r="D27" s="537">
        <v>4.2</v>
      </c>
      <c r="G27">
        <v>20</v>
      </c>
      <c r="H27">
        <v>2020</v>
      </c>
      <c r="I27" s="537">
        <f>I26*(1+0.025)</f>
        <v>4.7180322916666668</v>
      </c>
    </row>
    <row r="28" spans="3:9">
      <c r="C28" s="536">
        <v>37288</v>
      </c>
      <c r="D28" s="537">
        <v>3.9950000000000001</v>
      </c>
      <c r="G28">
        <v>21</v>
      </c>
      <c r="H28">
        <v>2021</v>
      </c>
      <c r="I28" s="537">
        <f>I27*(1+0.025)</f>
        <v>4.8359830989583328</v>
      </c>
    </row>
    <row r="29" spans="3:9">
      <c r="C29" s="536">
        <v>37316</v>
      </c>
      <c r="D29" s="537">
        <v>3.3730000000000002</v>
      </c>
    </row>
    <row r="30" spans="3:9">
      <c r="C30" s="536">
        <v>37347</v>
      </c>
      <c r="D30" s="537">
        <v>2.9039999999999999</v>
      </c>
    </row>
    <row r="31" spans="3:9">
      <c r="C31" s="536">
        <v>37377</v>
      </c>
      <c r="D31" s="537">
        <v>2.7774999999999999</v>
      </c>
    </row>
    <row r="32" spans="3:9">
      <c r="C32" s="536">
        <v>37408</v>
      </c>
      <c r="D32" s="537">
        <v>2.7795000000000001</v>
      </c>
    </row>
    <row r="33" spans="3:5">
      <c r="C33" s="536">
        <v>37438</v>
      </c>
      <c r="D33" s="537">
        <v>2.7864999999999998</v>
      </c>
    </row>
    <row r="34" spans="3:5">
      <c r="C34" s="536">
        <v>37469</v>
      </c>
      <c r="D34" s="537">
        <v>2.8275000000000001</v>
      </c>
    </row>
    <row r="35" spans="3:5">
      <c r="C35" s="536">
        <v>37500</v>
      </c>
      <c r="D35" s="537">
        <v>2.7995000000000001</v>
      </c>
    </row>
    <row r="36" spans="3:5">
      <c r="C36" s="536">
        <v>37530</v>
      </c>
      <c r="D36" s="537">
        <v>2.8330000000000002</v>
      </c>
    </row>
    <row r="37" spans="3:5">
      <c r="C37" s="536">
        <v>37561</v>
      </c>
      <c r="D37" s="537">
        <v>3.2790000000000004</v>
      </c>
    </row>
    <row r="38" spans="3:5">
      <c r="C38" s="536">
        <v>37591</v>
      </c>
      <c r="D38" s="537">
        <v>3.6715000000000009</v>
      </c>
      <c r="E38" s="537">
        <f>AVERAGE(D27:D38)</f>
        <v>3.1855000000000007</v>
      </c>
    </row>
    <row r="39" spans="3:5">
      <c r="C39" s="536">
        <v>37622</v>
      </c>
      <c r="D39" s="537">
        <v>4.1025</v>
      </c>
    </row>
    <row r="40" spans="3:5">
      <c r="C40" s="536">
        <v>37653</v>
      </c>
      <c r="D40" s="537">
        <v>3.9045000000000001</v>
      </c>
    </row>
    <row r="41" spans="3:5">
      <c r="C41" s="536">
        <v>37681</v>
      </c>
      <c r="D41" s="537">
        <v>3.3654999999999999</v>
      </c>
    </row>
    <row r="42" spans="3:5">
      <c r="C42" s="536">
        <v>37712</v>
      </c>
      <c r="D42" s="537">
        <v>2.9390000000000001</v>
      </c>
    </row>
    <row r="43" spans="3:5">
      <c r="C43" s="536">
        <v>37742</v>
      </c>
      <c r="D43" s="537">
        <v>2.8125</v>
      </c>
    </row>
    <row r="44" spans="3:5">
      <c r="C44" s="536">
        <v>37773</v>
      </c>
      <c r="D44" s="537">
        <v>2.8145000000000002</v>
      </c>
    </row>
    <row r="45" spans="3:5">
      <c r="C45" s="536">
        <v>37803</v>
      </c>
      <c r="D45" s="537">
        <v>2.8214999999999999</v>
      </c>
    </row>
    <row r="46" spans="3:5">
      <c r="C46" s="536">
        <v>37834</v>
      </c>
      <c r="D46" s="537">
        <v>2.8624999999999998</v>
      </c>
    </row>
    <row r="47" spans="3:5">
      <c r="C47" s="536">
        <v>37865</v>
      </c>
      <c r="D47" s="537">
        <v>2.8344999999999998</v>
      </c>
    </row>
    <row r="48" spans="3:5">
      <c r="C48" s="536">
        <v>37895</v>
      </c>
      <c r="D48" s="537">
        <v>2.8679999999999999</v>
      </c>
    </row>
    <row r="49" spans="3:5">
      <c r="C49" s="536">
        <v>37926</v>
      </c>
      <c r="D49" s="537">
        <v>3.319</v>
      </c>
    </row>
    <row r="50" spans="3:5">
      <c r="C50" s="536">
        <v>37956</v>
      </c>
      <c r="D50" s="537">
        <v>3.7165000000000008</v>
      </c>
      <c r="E50" s="537">
        <f>AVERAGE(D39:D50)</f>
        <v>3.1967083333333335</v>
      </c>
    </row>
    <row r="51" spans="3:5">
      <c r="C51" s="536">
        <v>37987</v>
      </c>
      <c r="D51" s="537">
        <v>4.1624999999999996</v>
      </c>
    </row>
    <row r="52" spans="3:5">
      <c r="C52" s="536">
        <v>38018</v>
      </c>
      <c r="D52" s="537">
        <v>3.9645000000000001</v>
      </c>
    </row>
    <row r="53" spans="3:5">
      <c r="C53" s="536">
        <v>38047</v>
      </c>
      <c r="D53" s="537">
        <v>3.4154999999999998</v>
      </c>
    </row>
    <row r="54" spans="3:5">
      <c r="C54" s="536">
        <v>38078</v>
      </c>
      <c r="D54" s="537">
        <v>2.9839999999999995</v>
      </c>
    </row>
    <row r="55" spans="3:5">
      <c r="C55" s="536">
        <v>38108</v>
      </c>
      <c r="D55" s="537">
        <v>2.8574999999999999</v>
      </c>
    </row>
    <row r="56" spans="3:5">
      <c r="C56" s="536">
        <v>38139</v>
      </c>
      <c r="D56" s="537">
        <v>2.8594999999999997</v>
      </c>
    </row>
    <row r="57" spans="3:5">
      <c r="C57" s="536">
        <v>38169</v>
      </c>
      <c r="D57" s="537">
        <v>2.8664999999999998</v>
      </c>
    </row>
    <row r="58" spans="3:5">
      <c r="C58" s="536">
        <v>38200</v>
      </c>
      <c r="D58" s="537">
        <v>2.9075000000000002</v>
      </c>
    </row>
    <row r="59" spans="3:5">
      <c r="C59" s="536">
        <v>38231</v>
      </c>
      <c r="D59" s="537">
        <v>2.8794999999999997</v>
      </c>
    </row>
    <row r="60" spans="3:5">
      <c r="C60" s="536">
        <v>38261</v>
      </c>
      <c r="D60" s="537">
        <v>2.9130000000000003</v>
      </c>
    </row>
    <row r="61" spans="3:5">
      <c r="C61" s="536">
        <v>38292</v>
      </c>
      <c r="D61" s="537">
        <v>3.3690000000000007</v>
      </c>
    </row>
    <row r="62" spans="3:5">
      <c r="C62" s="536">
        <v>38322</v>
      </c>
      <c r="D62" s="537">
        <v>3.7715000000000005</v>
      </c>
      <c r="E62" s="537">
        <f>AVERAGE(D51:D62)</f>
        <v>3.2458750000000003</v>
      </c>
    </row>
    <row r="63" spans="3:5">
      <c r="C63" s="536">
        <v>38353</v>
      </c>
      <c r="D63" s="537">
        <v>4.2324999999999999</v>
      </c>
    </row>
    <row r="64" spans="3:5">
      <c r="C64" s="536">
        <v>38384</v>
      </c>
      <c r="D64" s="537">
        <v>4.0344999999999995</v>
      </c>
    </row>
    <row r="65" spans="3:5">
      <c r="C65" s="536">
        <v>38412</v>
      </c>
      <c r="D65" s="537">
        <v>3.4755000000000003</v>
      </c>
    </row>
    <row r="66" spans="3:5">
      <c r="C66" s="536">
        <v>38443</v>
      </c>
      <c r="D66" s="537">
        <v>3.0389999999999997</v>
      </c>
    </row>
    <row r="67" spans="3:5">
      <c r="C67" s="536">
        <v>38473</v>
      </c>
      <c r="D67" s="537">
        <v>2.9125000000000001</v>
      </c>
    </row>
    <row r="68" spans="3:5">
      <c r="C68" s="536">
        <v>38504</v>
      </c>
      <c r="D68" s="537">
        <v>2.9144999999999999</v>
      </c>
    </row>
    <row r="69" spans="3:5">
      <c r="C69" s="536">
        <v>38534</v>
      </c>
      <c r="D69" s="537">
        <v>2.9214999999999995</v>
      </c>
    </row>
    <row r="70" spans="3:5">
      <c r="C70" s="536">
        <v>38565</v>
      </c>
      <c r="D70" s="537">
        <v>2.9624999999999999</v>
      </c>
    </row>
    <row r="71" spans="3:5">
      <c r="C71" s="536">
        <v>38596</v>
      </c>
      <c r="D71" s="537">
        <v>2.9344999999999999</v>
      </c>
    </row>
    <row r="72" spans="3:5">
      <c r="C72" s="536">
        <v>38626</v>
      </c>
      <c r="D72" s="537">
        <v>2.968</v>
      </c>
    </row>
    <row r="73" spans="3:5">
      <c r="C73" s="536">
        <v>38657</v>
      </c>
      <c r="D73" s="537">
        <v>3.4290000000000003</v>
      </c>
    </row>
    <row r="74" spans="3:5">
      <c r="C74" s="536">
        <v>38687</v>
      </c>
      <c r="D74" s="537">
        <v>3.8365000000000005</v>
      </c>
      <c r="E74" s="537">
        <f>AVERAGE(D63:D74)</f>
        <v>3.3050416666666664</v>
      </c>
    </row>
    <row r="75" spans="3:5">
      <c r="C75" s="536">
        <v>38718</v>
      </c>
      <c r="D75" s="537">
        <v>4.3075000000000001</v>
      </c>
    </row>
    <row r="76" spans="3:5">
      <c r="C76" s="536">
        <v>38749</v>
      </c>
      <c r="D76" s="537">
        <v>4.1094999999999997</v>
      </c>
    </row>
    <row r="77" spans="3:5">
      <c r="C77" s="536">
        <v>38777</v>
      </c>
      <c r="D77" s="537">
        <v>3.5405000000000002</v>
      </c>
    </row>
    <row r="78" spans="3:5">
      <c r="C78" s="536">
        <v>38808</v>
      </c>
      <c r="D78" s="537">
        <v>3.0989999999999998</v>
      </c>
    </row>
    <row r="79" spans="3:5">
      <c r="C79" s="536">
        <v>38838</v>
      </c>
      <c r="D79" s="537">
        <v>2.9725000000000001</v>
      </c>
    </row>
    <row r="80" spans="3:5">
      <c r="C80" s="536">
        <v>38869</v>
      </c>
      <c r="D80" s="537">
        <v>2.9744999999999999</v>
      </c>
    </row>
    <row r="81" spans="3:5">
      <c r="C81" s="536">
        <v>38899</v>
      </c>
      <c r="D81" s="537">
        <v>2.9814999999999996</v>
      </c>
    </row>
    <row r="82" spans="3:5">
      <c r="C82" s="536">
        <v>38930</v>
      </c>
      <c r="D82" s="537">
        <v>3.0225</v>
      </c>
    </row>
    <row r="83" spans="3:5">
      <c r="C83" s="536">
        <v>38961</v>
      </c>
      <c r="D83" s="537">
        <v>2.9944999999999999</v>
      </c>
    </row>
    <row r="84" spans="3:5">
      <c r="C84" s="536">
        <v>38991</v>
      </c>
      <c r="D84" s="537">
        <v>3.028</v>
      </c>
    </row>
    <row r="85" spans="3:5">
      <c r="C85" s="536">
        <v>39022</v>
      </c>
      <c r="D85" s="537">
        <v>3.4890000000000003</v>
      </c>
    </row>
    <row r="86" spans="3:5">
      <c r="C86" s="536">
        <v>39052</v>
      </c>
      <c r="D86" s="537">
        <v>3.8965000000000005</v>
      </c>
      <c r="E86" s="537">
        <f>AVERAGE(D75:D86)</f>
        <v>3.3679583333333336</v>
      </c>
    </row>
    <row r="87" spans="3:5">
      <c r="C87" s="536">
        <v>39083</v>
      </c>
      <c r="D87" s="537">
        <v>4.3724999999999996</v>
      </c>
    </row>
    <row r="88" spans="3:5">
      <c r="C88" s="536">
        <v>39114</v>
      </c>
      <c r="D88" s="537">
        <v>4.1744999999999992</v>
      </c>
    </row>
    <row r="89" spans="3:5">
      <c r="C89" s="536">
        <v>39142</v>
      </c>
      <c r="D89" s="537">
        <v>3.6055000000000001</v>
      </c>
    </row>
    <row r="90" spans="3:5">
      <c r="C90" s="536">
        <v>39173</v>
      </c>
      <c r="D90" s="537">
        <v>3.1640000000000001</v>
      </c>
    </row>
    <row r="91" spans="3:5">
      <c r="C91" s="536">
        <v>39203</v>
      </c>
      <c r="D91" s="537">
        <v>3.0375000000000001</v>
      </c>
    </row>
    <row r="92" spans="3:5">
      <c r="C92" s="536">
        <v>39234</v>
      </c>
      <c r="D92" s="537">
        <v>3.0394999999999999</v>
      </c>
    </row>
    <row r="93" spans="3:5">
      <c r="C93" s="536">
        <v>39264</v>
      </c>
      <c r="D93" s="537">
        <v>3.0465000000000004</v>
      </c>
    </row>
    <row r="94" spans="3:5">
      <c r="C94" s="536">
        <v>39295</v>
      </c>
      <c r="D94" s="537">
        <v>3.0874999999999999</v>
      </c>
    </row>
    <row r="95" spans="3:5">
      <c r="C95" s="536">
        <v>39326</v>
      </c>
      <c r="D95" s="537">
        <v>3.0594999999999999</v>
      </c>
    </row>
    <row r="96" spans="3:5">
      <c r="C96" s="536">
        <v>39356</v>
      </c>
      <c r="D96" s="537">
        <v>3.093</v>
      </c>
    </row>
    <row r="97" spans="3:5">
      <c r="C97" s="536">
        <v>39387</v>
      </c>
      <c r="D97" s="537">
        <v>3.5540000000000003</v>
      </c>
    </row>
    <row r="98" spans="3:5">
      <c r="C98" s="536">
        <v>39417</v>
      </c>
      <c r="D98" s="537">
        <v>3.9615000000000009</v>
      </c>
      <c r="E98" s="537">
        <f>AVERAGE(D87:D98)</f>
        <v>3.4329583333333336</v>
      </c>
    </row>
    <row r="99" spans="3:5">
      <c r="C99" s="536">
        <v>39448</v>
      </c>
      <c r="D99" s="537">
        <v>4.4424999999999999</v>
      </c>
    </row>
    <row r="100" spans="3:5">
      <c r="C100" s="536">
        <v>39479</v>
      </c>
      <c r="D100" s="537">
        <v>4.2444999999999995</v>
      </c>
    </row>
    <row r="101" spans="3:5">
      <c r="C101" s="536">
        <v>39508</v>
      </c>
      <c r="D101" s="537">
        <v>3.6755</v>
      </c>
    </row>
    <row r="102" spans="3:5">
      <c r="C102" s="536">
        <v>39539</v>
      </c>
      <c r="D102" s="537">
        <v>3.2340000000000004</v>
      </c>
    </row>
    <row r="103" spans="3:5">
      <c r="C103" s="536">
        <v>39569</v>
      </c>
      <c r="D103" s="537">
        <v>3.1074999999999999</v>
      </c>
    </row>
    <row r="104" spans="3:5">
      <c r="C104" s="536">
        <v>39600</v>
      </c>
      <c r="D104" s="537">
        <v>3.1094999999999997</v>
      </c>
    </row>
    <row r="105" spans="3:5">
      <c r="C105" s="536">
        <v>39630</v>
      </c>
      <c r="D105" s="537">
        <v>3.1165000000000003</v>
      </c>
    </row>
    <row r="106" spans="3:5">
      <c r="C106" s="536">
        <v>39661</v>
      </c>
      <c r="D106" s="537">
        <v>3.1575000000000002</v>
      </c>
    </row>
    <row r="107" spans="3:5">
      <c r="C107" s="536">
        <v>39692</v>
      </c>
      <c r="D107" s="537">
        <v>3.1294999999999997</v>
      </c>
    </row>
    <row r="108" spans="3:5">
      <c r="C108" s="536">
        <v>39722</v>
      </c>
      <c r="D108" s="537">
        <v>3.1630000000000003</v>
      </c>
    </row>
    <row r="109" spans="3:5">
      <c r="C109" s="536">
        <v>39753</v>
      </c>
      <c r="D109" s="537">
        <v>3.6240000000000006</v>
      </c>
    </row>
    <row r="110" spans="3:5">
      <c r="C110" s="536">
        <v>39783</v>
      </c>
      <c r="D110" s="537">
        <v>4.0315000000000003</v>
      </c>
      <c r="E110" s="537">
        <f>AVERAGE(D99:D110)</f>
        <v>3.5029583333333334</v>
      </c>
    </row>
    <row r="111" spans="3:5">
      <c r="C111" s="536">
        <v>39814</v>
      </c>
      <c r="D111" s="537">
        <v>4.5175000000000001</v>
      </c>
    </row>
    <row r="112" spans="3:5">
      <c r="C112" s="536">
        <v>39845</v>
      </c>
      <c r="D112" s="537">
        <v>4.3194999999999997</v>
      </c>
    </row>
    <row r="113" spans="3:5">
      <c r="C113" s="536">
        <v>39873</v>
      </c>
      <c r="D113" s="537">
        <v>3.7505000000000002</v>
      </c>
    </row>
    <row r="114" spans="3:5">
      <c r="C114" s="536">
        <v>39904</v>
      </c>
      <c r="D114" s="537">
        <v>3.3090000000000002</v>
      </c>
    </row>
    <row r="115" spans="3:5">
      <c r="C115" s="536">
        <v>39934</v>
      </c>
      <c r="D115" s="537">
        <v>3.1825000000000001</v>
      </c>
    </row>
    <row r="116" spans="3:5">
      <c r="C116" s="536">
        <v>39965</v>
      </c>
      <c r="D116" s="537">
        <v>3.1844999999999999</v>
      </c>
    </row>
    <row r="117" spans="3:5">
      <c r="C117" s="536">
        <v>39995</v>
      </c>
      <c r="D117" s="537">
        <v>3.1915000000000004</v>
      </c>
    </row>
    <row r="118" spans="3:5">
      <c r="C118" s="536">
        <v>40026</v>
      </c>
      <c r="D118" s="537">
        <v>3.2324999999999999</v>
      </c>
    </row>
    <row r="119" spans="3:5">
      <c r="C119" s="536">
        <v>40057</v>
      </c>
      <c r="D119" s="537">
        <v>3.2044999999999999</v>
      </c>
    </row>
    <row r="120" spans="3:5">
      <c r="C120" s="536">
        <v>40087</v>
      </c>
      <c r="D120" s="537">
        <v>3.238</v>
      </c>
    </row>
    <row r="121" spans="3:5">
      <c r="C121" s="536">
        <v>40118</v>
      </c>
      <c r="D121" s="537">
        <v>3.6990000000000003</v>
      </c>
    </row>
    <row r="122" spans="3:5">
      <c r="C122" s="536">
        <v>40148</v>
      </c>
      <c r="D122" s="537">
        <v>4.1065000000000005</v>
      </c>
      <c r="E122" s="537">
        <f>AVERAGE(D111:D122)</f>
        <v>3.5779583333333336</v>
      </c>
    </row>
    <row r="123" spans="3:5">
      <c r="C123" s="536">
        <v>40179</v>
      </c>
      <c r="D123" s="537">
        <v>4.5975000000000001</v>
      </c>
    </row>
    <row r="124" spans="3:5">
      <c r="C124" s="536">
        <v>40210</v>
      </c>
      <c r="D124" s="537">
        <v>4.3994999999999997</v>
      </c>
    </row>
    <row r="125" spans="3:5">
      <c r="C125" s="536">
        <v>40238</v>
      </c>
      <c r="D125" s="537">
        <v>3.8305000000000002</v>
      </c>
    </row>
    <row r="126" spans="3:5">
      <c r="C126" s="536">
        <v>40269</v>
      </c>
      <c r="D126" s="537">
        <v>3.3890000000000002</v>
      </c>
    </row>
    <row r="127" spans="3:5">
      <c r="C127" s="536">
        <v>40299</v>
      </c>
      <c r="D127" s="537">
        <v>3.2625000000000002</v>
      </c>
    </row>
    <row r="128" spans="3:5">
      <c r="C128" s="536">
        <v>40330</v>
      </c>
      <c r="D128" s="537">
        <v>3.2645</v>
      </c>
    </row>
    <row r="129" spans="3:5">
      <c r="C129" s="536">
        <v>40360</v>
      </c>
      <c r="D129" s="537">
        <v>3.2715000000000001</v>
      </c>
    </row>
    <row r="130" spans="3:5">
      <c r="C130" s="536">
        <v>40391</v>
      </c>
      <c r="D130" s="537">
        <v>3.3125</v>
      </c>
    </row>
    <row r="131" spans="3:5">
      <c r="C131" s="536">
        <v>40422</v>
      </c>
      <c r="D131" s="537">
        <v>3.2845</v>
      </c>
    </row>
    <row r="132" spans="3:5">
      <c r="C132" s="536">
        <v>40452</v>
      </c>
      <c r="D132" s="537">
        <v>3.3180000000000001</v>
      </c>
    </row>
    <row r="133" spans="3:5">
      <c r="C133" s="536">
        <v>40483</v>
      </c>
      <c r="D133" s="537">
        <v>3.7790000000000004</v>
      </c>
    </row>
    <row r="134" spans="3:5">
      <c r="C134" s="536">
        <v>40513</v>
      </c>
      <c r="D134" s="537">
        <v>4.1865000000000006</v>
      </c>
      <c r="E134" s="537">
        <f>AVERAGE(D123:D134)</f>
        <v>3.6579583333333332</v>
      </c>
    </row>
    <row r="135" spans="3:5">
      <c r="C135" s="536">
        <v>40544</v>
      </c>
      <c r="D135" s="537">
        <v>4.6825000000000001</v>
      </c>
    </row>
    <row r="136" spans="3:5">
      <c r="C136" s="536">
        <v>40575</v>
      </c>
      <c r="D136" s="537">
        <v>4.4844999999999997</v>
      </c>
    </row>
    <row r="137" spans="3:5">
      <c r="C137" s="536">
        <v>40603</v>
      </c>
      <c r="D137" s="537">
        <v>3.9155000000000002</v>
      </c>
    </row>
    <row r="138" spans="3:5">
      <c r="C138" s="536">
        <v>40634</v>
      </c>
      <c r="D138" s="537">
        <v>3.4740000000000002</v>
      </c>
    </row>
    <row r="139" spans="3:5">
      <c r="C139" s="536">
        <v>40664</v>
      </c>
      <c r="D139" s="537">
        <v>3.3475000000000001</v>
      </c>
    </row>
    <row r="140" spans="3:5">
      <c r="C140" s="536">
        <v>40695</v>
      </c>
      <c r="D140" s="537">
        <v>3.3494999999999999</v>
      </c>
    </row>
    <row r="141" spans="3:5">
      <c r="C141" s="536">
        <v>40725</v>
      </c>
      <c r="D141" s="537">
        <v>3.3565000000000005</v>
      </c>
    </row>
    <row r="142" spans="3:5">
      <c r="C142" s="536">
        <v>40756</v>
      </c>
      <c r="D142" s="537">
        <v>3.3975</v>
      </c>
    </row>
    <row r="143" spans="3:5">
      <c r="C143" s="536">
        <v>40787</v>
      </c>
      <c r="D143" s="537">
        <v>3.3694999999999999</v>
      </c>
    </row>
    <row r="144" spans="3:5">
      <c r="C144" s="536">
        <v>40817</v>
      </c>
      <c r="D144" s="537">
        <v>3.403</v>
      </c>
    </row>
    <row r="145" spans="3:5">
      <c r="C145" s="536">
        <v>40848</v>
      </c>
      <c r="D145" s="537">
        <v>3.8640000000000003</v>
      </c>
    </row>
    <row r="146" spans="3:5">
      <c r="C146" s="536">
        <v>40878</v>
      </c>
      <c r="D146" s="537">
        <v>4.2715000000000005</v>
      </c>
      <c r="E146" s="537">
        <f>AVERAGE(D135:D146)</f>
        <v>3.7429583333333336</v>
      </c>
    </row>
    <row r="147" spans="3:5">
      <c r="C147" s="536">
        <v>40909</v>
      </c>
      <c r="D147" s="537">
        <v>4.7725</v>
      </c>
    </row>
    <row r="148" spans="3:5">
      <c r="C148" s="536">
        <v>40940</v>
      </c>
      <c r="D148" s="537">
        <v>4.5744999999999996</v>
      </c>
    </row>
    <row r="149" spans="3:5">
      <c r="C149" s="536">
        <v>40969</v>
      </c>
      <c r="D149" s="537">
        <v>4.0054999999999996</v>
      </c>
    </row>
    <row r="150" spans="3:5">
      <c r="C150" s="536">
        <v>41000</v>
      </c>
      <c r="D150" s="537">
        <v>3.5640000000000005</v>
      </c>
    </row>
    <row r="151" spans="3:5">
      <c r="C151" s="536">
        <v>41030</v>
      </c>
      <c r="D151" s="537">
        <v>3.4375</v>
      </c>
    </row>
    <row r="152" spans="3:5">
      <c r="C152" s="536">
        <v>41061</v>
      </c>
      <c r="D152" s="537">
        <v>3.4394999999999998</v>
      </c>
    </row>
    <row r="153" spans="3:5">
      <c r="C153" s="536">
        <v>41091</v>
      </c>
      <c r="D153" s="537">
        <v>3.4465000000000003</v>
      </c>
    </row>
    <row r="154" spans="3:5">
      <c r="C154" s="536">
        <v>41122</v>
      </c>
      <c r="D154" s="537">
        <v>3.4874999999999998</v>
      </c>
    </row>
    <row r="155" spans="3:5">
      <c r="C155" s="536">
        <v>41153</v>
      </c>
      <c r="D155" s="537">
        <v>3.4594999999999998</v>
      </c>
    </row>
    <row r="156" spans="3:5">
      <c r="C156" s="536">
        <v>41183</v>
      </c>
      <c r="D156" s="537">
        <v>3.4929999999999999</v>
      </c>
    </row>
    <row r="157" spans="3:5">
      <c r="C157" s="536">
        <v>41214</v>
      </c>
      <c r="D157" s="537">
        <v>3.9540000000000006</v>
      </c>
    </row>
    <row r="158" spans="3:5">
      <c r="C158" s="536">
        <v>41244</v>
      </c>
      <c r="D158" s="537">
        <v>4.3615000000000004</v>
      </c>
      <c r="E158" s="537">
        <f>AVERAGE(D147:D158)</f>
        <v>3.8329583333333335</v>
      </c>
    </row>
    <row r="159" spans="3:5">
      <c r="C159" s="536">
        <v>41275</v>
      </c>
      <c r="D159" s="537">
        <v>4.8674999999999997</v>
      </c>
    </row>
    <row r="160" spans="3:5">
      <c r="C160" s="536">
        <v>41306</v>
      </c>
      <c r="D160" s="537">
        <v>4.6694999999999993</v>
      </c>
    </row>
    <row r="161" spans="3:5">
      <c r="C161" s="536">
        <v>41334</v>
      </c>
      <c r="D161" s="537">
        <v>4.1005000000000003</v>
      </c>
    </row>
    <row r="162" spans="3:5">
      <c r="C162" s="536">
        <v>41365</v>
      </c>
      <c r="D162" s="537">
        <v>3.6590000000000003</v>
      </c>
    </row>
    <row r="163" spans="3:5">
      <c r="C163" s="536">
        <v>41395</v>
      </c>
      <c r="D163" s="537">
        <v>3.5325000000000002</v>
      </c>
    </row>
    <row r="164" spans="3:5">
      <c r="C164" s="536">
        <v>41426</v>
      </c>
      <c r="D164" s="537">
        <v>3.5345</v>
      </c>
    </row>
    <row r="165" spans="3:5">
      <c r="C165" s="536">
        <v>41456</v>
      </c>
      <c r="D165" s="537">
        <v>3.5415000000000001</v>
      </c>
    </row>
    <row r="166" spans="3:5">
      <c r="C166" s="536">
        <v>41487</v>
      </c>
      <c r="D166" s="537">
        <v>3.5825</v>
      </c>
    </row>
    <row r="167" spans="3:5">
      <c r="C167" s="536">
        <v>41518</v>
      </c>
      <c r="D167" s="537">
        <v>3.5545</v>
      </c>
    </row>
    <row r="168" spans="3:5">
      <c r="C168" s="536">
        <v>41548</v>
      </c>
      <c r="D168" s="537">
        <v>3.5880000000000001</v>
      </c>
    </row>
    <row r="169" spans="3:5">
      <c r="C169" s="536">
        <v>41579</v>
      </c>
      <c r="D169" s="537">
        <v>4.0490000000000004</v>
      </c>
    </row>
    <row r="170" spans="3:5">
      <c r="C170" s="536">
        <v>41609</v>
      </c>
      <c r="D170" s="537">
        <v>4.4565000000000001</v>
      </c>
      <c r="E170" s="537">
        <f>AVERAGE(D159:D170)</f>
        <v>3.9279583333333328</v>
      </c>
    </row>
    <row r="171" spans="3:5">
      <c r="C171" s="536">
        <v>41640</v>
      </c>
      <c r="D171" s="537">
        <v>4.9675000000000002</v>
      </c>
    </row>
    <row r="172" spans="3:5">
      <c r="C172" s="536">
        <v>41671</v>
      </c>
      <c r="D172" s="537">
        <v>4.7694999999999999</v>
      </c>
    </row>
    <row r="173" spans="3:5">
      <c r="C173" s="536">
        <v>41699</v>
      </c>
      <c r="D173" s="537">
        <v>4.2005000000000008</v>
      </c>
    </row>
    <row r="174" spans="3:5">
      <c r="C174" s="536">
        <v>41730</v>
      </c>
      <c r="D174" s="537">
        <v>3.7590000000000003</v>
      </c>
    </row>
    <row r="175" spans="3:5">
      <c r="C175" s="536">
        <v>41760</v>
      </c>
      <c r="D175" s="537">
        <v>3.6324999999999998</v>
      </c>
    </row>
    <row r="176" spans="3:5">
      <c r="C176" s="536">
        <v>41791</v>
      </c>
      <c r="D176" s="537">
        <v>3.6345000000000001</v>
      </c>
    </row>
    <row r="177" spans="3:5">
      <c r="C177" s="536">
        <v>41821</v>
      </c>
      <c r="D177" s="537">
        <v>3.6415000000000002</v>
      </c>
    </row>
    <row r="178" spans="3:5">
      <c r="C178" s="536">
        <v>41852</v>
      </c>
      <c r="D178" s="537">
        <v>3.6825000000000001</v>
      </c>
    </row>
    <row r="179" spans="3:5">
      <c r="C179" s="536">
        <v>41883</v>
      </c>
      <c r="D179" s="537">
        <v>3.6545000000000001</v>
      </c>
    </row>
    <row r="180" spans="3:5">
      <c r="C180" s="536">
        <v>41913</v>
      </c>
      <c r="D180" s="537">
        <v>3.6880000000000002</v>
      </c>
    </row>
    <row r="181" spans="3:5">
      <c r="C181" s="536">
        <v>41944</v>
      </c>
      <c r="D181" s="537">
        <v>4.149</v>
      </c>
    </row>
    <row r="182" spans="3:5">
      <c r="C182" s="536">
        <v>41974</v>
      </c>
      <c r="D182" s="537">
        <v>4.5565000000000007</v>
      </c>
      <c r="E182" s="537">
        <f>AVERAGE(D171:D182)</f>
        <v>4.0279583333333333</v>
      </c>
    </row>
    <row r="183" spans="3:5">
      <c r="C183" s="536">
        <v>42005</v>
      </c>
      <c r="D183" s="537">
        <v>5.0724999999999998</v>
      </c>
    </row>
    <row r="184" spans="3:5">
      <c r="C184" s="536">
        <v>42036</v>
      </c>
      <c r="D184" s="537">
        <v>4.8744999999999994</v>
      </c>
    </row>
    <row r="185" spans="3:5">
      <c r="C185" s="536">
        <v>42064</v>
      </c>
      <c r="D185" s="537">
        <v>4.3055000000000003</v>
      </c>
    </row>
    <row r="186" spans="3:5">
      <c r="C186" s="536">
        <v>42095</v>
      </c>
      <c r="D186" s="537">
        <v>3.8640000000000003</v>
      </c>
    </row>
    <row r="187" spans="3:5">
      <c r="C187" s="536">
        <v>42125</v>
      </c>
      <c r="D187" s="537">
        <v>3.7374999999999998</v>
      </c>
    </row>
    <row r="188" spans="3:5">
      <c r="C188" s="536">
        <v>42156</v>
      </c>
      <c r="D188" s="537">
        <v>3.7395</v>
      </c>
    </row>
    <row r="189" spans="3:5">
      <c r="C189" s="536">
        <v>42186</v>
      </c>
      <c r="D189" s="537">
        <v>3.7465000000000002</v>
      </c>
    </row>
    <row r="190" spans="3:5">
      <c r="C190" s="536">
        <v>42217</v>
      </c>
      <c r="D190" s="537">
        <v>3.7875000000000001</v>
      </c>
    </row>
    <row r="191" spans="3:5">
      <c r="C191" s="536">
        <v>42248</v>
      </c>
      <c r="D191" s="537">
        <v>3.7595000000000001</v>
      </c>
    </row>
    <row r="192" spans="3:5">
      <c r="C192" s="536">
        <v>42278</v>
      </c>
      <c r="D192" s="537">
        <v>3.7930000000000001</v>
      </c>
    </row>
    <row r="193" spans="3:5">
      <c r="C193" s="536">
        <v>42309</v>
      </c>
      <c r="D193" s="537">
        <v>4.2540000000000004</v>
      </c>
    </row>
    <row r="194" spans="3:5">
      <c r="C194" s="536">
        <v>42339</v>
      </c>
      <c r="D194" s="537">
        <v>4.6615000000000002</v>
      </c>
      <c r="E194" s="537">
        <f>AVERAGE(D183:D194)</f>
        <v>4.1329583333333337</v>
      </c>
    </row>
    <row r="195" spans="3:5">
      <c r="C195" s="536">
        <v>42370</v>
      </c>
      <c r="D195" s="537">
        <v>5.1825000000000001</v>
      </c>
    </row>
    <row r="196" spans="3:5">
      <c r="C196" s="536">
        <v>42401</v>
      </c>
      <c r="D196" s="537">
        <v>4.9844999999999997</v>
      </c>
    </row>
    <row r="197" spans="3:5">
      <c r="C197" s="536">
        <v>42430</v>
      </c>
      <c r="D197" s="537">
        <v>4.4155000000000006</v>
      </c>
    </row>
    <row r="198" spans="3:5">
      <c r="C198" s="536">
        <v>42461</v>
      </c>
      <c r="D198" s="537">
        <v>3.9740000000000002</v>
      </c>
    </row>
    <row r="199" spans="3:5">
      <c r="C199" s="536">
        <v>42491</v>
      </c>
      <c r="D199" s="537">
        <v>3.8475000000000001</v>
      </c>
    </row>
    <row r="200" spans="3:5">
      <c r="C200" s="536">
        <v>42522</v>
      </c>
      <c r="D200" s="537">
        <v>3.8494999999999999</v>
      </c>
    </row>
    <row r="201" spans="3:5">
      <c r="C201" s="536">
        <v>42552</v>
      </c>
      <c r="D201" s="537">
        <v>3.8565000000000005</v>
      </c>
    </row>
    <row r="202" spans="3:5">
      <c r="C202" s="536">
        <v>42583</v>
      </c>
      <c r="D202" s="537">
        <v>3.8975</v>
      </c>
    </row>
    <row r="203" spans="3:5">
      <c r="C203" s="536">
        <v>42614</v>
      </c>
      <c r="D203" s="537">
        <v>3.8694999999999999</v>
      </c>
    </row>
    <row r="204" spans="3:5">
      <c r="C204" s="536">
        <v>42644</v>
      </c>
      <c r="D204" s="537">
        <v>3.903</v>
      </c>
    </row>
    <row r="205" spans="3:5">
      <c r="C205" s="536">
        <v>42675</v>
      </c>
      <c r="D205" s="537">
        <v>4.3639999999999999</v>
      </c>
    </row>
    <row r="206" spans="3:5">
      <c r="C206" s="536">
        <v>42705</v>
      </c>
      <c r="D206" s="537">
        <v>4.7715000000000005</v>
      </c>
      <c r="E206" s="537">
        <f>AVERAGE(D195:D206)</f>
        <v>4.2429583333333332</v>
      </c>
    </row>
    <row r="207" spans="3:5">
      <c r="C207" s="536">
        <v>42736</v>
      </c>
      <c r="D207" s="537">
        <v>5.2975000000000003</v>
      </c>
    </row>
    <row r="208" spans="3:5">
      <c r="C208" s="536">
        <v>42767</v>
      </c>
      <c r="D208" s="537">
        <v>5.0994999999999999</v>
      </c>
    </row>
    <row r="209" spans="3:5">
      <c r="C209" s="536">
        <v>42795</v>
      </c>
      <c r="D209" s="537">
        <v>4.5305000000000009</v>
      </c>
    </row>
    <row r="210" spans="3:5">
      <c r="C210" s="536">
        <v>42826</v>
      </c>
      <c r="D210" s="537">
        <v>4.0890000000000004</v>
      </c>
    </row>
    <row r="211" spans="3:5">
      <c r="C211" s="536">
        <v>42856</v>
      </c>
      <c r="D211" s="537">
        <v>3.9624999999999999</v>
      </c>
    </row>
    <row r="212" spans="3:5">
      <c r="C212" s="536">
        <v>42887</v>
      </c>
      <c r="D212" s="537">
        <v>3.9645000000000001</v>
      </c>
    </row>
    <row r="213" spans="3:5">
      <c r="C213" s="536">
        <v>42917</v>
      </c>
      <c r="D213" s="537">
        <v>3.9715000000000003</v>
      </c>
    </row>
    <row r="214" spans="3:5">
      <c r="C214" s="536">
        <v>42948</v>
      </c>
      <c r="D214" s="537">
        <v>4.0125000000000002</v>
      </c>
    </row>
    <row r="215" spans="3:5">
      <c r="C215" s="536">
        <v>42979</v>
      </c>
      <c r="D215" s="537">
        <v>3.9844999999999997</v>
      </c>
    </row>
    <row r="216" spans="3:5">
      <c r="C216" s="536">
        <v>43009</v>
      </c>
      <c r="D216" s="537">
        <v>4.0179999999999998</v>
      </c>
    </row>
    <row r="217" spans="3:5">
      <c r="C217" s="536">
        <v>43040</v>
      </c>
      <c r="D217" s="537">
        <v>4.4790000000000001</v>
      </c>
    </row>
    <row r="218" spans="3:5">
      <c r="C218" s="536">
        <v>43070</v>
      </c>
      <c r="D218" s="537">
        <v>4.8865000000000007</v>
      </c>
      <c r="E218" s="537">
        <f>AVERAGE(D207:D218)</f>
        <v>4.3579583333333334</v>
      </c>
    </row>
    <row r="219" spans="3:5">
      <c r="C219" s="536">
        <v>43101</v>
      </c>
      <c r="D219" s="537">
        <v>5.4175000000000004</v>
      </c>
    </row>
    <row r="220" spans="3:5">
      <c r="C220" s="536">
        <v>43132</v>
      </c>
      <c r="D220" s="537">
        <v>5.2194999999999991</v>
      </c>
    </row>
    <row r="221" spans="3:5">
      <c r="C221" s="536">
        <v>43160</v>
      </c>
      <c r="D221" s="537">
        <v>4.6505000000000001</v>
      </c>
    </row>
    <row r="222" spans="3:5">
      <c r="C222" s="536">
        <v>43191</v>
      </c>
      <c r="D222" s="537">
        <v>4.2090000000000005</v>
      </c>
    </row>
    <row r="223" spans="3:5">
      <c r="C223" s="536">
        <v>43221</v>
      </c>
      <c r="D223" s="537">
        <v>4.0824999999999996</v>
      </c>
    </row>
    <row r="224" spans="3:5">
      <c r="C224" s="536">
        <v>43252</v>
      </c>
      <c r="D224" s="537">
        <v>4.0844999999999994</v>
      </c>
    </row>
    <row r="225" spans="3:5">
      <c r="C225" s="536">
        <v>43282</v>
      </c>
      <c r="D225" s="537">
        <v>4.0914999999999999</v>
      </c>
    </row>
    <row r="226" spans="3:5">
      <c r="C226" s="536">
        <v>43313</v>
      </c>
      <c r="D226" s="537">
        <v>4.1325000000000003</v>
      </c>
    </row>
    <row r="227" spans="3:5">
      <c r="C227" s="536">
        <v>43344</v>
      </c>
      <c r="D227" s="537">
        <v>4.1044999999999998</v>
      </c>
    </row>
    <row r="228" spans="3:5">
      <c r="C228" s="536">
        <v>43374</v>
      </c>
      <c r="D228" s="537">
        <v>4.1379999999999999</v>
      </c>
    </row>
    <row r="229" spans="3:5">
      <c r="C229" s="536">
        <v>43405</v>
      </c>
      <c r="D229" s="537">
        <v>4.5990000000000002</v>
      </c>
    </row>
    <row r="230" spans="3:5">
      <c r="C230" s="536">
        <v>43435</v>
      </c>
      <c r="D230" s="537">
        <v>5.0065000000000008</v>
      </c>
      <c r="E230" s="537">
        <f>AVERAGE(D219:D230)</f>
        <v>4.4779583333333335</v>
      </c>
    </row>
    <row r="231" spans="3:5">
      <c r="C231" s="536">
        <v>43466</v>
      </c>
      <c r="D231" s="537">
        <v>5.5425000000000004</v>
      </c>
    </row>
    <row r="232" spans="3:5">
      <c r="C232" s="536">
        <v>43497</v>
      </c>
      <c r="D232" s="537">
        <v>5.3444999999999991</v>
      </c>
    </row>
    <row r="233" spans="3:5">
      <c r="C233" s="536">
        <v>43525</v>
      </c>
      <c r="D233" s="537">
        <v>4.7755000000000001</v>
      </c>
    </row>
    <row r="234" spans="3:5">
      <c r="C234" s="536">
        <v>43556</v>
      </c>
      <c r="D234" s="537">
        <v>4.3340000000000005</v>
      </c>
    </row>
    <row r="235" spans="3:5">
      <c r="C235" s="536">
        <v>43586</v>
      </c>
      <c r="D235" s="537">
        <v>4.2074999999999996</v>
      </c>
    </row>
    <row r="236" spans="3:5">
      <c r="C236" s="536">
        <v>43617</v>
      </c>
      <c r="D236" s="537">
        <v>4.2094999999999994</v>
      </c>
    </row>
    <row r="237" spans="3:5">
      <c r="C237" s="536">
        <v>43647</v>
      </c>
      <c r="D237" s="537">
        <v>4.2164999999999999</v>
      </c>
    </row>
    <row r="238" spans="3:5">
      <c r="C238" s="536">
        <v>43678</v>
      </c>
      <c r="D238" s="537">
        <v>4.2575000000000003</v>
      </c>
    </row>
    <row r="239" spans="3:5">
      <c r="C239" s="536">
        <v>43709</v>
      </c>
      <c r="D239" s="537">
        <v>4.2294999999999998</v>
      </c>
    </row>
    <row r="240" spans="3:5">
      <c r="C240" s="536">
        <v>43739</v>
      </c>
      <c r="D240" s="537">
        <v>4.2629999999999999</v>
      </c>
    </row>
    <row r="241" spans="3:5">
      <c r="C241" s="536">
        <v>43770</v>
      </c>
      <c r="D241" s="537">
        <v>4.7240000000000002</v>
      </c>
    </row>
    <row r="242" spans="3:5">
      <c r="C242" s="536">
        <v>43800</v>
      </c>
      <c r="D242" s="537">
        <v>5.1315000000000008</v>
      </c>
      <c r="E242" s="537">
        <f>AVERAGE(D231:D242)</f>
        <v>4.6029583333333335</v>
      </c>
    </row>
    <row r="243" spans="3:5">
      <c r="C243" s="536">
        <v>43831</v>
      </c>
      <c r="D243" s="537">
        <v>5.6725000000000003</v>
      </c>
    </row>
    <row r="244" spans="3:5">
      <c r="C244" s="536">
        <v>43862</v>
      </c>
      <c r="D244" s="537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tabSelected="1" zoomScale="75" zoomScaleNormal="75" workbookViewId="0">
      <selection activeCell="C16" sqref="C1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Calpine</v>
      </c>
    </row>
    <row r="4" spans="1:33" ht="18.75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6317.5</v>
      </c>
      <c r="D10" s="74">
        <f>IF(D6&lt;Assumptions!$H$19,12*'Price_Technical Assumption'!E21*Assumptions!$H$68,IF(AND(C6&lt;Assumptions!$H$19,D6&gt;Assumptions!$H$19),(1-$C$6)*12*'Price_Technical Assumption'!E21*Assumptions!$H$68,0))</f>
        <v>10830</v>
      </c>
      <c r="E10" s="74">
        <f>IF(E6&lt;Assumptions!$H$19,12*'Price_Technical Assumption'!F21*Assumptions!$H$68,IF(AND(D6&lt;Assumptions!$H$19,E6&gt;Assumptions!$H$19),(1-$C$6)*12*'Price_Technical Assumption'!F21*Assumptions!$H$68,0))</f>
        <v>10830</v>
      </c>
      <c r="F10" s="74">
        <f>IF(F6&lt;Assumptions!$H$19,12*'Price_Technical Assumption'!G21*Assumptions!$H$68,IF(AND(E6&lt;Assumptions!$H$19,F6&gt;Assumptions!$H$19),(1-$C$6)*12*'Price_Technical Assumption'!G21*Assumptions!$H$68,0))</f>
        <v>12121.877479608334</v>
      </c>
      <c r="G10" s="74">
        <f>IF(G6&lt;Assumptions!$H$19,12*'Price_Technical Assumption'!H21*Assumptions!$H$68,IF(AND(F6&lt;Assumptions!$H$19,G6&gt;Assumptions!$H$19),(1-$C$6)*12*'Price_Technical Assumption'!H21*Assumptions!$H$68,0))</f>
        <v>12995.462372902997</v>
      </c>
      <c r="H10" s="74">
        <f>IF(H6&lt;Assumptions!$H$19,12*'Price_Technical Assumption'!I21*Assumptions!$H$68,IF(AND(G6&lt;Assumptions!$H$19,H6&gt;Assumptions!$H$19),(1-$C$6)*12*'Price_Technical Assumption'!I21*Assumptions!$H$68,0))</f>
        <v>13158.45630774958</v>
      </c>
      <c r="I10" s="74">
        <f>IF(I6&lt;Assumptions!$H$19,12*'Price_Technical Assumption'!J21*Assumptions!$H$68,IF(AND(H6&lt;Assumptions!$H$19,I6&gt;Assumptions!$H$19),(1-$C$6)*12*'Price_Technical Assumption'!J21*Assumptions!$H$68,0))</f>
        <v>13319.533962551342</v>
      </c>
      <c r="J10" s="74">
        <f>IF(J6&lt;Assumptions!$H$19,12*'Price_Technical Assumption'!K21*Assumptions!$H$68,IF(AND(I6&lt;Assumptions!$H$19,J6&gt;Assumptions!$H$19),(1-$C$6)*12*'Price_Technical Assumption'!K21*Assumptions!$H$68,0))</f>
        <v>13478.433665964234</v>
      </c>
      <c r="K10" s="74">
        <f>IF(K6&lt;Assumptions!$H$19,12*'Price_Technical Assumption'!L21*Assumptions!$H$68,IF(AND(J6&lt;Assumptions!$H$19,K6&gt;Assumptions!$H$19),(1-$C$6)*12*'Price_Technical Assumption'!L21*Assumptions!$H$68,0))</f>
        <v>13882.786675943162</v>
      </c>
      <c r="L10" s="74">
        <f>IF(L6&lt;Assumptions!$H$19,12*'Price_Technical Assumption'!M21*Assumptions!$H$68,IF(AND(K6&lt;Assumptions!$H$19,L6&gt;Assumptions!$H$19),(1-$C$6)*12*'Price_Technical Assumption'!M21*Assumptions!$H$68,0))</f>
        <v>14043.926164146071</v>
      </c>
      <c r="M10" s="74">
        <f>IF(M6&lt;Assumptions!$H$19,12*'Price_Technical Assumption'!N21*Assumptions!$H$68,IF(AND(L6&lt;Assumptions!$H$19,M6&gt;Assumptions!$H$19),(1-$C$6)*12*'Price_Technical Assumption'!N21*Assumptions!$H$68,0))</f>
        <v>14465.243949070456</v>
      </c>
      <c r="N10" s="74">
        <f>IF(N6&lt;Assumptions!$H$19,12*'Price_Technical Assumption'!O21*Assumptions!$H$68,IF(AND(M6&lt;Assumptions!$H$19,N6&gt;Assumptions!$H$19),(1-$C$6)*12*'Price_Technical Assumption'!O21*Assumptions!$H$68,0))</f>
        <v>14628.306699041792</v>
      </c>
      <c r="O10" s="74">
        <f>IF(O6&lt;Assumptions!$H$19,12*'Price_Technical Assumption'!P21*Assumptions!$H$68,IF(AND(N6&lt;Assumptions!$H$19,O6&gt;Assumptions!$H$19),(1-$C$6)*12*'Price_Technical Assumption'!P21*Assumptions!$H$68,0))</f>
        <v>15067.155900013047</v>
      </c>
      <c r="P10" s="74">
        <f>IF(P6&lt;Assumptions!$H$19,12*'Price_Technical Assumption'!Q21*Assumptions!$H$68,IF(AND(O6&lt;Assumptions!$H$19,P6&gt;Assumptions!$H$19),(1-$C$6)*12*'Price_Technical Assumption'!Q21*Assumptions!$H$68,0))</f>
        <v>15231.778529290968</v>
      </c>
      <c r="Q10" s="74">
        <f>IF(Q6&lt;Assumptions!$H$19,12*'Price_Technical Assumption'!R21*Assumptions!$H$68,IF(AND(P6&lt;Assumptions!$H$19,Q6&gt;Assumptions!$H$19),(1-$C$6)*12*'Price_Technical Assumption'!R21*Assumptions!$H$68,0))</f>
        <v>15392.718076015553</v>
      </c>
      <c r="R10" s="74">
        <f>IF(R6&lt;Assumptions!$H$19,12*'Price_Technical Assumption'!S21*Assumptions!$H$68,IF(AND(Q6&lt;Assumptions!$H$19,R6&gt;Assumptions!$H$19),(1-$C$6)*12*'Price_Technical Assumption'!S21*Assumptions!$H$68,0))</f>
        <v>15549.605394867247</v>
      </c>
      <c r="S10" s="74">
        <f>IF(S6&lt;Assumptions!$H$19,12*'Price_Technical Assumption'!T21*Assumptions!$H$68,IF(AND(R6&lt;Assumptions!$H$19,S6&gt;Assumptions!$H$19),(1-$C$6)*12*'Price_Technical Assumption'!T21*Assumptions!$H$68,0))</f>
        <v>15702.052506581631</v>
      </c>
      <c r="T10" s="74">
        <f>IF(T6&lt;Assumptions!$H$19,12*'Price_Technical Assumption'!U21*Assumptions!$H$68,IF(AND(S6&lt;Assumptions!$H$19,T6&gt;Assumptions!$H$19),(1-$C$6)*12*'Price_Technical Assumption'!U21*Assumptions!$H$68,0))</f>
        <v>15849.6518001435</v>
      </c>
      <c r="U10" s="74">
        <f>IF(U6&lt;Assumptions!$H$19,12*'Price_Technical Assumption'!V21*Assumptions!$H$68,IF(AND(T6&lt;Assumptions!$H$19,U6&gt;Assumptions!$H$19),(1-$C$6)*12*'Price_Technical Assumption'!V21*Assumptions!$H$68,0))</f>
        <v>15991.975204063156</v>
      </c>
      <c r="V10" s="74">
        <f>IF(V6&lt;Assumptions!$H$19,12*'Price_Technical Assumption'!W21*Assumptions!$H$68,IF(AND(U6&lt;Assumptions!$H$19,V6&gt;Assumptions!$H$19),(1-$C$6)*12*'Price_Technical Assumption'!W21*Assumptions!$H$68,0))</f>
        <v>16128.573325597859</v>
      </c>
      <c r="W10" s="74">
        <f>IF(W6&lt;Assumptions!$H$19,12*'Price_Technical Assumption'!X21*Assumptions!$H$68,IF(AND(V6&lt;Assumptions!$H$19,W6&gt;Assumptions!$H$19),(1-$C$6)*12*'Price_Technical Assumption'!X21*Assumptions!$H$68,0))</f>
        <v>6774.5727319754124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10314.283875249257</v>
      </c>
      <c r="D11" s="74">
        <f>'Price_Technical Assumption'!E38*Assumptions!$H$62/1000</f>
        <v>10204.057641369238</v>
      </c>
      <c r="E11" s="74">
        <f>'Price_Technical Assumption'!F38*Assumptions!$H$62/1000</f>
        <v>10257.597795710315</v>
      </c>
      <c r="F11" s="74">
        <f>'Price_Technical Assumption'!G38*Assumptions!$H$62/1000</f>
        <v>10425.392572819123</v>
      </c>
      <c r="G11" s="74">
        <f>'Price_Technical Assumption'!H38*Assumptions!$H$62/1000</f>
        <v>10623.746833491196</v>
      </c>
      <c r="H11" s="74">
        <f>'Price_Technical Assumption'!I38*Assumptions!$H$62/1000</f>
        <v>10833.965286733433</v>
      </c>
      <c r="I11" s="74">
        <f>'Price_Technical Assumption'!J38*Assumptions!$H$62/1000</f>
        <v>11051.076659697934</v>
      </c>
      <c r="J11" s="74">
        <f>'Price_Technical Assumption'!K38*Assumptions!$H$62/1000</f>
        <v>11283.833714351371</v>
      </c>
      <c r="K11" s="74">
        <f>'Price_Technical Assumption'!L38*Assumptions!$H$62/1000</f>
        <v>11532.256689644417</v>
      </c>
      <c r="L11" s="74">
        <f>'Price_Technical Assumption'!M38*Assumptions!$H$62/1000</f>
        <v>11796.366431696248</v>
      </c>
      <c r="M11" s="74">
        <f>'Price_Technical Assumption'!N38*Assumptions!$H$62/1000</f>
        <v>12076.184412009634</v>
      </c>
      <c r="N11" s="74">
        <f>'Price_Technical Assumption'!O38*Assumptions!$H$62/1000</f>
        <v>12371.732746232425</v>
      </c>
      <c r="O11" s="74">
        <f>'Price_Technical Assumption'!P38*Assumptions!$H$62/1000</f>
        <v>12683.034213481893</v>
      </c>
      <c r="P11" s="74">
        <f>'Price_Technical Assumption'!Q38*Assumptions!$H$62/1000</f>
        <v>13010.112276248854</v>
      </c>
      <c r="Q11" s="74">
        <f>'Price_Technical Assumption'!R38*Assumptions!$H$62/1000</f>
        <v>13352.99110089882</v>
      </c>
      <c r="R11" s="74">
        <f>'Price_Technical Assumption'!S38*Assumptions!$H$62/1000</f>
        <v>13711.695578788283</v>
      </c>
      <c r="S11" s="74">
        <f>'Price_Technical Assumption'!T38*Assumptions!$H$62/1000</f>
        <v>14086.251348014432</v>
      </c>
      <c r="T11" s="74">
        <f>'Price_Technical Assumption'!U38*Assumptions!$H$62/1000</f>
        <v>14476.684815817365</v>
      </c>
      <c r="U11" s="74">
        <f>'Price_Technical Assumption'!V38*Assumptions!$H$62/1000</f>
        <v>14883.023181654386</v>
      </c>
      <c r="V11" s="74">
        <f>'Price_Technical Assumption'!W38*Assumptions!$H$62/1000</f>
        <v>15260.602757747767</v>
      </c>
      <c r="W11" s="74">
        <f>'Price_Technical Assumption'!X38*Assumptions!$H$62/1000</f>
        <v>15647.786943140043</v>
      </c>
      <c r="X11" s="74">
        <f>'Price_Technical Assumption'!Y38*Assumptions!$H$62/1000</f>
        <v>7790.135128060253</v>
      </c>
      <c r="Y11" s="74">
        <f>'Price_Technical Assumption'!Z38*Assumptions!$H$62/1000</f>
        <v>7826.2213219020596</v>
      </c>
      <c r="Z11" s="74">
        <f>'Price_Technical Assumption'!AA38*Assumptions!$H$62/1000</f>
        <v>7863.3901015591218</v>
      </c>
      <c r="AA11" s="74">
        <f>'Price_Technical Assumption'!AB38*Assumptions!$H$62/1000</f>
        <v>7901.6739446058964</v>
      </c>
      <c r="AB11" s="74">
        <f>'Price_Technical Assumption'!AC38*Assumptions!$H$62/1000</f>
        <v>7941.1063029440729</v>
      </c>
      <c r="AC11" s="74">
        <f>'Price_Technical Assumption'!AD38*Assumptions!$H$62/1000</f>
        <v>7981.7216320323951</v>
      </c>
      <c r="AD11" s="74">
        <f>'Price_Technical Assumption'!AE38*Assumptions!$H$62/1000</f>
        <v>8023.5554209933671</v>
      </c>
      <c r="AE11" s="74">
        <f>'Price_Technical Assumption'!AF38*Assumptions!$H$62/1000</f>
        <v>8066.6442236231687</v>
      </c>
      <c r="AF11" s="74">
        <f>'Price_Technical Assumption'!AG38*Assumptions!$H$62/1000</f>
        <v>8111.0256903318632</v>
      </c>
      <c r="AG11" s="74">
        <f>'Price_Technical Assumption'!AH38*Assumptions!$H$62/1000</f>
        <v>8156.7386010418186</v>
      </c>
    </row>
    <row r="12" spans="1:33">
      <c r="A12" s="211" t="s">
        <v>123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42</v>
      </c>
      <c r="C13" s="65">
        <f t="shared" ref="C13:AG13" si="0">SUM(C10:C12)</f>
        <v>16631.783875249257</v>
      </c>
      <c r="D13" s="65">
        <f t="shared" si="0"/>
        <v>21034.05764136924</v>
      </c>
      <c r="E13" s="65">
        <f t="shared" si="0"/>
        <v>21087.597795710317</v>
      </c>
      <c r="F13" s="65">
        <f t="shared" si="0"/>
        <v>22547.270052427455</v>
      </c>
      <c r="G13" s="65">
        <f t="shared" si="0"/>
        <v>23619.209206394193</v>
      </c>
      <c r="H13" s="65">
        <f t="shared" si="0"/>
        <v>23992.421594483014</v>
      </c>
      <c r="I13" s="65">
        <f t="shared" si="0"/>
        <v>24370.610622249274</v>
      </c>
      <c r="J13" s="65">
        <f t="shared" si="0"/>
        <v>24762.267380315607</v>
      </c>
      <c r="K13" s="65">
        <f t="shared" si="0"/>
        <v>25415.043365587579</v>
      </c>
      <c r="L13" s="65">
        <f t="shared" si="0"/>
        <v>25840.292595842318</v>
      </c>
      <c r="M13" s="65">
        <f t="shared" si="0"/>
        <v>26541.428361080092</v>
      </c>
      <c r="N13" s="65">
        <f t="shared" si="0"/>
        <v>27000.039445274218</v>
      </c>
      <c r="O13" s="65">
        <f t="shared" si="0"/>
        <v>27750.19011349494</v>
      </c>
      <c r="P13" s="65">
        <f t="shared" si="0"/>
        <v>28241.890805539821</v>
      </c>
      <c r="Q13" s="65">
        <f t="shared" si="0"/>
        <v>28745.709176914374</v>
      </c>
      <c r="R13" s="65">
        <f t="shared" si="0"/>
        <v>29261.300973655532</v>
      </c>
      <c r="S13" s="65">
        <f t="shared" si="0"/>
        <v>29788.303854596063</v>
      </c>
      <c r="T13" s="65">
        <f t="shared" si="0"/>
        <v>30326.336615960863</v>
      </c>
      <c r="U13" s="65">
        <f t="shared" si="0"/>
        <v>30874.998385717539</v>
      </c>
      <c r="V13" s="65">
        <f t="shared" si="0"/>
        <v>31389.176083345628</v>
      </c>
      <c r="W13" s="65">
        <f t="shared" si="0"/>
        <v>22422.359675115455</v>
      </c>
      <c r="X13" s="65">
        <f t="shared" si="0"/>
        <v>7790.135128060253</v>
      </c>
      <c r="Y13" s="65">
        <f t="shared" si="0"/>
        <v>7826.2213219020596</v>
      </c>
      <c r="Z13" s="65">
        <f t="shared" si="0"/>
        <v>7863.3901015591218</v>
      </c>
      <c r="AA13" s="65">
        <f t="shared" si="0"/>
        <v>7901.6739446058964</v>
      </c>
      <c r="AB13" s="65">
        <f t="shared" si="0"/>
        <v>7941.1063029440729</v>
      </c>
      <c r="AC13" s="65">
        <f t="shared" si="0"/>
        <v>7981.7216320323951</v>
      </c>
      <c r="AD13" s="65">
        <f t="shared" si="0"/>
        <v>8023.5554209933671</v>
      </c>
      <c r="AE13" s="65">
        <f t="shared" si="0"/>
        <v>8066.6442236231687</v>
      </c>
      <c r="AF13" s="65">
        <f t="shared" si="0"/>
        <v>8111.0256903318632</v>
      </c>
      <c r="AG13" s="65">
        <f t="shared" si="0"/>
        <v>8156.7386010418186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9667.6802962500005</v>
      </c>
      <c r="D16" s="221">
        <f>Assumptions!$H$62*'Price_Technical Assumption'!E30*'Price_Technical Assumption'!E44/1000000</f>
        <v>9538.0559550000016</v>
      </c>
      <c r="E16" s="221">
        <f>Assumptions!$H$62*'Price_Technical Assumption'!F30*'Price_Technical Assumption'!F44/1000000</f>
        <v>9571.6160587499999</v>
      </c>
      <c r="F16" s="221">
        <f>Assumptions!$H$62*'Price_Technical Assumption'!G30*'Price_Technical Assumption'!G44/1000000</f>
        <v>9718.8313837500027</v>
      </c>
      <c r="G16" s="221">
        <f>Assumptions!$H$62*'Price_Technical Assumption'!H30*'Price_Technical Assumption'!H44/1000000</f>
        <v>9895.9888087499985</v>
      </c>
      <c r="H16" s="221">
        <f>Assumptions!$H$62*'Price_Technical Assumption'!I30*'Price_Technical Assumption'!I44/1000000</f>
        <v>10084.374521250002</v>
      </c>
      <c r="I16" s="221">
        <f>Assumptions!$H$62*'Price_Technical Assumption'!J30*'Price_Technical Assumption'!J44/1000000</f>
        <v>10278.998171250001</v>
      </c>
      <c r="J16" s="221">
        <f>Assumptions!$H$62*'Price_Technical Assumption'!K30*'Price_Technical Assumption'!K44/1000000</f>
        <v>10488.592871250001</v>
      </c>
      <c r="K16" s="221">
        <f>Assumptions!$H$62*'Price_Technical Assumption'!L30*'Price_Technical Assumption'!L44/1000000</f>
        <v>10713.158621250002</v>
      </c>
      <c r="L16" s="221">
        <f>Assumptions!$H$62*'Price_Technical Assumption'!M30*'Price_Technical Assumption'!M44/1000000</f>
        <v>10952.69542125</v>
      </c>
      <c r="M16" s="221">
        <f>Assumptions!$H$62*'Price_Technical Assumption'!N30*'Price_Technical Assumption'!N44/1000000</f>
        <v>11207.20327125</v>
      </c>
      <c r="N16" s="221">
        <f>Assumptions!$H$62*'Price_Technical Assumption'!O30*'Price_Technical Assumption'!O44/1000000</f>
        <v>11476.68217125</v>
      </c>
      <c r="O16" s="221">
        <f>Assumptions!$H$62*'Price_Technical Assumption'!P30*'Price_Technical Assumption'!P44/1000000</f>
        <v>11761.132121249999</v>
      </c>
      <c r="P16" s="221">
        <f>Assumptions!$H$62*'Price_Technical Assumption'!Q30*'Price_Technical Assumption'!Q44/1000000</f>
        <v>12060.553121249999</v>
      </c>
      <c r="Q16" s="221">
        <f>Assumptions!$H$62*'Price_Technical Assumption'!R30*'Price_Technical Assumption'!R44/1000000</f>
        <v>12374.945171249999</v>
      </c>
      <c r="R16" s="221">
        <f>Assumptions!$H$62*'Price_Technical Assumption'!S30*'Price_Technical Assumption'!S44/1000000</f>
        <v>12704.30827125</v>
      </c>
      <c r="S16" s="221">
        <f>Assumptions!$H$62*'Price_Technical Assumption'!T30*'Price_Technical Assumption'!T44/1000000</f>
        <v>13048.642421250001</v>
      </c>
      <c r="T16" s="221">
        <f>Assumptions!$H$62*'Price_Technical Assumption'!U30*'Price_Technical Assumption'!U44/1000000</f>
        <v>13407.947621249999</v>
      </c>
      <c r="U16" s="221">
        <f>Assumptions!$H$62*'Price_Technical Assumption'!V30*'Price_Technical Assumption'!V44/1000000</f>
        <v>13782.22387125</v>
      </c>
      <c r="V16" s="221">
        <f>Assumptions!$H$62*'Price_Technical Assumption'!W30*'Price_Technical Assumption'!W44/1000000</f>
        <v>14126.779468031251</v>
      </c>
      <c r="W16" s="221">
        <f>Assumptions!$H$62*'Price_Technical Assumption'!X30*'Price_Technical Assumption'!X44/1000000</f>
        <v>14479.94895473203</v>
      </c>
      <c r="X16" s="221">
        <f>Assumptions!$H$62*'Price_Technical Assumption'!Y30*'Price_Technical Assumption'!Y44/1000000</f>
        <v>6587.2619999999997</v>
      </c>
      <c r="Y16" s="221">
        <f>Assumptions!$H$62*'Price_Technical Assumption'!Z30*'Price_Technical Assumption'!Z44/1000000</f>
        <v>6587.2619999999997</v>
      </c>
      <c r="Z16" s="221">
        <f>Assumptions!$H$62*'Price_Technical Assumption'!AA30*'Price_Technical Assumption'!AA44/1000000</f>
        <v>6587.2619999999997</v>
      </c>
      <c r="AA16" s="221">
        <f>Assumptions!$H$62*'Price_Technical Assumption'!AB30*'Price_Technical Assumption'!AB44/1000000</f>
        <v>6587.2619999999997</v>
      </c>
      <c r="AB16" s="221">
        <f>Assumptions!$H$62*'Price_Technical Assumption'!AC30*'Price_Technical Assumption'!AC44/1000000</f>
        <v>6587.2619999999997</v>
      </c>
      <c r="AC16" s="221">
        <f>Assumptions!$H$62*'Price_Technical Assumption'!AD30*'Price_Technical Assumption'!AD44/1000000</f>
        <v>6587.2619999999997</v>
      </c>
      <c r="AD16" s="221">
        <f>Assumptions!$H$62*'Price_Technical Assumption'!AE30*'Price_Technical Assumption'!AE44/1000000</f>
        <v>6587.2619999999997</v>
      </c>
      <c r="AE16" s="221">
        <f>Assumptions!$H$62*'Price_Technical Assumption'!AF30*'Price_Technical Assumption'!AF44/1000000</f>
        <v>6587.2619999999997</v>
      </c>
      <c r="AF16" s="221">
        <f>Assumptions!$H$62*'Price_Technical Assumption'!AG30*'Price_Technical Assumption'!AG44/1000000</f>
        <v>6587.2619999999997</v>
      </c>
      <c r="AG16" s="221">
        <f>Assumptions!$H$62*'Price_Technical Assumption'!AH30*'Price_Technical Assumption'!AH44/1000000</f>
        <v>6587.2619999999997</v>
      </c>
    </row>
    <row r="17" spans="1:47">
      <c r="A17" s="3" t="s">
        <v>207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253</v>
      </c>
      <c r="C18" s="221">
        <f>+(Assumptions!$P$15*Assumptions!$H$62)/1000*(1+Assumptions!$N$11)^IS!C6</f>
        <v>171.07448951101449</v>
      </c>
      <c r="D18" s="74">
        <f>C18*(1+Assumptions!$N$11)</f>
        <v>176.20672419634494</v>
      </c>
      <c r="E18" s="74">
        <f>D18*(1+Assumptions!$N$11)</f>
        <v>181.49292592223529</v>
      </c>
      <c r="F18" s="74">
        <f>E18*(1+Assumptions!$N$11)</f>
        <v>186.93771369990236</v>
      </c>
      <c r="G18" s="74">
        <f>F18*(1+Assumptions!$N$11)</f>
        <v>192.54584511089945</v>
      </c>
      <c r="H18" s="74">
        <f>G18*(1+Assumptions!$N$11)</f>
        <v>198.32222046422643</v>
      </c>
      <c r="I18" s="74">
        <f>H18*(1+Assumptions!$N$11)</f>
        <v>204.27188707815324</v>
      </c>
      <c r="J18" s="74">
        <f>I18*(1+Assumptions!$N$11)</f>
        <v>210.40004369049785</v>
      </c>
      <c r="K18" s="74">
        <f>J18*(1+Assumptions!$N$11)</f>
        <v>216.7120450012128</v>
      </c>
      <c r="L18" s="74">
        <f>K18*(1+Assumptions!$N$11)</f>
        <v>223.21340635124918</v>
      </c>
      <c r="M18" s="74">
        <f>L18*(1+Assumptions!$N$11)</f>
        <v>229.90980854178665</v>
      </c>
      <c r="N18" s="74">
        <f>M18*(1+Assumptions!$N$11)</f>
        <v>236.80710279804026</v>
      </c>
      <c r="O18" s="74">
        <f>N18*(1+Assumptions!$N$11)</f>
        <v>243.91131588198147</v>
      </c>
      <c r="P18" s="74">
        <f>O18*(1+Assumptions!$N$11)</f>
        <v>251.2286553584409</v>
      </c>
      <c r="Q18" s="74">
        <f>P18*(1+Assumptions!$N$11)</f>
        <v>258.76551501919414</v>
      </c>
      <c r="R18" s="74">
        <f>Q18*(1+Assumptions!$N$11)</f>
        <v>266.52848046976999</v>
      </c>
      <c r="S18" s="74">
        <f>R18*(1+Assumptions!$N$11)</f>
        <v>274.52433488386311</v>
      </c>
      <c r="T18" s="74">
        <f>S18*(1+Assumptions!$N$11)</f>
        <v>282.76006493037903</v>
      </c>
      <c r="U18" s="74">
        <f>T18*(1+Assumptions!$N$11)</f>
        <v>291.24286687829039</v>
      </c>
      <c r="V18" s="74">
        <f>U18*(1+Assumptions!$N$11)</f>
        <v>299.9801528846391</v>
      </c>
      <c r="W18" s="74">
        <f>V18*(1+Assumptions!$N$11)</f>
        <v>308.97955747117828</v>
      </c>
      <c r="X18" s="74">
        <f>W18*(1+Assumptions!$N$11)</f>
        <v>318.24894419531364</v>
      </c>
      <c r="Y18" s="74">
        <f>X18*(1+Assumptions!$N$11)</f>
        <v>327.79641252117307</v>
      </c>
      <c r="Z18" s="74">
        <f>Y18*(1+Assumptions!$N$11)</f>
        <v>337.63030489680824</v>
      </c>
      <c r="AA18" s="74">
        <f>Z18*(1+Assumptions!$N$11)</f>
        <v>347.75921404371252</v>
      </c>
      <c r="AB18" s="74">
        <f>AA18*(1+Assumptions!$N$11)</f>
        <v>358.19199046502388</v>
      </c>
      <c r="AC18" s="74">
        <f>AB18*(1+Assumptions!$N$11)</f>
        <v>368.93775017897462</v>
      </c>
      <c r="AD18" s="74">
        <f>AC18*(1+Assumptions!$N$11)</f>
        <v>380.00588268434387</v>
      </c>
      <c r="AE18" s="74">
        <f>AD18*(1+Assumptions!$N$11)</f>
        <v>391.40605916487419</v>
      </c>
      <c r="AF18" s="74">
        <f>AE18*(1+Assumptions!$N$11)</f>
        <v>403.14824093982043</v>
      </c>
      <c r="AG18" s="74">
        <f>AF18*(1+Assumptions!$N$11)</f>
        <v>415.24268816801504</v>
      </c>
    </row>
    <row r="19" spans="1:47">
      <c r="A19" s="3" t="s">
        <v>254</v>
      </c>
      <c r="C19" s="74">
        <f>Assumptions!$P$16*Assumptions!$H$62/1000*(1+Assumptions!$N$11)^IS!C6</f>
        <v>475.52908948824364</v>
      </c>
      <c r="D19" s="74">
        <f>C19*(1+Assumptions!$N$11)</f>
        <v>489.79496217289096</v>
      </c>
      <c r="E19" s="74">
        <f>D19*(1+Assumptions!$N$11)</f>
        <v>504.4888110380777</v>
      </c>
      <c r="F19" s="74">
        <f>E19*(1+Assumptions!$N$11)</f>
        <v>519.62347536922005</v>
      </c>
      <c r="G19" s="74">
        <f>F19*(1+Assumptions!$N$11)</f>
        <v>535.21217963029665</v>
      </c>
      <c r="H19" s="74">
        <f>G19*(1+Assumptions!$N$11)</f>
        <v>551.26854501920559</v>
      </c>
      <c r="I19" s="74">
        <f>H19*(1+Assumptions!$N$11)</f>
        <v>567.80660136978179</v>
      </c>
      <c r="J19" s="74">
        <f>I19*(1+Assumptions!$N$11)</f>
        <v>584.84079941087521</v>
      </c>
      <c r="K19" s="74">
        <f>J19*(1+Assumptions!$N$11)</f>
        <v>602.38602339320153</v>
      </c>
      <c r="L19" s="74">
        <f>K19*(1+Assumptions!$N$11)</f>
        <v>620.45760409499758</v>
      </c>
      <c r="M19" s="74">
        <f>L19*(1+Assumptions!$N$11)</f>
        <v>639.0713322178475</v>
      </c>
      <c r="N19" s="74">
        <f>M19*(1+Assumptions!$N$11)</f>
        <v>658.24347218438299</v>
      </c>
      <c r="O19" s="74">
        <f>N19*(1+Assumptions!$N$11)</f>
        <v>677.99077634991454</v>
      </c>
      <c r="P19" s="74">
        <f>O19*(1+Assumptions!$N$11)</f>
        <v>698.33049964041197</v>
      </c>
      <c r="Q19" s="74">
        <f>P19*(1+Assumptions!$N$11)</f>
        <v>719.28041462962437</v>
      </c>
      <c r="R19" s="74">
        <f>Q19*(1+Assumptions!$N$11)</f>
        <v>740.85882706851316</v>
      </c>
      <c r="S19" s="74">
        <f>R19*(1+Assumptions!$N$11)</f>
        <v>763.08459188056861</v>
      </c>
      <c r="T19" s="74">
        <f>S19*(1+Assumptions!$N$11)</f>
        <v>785.97712963698564</v>
      </c>
      <c r="U19" s="74">
        <f>T19*(1+Assumptions!$N$11)</f>
        <v>809.55644352609522</v>
      </c>
      <c r="V19" s="74">
        <f>U19*(1+Assumptions!$N$11)</f>
        <v>833.84313683187816</v>
      </c>
      <c r="W19" s="74">
        <f>V19*(1+Assumptions!$N$11)</f>
        <v>858.85843093683457</v>
      </c>
      <c r="X19" s="74">
        <f>W19*(1+Assumptions!$N$11)</f>
        <v>884.6241838649396</v>
      </c>
      <c r="Y19" s="74">
        <f>X19*(1+Assumptions!$N$11)</f>
        <v>911.16290938088775</v>
      </c>
      <c r="Z19" s="74">
        <f>Y19*(1+Assumptions!$N$11)</f>
        <v>938.49779666231439</v>
      </c>
      <c r="AA19" s="74">
        <f>Z19*(1+Assumptions!$N$11)</f>
        <v>966.65273056218382</v>
      </c>
      <c r="AB19" s="74">
        <f>AA19*(1+Assumptions!$N$11)</f>
        <v>995.65231247904933</v>
      </c>
      <c r="AC19" s="74">
        <f>AB19*(1+Assumptions!$N$11)</f>
        <v>1025.5218818534208</v>
      </c>
      <c r="AD19" s="74">
        <f>AC19*(1+Assumptions!$N$11)</f>
        <v>1056.2875383090236</v>
      </c>
      <c r="AE19" s="74">
        <f>AD19*(1+Assumptions!$N$11)</f>
        <v>1087.9761644582943</v>
      </c>
      <c r="AF19" s="74">
        <f>AE19*(1+Assumptions!$N$11)</f>
        <v>1120.6154493920433</v>
      </c>
      <c r="AG19" s="74">
        <f>AF19*(1+Assumptions!$N$11)</f>
        <v>1154.2339128738047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358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219</v>
      </c>
      <c r="C23" s="195">
        <v>0</v>
      </c>
      <c r="D23" s="195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5">
        <v>0</v>
      </c>
      <c r="L23" s="195">
        <v>0</v>
      </c>
      <c r="M23" s="195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5">
        <v>0</v>
      </c>
      <c r="W23" s="195">
        <v>0</v>
      </c>
      <c r="X23" s="195">
        <v>0</v>
      </c>
      <c r="Y23" s="195">
        <v>0</v>
      </c>
      <c r="Z23" s="195">
        <v>0</v>
      </c>
      <c r="AA23" s="195">
        <v>0</v>
      </c>
      <c r="AB23" s="195">
        <v>0</v>
      </c>
      <c r="AC23" s="195">
        <v>0</v>
      </c>
      <c r="AD23" s="195">
        <v>0</v>
      </c>
      <c r="AE23" s="195">
        <v>0</v>
      </c>
      <c r="AF23" s="195">
        <v>0</v>
      </c>
      <c r="AG23" s="195">
        <v>0</v>
      </c>
    </row>
    <row r="24" spans="1:47">
      <c r="A24" s="5" t="s">
        <v>209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213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47.001048714343462</v>
      </c>
      <c r="D26" s="74">
        <f>IF(D8&lt;Assumptions!$G$34,Assumptions!$G$42*Assumptions!$G$41,IF(AND(D8&gt;Assumptions!$G$34,C8&lt;Assumptions!$G$34),Assumptions!$G$42*Assumptions!$G$41*(1-$C$6),0))</f>
        <v>80.573226367445926</v>
      </c>
      <c r="E26" s="74">
        <f>IF(E8&lt;Assumptions!$G$34,Assumptions!$G$42*Assumptions!$G$41,IF(AND(E8&gt;Assumptions!$G$34,D8&lt;Assumptions!$G$34),Assumptions!$G$42*Assumptions!$G$41*(1-$C$6),0))</f>
        <v>80.573226367445926</v>
      </c>
      <c r="F26" s="74">
        <f>IF(F8&lt;Assumptions!$G$34,Assumptions!$G$42*Assumptions!$G$41,IF(AND(F8&gt;Assumptions!$G$34,E8&lt;Assumptions!$G$34),Assumptions!$G$42*Assumptions!$G$41*(1-$C$6),0))</f>
        <v>80.573226367445926</v>
      </c>
      <c r="G26" s="74">
        <f>IF(G8&lt;Assumptions!$G$34,Assumptions!$G$42*Assumptions!$G$41,IF(AND(G8&gt;Assumptions!$G$34,F8&lt;Assumptions!$G$34),Assumptions!$G$42*Assumptions!$G$41*(1-$C$6),0))</f>
        <v>80.573226367445926</v>
      </c>
      <c r="H26" s="74">
        <f>IF(H8&lt;Assumptions!$G$34,Assumptions!$G$42*Assumptions!$G$41,IF(AND(H8&gt;Assumptions!$G$34,G8&lt;Assumptions!$G$34),Assumptions!$G$42*Assumptions!$G$41*(1-$C$6),0))</f>
        <v>80.573226367445926</v>
      </c>
      <c r="I26" s="74">
        <f>IF(I8&lt;Assumptions!$G$34,Assumptions!$G$42*Assumptions!$G$41,IF(AND(I8&gt;Assumptions!$G$34,H8&lt;Assumptions!$G$34),Assumptions!$G$42*Assumptions!$G$41*(1-$C$6),0))</f>
        <v>80.573226367445926</v>
      </c>
      <c r="J26" s="74">
        <f>IF(J8&lt;Assumptions!$G$34,Assumptions!$G$42*Assumptions!$G$41,IF(AND(J8&gt;Assumptions!$G$34,I8&lt;Assumptions!$G$34),Assumptions!$G$42*Assumptions!$G$41*(1-$C$6),0))</f>
        <v>80.573226367445926</v>
      </c>
      <c r="K26" s="74">
        <f>IF(K8&lt;Assumptions!$G$34,Assumptions!$G$42*Assumptions!$G$41,IF(AND(K8&gt;Assumptions!$G$34,J8&lt;Assumptions!$G$34),Assumptions!$G$42*Assumptions!$G$41*(1-$C$6),0))</f>
        <v>80.573226367445926</v>
      </c>
      <c r="L26" s="74">
        <f>IF(L8&lt;Assumptions!$G$34,Assumptions!$G$42*Assumptions!$G$41,IF(AND(L8&gt;Assumptions!$G$34,K8&lt;Assumptions!$G$34),Assumptions!$G$42*Assumptions!$G$41*(1-$C$6),0))</f>
        <v>80.573226367445926</v>
      </c>
      <c r="M26" s="74">
        <f>IF(M8&lt;Assumptions!$G$34,Assumptions!$G$42*Assumptions!$G$41,IF(AND(M8&gt;Assumptions!$G$34,L8&lt;Assumptions!$G$34),Assumptions!$G$42*Assumptions!$G$41*(1-$C$6),0))</f>
        <v>80.573226367445926</v>
      </c>
      <c r="N26" s="74">
        <f>IF(N8&lt;Assumptions!$G$34,Assumptions!$G$42*Assumptions!$G$41,IF(AND(N8&gt;Assumptions!$G$34,M8&lt;Assumptions!$G$34),Assumptions!$G$42*Assumptions!$G$41*(1-$C$6),0))</f>
        <v>80.573226367445926</v>
      </c>
      <c r="O26" s="74">
        <f>IF(O8&lt;Assumptions!$G$34,Assumptions!$G$42*Assumptions!$G$41,IF(AND(O8&gt;Assumptions!$G$34,N8&lt;Assumptions!$G$34),Assumptions!$G$42*Assumptions!$G$41*(1-$C$6),0))</f>
        <v>80.573226367445926</v>
      </c>
      <c r="P26" s="74">
        <f>IF(P8&lt;Assumptions!$G$34,Assumptions!$G$42*Assumptions!$G$41,IF(AND(P8&gt;Assumptions!$G$34,O8&lt;Assumptions!$G$34),Assumptions!$G$42*Assumptions!$G$41*(1-$C$6),0))</f>
        <v>80.573226367445926</v>
      </c>
      <c r="Q26" s="74">
        <f>IF(Q8&lt;Assumptions!$G$34,Assumptions!$G$42*Assumptions!$G$41,IF(AND(Q8&gt;Assumptions!$G$34,P8&lt;Assumptions!$G$34),Assumptions!$G$42*Assumptions!$G$41*(1-$C$6),0))</f>
        <v>80.573226367445926</v>
      </c>
      <c r="R26" s="74">
        <f>IF(R8&lt;Assumptions!$G$34,Assumptions!$G$42*Assumptions!$G$41,IF(AND(R8&gt;Assumptions!$G$34,Q8&lt;Assumptions!$G$34),Assumptions!$G$42*Assumptions!$G$41*(1-$C$6),0))</f>
        <v>80.573226367445926</v>
      </c>
      <c r="S26" s="74">
        <f>IF(S8&lt;Assumptions!$G$34,Assumptions!$G$42*Assumptions!$G$41,IF(AND(S8&gt;Assumptions!$G$34,R8&lt;Assumptions!$G$34),Assumptions!$G$42*Assumptions!$G$41*(1-$C$6),0))</f>
        <v>33.572177653102464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11028.618257296936</v>
      </c>
      <c r="D30" s="65">
        <f t="shared" si="1"/>
        <v>11462.950867736683</v>
      </c>
      <c r="E30" s="65">
        <f t="shared" si="1"/>
        <v>11551.840622077758</v>
      </c>
      <c r="F30" s="65">
        <f t="shared" si="1"/>
        <v>11756.045487186573</v>
      </c>
      <c r="G30" s="65">
        <f t="shared" si="1"/>
        <v>11991.902138498639</v>
      </c>
      <c r="H30" s="65">
        <f t="shared" si="1"/>
        <v>12240.748054100079</v>
      </c>
      <c r="I30" s="65">
        <f t="shared" si="1"/>
        <v>12497.645713294558</v>
      </c>
      <c r="J30" s="65">
        <f t="shared" si="1"/>
        <v>12771.382642764869</v>
      </c>
      <c r="K30" s="65">
        <f t="shared" si="1"/>
        <v>13062.014889119295</v>
      </c>
      <c r="L30" s="65">
        <f t="shared" si="1"/>
        <v>13369.60018036435</v>
      </c>
      <c r="M30" s="65">
        <f t="shared" si="1"/>
        <v>13694.197976346755</v>
      </c>
      <c r="N30" s="65">
        <f t="shared" si="1"/>
        <v>14035.869520708637</v>
      </c>
      <c r="O30" s="65">
        <f t="shared" si="1"/>
        <v>14394.677894401369</v>
      </c>
      <c r="P30" s="65">
        <f t="shared" si="1"/>
        <v>14770.688070804888</v>
      </c>
      <c r="Q30" s="65">
        <f t="shared" si="1"/>
        <v>15163.966972500513</v>
      </c>
      <c r="R30" s="65">
        <f t="shared" si="1"/>
        <v>15574.583529747004</v>
      </c>
      <c r="S30" s="65">
        <f t="shared" si="1"/>
        <v>15955.607691996549</v>
      </c>
      <c r="T30" s="65">
        <f t="shared" si="1"/>
        <v>16367.542507136248</v>
      </c>
      <c r="U30" s="65">
        <f t="shared" si="1"/>
        <v>16830.606603712837</v>
      </c>
      <c r="V30" s="65">
        <f t="shared" si="1"/>
        <v>17266.613682467971</v>
      </c>
      <c r="W30" s="65">
        <f t="shared" si="1"/>
        <v>17713.978195601852</v>
      </c>
      <c r="X30" s="65">
        <f t="shared" si="1"/>
        <v>9918.3121180959188</v>
      </c>
      <c r="Y30" s="65">
        <f t="shared" ref="Y30:AG30" si="2">SUM(Y16:Y29)</f>
        <v>10018.243621638794</v>
      </c>
      <c r="Z30" s="65">
        <f t="shared" si="2"/>
        <v>10121.173070287958</v>
      </c>
      <c r="AA30" s="65">
        <f t="shared" si="2"/>
        <v>10227.190402396596</v>
      </c>
      <c r="AB30" s="65">
        <f t="shared" si="2"/>
        <v>10336.388254468495</v>
      </c>
      <c r="AC30" s="65">
        <f t="shared" si="2"/>
        <v>10448.862042102552</v>
      </c>
      <c r="AD30" s="65">
        <f t="shared" si="2"/>
        <v>10564.710043365629</v>
      </c>
      <c r="AE30" s="65">
        <f t="shared" si="2"/>
        <v>10684.033484666597</v>
      </c>
      <c r="AF30" s="65">
        <f t="shared" si="2"/>
        <v>10806.936629206595</v>
      </c>
      <c r="AG30" s="65">
        <f t="shared" si="2"/>
        <v>10933.526868082792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49</v>
      </c>
      <c r="C32" s="124">
        <f t="shared" ref="C32:X32" si="3">C13-C30</f>
        <v>5603.1656179523216</v>
      </c>
      <c r="D32" s="124">
        <f t="shared" si="3"/>
        <v>9571.1067736325567</v>
      </c>
      <c r="E32" s="124">
        <f t="shared" si="3"/>
        <v>9535.757173632559</v>
      </c>
      <c r="F32" s="124">
        <f t="shared" si="3"/>
        <v>10791.224565240882</v>
      </c>
      <c r="G32" s="124">
        <f t="shared" si="3"/>
        <v>11627.307067895554</v>
      </c>
      <c r="H32" s="124">
        <f t="shared" si="3"/>
        <v>11751.673540382935</v>
      </c>
      <c r="I32" s="124">
        <f t="shared" si="3"/>
        <v>11872.964908954717</v>
      </c>
      <c r="J32" s="124">
        <f t="shared" si="3"/>
        <v>11990.884737550738</v>
      </c>
      <c r="K32" s="124">
        <f t="shared" si="3"/>
        <v>12353.028476468284</v>
      </c>
      <c r="L32" s="124">
        <f t="shared" si="3"/>
        <v>12470.692415477968</v>
      </c>
      <c r="M32" s="124">
        <f t="shared" si="3"/>
        <v>12847.230384733337</v>
      </c>
      <c r="N32" s="124">
        <f t="shared" si="3"/>
        <v>12964.169924565582</v>
      </c>
      <c r="O32" s="124">
        <f t="shared" si="3"/>
        <v>13355.512219093571</v>
      </c>
      <c r="P32" s="124">
        <f t="shared" si="3"/>
        <v>13471.202734734932</v>
      </c>
      <c r="Q32" s="124">
        <f t="shared" si="3"/>
        <v>13581.74220441386</v>
      </c>
      <c r="R32" s="124">
        <f t="shared" si="3"/>
        <v>13686.717443908528</v>
      </c>
      <c r="S32" s="124">
        <f t="shared" si="3"/>
        <v>13832.696162599514</v>
      </c>
      <c r="T32" s="124">
        <f t="shared" si="3"/>
        <v>13958.794108824615</v>
      </c>
      <c r="U32" s="124">
        <f t="shared" si="3"/>
        <v>14044.391782004703</v>
      </c>
      <c r="V32" s="124">
        <f t="shared" si="3"/>
        <v>14122.562400877658</v>
      </c>
      <c r="W32" s="124">
        <f t="shared" si="3"/>
        <v>4708.3814795136022</v>
      </c>
      <c r="X32" s="124">
        <f t="shared" si="3"/>
        <v>-2128.1769900356658</v>
      </c>
      <c r="Y32" s="124">
        <f t="shared" ref="Y32:AG32" si="4">Y13-Y30</f>
        <v>-2192.0222997367346</v>
      </c>
      <c r="Z32" s="124">
        <f t="shared" si="4"/>
        <v>-2257.7829687288358</v>
      </c>
      <c r="AA32" s="124">
        <f t="shared" si="4"/>
        <v>-2325.5164577906999</v>
      </c>
      <c r="AB32" s="124">
        <f t="shared" si="4"/>
        <v>-2395.2819515244219</v>
      </c>
      <c r="AC32" s="124">
        <f t="shared" si="4"/>
        <v>-2467.1404100701566</v>
      </c>
      <c r="AD32" s="124">
        <f t="shared" si="4"/>
        <v>-2541.1546223722617</v>
      </c>
      <c r="AE32" s="124">
        <f t="shared" si="4"/>
        <v>-2617.3892610434286</v>
      </c>
      <c r="AF32" s="124">
        <f t="shared" si="4"/>
        <v>-2695.910938874732</v>
      </c>
      <c r="AG32" s="124">
        <f t="shared" si="4"/>
        <v>-2776.7882670409736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50</v>
      </c>
      <c r="C34" s="65">
        <f>Depreciation!D48</f>
        <v>2334.8977256513685</v>
      </c>
      <c r="D34" s="65">
        <f>Depreciation!E48</f>
        <v>4002.6818154023454</v>
      </c>
      <c r="E34" s="65">
        <f>Depreciation!F48</f>
        <v>4002.6818154023454</v>
      </c>
      <c r="F34" s="65">
        <f>Depreciation!G48</f>
        <v>4002.6818154023454</v>
      </c>
      <c r="G34" s="65">
        <f>Depreciation!H48</f>
        <v>4002.6818154023454</v>
      </c>
      <c r="H34" s="65">
        <f>Depreciation!I48</f>
        <v>3444.0818154023455</v>
      </c>
      <c r="I34" s="65">
        <f>Depreciation!J48</f>
        <v>3045.0818154023455</v>
      </c>
      <c r="J34" s="65">
        <f>Depreciation!K48</f>
        <v>3045.0818154023455</v>
      </c>
      <c r="K34" s="65">
        <f>Depreciation!L48</f>
        <v>3045.0818154023455</v>
      </c>
      <c r="L34" s="65">
        <f>Depreciation!M48</f>
        <v>3045.0818154023455</v>
      </c>
      <c r="M34" s="65">
        <f>Depreciation!N48</f>
        <v>3045.0818154023455</v>
      </c>
      <c r="N34" s="65">
        <f>Depreciation!O48</f>
        <v>3045.0818154023455</v>
      </c>
      <c r="O34" s="65">
        <f>Depreciation!P48</f>
        <v>3045.0818154023455</v>
      </c>
      <c r="P34" s="65">
        <f>Depreciation!Q48</f>
        <v>3045.0818154023455</v>
      </c>
      <c r="Q34" s="65">
        <f>Depreciation!R48</f>
        <v>3045.0818154023455</v>
      </c>
      <c r="R34" s="65">
        <f>Depreciation!S48</f>
        <v>3045.0818154023455</v>
      </c>
      <c r="S34" s="65">
        <f>Depreciation!T48</f>
        <v>3045.0818154023455</v>
      </c>
      <c r="T34" s="65">
        <f>Depreciation!U48</f>
        <v>3045.0818154023455</v>
      </c>
      <c r="U34" s="65">
        <f>Depreciation!V48</f>
        <v>3045.0818154023455</v>
      </c>
      <c r="V34" s="65">
        <f>Depreciation!W48</f>
        <v>3045.0818154023455</v>
      </c>
      <c r="W34" s="65">
        <f>Depreciation!X48</f>
        <v>3045.0818154023455</v>
      </c>
      <c r="X34" s="65">
        <f>Depreciation!Y48</f>
        <v>3045.0818154023455</v>
      </c>
      <c r="Y34" s="65">
        <f>Depreciation!Z48</f>
        <v>3045.0818154023455</v>
      </c>
      <c r="Z34" s="65">
        <f>Depreciation!AA48</f>
        <v>3045.0818154023455</v>
      </c>
      <c r="AA34" s="65">
        <f>Depreciation!AB48</f>
        <v>3045.0818154023455</v>
      </c>
      <c r="AB34" s="65">
        <f>Depreciation!AC48</f>
        <v>3045.0818154023455</v>
      </c>
      <c r="AC34" s="65">
        <f>Depreciation!AD48</f>
        <v>3045.0818154023455</v>
      </c>
      <c r="AD34" s="65">
        <f>Depreciation!AE48</f>
        <v>3045.0818154023455</v>
      </c>
      <c r="AE34" s="65">
        <f>Depreciation!AF48</f>
        <v>3045.0818154023455</v>
      </c>
      <c r="AF34" s="65">
        <f>Depreciation!AG48</f>
        <v>3045.0818154023455</v>
      </c>
      <c r="AG34" s="65">
        <f>Depreciation!AH48</f>
        <v>1268.784089750977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3268.267892300953</v>
      </c>
      <c r="D36" s="124">
        <f t="shared" ref="D36:X36" si="5">D32-D34</f>
        <v>5568.4249582302109</v>
      </c>
      <c r="E36" s="124">
        <f t="shared" si="5"/>
        <v>5533.0753582302132</v>
      </c>
      <c r="F36" s="124">
        <f t="shared" si="5"/>
        <v>6788.5427498385361</v>
      </c>
      <c r="G36" s="124">
        <f t="shared" si="5"/>
        <v>7624.6252524932079</v>
      </c>
      <c r="H36" s="124">
        <f t="shared" si="5"/>
        <v>8307.5917249805898</v>
      </c>
      <c r="I36" s="124">
        <f t="shared" si="5"/>
        <v>8827.8830935523711</v>
      </c>
      <c r="J36" s="124">
        <f t="shared" si="5"/>
        <v>8945.8029221483921</v>
      </c>
      <c r="K36" s="124">
        <f t="shared" si="5"/>
        <v>9307.9466610659383</v>
      </c>
      <c r="L36" s="124">
        <f t="shared" si="5"/>
        <v>9425.6106000756226</v>
      </c>
      <c r="M36" s="124">
        <f t="shared" si="5"/>
        <v>9802.1485693309914</v>
      </c>
      <c r="N36" s="124">
        <f t="shared" si="5"/>
        <v>9919.0881091632364</v>
      </c>
      <c r="O36" s="124">
        <f t="shared" si="5"/>
        <v>10310.430403691225</v>
      </c>
      <c r="P36" s="124">
        <f t="shared" si="5"/>
        <v>10426.120919332587</v>
      </c>
      <c r="Q36" s="124">
        <f t="shared" si="5"/>
        <v>10536.660389011515</v>
      </c>
      <c r="R36" s="124">
        <f t="shared" si="5"/>
        <v>10641.635628506183</v>
      </c>
      <c r="S36" s="124">
        <f t="shared" si="5"/>
        <v>10787.614347197168</v>
      </c>
      <c r="T36" s="124">
        <f t="shared" si="5"/>
        <v>10913.71229342227</v>
      </c>
      <c r="U36" s="124">
        <f t="shared" si="5"/>
        <v>10999.309966602357</v>
      </c>
      <c r="V36" s="124">
        <f t="shared" si="5"/>
        <v>11077.480585475312</v>
      </c>
      <c r="W36" s="124">
        <f t="shared" si="5"/>
        <v>1663.2996641112568</v>
      </c>
      <c r="X36" s="124">
        <f t="shared" si="5"/>
        <v>-5173.2588054380112</v>
      </c>
      <c r="Y36" s="124">
        <f t="shared" ref="Y36:AG36" si="6">Y32-Y34</f>
        <v>-5237.10411513908</v>
      </c>
      <c r="Z36" s="124">
        <f t="shared" si="6"/>
        <v>-5302.8647841311813</v>
      </c>
      <c r="AA36" s="124">
        <f t="shared" si="6"/>
        <v>-5370.5982731930453</v>
      </c>
      <c r="AB36" s="124">
        <f t="shared" si="6"/>
        <v>-5440.3637669267673</v>
      </c>
      <c r="AC36" s="124">
        <f t="shared" si="6"/>
        <v>-5512.222225472502</v>
      </c>
      <c r="AD36" s="124">
        <f t="shared" si="6"/>
        <v>-5586.2364377746071</v>
      </c>
      <c r="AE36" s="124">
        <f t="shared" si="6"/>
        <v>-5662.4710764457741</v>
      </c>
      <c r="AF36" s="124">
        <f t="shared" si="6"/>
        <v>-5740.9927542770774</v>
      </c>
      <c r="AG36" s="124">
        <f t="shared" si="6"/>
        <v>-4045.5723567919504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>
        <f>Debt!B57</f>
        <v>3793.0366348540147</v>
      </c>
      <c r="D38" s="65">
        <f>Debt!C57</f>
        <v>6451.8295237194789</v>
      </c>
      <c r="E38" s="65">
        <f>Debt!D57</f>
        <v>6373.3824534485648</v>
      </c>
      <c r="F38" s="65">
        <f>Debt!E57</f>
        <v>6259.0735515541892</v>
      </c>
      <c r="G38" s="65">
        <f>Debt!F57</f>
        <v>6070.8754277023381</v>
      </c>
      <c r="H38" s="65">
        <f>Debt!G57</f>
        <v>5825.5653415263114</v>
      </c>
      <c r="I38" s="65">
        <f>Debt!H57</f>
        <v>5544.5918339686586</v>
      </c>
      <c r="J38" s="65">
        <f>Debt!I57</f>
        <v>5231.9277276892462</v>
      </c>
      <c r="K38" s="65">
        <f>Debt!J57</f>
        <v>4876.4814179916984</v>
      </c>
      <c r="L38" s="65">
        <f>Debt!K57</f>
        <v>4475.2557282261459</v>
      </c>
      <c r="M38" s="65">
        <f>Debt!L57</f>
        <v>4022.6680449736486</v>
      </c>
      <c r="N38" s="65">
        <f>Debt!M57</f>
        <v>3515.0981015304292</v>
      </c>
      <c r="O38" s="65">
        <f>Debt!N57</f>
        <v>2944.7566841722664</v>
      </c>
      <c r="P38" s="65">
        <f>Debt!O57</f>
        <v>2309.2496532824562</v>
      </c>
      <c r="Q38" s="65">
        <f>Debt!P57</f>
        <v>1608.4118276798567</v>
      </c>
      <c r="R38" s="65">
        <f>Debt!Q57</f>
        <v>840.37075962934364</v>
      </c>
      <c r="S38" s="65">
        <f>Debt!R57</f>
        <v>107.8101786850993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13.999563344163761</v>
      </c>
      <c r="Y38" s="65">
        <f>Debt!X57</f>
        <v>101.40649835738384</v>
      </c>
      <c r="Z38" s="65">
        <f>Debt!Y57</f>
        <v>257.51699858145162</v>
      </c>
      <c r="AA38" s="65">
        <f>Debt!Z57</f>
        <v>431.97265793677661</v>
      </c>
      <c r="AB38" s="65">
        <f>Debt!AA57</f>
        <v>625.85834122969186</v>
      </c>
      <c r="AC38" s="65">
        <f>Debt!AB57</f>
        <v>841.32487131651294</v>
      </c>
      <c r="AD38" s="65">
        <f>Debt!AC57</f>
        <v>1080.1419506339855</v>
      </c>
      <c r="AE38" s="65">
        <f>Debt!AD57</f>
        <v>1345.1204453404853</v>
      </c>
      <c r="AF38" s="65">
        <f>Debt!AE57</f>
        <v>1637.8886969169464</v>
      </c>
      <c r="AG38" s="65">
        <f>Debt!AF57</f>
        <v>2019.7636482272271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215</v>
      </c>
      <c r="C40" s="124">
        <f>C36-C38</f>
        <v>-524.76874255306166</v>
      </c>
      <c r="D40" s="124">
        <f t="shared" ref="D40:X40" si="7">D36-D38</f>
        <v>-883.40456548926795</v>
      </c>
      <c r="E40" s="124">
        <f t="shared" si="7"/>
        <v>-840.30709521835161</v>
      </c>
      <c r="F40" s="124">
        <f t="shared" si="7"/>
        <v>529.46919828434693</v>
      </c>
      <c r="G40" s="124">
        <f t="shared" si="7"/>
        <v>1553.7498247908698</v>
      </c>
      <c r="H40" s="124">
        <f t="shared" si="7"/>
        <v>2482.0263834542784</v>
      </c>
      <c r="I40" s="124">
        <f t="shared" si="7"/>
        <v>3283.2912595837124</v>
      </c>
      <c r="J40" s="124">
        <f t="shared" si="7"/>
        <v>3713.8751944591459</v>
      </c>
      <c r="K40" s="124">
        <f t="shared" si="7"/>
        <v>4431.4652430742399</v>
      </c>
      <c r="L40" s="124">
        <f t="shared" si="7"/>
        <v>4950.3548718494767</v>
      </c>
      <c r="M40" s="124">
        <f t="shared" si="7"/>
        <v>5779.4805243573428</v>
      </c>
      <c r="N40" s="124">
        <f t="shared" si="7"/>
        <v>6403.9900076328067</v>
      </c>
      <c r="O40" s="124">
        <f t="shared" si="7"/>
        <v>7365.6737195189589</v>
      </c>
      <c r="P40" s="124">
        <f t="shared" si="7"/>
        <v>8116.8712660501305</v>
      </c>
      <c r="Q40" s="124">
        <f t="shared" si="7"/>
        <v>8928.2485613316585</v>
      </c>
      <c r="R40" s="124">
        <f t="shared" si="7"/>
        <v>9801.2648688768386</v>
      </c>
      <c r="S40" s="124">
        <f t="shared" si="7"/>
        <v>10679.80416851207</v>
      </c>
      <c r="T40" s="124">
        <f t="shared" si="7"/>
        <v>10913.71229342227</v>
      </c>
      <c r="U40" s="124">
        <f t="shared" si="7"/>
        <v>10999.309966602357</v>
      </c>
      <c r="V40" s="124">
        <f t="shared" si="7"/>
        <v>11077.480585475312</v>
      </c>
      <c r="W40" s="124">
        <f t="shared" si="7"/>
        <v>1663.2996641112568</v>
      </c>
      <c r="X40" s="124">
        <f t="shared" si="7"/>
        <v>-5187.2583687821752</v>
      </c>
      <c r="Y40" s="124">
        <f t="shared" ref="Y40:AG40" si="8">Y36-Y38</f>
        <v>-5338.5106134964635</v>
      </c>
      <c r="Z40" s="124">
        <f t="shared" si="8"/>
        <v>-5560.3817827126331</v>
      </c>
      <c r="AA40" s="124">
        <f t="shared" si="8"/>
        <v>-5802.5709311298215</v>
      </c>
      <c r="AB40" s="124">
        <f t="shared" si="8"/>
        <v>-6066.2221081564594</v>
      </c>
      <c r="AC40" s="124">
        <f t="shared" si="8"/>
        <v>-6353.5470967890151</v>
      </c>
      <c r="AD40" s="124">
        <f t="shared" si="8"/>
        <v>-6666.3783884085924</v>
      </c>
      <c r="AE40" s="124">
        <f t="shared" si="8"/>
        <v>-7007.5915217862594</v>
      </c>
      <c r="AF40" s="124">
        <f t="shared" si="8"/>
        <v>-7378.8814511940236</v>
      </c>
      <c r="AG40" s="124">
        <f t="shared" si="8"/>
        <v>-6065.3360050191777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0">
        <f>Assumptions!N51</f>
        <v>7.0000000000000007E-2</v>
      </c>
      <c r="C42" s="74">
        <f>-C40*$B$42</f>
        <v>36.733811978714321</v>
      </c>
      <c r="D42" s="74">
        <f t="shared" ref="D42:AG42" si="9">-D40*$B$42</f>
        <v>61.838319584248765</v>
      </c>
      <c r="E42" s="74">
        <f t="shared" si="9"/>
        <v>58.82149666528462</v>
      </c>
      <c r="F42" s="74">
        <f t="shared" si="9"/>
        <v>-37.062843879904285</v>
      </c>
      <c r="G42" s="74">
        <f t="shared" si="9"/>
        <v>-108.76248773536089</v>
      </c>
      <c r="H42" s="74">
        <f t="shared" si="9"/>
        <v>-173.74184684179951</v>
      </c>
      <c r="I42" s="74">
        <f t="shared" si="9"/>
        <v>-229.83038817085989</v>
      </c>
      <c r="J42" s="74">
        <f t="shared" si="9"/>
        <v>-259.97126361214026</v>
      </c>
      <c r="K42" s="74">
        <f t="shared" si="9"/>
        <v>-310.20256701519685</v>
      </c>
      <c r="L42" s="74">
        <f t="shared" si="9"/>
        <v>-346.5248410294634</v>
      </c>
      <c r="M42" s="74">
        <f t="shared" si="9"/>
        <v>-404.56363670501406</v>
      </c>
      <c r="N42" s="74">
        <f t="shared" si="9"/>
        <v>-448.27930053429651</v>
      </c>
      <c r="O42" s="74">
        <f t="shared" si="9"/>
        <v>-515.59716036632722</v>
      </c>
      <c r="P42" s="74">
        <f t="shared" si="9"/>
        <v>-568.18098862350917</v>
      </c>
      <c r="Q42" s="74">
        <f t="shared" si="9"/>
        <v>-624.97739929321619</v>
      </c>
      <c r="R42" s="74">
        <f t="shared" si="9"/>
        <v>-686.08854082137873</v>
      </c>
      <c r="S42" s="74">
        <f t="shared" si="9"/>
        <v>-747.586291795845</v>
      </c>
      <c r="T42" s="74">
        <f t="shared" si="9"/>
        <v>-763.95986053955892</v>
      </c>
      <c r="U42" s="74">
        <f t="shared" si="9"/>
        <v>-769.95169766216509</v>
      </c>
      <c r="V42" s="74">
        <f t="shared" si="9"/>
        <v>-775.42364098327198</v>
      </c>
      <c r="W42" s="74">
        <f t="shared" si="9"/>
        <v>-116.43097648778799</v>
      </c>
      <c r="X42" s="74">
        <f t="shared" si="9"/>
        <v>363.10808581475231</v>
      </c>
      <c r="Y42" s="74">
        <f t="shared" si="9"/>
        <v>373.69574294475251</v>
      </c>
      <c r="Z42" s="74">
        <f t="shared" si="9"/>
        <v>389.22672478988437</v>
      </c>
      <c r="AA42" s="74">
        <f t="shared" si="9"/>
        <v>406.17996517908756</v>
      </c>
      <c r="AB42" s="74">
        <f t="shared" si="9"/>
        <v>424.63554757095221</v>
      </c>
      <c r="AC42" s="74">
        <f t="shared" si="9"/>
        <v>444.7482967752311</v>
      </c>
      <c r="AD42" s="74">
        <f t="shared" si="9"/>
        <v>466.6464871886015</v>
      </c>
      <c r="AE42" s="74">
        <f t="shared" si="9"/>
        <v>490.53140652503822</v>
      </c>
      <c r="AF42" s="74">
        <f t="shared" si="9"/>
        <v>516.52170158358172</v>
      </c>
      <c r="AG42" s="74">
        <f t="shared" si="9"/>
        <v>424.57352035134249</v>
      </c>
    </row>
    <row r="43" spans="1:33">
      <c r="A43" s="3" t="s">
        <v>53</v>
      </c>
      <c r="B43" s="350">
        <f>Assumptions!N50</f>
        <v>0.35</v>
      </c>
      <c r="C43" s="74">
        <f t="shared" ref="C43:AG43" si="10">(C40+C42)*-$B$43</f>
        <v>170.81222570102156</v>
      </c>
      <c r="D43" s="74">
        <f t="shared" si="10"/>
        <v>287.54818606675667</v>
      </c>
      <c r="E43" s="74">
        <f t="shared" si="10"/>
        <v>273.51995949357342</v>
      </c>
      <c r="F43" s="74">
        <f t="shared" si="10"/>
        <v>-172.34222404155491</v>
      </c>
      <c r="G43" s="74">
        <f t="shared" si="10"/>
        <v>-505.74556796942801</v>
      </c>
      <c r="H43" s="74">
        <f t="shared" si="10"/>
        <v>-807.89958781436758</v>
      </c>
      <c r="I43" s="74">
        <f t="shared" si="10"/>
        <v>-1068.7113049944983</v>
      </c>
      <c r="J43" s="74">
        <f t="shared" si="10"/>
        <v>-1208.8663757964518</v>
      </c>
      <c r="K43" s="74">
        <f t="shared" si="10"/>
        <v>-1442.4419366206648</v>
      </c>
      <c r="L43" s="74">
        <f t="shared" si="10"/>
        <v>-1611.3405107870046</v>
      </c>
      <c r="M43" s="74">
        <f t="shared" si="10"/>
        <v>-1881.220910678315</v>
      </c>
      <c r="N43" s="74">
        <f t="shared" si="10"/>
        <v>-2084.4987474844784</v>
      </c>
      <c r="O43" s="74">
        <f t="shared" si="10"/>
        <v>-2397.5267957034207</v>
      </c>
      <c r="P43" s="74">
        <f t="shared" si="10"/>
        <v>-2642.0415970993176</v>
      </c>
      <c r="Q43" s="74">
        <f t="shared" si="10"/>
        <v>-2906.1449067134545</v>
      </c>
      <c r="R43" s="74">
        <f t="shared" si="10"/>
        <v>-3190.311714819411</v>
      </c>
      <c r="S43" s="74">
        <f t="shared" si="10"/>
        <v>-3476.2762568506782</v>
      </c>
      <c r="T43" s="74">
        <f t="shared" si="10"/>
        <v>-3552.4133515089488</v>
      </c>
      <c r="U43" s="74">
        <f t="shared" si="10"/>
        <v>-3580.2753941290671</v>
      </c>
      <c r="V43" s="74">
        <f t="shared" si="10"/>
        <v>-3605.7199305722138</v>
      </c>
      <c r="W43" s="74">
        <f t="shared" si="10"/>
        <v>-541.40404066821407</v>
      </c>
      <c r="X43" s="74">
        <f t="shared" si="10"/>
        <v>1688.4525990385978</v>
      </c>
      <c r="Y43" s="74">
        <f t="shared" si="10"/>
        <v>1737.6852046930985</v>
      </c>
      <c r="Z43" s="74">
        <f t="shared" si="10"/>
        <v>1809.9042702729619</v>
      </c>
      <c r="AA43" s="74">
        <f t="shared" si="10"/>
        <v>1888.7368380827565</v>
      </c>
      <c r="AB43" s="74">
        <f t="shared" si="10"/>
        <v>1974.5552962049273</v>
      </c>
      <c r="AC43" s="74">
        <f t="shared" si="10"/>
        <v>2068.079580004824</v>
      </c>
      <c r="AD43" s="74">
        <f t="shared" si="10"/>
        <v>2169.9061654269967</v>
      </c>
      <c r="AE43" s="74">
        <f t="shared" si="10"/>
        <v>2280.9710403414269</v>
      </c>
      <c r="AF43" s="74">
        <f t="shared" si="10"/>
        <v>2401.8259123636544</v>
      </c>
      <c r="AG43" s="74">
        <f t="shared" si="10"/>
        <v>1974.2668696337423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75">
        <f t="shared" ref="C45:AG45" si="11">C40+C42+C43</f>
        <v>-317.22270487332582</v>
      </c>
      <c r="D45" s="375">
        <f t="shared" si="11"/>
        <v>-534.0180598382625</v>
      </c>
      <c r="E45" s="375">
        <f t="shared" si="11"/>
        <v>-507.96563905949358</v>
      </c>
      <c r="F45" s="375">
        <f t="shared" si="11"/>
        <v>320.06413036288774</v>
      </c>
      <c r="G45" s="375">
        <f t="shared" si="11"/>
        <v>939.24176908608069</v>
      </c>
      <c r="H45" s="375">
        <f t="shared" si="11"/>
        <v>1500.3849487981113</v>
      </c>
      <c r="I45" s="375">
        <f t="shared" si="11"/>
        <v>1984.7495664183543</v>
      </c>
      <c r="J45" s="375">
        <f t="shared" si="11"/>
        <v>2245.0375550505537</v>
      </c>
      <c r="K45" s="375">
        <f t="shared" si="11"/>
        <v>2678.820739438378</v>
      </c>
      <c r="L45" s="375">
        <f t="shared" si="11"/>
        <v>2992.4895200330084</v>
      </c>
      <c r="M45" s="375">
        <f t="shared" si="11"/>
        <v>3493.6959769740142</v>
      </c>
      <c r="N45" s="375">
        <f t="shared" si="11"/>
        <v>3871.2119596140319</v>
      </c>
      <c r="O45" s="375">
        <f t="shared" si="11"/>
        <v>4452.5497634492112</v>
      </c>
      <c r="P45" s="375">
        <f t="shared" si="11"/>
        <v>4906.6486803273037</v>
      </c>
      <c r="Q45" s="375">
        <f t="shared" si="11"/>
        <v>5397.1262553249871</v>
      </c>
      <c r="R45" s="375">
        <f t="shared" si="11"/>
        <v>5924.86461323605</v>
      </c>
      <c r="S45" s="375">
        <f t="shared" si="11"/>
        <v>6455.9416198655454</v>
      </c>
      <c r="T45" s="375">
        <f t="shared" si="11"/>
        <v>6597.3390813737624</v>
      </c>
      <c r="U45" s="375">
        <f t="shared" si="11"/>
        <v>6649.0828748111253</v>
      </c>
      <c r="V45" s="375">
        <f t="shared" si="11"/>
        <v>6696.3370139198269</v>
      </c>
      <c r="W45" s="375">
        <f t="shared" si="11"/>
        <v>1005.4646469552547</v>
      </c>
      <c r="X45" s="375">
        <f t="shared" si="11"/>
        <v>-3135.697683928825</v>
      </c>
      <c r="Y45" s="375">
        <f t="shared" si="11"/>
        <v>-3227.129665858612</v>
      </c>
      <c r="Z45" s="375">
        <f t="shared" si="11"/>
        <v>-3361.2507876497866</v>
      </c>
      <c r="AA45" s="375">
        <f t="shared" si="11"/>
        <v>-3507.654127867977</v>
      </c>
      <c r="AB45" s="375">
        <f t="shared" si="11"/>
        <v>-3667.0312643805796</v>
      </c>
      <c r="AC45" s="375">
        <f t="shared" si="11"/>
        <v>-3840.7192200089598</v>
      </c>
      <c r="AD45" s="375">
        <f t="shared" si="11"/>
        <v>-4029.8257357929938</v>
      </c>
      <c r="AE45" s="375">
        <f t="shared" si="11"/>
        <v>-4236.0890749197933</v>
      </c>
      <c r="AF45" s="375">
        <f t="shared" si="11"/>
        <v>-4460.5338372467877</v>
      </c>
      <c r="AG45" s="375">
        <f t="shared" si="11"/>
        <v>-3666.4956150340931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Calpine</v>
      </c>
    </row>
    <row r="4" spans="1:60" ht="18.75">
      <c r="A4" s="60" t="s">
        <v>139</v>
      </c>
      <c r="B4" s="8"/>
      <c r="C4" s="8"/>
    </row>
    <row r="6" spans="1:60">
      <c r="C6" s="320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5" thickBot="1">
      <c r="A7" s="123" t="s">
        <v>40</v>
      </c>
      <c r="B7" s="7"/>
      <c r="C7" s="321" t="s">
        <v>258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140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142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143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144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145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146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147</v>
      </c>
      <c r="B18" s="12"/>
      <c r="C18" s="324">
        <f>Assumptions!C58</f>
        <v>105266.72718007819</v>
      </c>
      <c r="D18" s="18">
        <f>Depreciation!$B$48</f>
        <v>106290.72718007819</v>
      </c>
      <c r="E18" s="18">
        <f>Depreciation!$B$48</f>
        <v>106290.72718007819</v>
      </c>
      <c r="F18" s="18">
        <f>Depreciation!$B$48</f>
        <v>106290.72718007819</v>
      </c>
      <c r="G18" s="18">
        <f>Depreciation!$B$48</f>
        <v>106290.72718007819</v>
      </c>
      <c r="H18" s="18">
        <f>Depreciation!$B$48</f>
        <v>106290.72718007819</v>
      </c>
      <c r="I18" s="18">
        <f>Depreciation!$B$48</f>
        <v>106290.72718007819</v>
      </c>
      <c r="J18" s="18">
        <f>Depreciation!$B$48</f>
        <v>106290.72718007819</v>
      </c>
      <c r="K18" s="18">
        <f>Depreciation!$B$48</f>
        <v>106290.72718007819</v>
      </c>
      <c r="L18" s="18">
        <f>Depreciation!$B$48</f>
        <v>106290.72718007819</v>
      </c>
      <c r="M18" s="18">
        <f>Depreciation!$B$48</f>
        <v>106290.72718007819</v>
      </c>
      <c r="N18" s="18">
        <f>Depreciation!$B$48</f>
        <v>106290.72718007819</v>
      </c>
      <c r="O18" s="18">
        <f>Depreciation!$B$48</f>
        <v>106290.72718007819</v>
      </c>
      <c r="P18" s="18">
        <f>Depreciation!$B$48</f>
        <v>106290.72718007819</v>
      </c>
      <c r="Q18" s="18">
        <f>Depreciation!$B$48</f>
        <v>106290.72718007819</v>
      </c>
      <c r="R18" s="18">
        <f>Depreciation!$B$48</f>
        <v>106290.72718007819</v>
      </c>
      <c r="S18" s="18">
        <f>Depreciation!$B$48</f>
        <v>106290.72718007819</v>
      </c>
      <c r="T18" s="18">
        <f>Depreciation!$B$48</f>
        <v>106290.72718007819</v>
      </c>
      <c r="U18" s="18">
        <f>Depreciation!$B$48</f>
        <v>106290.72718007819</v>
      </c>
      <c r="V18" s="18">
        <f>Depreciation!$B$48</f>
        <v>106290.72718007819</v>
      </c>
      <c r="W18" s="18">
        <f>Depreciation!$B$48</f>
        <v>106290.72718007819</v>
      </c>
      <c r="X18" s="18">
        <f>Depreciation!$B$48</f>
        <v>106290.72718007819</v>
      </c>
      <c r="Y18" s="18">
        <f>Depreciation!$B$48</f>
        <v>106290.72718007819</v>
      </c>
      <c r="Z18" s="18">
        <f>Depreciation!$B$48</f>
        <v>106290.72718007819</v>
      </c>
      <c r="AA18" s="18">
        <f>Depreciation!$B$48</f>
        <v>106290.72718007819</v>
      </c>
      <c r="AB18" s="18">
        <f>Depreciation!$B$48</f>
        <v>106290.72718007819</v>
      </c>
      <c r="AC18" s="18">
        <f>Depreciation!$B$48</f>
        <v>106290.72718007819</v>
      </c>
      <c r="AD18" s="18">
        <f>Depreciation!$B$48</f>
        <v>106290.72718007819</v>
      </c>
      <c r="AE18" s="18">
        <f>Depreciation!$B$48</f>
        <v>106290.72718007819</v>
      </c>
      <c r="AF18" s="18">
        <f>Depreciation!$B$48</f>
        <v>106290.72718007819</v>
      </c>
      <c r="AG18" s="18">
        <f>Depreciation!$B$48</f>
        <v>106290.72718007819</v>
      </c>
      <c r="AH18" s="18">
        <f>Depreciation!$B$48</f>
        <v>106290.72718007819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148</v>
      </c>
      <c r="B19" s="13"/>
      <c r="C19" s="326">
        <v>0</v>
      </c>
      <c r="D19" s="314">
        <f>SUM(Depreciation!$D$48:D48)</f>
        <v>2334.8977256513685</v>
      </c>
      <c r="E19" s="314">
        <f>SUM(Depreciation!$D$48:E48)</f>
        <v>6337.5795410537139</v>
      </c>
      <c r="F19" s="314">
        <f>SUM(Depreciation!$D$48:F48)</f>
        <v>10340.26135645606</v>
      </c>
      <c r="G19" s="314">
        <f>SUM(Depreciation!$D$48:G48)</f>
        <v>14342.943171858406</v>
      </c>
      <c r="H19" s="314">
        <f>SUM(Depreciation!$D$48:H48)</f>
        <v>18345.624987260751</v>
      </c>
      <c r="I19" s="314">
        <f>SUM(Depreciation!$D$48:I48)</f>
        <v>21789.706802663095</v>
      </c>
      <c r="J19" s="314">
        <f>SUM(Depreciation!$D$48:J48)</f>
        <v>24834.788618065439</v>
      </c>
      <c r="K19" s="314">
        <f>SUM(Depreciation!$D$48:K48)</f>
        <v>27879.870433467782</v>
      </c>
      <c r="L19" s="314">
        <f>SUM(Depreciation!$D$48:L48)</f>
        <v>30924.952248870126</v>
      </c>
      <c r="M19" s="314">
        <f>SUM(Depreciation!$D$48:M48)</f>
        <v>33970.03406427247</v>
      </c>
      <c r="N19" s="314">
        <f>SUM(Depreciation!$D$48:N48)</f>
        <v>37015.115879674813</v>
      </c>
      <c r="O19" s="314">
        <f>SUM(Depreciation!$D$48:O48)</f>
        <v>40060.197695077157</v>
      </c>
      <c r="P19" s="314">
        <f>SUM(Depreciation!$D$48:P48)</f>
        <v>43105.2795104795</v>
      </c>
      <c r="Q19" s="314">
        <f>SUM(Depreciation!$D$48:Q48)</f>
        <v>46150.361325881844</v>
      </c>
      <c r="R19" s="314">
        <f>SUM(Depreciation!$D$48:R48)</f>
        <v>49195.443141284188</v>
      </c>
      <c r="S19" s="314">
        <f>SUM(Depreciation!$D$48:S48)</f>
        <v>52240.524956686531</v>
      </c>
      <c r="T19" s="314">
        <f>SUM(Depreciation!$D$48:T48)</f>
        <v>55285.606772088875</v>
      </c>
      <c r="U19" s="314">
        <f>SUM(Depreciation!$D$48:U48)</f>
        <v>58330.688587491219</v>
      </c>
      <c r="V19" s="314">
        <f>SUM(Depreciation!$D$48:V48)</f>
        <v>61375.770402893562</v>
      </c>
      <c r="W19" s="314">
        <f>SUM(Depreciation!$D$48:W48)</f>
        <v>64420.852218295906</v>
      </c>
      <c r="X19" s="314">
        <f>SUM(Depreciation!$D$48:X48)</f>
        <v>67465.934033698257</v>
      </c>
      <c r="Y19" s="314">
        <f>SUM(Depreciation!$D$48:Y48)</f>
        <v>70511.0158491006</v>
      </c>
      <c r="Z19" s="314">
        <f>SUM(Depreciation!$D$48:Z48)</f>
        <v>73556.097664502944</v>
      </c>
      <c r="AA19" s="314">
        <f>SUM(Depreciation!$D$48:AA48)</f>
        <v>76601.179479905288</v>
      </c>
      <c r="AB19" s="314">
        <f>SUM(Depreciation!$D$48:AB48)</f>
        <v>79646.261295307631</v>
      </c>
      <c r="AC19" s="314">
        <f>SUM(Depreciation!$D$48:AC48)</f>
        <v>82691.343110709975</v>
      </c>
      <c r="AD19" s="314">
        <f>SUM(Depreciation!$D$48:AD48)</f>
        <v>85736.424926112319</v>
      </c>
      <c r="AE19" s="314">
        <f>SUM(Depreciation!$D$48:AE48)</f>
        <v>88781.506741514662</v>
      </c>
      <c r="AF19" s="314">
        <f>SUM(Depreciation!$D$48:AF48)</f>
        <v>91826.588556917006</v>
      </c>
      <c r="AG19" s="314">
        <f>SUM(Depreciation!$D$48:AG48)</f>
        <v>94871.67037231935</v>
      </c>
      <c r="AH19" s="314">
        <f>SUM(Depreciation!$D$48:AH48)</f>
        <v>96140.454462070324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149</v>
      </c>
      <c r="B20" s="13"/>
      <c r="C20" s="327">
        <f>C18-C19</f>
        <v>105266.72718007819</v>
      </c>
      <c r="D20" s="23">
        <f>D18-D19</f>
        <v>103955.82945442681</v>
      </c>
      <c r="E20" s="23">
        <f t="shared" ref="E20:AH20" si="2">E18-E19</f>
        <v>99953.147639024479</v>
      </c>
      <c r="F20" s="23">
        <f t="shared" si="2"/>
        <v>95950.465823622129</v>
      </c>
      <c r="G20" s="23">
        <f t="shared" si="2"/>
        <v>91947.78400821978</v>
      </c>
      <c r="H20" s="23">
        <f t="shared" si="2"/>
        <v>87945.10219281743</v>
      </c>
      <c r="I20" s="23">
        <f t="shared" si="2"/>
        <v>84501.020377415087</v>
      </c>
      <c r="J20" s="23">
        <f t="shared" si="2"/>
        <v>81455.938562012743</v>
      </c>
      <c r="K20" s="23">
        <f t="shared" si="2"/>
        <v>78410.8567466104</v>
      </c>
      <c r="L20" s="23">
        <f t="shared" si="2"/>
        <v>75365.774931208056</v>
      </c>
      <c r="M20" s="23">
        <f t="shared" si="2"/>
        <v>72320.693115805712</v>
      </c>
      <c r="N20" s="23">
        <f t="shared" si="2"/>
        <v>69275.611300403369</v>
      </c>
      <c r="O20" s="23">
        <f t="shared" si="2"/>
        <v>66230.529485001025</v>
      </c>
      <c r="P20" s="23">
        <f t="shared" si="2"/>
        <v>63185.447669598689</v>
      </c>
      <c r="Q20" s="23">
        <f t="shared" si="2"/>
        <v>60140.365854196345</v>
      </c>
      <c r="R20" s="23">
        <f t="shared" si="2"/>
        <v>57095.284038794001</v>
      </c>
      <c r="S20" s="23">
        <f t="shared" si="2"/>
        <v>54050.202223391658</v>
      </c>
      <c r="T20" s="23">
        <f t="shared" si="2"/>
        <v>51005.120407989314</v>
      </c>
      <c r="U20" s="23">
        <f t="shared" si="2"/>
        <v>47960.03859258697</v>
      </c>
      <c r="V20" s="23">
        <f t="shared" si="2"/>
        <v>44914.956777184627</v>
      </c>
      <c r="W20" s="23">
        <f t="shared" si="2"/>
        <v>41869.874961782283</v>
      </c>
      <c r="X20" s="23">
        <f t="shared" si="2"/>
        <v>38824.793146379932</v>
      </c>
      <c r="Y20" s="23">
        <f t="shared" si="2"/>
        <v>35779.711330977589</v>
      </c>
      <c r="Z20" s="23">
        <f t="shared" si="2"/>
        <v>32734.629515575245</v>
      </c>
      <c r="AA20" s="23">
        <f t="shared" si="2"/>
        <v>29689.547700172901</v>
      </c>
      <c r="AB20" s="23">
        <f t="shared" si="2"/>
        <v>26644.465884770558</v>
      </c>
      <c r="AC20" s="23">
        <f t="shared" si="2"/>
        <v>23599.384069368214</v>
      </c>
      <c r="AD20" s="23">
        <f t="shared" si="2"/>
        <v>20554.30225396587</v>
      </c>
      <c r="AE20" s="23">
        <f t="shared" si="2"/>
        <v>17509.220438563527</v>
      </c>
      <c r="AF20" s="23">
        <f t="shared" si="2"/>
        <v>14464.138623161183</v>
      </c>
      <c r="AG20" s="23">
        <f t="shared" si="2"/>
        <v>11419.05680775884</v>
      </c>
      <c r="AH20" s="23">
        <f t="shared" si="2"/>
        <v>10150.272718007865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150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151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152</v>
      </c>
      <c r="B25" s="13"/>
      <c r="C25" s="327">
        <f>SUM(C16,C20,C22,C23)</f>
        <v>105266.72718007819</v>
      </c>
      <c r="D25" s="23">
        <f>SUM(D16,D20,D22,D23)</f>
        <v>103955.82945442681</v>
      </c>
      <c r="E25" s="23">
        <f t="shared" ref="E25:AH25" si="3">SUM(E16,E20,E22,E23)</f>
        <v>99953.147639024479</v>
      </c>
      <c r="F25" s="23">
        <f t="shared" si="3"/>
        <v>95950.465823622129</v>
      </c>
      <c r="G25" s="23">
        <f t="shared" si="3"/>
        <v>91947.78400821978</v>
      </c>
      <c r="H25" s="23">
        <f t="shared" si="3"/>
        <v>87945.10219281743</v>
      </c>
      <c r="I25" s="23">
        <f t="shared" si="3"/>
        <v>84501.020377415087</v>
      </c>
      <c r="J25" s="23">
        <f t="shared" si="3"/>
        <v>81455.938562012743</v>
      </c>
      <c r="K25" s="23">
        <f t="shared" si="3"/>
        <v>78410.8567466104</v>
      </c>
      <c r="L25" s="23">
        <f t="shared" si="3"/>
        <v>75365.774931208056</v>
      </c>
      <c r="M25" s="23">
        <f t="shared" si="3"/>
        <v>72320.693115805712</v>
      </c>
      <c r="N25" s="23">
        <f t="shared" si="3"/>
        <v>69275.611300403369</v>
      </c>
      <c r="O25" s="23">
        <f t="shared" si="3"/>
        <v>66230.529485001025</v>
      </c>
      <c r="P25" s="23">
        <f t="shared" si="3"/>
        <v>63185.447669598689</v>
      </c>
      <c r="Q25" s="23">
        <f t="shared" si="3"/>
        <v>60140.365854196345</v>
      </c>
      <c r="R25" s="23">
        <f t="shared" si="3"/>
        <v>57095.284038794001</v>
      </c>
      <c r="S25" s="23">
        <f t="shared" si="3"/>
        <v>54050.202223391658</v>
      </c>
      <c r="T25" s="23">
        <f t="shared" si="3"/>
        <v>51005.120407989314</v>
      </c>
      <c r="U25" s="23">
        <f t="shared" si="3"/>
        <v>47960.03859258697</v>
      </c>
      <c r="V25" s="23">
        <f t="shared" si="3"/>
        <v>44914.956777184627</v>
      </c>
      <c r="W25" s="23">
        <f t="shared" si="3"/>
        <v>41869.874961782283</v>
      </c>
      <c r="X25" s="23">
        <f t="shared" si="3"/>
        <v>38824.793146379932</v>
      </c>
      <c r="Y25" s="23">
        <f t="shared" si="3"/>
        <v>35779.711330977589</v>
      </c>
      <c r="Z25" s="23">
        <f t="shared" si="3"/>
        <v>32734.629515575245</v>
      </c>
      <c r="AA25" s="23">
        <f t="shared" si="3"/>
        <v>29689.547700172901</v>
      </c>
      <c r="AB25" s="23">
        <f t="shared" si="3"/>
        <v>26644.465884770558</v>
      </c>
      <c r="AC25" s="23">
        <f t="shared" si="3"/>
        <v>23599.384069368214</v>
      </c>
      <c r="AD25" s="23">
        <f t="shared" si="3"/>
        <v>20554.30225396587</v>
      </c>
      <c r="AE25" s="23">
        <f t="shared" si="3"/>
        <v>17509.220438563527</v>
      </c>
      <c r="AF25" s="23">
        <f t="shared" si="3"/>
        <v>14464.138623161183</v>
      </c>
      <c r="AG25" s="23">
        <f t="shared" si="3"/>
        <v>11419.05680775884</v>
      </c>
      <c r="AH25" s="23">
        <f t="shared" si="3"/>
        <v>10150.272718007865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153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154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155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156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157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158</v>
      </c>
      <c r="C34" s="327">
        <f>Assumptions!C12</f>
        <v>76645.682528245845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159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160</v>
      </c>
      <c r="B37" s="13"/>
      <c r="C37" s="327">
        <f>SUM(C30:C35)</f>
        <v>76645.682528245845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161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162</v>
      </c>
      <c r="C41" s="327">
        <f>Assumptions!$C$11</f>
        <v>28621.044651832344</v>
      </c>
      <c r="D41" s="23">
        <f>Assumptions!$C$11</f>
        <v>28621.044651832344</v>
      </c>
      <c r="E41" s="23">
        <f>Assumptions!$C$11</f>
        <v>28621.044651832344</v>
      </c>
      <c r="F41" s="23">
        <f>Assumptions!$C$11</f>
        <v>28621.044651832344</v>
      </c>
      <c r="G41" s="23">
        <f>Assumptions!$C$11</f>
        <v>28621.044651832344</v>
      </c>
      <c r="H41" s="23">
        <f>Assumptions!$C$11</f>
        <v>28621.044651832344</v>
      </c>
      <c r="I41" s="23">
        <f>Assumptions!$C$11</f>
        <v>28621.044651832344</v>
      </c>
      <c r="J41" s="23">
        <f>Assumptions!$C$11</f>
        <v>28621.044651832344</v>
      </c>
      <c r="K41" s="23">
        <f>Assumptions!$C$11</f>
        <v>28621.044651832344</v>
      </c>
      <c r="L41" s="23">
        <f>Assumptions!$C$11</f>
        <v>28621.044651832344</v>
      </c>
      <c r="M41" s="23">
        <f>Assumptions!$C$11</f>
        <v>28621.044651832344</v>
      </c>
      <c r="N41" s="23">
        <f>Assumptions!$C$11</f>
        <v>28621.044651832344</v>
      </c>
      <c r="O41" s="23">
        <f>Assumptions!$C$11</f>
        <v>28621.044651832344</v>
      </c>
      <c r="P41" s="23">
        <f>Assumptions!$C$11</f>
        <v>28621.044651832344</v>
      </c>
      <c r="Q41" s="23">
        <f>Assumptions!$C$11</f>
        <v>28621.044651832344</v>
      </c>
      <c r="R41" s="23">
        <f>Assumptions!$C$11</f>
        <v>28621.044651832344</v>
      </c>
      <c r="S41" s="23">
        <f>Assumptions!$C$11</f>
        <v>28621.044651832344</v>
      </c>
      <c r="T41" s="23">
        <f>Assumptions!$C$11</f>
        <v>28621.044651832344</v>
      </c>
      <c r="U41" s="23">
        <f>Assumptions!$C$11</f>
        <v>28621.044651832344</v>
      </c>
      <c r="V41" s="23">
        <f>Assumptions!$C$11</f>
        <v>28621.044651832344</v>
      </c>
      <c r="W41" s="23">
        <f>Assumptions!$C$11</f>
        <v>28621.044651832344</v>
      </c>
      <c r="X41" s="23">
        <f>Assumptions!$C$11</f>
        <v>28621.044651832344</v>
      </c>
      <c r="Y41" s="23">
        <f>Assumptions!$C$11</f>
        <v>28621.044651832344</v>
      </c>
      <c r="Z41" s="23">
        <f>Assumptions!$C$11</f>
        <v>28621.044651832344</v>
      </c>
      <c r="AA41" s="23">
        <f>Assumptions!$C$11</f>
        <v>28621.044651832344</v>
      </c>
      <c r="AB41" s="23">
        <f>Assumptions!$C$11</f>
        <v>28621.044651832344</v>
      </c>
      <c r="AC41" s="23">
        <f>Assumptions!$C$11</f>
        <v>28621.044651832344</v>
      </c>
      <c r="AD41" s="23">
        <f>Assumptions!$C$11</f>
        <v>28621.044651832344</v>
      </c>
      <c r="AE41" s="23">
        <f>Assumptions!$C$11</f>
        <v>28621.044651832344</v>
      </c>
      <c r="AF41" s="23">
        <f>Assumptions!$C$11</f>
        <v>28621.044651832344</v>
      </c>
      <c r="AG41" s="23">
        <f>Assumptions!$C$11</f>
        <v>28621.044651832344</v>
      </c>
      <c r="AH41" s="23">
        <f>Assumptions!$C$11</f>
        <v>28621.044651832344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163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164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165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166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E41" sqref="E41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8.75">
      <c r="A4" s="60" t="s">
        <v>389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5" thickBot="1">
      <c r="A7" s="123" t="s">
        <v>40</v>
      </c>
      <c r="B7" s="7" t="s">
        <v>258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5603.1656179523216</v>
      </c>
      <c r="D11" s="18">
        <f>IS!D32</f>
        <v>9571.1067736325567</v>
      </c>
      <c r="E11" s="18">
        <f>IS!E32</f>
        <v>9535.757173632559</v>
      </c>
      <c r="F11" s="18">
        <f>IS!F32</f>
        <v>10791.224565240882</v>
      </c>
      <c r="G11" s="18">
        <f>IS!G32</f>
        <v>11627.307067895554</v>
      </c>
      <c r="H11" s="18">
        <f>IS!H32</f>
        <v>11751.673540382935</v>
      </c>
      <c r="I11" s="18">
        <f>IS!I32</f>
        <v>11872.964908954717</v>
      </c>
      <c r="J11" s="18">
        <f>IS!J32</f>
        <v>11990.884737550738</v>
      </c>
      <c r="K11" s="18">
        <f>IS!K32</f>
        <v>12353.028476468284</v>
      </c>
      <c r="L11" s="18">
        <f>IS!L32</f>
        <v>12470.692415477968</v>
      </c>
      <c r="M11" s="18">
        <f>IS!M32</f>
        <v>12847.230384733337</v>
      </c>
      <c r="N11" s="18">
        <f>IS!N32</f>
        <v>12964.169924565582</v>
      </c>
      <c r="O11" s="18">
        <f>IS!O32</f>
        <v>13355.512219093571</v>
      </c>
      <c r="P11" s="18">
        <f>IS!P32</f>
        <v>13471.202734734932</v>
      </c>
      <c r="Q11" s="18">
        <f>IS!Q32</f>
        <v>13581.74220441386</v>
      </c>
      <c r="R11" s="18">
        <f>IS!R32</f>
        <v>13686.717443908528</v>
      </c>
      <c r="S11" s="18">
        <f>IS!S32</f>
        <v>13832.696162599514</v>
      </c>
      <c r="T11" s="18">
        <f>IS!T32</f>
        <v>13958.794108824615</v>
      </c>
      <c r="U11" s="18">
        <f>IS!U32</f>
        <v>14044.391782004703</v>
      </c>
      <c r="V11" s="18">
        <f>IS!V32</f>
        <v>14122.562400877658</v>
      </c>
      <c r="W11" s="18">
        <f>IS!W32</f>
        <v>4708.3814795136022</v>
      </c>
      <c r="X11" s="18">
        <f>IS!X32</f>
        <v>-2128.1769900356658</v>
      </c>
      <c r="Y11" s="18">
        <f>IS!Y32</f>
        <v>-2192.0222997367346</v>
      </c>
      <c r="Z11" s="18">
        <f>IS!Z32</f>
        <v>-2257.7829687288358</v>
      </c>
      <c r="AA11" s="18">
        <f>IS!AA32</f>
        <v>-2325.5164577906999</v>
      </c>
      <c r="AB11" s="18">
        <f>IS!AB32</f>
        <v>-2395.2819515244219</v>
      </c>
      <c r="AC11" s="18">
        <f>IS!AC32</f>
        <v>-2467.1404100701566</v>
      </c>
      <c r="AD11" s="18">
        <f>IS!AD32</f>
        <v>-2541.1546223722617</v>
      </c>
      <c r="AE11" s="18">
        <f>IS!AE32</f>
        <v>-2617.3892610434286</v>
      </c>
      <c r="AF11" s="18">
        <f>IS!AF32</f>
        <v>-2695.910938874732</v>
      </c>
      <c r="AG11" s="18">
        <f>IS!AG32</f>
        <v>-2776.7882670409736</v>
      </c>
    </row>
    <row r="12" spans="1:35">
      <c r="A12" s="45" t="s">
        <v>81</v>
      </c>
      <c r="B12" s="452">
        <v>0</v>
      </c>
      <c r="C12" s="452">
        <f>-(Debt!B36)</f>
        <v>-2176.0868660312376</v>
      </c>
      <c r="D12" s="452">
        <f>-(Debt!B44+Debt!C27+Debt!C36)</f>
        <v>-6469.762593948034</v>
      </c>
      <c r="E12" s="452">
        <f>-(Debt!C44+Debt!D27+Debt!D36)</f>
        <v>-6393.4827401776438</v>
      </c>
      <c r="F12" s="452">
        <f>-(Debt!D44+Debt!E27+Debt!E36)</f>
        <v>-6300.6915830135767</v>
      </c>
      <c r="G12" s="452">
        <f>-(Debt!E44+Debt!F27+Debt!F36)</f>
        <v>-6122.9310549468546</v>
      </c>
      <c r="H12" s="452">
        <f>-(Debt!F44+Debt!G27+Debt!G36)</f>
        <v>-5891.7711482166251</v>
      </c>
      <c r="I12" s="452">
        <f>-(Debt!G44+Debt!H27+Debt!H36)</f>
        <v>-5618.5768280412503</v>
      </c>
      <c r="J12" s="452">
        <f>-(Debt!H44+Debt!I27+Debt!I36)</f>
        <v>-5317.8055018206287</v>
      </c>
      <c r="K12" s="452">
        <f>-(Debt!I44+Debt!J27+Debt!J36)</f>
        <v>-4967.5271974529151</v>
      </c>
      <c r="L12" s="452">
        <f>-(Debt!J44+Debt!K27+Debt!K36)</f>
        <v>-4580.9876053662992</v>
      </c>
      <c r="M12" s="452">
        <f>-(Debt!K44+Debt!L27+Debt!L36)</f>
        <v>-4142.7724562932208</v>
      </c>
      <c r="N12" s="452">
        <f>-(Debt!L44+Debt!M27+Debt!M36)</f>
        <v>-3650.9400565902774</v>
      </c>
      <c r="O12" s="452">
        <f>-(Debt!M44+Debt!N27+Debt!N36)</f>
        <v>-3092.9801755590752</v>
      </c>
      <c r="P12" s="452">
        <f>-(Debt!N44+Debt!O27+Debt!O36)</f>
        <v>-2475.9095914154136</v>
      </c>
      <c r="Q12" s="452">
        <f>-(Debt!O44+Debt!P27+Debt!P36)</f>
        <v>-1791.4006096676128</v>
      </c>
      <c r="R12" s="452">
        <f>-(Debt!P44+Debt!Q27+Debt!Q36)</f>
        <v>-1041.4330880526218</v>
      </c>
      <c r="S12" s="452">
        <f>-(Debt!Q44+Debt!R27+Debt!R36)</f>
        <v>-215.32579404045788</v>
      </c>
      <c r="T12" s="452">
        <f>-(Debt!R44+Debt!S27+Debt!S36)</f>
        <v>0</v>
      </c>
      <c r="U12" s="452">
        <f>-(Debt!S44+Debt!T27+Debt!T36)</f>
        <v>0</v>
      </c>
      <c r="V12" s="452">
        <f>-(Debt!T44+Debt!U27+Debt!U36)</f>
        <v>0</v>
      </c>
      <c r="W12" s="452">
        <f>-(Debt!U44+Debt!V27+Debt!V36)</f>
        <v>0</v>
      </c>
      <c r="X12" s="452">
        <f>-(Debt!V44+Debt!W27+Debt!W36)</f>
        <v>-6.9451673073672628</v>
      </c>
      <c r="Y12" s="452">
        <f>-(Debt!W44+Debt!X27+Debt!X36)</f>
        <v>-64.564768330556561</v>
      </c>
      <c r="Z12" s="452">
        <f>-(Debt!X44+Debt!Y27+Debt!Y36)</f>
        <v>-216.59654295690731</v>
      </c>
      <c r="AA12" s="452">
        <f>-(Debt!Y44+Debt!Z27+Debt!Z36)</f>
        <v>-385.95251084017667</v>
      </c>
      <c r="AB12" s="452">
        <f>-(Debt!Z44+Debt!AA27+Debt!AA36)</f>
        <v>-574.91209248103041</v>
      </c>
      <c r="AC12" s="452">
        <f>-(Debt!AA44+Debt!AB27+Debt!AB36)</f>
        <v>-784.76850631110301</v>
      </c>
      <c r="AD12" s="452">
        <f>-(Debt!AB44+Debt!AC27+Debt!AC36)</f>
        <v>-1018.2346269261122</v>
      </c>
      <c r="AE12" s="452">
        <f>-(Debt!AC44+Debt!AD27+Debt!AD36)</f>
        <v>-1274.9504007065448</v>
      </c>
      <c r="AF12" s="452">
        <f>-(Debt!AD44+Debt!AE27+Debt!AE36)</f>
        <v>-1561.1766678241288</v>
      </c>
      <c r="AG12" s="452">
        <f>-(Debt!AE44+Debt!AF27+Debt!AF36)</f>
        <v>-1057.1774924468134</v>
      </c>
      <c r="AH12" s="13"/>
      <c r="AI12" s="13"/>
    </row>
    <row r="13" spans="1:35">
      <c r="A13" s="45" t="s">
        <v>360</v>
      </c>
      <c r="B13" s="64">
        <f>SUM(B11:B12)</f>
        <v>0</v>
      </c>
      <c r="C13" s="64">
        <f t="shared" ref="C13:AG13" si="0">SUM(C11:C12)</f>
        <v>3427.0787519210839</v>
      </c>
      <c r="D13" s="64">
        <f t="shared" si="0"/>
        <v>3101.3441796845227</v>
      </c>
      <c r="E13" s="64">
        <f t="shared" si="0"/>
        <v>3142.2744334549152</v>
      </c>
      <c r="F13" s="64">
        <f t="shared" si="0"/>
        <v>4490.5329822273052</v>
      </c>
      <c r="G13" s="64">
        <f t="shared" si="0"/>
        <v>5504.3760129486991</v>
      </c>
      <c r="H13" s="64">
        <f t="shared" si="0"/>
        <v>5859.9023921663102</v>
      </c>
      <c r="I13" s="64">
        <f t="shared" si="0"/>
        <v>6254.3880809134662</v>
      </c>
      <c r="J13" s="64">
        <f t="shared" si="0"/>
        <v>6673.0792357301088</v>
      </c>
      <c r="K13" s="64">
        <f t="shared" si="0"/>
        <v>7385.5012790153687</v>
      </c>
      <c r="L13" s="64">
        <f t="shared" si="0"/>
        <v>7889.7048101116688</v>
      </c>
      <c r="M13" s="64">
        <f t="shared" si="0"/>
        <v>8704.4579284401152</v>
      </c>
      <c r="N13" s="64">
        <f t="shared" si="0"/>
        <v>9313.2298679753039</v>
      </c>
      <c r="O13" s="64">
        <f t="shared" si="0"/>
        <v>10262.532043534495</v>
      </c>
      <c r="P13" s="64">
        <f t="shared" si="0"/>
        <v>10995.293143319519</v>
      </c>
      <c r="Q13" s="64">
        <f t="shared" si="0"/>
        <v>11790.341594746247</v>
      </c>
      <c r="R13" s="64">
        <f t="shared" si="0"/>
        <v>12645.284355855907</v>
      </c>
      <c r="S13" s="64">
        <f t="shared" si="0"/>
        <v>13617.370368559055</v>
      </c>
      <c r="T13" s="64">
        <f t="shared" si="0"/>
        <v>13958.794108824615</v>
      </c>
      <c r="U13" s="64">
        <f t="shared" si="0"/>
        <v>14044.391782004703</v>
      </c>
      <c r="V13" s="64">
        <f t="shared" si="0"/>
        <v>14122.562400877658</v>
      </c>
      <c r="W13" s="64">
        <f t="shared" si="0"/>
        <v>4708.3814795136022</v>
      </c>
      <c r="X13" s="64">
        <f t="shared" si="0"/>
        <v>-2135.122157343033</v>
      </c>
      <c r="Y13" s="64">
        <f t="shared" si="0"/>
        <v>-2256.5870680672911</v>
      </c>
      <c r="Z13" s="64">
        <f t="shared" si="0"/>
        <v>-2474.3795116857432</v>
      </c>
      <c r="AA13" s="64">
        <f t="shared" si="0"/>
        <v>-2711.4689686308766</v>
      </c>
      <c r="AB13" s="64">
        <f t="shared" si="0"/>
        <v>-2970.1940440054523</v>
      </c>
      <c r="AC13" s="64">
        <f t="shared" si="0"/>
        <v>-3251.9089163812596</v>
      </c>
      <c r="AD13" s="64">
        <f t="shared" si="0"/>
        <v>-3559.3892492983741</v>
      </c>
      <c r="AE13" s="64">
        <f t="shared" si="0"/>
        <v>-3892.3396617499734</v>
      </c>
      <c r="AF13" s="64">
        <f t="shared" si="0"/>
        <v>-4257.0876066988603</v>
      </c>
      <c r="AG13" s="64">
        <f t="shared" si="0"/>
        <v>-3833.9657594877872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361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-6.8411184448096378</v>
      </c>
      <c r="Q15" s="18">
        <f>-Taxes!P24-Taxes!P41</f>
        <v>-686.07979202140677</v>
      </c>
      <c r="R15" s="18">
        <f>-Taxes!Q24-Taxes!Q41</f>
        <v>-3896.4724199406501</v>
      </c>
      <c r="S15" s="18">
        <f>-Taxes!R24-Taxes!R41</f>
        <v>-5428.1924066381507</v>
      </c>
      <c r="T15" s="18">
        <f>-Taxes!S24-Taxes!S41</f>
        <v>-5520.7030700401356</v>
      </c>
      <c r="U15" s="18">
        <f>-Taxes!T24-Taxes!T41</f>
        <v>-5554.5569497828601</v>
      </c>
      <c r="V15" s="18">
        <f>-Taxes!U24-Taxes!U41</f>
        <v>-5585.4734295471126</v>
      </c>
      <c r="W15" s="18">
        <f>-Taxes!V24-Taxes!V41</f>
        <v>-1862.1648751476296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-Debt!B48</f>
        <v>-292.62460161116906</v>
      </c>
      <c r="D16" s="23">
        <f>-Debt!C48</f>
        <v>-898.488438995264</v>
      </c>
      <c r="E16" s="23">
        <f>-Debt!D48</f>
        <v>-948.49446103601076</v>
      </c>
      <c r="F16" s="23">
        <f>-Debt!E48</f>
        <v>-1765.1303299638967</v>
      </c>
      <c r="G16" s="23">
        <f>-Debt!F48</f>
        <v>-2655.1522074536624</v>
      </c>
      <c r="H16" s="23">
        <f>-Debt!G48</f>
        <v>-3124.1266246883606</v>
      </c>
      <c r="I16" s="23">
        <f>-Debt!H48</f>
        <v>-3491.2117435676992</v>
      </c>
      <c r="J16" s="23">
        <f>-Debt!I48</f>
        <v>-3889.6203464366772</v>
      </c>
      <c r="K16" s="23">
        <f>-Debt!J48</f>
        <v>-4459.0670564461834</v>
      </c>
      <c r="L16" s="23">
        <f>-Debt!K48</f>
        <v>-4989.2870272987857</v>
      </c>
      <c r="M16" s="23">
        <f>-Debt!L48</f>
        <v>-5667.4996938130644</v>
      </c>
      <c r="N16" s="23">
        <f>-Debt!M48</f>
        <v>-6305.8646983268773</v>
      </c>
      <c r="O16" s="23">
        <f>-Debt!N48</f>
        <v>-7098.6457028405384</v>
      </c>
      <c r="P16" s="23">
        <f>-Debt!O48</f>
        <v>-7864.366828510585</v>
      </c>
      <c r="Q16" s="23">
        <f>-Debt!P48</f>
        <v>-8634.8940433782846</v>
      </c>
      <c r="R16" s="23">
        <f>-Debt!Q48</f>
        <v>-9473.850582952964</v>
      </c>
      <c r="S16" s="23">
        <f>-Debt!R48</f>
        <v>-5087.3581409258231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332.88358803241397</v>
      </c>
      <c r="Y16" s="23">
        <f>-Debt!X48</f>
        <v>1738.4914621579765</v>
      </c>
      <c r="Z16" s="23">
        <f>-Debt!Y48</f>
        <v>1941.9240962697909</v>
      </c>
      <c r="AA16" s="23">
        <f>-Debt!Z48</f>
        <v>2160.6382816510436</v>
      </c>
      <c r="AB16" s="23">
        <f>-Debt!AA48</f>
        <v>2404.0569868469829</v>
      </c>
      <c r="AC16" s="23">
        <f>-Debt!AB48</f>
        <v>2668.7877475080368</v>
      </c>
      <c r="AD16" s="23">
        <f>-Debt!AC48</f>
        <v>2960.1059883155085</v>
      </c>
      <c r="AE16" s="23">
        <f>-Debt!AD48</f>
        <v>3272.3748707358172</v>
      </c>
      <c r="AF16" s="23">
        <f>-Debt!AE48</f>
        <v>3619.8953611995348</v>
      </c>
      <c r="AG16" s="23">
        <f>-Debt!AF48</f>
        <v>3710.1924827683215</v>
      </c>
    </row>
    <row r="17" spans="1:33">
      <c r="A17" s="45" t="s">
        <v>362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363</v>
      </c>
      <c r="B18" s="64">
        <f>B13+B17+B16+B15</f>
        <v>0</v>
      </c>
      <c r="C18" s="64">
        <f t="shared" ref="C18:AG18" si="1">C13+C17+C16+C15</f>
        <v>3134.4541503099149</v>
      </c>
      <c r="D18" s="64">
        <f t="shared" si="1"/>
        <v>2202.8557406892587</v>
      </c>
      <c r="E18" s="64">
        <f t="shared" si="1"/>
        <v>2193.7799724189044</v>
      </c>
      <c r="F18" s="64">
        <f t="shared" si="1"/>
        <v>2725.4026522634085</v>
      </c>
      <c r="G18" s="64">
        <f t="shared" si="1"/>
        <v>2849.2238054950367</v>
      </c>
      <c r="H18" s="64">
        <f t="shared" si="1"/>
        <v>2735.7757674779496</v>
      </c>
      <c r="I18" s="64">
        <f t="shared" si="1"/>
        <v>2763.176337345767</v>
      </c>
      <c r="J18" s="64">
        <f t="shared" si="1"/>
        <v>2783.4588892934316</v>
      </c>
      <c r="K18" s="64">
        <f t="shared" si="1"/>
        <v>2926.4342225691853</v>
      </c>
      <c r="L18" s="64">
        <f t="shared" si="1"/>
        <v>2900.4177828128832</v>
      </c>
      <c r="M18" s="64">
        <f t="shared" si="1"/>
        <v>3036.9582346270508</v>
      </c>
      <c r="N18" s="64">
        <f t="shared" si="1"/>
        <v>3007.3651696484267</v>
      </c>
      <c r="O18" s="64">
        <f t="shared" si="1"/>
        <v>3163.8863406939563</v>
      </c>
      <c r="P18" s="64">
        <f t="shared" si="1"/>
        <v>3124.0851963641244</v>
      </c>
      <c r="Q18" s="64">
        <f t="shared" si="1"/>
        <v>2469.3677593465559</v>
      </c>
      <c r="R18" s="64">
        <f t="shared" si="1"/>
        <v>-725.03864703770705</v>
      </c>
      <c r="S18" s="64">
        <f t="shared" si="1"/>
        <v>3101.8198209950824</v>
      </c>
      <c r="T18" s="64">
        <f t="shared" si="1"/>
        <v>8438.0910387844797</v>
      </c>
      <c r="U18" s="64">
        <f t="shared" si="1"/>
        <v>8489.8348322218426</v>
      </c>
      <c r="V18" s="64">
        <f t="shared" si="1"/>
        <v>8537.0889713305442</v>
      </c>
      <c r="W18" s="64">
        <f t="shared" si="1"/>
        <v>2846.2166043659727</v>
      </c>
      <c r="X18" s="64">
        <f t="shared" si="1"/>
        <v>-1802.2385693106189</v>
      </c>
      <c r="Y18" s="64">
        <f t="shared" si="1"/>
        <v>-518.0956059093146</v>
      </c>
      <c r="Z18" s="64">
        <f t="shared" si="1"/>
        <v>-532.4554154159523</v>
      </c>
      <c r="AA18" s="64">
        <f t="shared" si="1"/>
        <v>-550.83068697983299</v>
      </c>
      <c r="AB18" s="64">
        <f t="shared" si="1"/>
        <v>-566.13705715846936</v>
      </c>
      <c r="AC18" s="64">
        <f t="shared" si="1"/>
        <v>-583.12116887322281</v>
      </c>
      <c r="AD18" s="64">
        <f t="shared" si="1"/>
        <v>-599.28326098286561</v>
      </c>
      <c r="AE18" s="64">
        <f t="shared" si="1"/>
        <v>-619.96479101415616</v>
      </c>
      <c r="AF18" s="64">
        <f t="shared" si="1"/>
        <v>-637.19224549932551</v>
      </c>
      <c r="AG18" s="64">
        <f t="shared" si="1"/>
        <v>-123.77327671946568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414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3134.4541503099149</v>
      </c>
      <c r="D21" s="64">
        <f t="shared" si="2"/>
        <v>2202.8557406892587</v>
      </c>
      <c r="E21" s="64">
        <f t="shared" si="2"/>
        <v>2193.7799724189044</v>
      </c>
      <c r="F21" s="64">
        <f t="shared" si="2"/>
        <v>2725.4026522634085</v>
      </c>
      <c r="G21" s="64">
        <f t="shared" si="2"/>
        <v>2849.2238054950367</v>
      </c>
      <c r="H21" s="64">
        <f t="shared" si="2"/>
        <v>2735.7757674779496</v>
      </c>
      <c r="I21" s="64">
        <f t="shared" si="2"/>
        <v>2763.176337345767</v>
      </c>
      <c r="J21" s="64">
        <f t="shared" si="2"/>
        <v>2783.4588892934316</v>
      </c>
      <c r="K21" s="64">
        <f t="shared" si="2"/>
        <v>2926.4342225691853</v>
      </c>
      <c r="L21" s="64">
        <f t="shared" si="2"/>
        <v>2900.4177828128832</v>
      </c>
      <c r="M21" s="64">
        <f t="shared" si="2"/>
        <v>3036.9582346270508</v>
      </c>
      <c r="N21" s="64">
        <f t="shared" si="2"/>
        <v>3007.3651696484267</v>
      </c>
      <c r="O21" s="64">
        <f t="shared" si="2"/>
        <v>3163.8863406939563</v>
      </c>
      <c r="P21" s="64">
        <f t="shared" si="2"/>
        <v>3124.0851963641244</v>
      </c>
      <c r="Q21" s="64">
        <f t="shared" si="2"/>
        <v>2469.3677593465559</v>
      </c>
      <c r="R21" s="64">
        <f t="shared" si="2"/>
        <v>-725.03864703770705</v>
      </c>
      <c r="S21" s="64">
        <f t="shared" si="2"/>
        <v>3101.8198209950824</v>
      </c>
      <c r="T21" s="64">
        <f t="shared" si="2"/>
        <v>8438.0910387844797</v>
      </c>
      <c r="U21" s="64">
        <f t="shared" si="2"/>
        <v>8489.8348322218426</v>
      </c>
      <c r="V21" s="64">
        <f t="shared" si="2"/>
        <v>8537.0889713305442</v>
      </c>
      <c r="W21" s="64">
        <f t="shared" si="2"/>
        <v>2846.2166043659727</v>
      </c>
      <c r="X21" s="64">
        <f t="shared" si="2"/>
        <v>-1802.2385693106189</v>
      </c>
      <c r="Y21" s="64">
        <f t="shared" si="2"/>
        <v>-518.0956059093146</v>
      </c>
      <c r="Z21" s="64">
        <f t="shared" si="2"/>
        <v>-532.4554154159523</v>
      </c>
      <c r="AA21" s="64">
        <f t="shared" si="2"/>
        <v>-550.83068697983299</v>
      </c>
      <c r="AB21" s="64">
        <f t="shared" si="2"/>
        <v>-566.13705715846936</v>
      </c>
      <c r="AC21" s="64">
        <f t="shared" si="2"/>
        <v>-583.12116887322281</v>
      </c>
      <c r="AD21" s="64">
        <f t="shared" si="2"/>
        <v>-599.28326098286561</v>
      </c>
      <c r="AE21" s="64">
        <f t="shared" si="2"/>
        <v>-619.96479101415616</v>
      </c>
      <c r="AF21" s="64">
        <f t="shared" si="2"/>
        <v>-637.19224549932551</v>
      </c>
      <c r="AG21" s="64">
        <f t="shared" si="2"/>
        <v>-123.77327671946568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370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-28621.044651832344</v>
      </c>
      <c r="C25" s="18">
        <f t="shared" ref="C25:V25" si="3">+B29</f>
        <v>-28621.044651832344</v>
      </c>
      <c r="D25" s="18">
        <f t="shared" si="3"/>
        <v>-28621.044651832344</v>
      </c>
      <c r="E25" s="18">
        <f t="shared" si="3"/>
        <v>-28621.044651832344</v>
      </c>
      <c r="F25" s="18">
        <f t="shared" si="3"/>
        <v>-28621.044651832344</v>
      </c>
      <c r="G25" s="18">
        <f t="shared" si="3"/>
        <v>-28621.044651832344</v>
      </c>
      <c r="H25" s="18">
        <f t="shared" si="3"/>
        <v>-28621.044651832344</v>
      </c>
      <c r="I25" s="18">
        <f t="shared" si="3"/>
        <v>-28621.044651832344</v>
      </c>
      <c r="J25" s="18">
        <f t="shared" si="3"/>
        <v>-28621.044651832344</v>
      </c>
      <c r="K25" s="18">
        <f t="shared" si="3"/>
        <v>-28621.044651832344</v>
      </c>
      <c r="L25" s="18">
        <f t="shared" si="3"/>
        <v>-28621.044651832344</v>
      </c>
      <c r="M25" s="18">
        <f t="shared" si="3"/>
        <v>-28621.044651832344</v>
      </c>
      <c r="N25" s="18">
        <f t="shared" si="3"/>
        <v>-28621.044651832344</v>
      </c>
      <c r="O25" s="18">
        <f t="shared" si="3"/>
        <v>-28621.044651832344</v>
      </c>
      <c r="P25" s="18">
        <f t="shared" si="3"/>
        <v>-28621.044651832344</v>
      </c>
      <c r="Q25" s="18">
        <f t="shared" si="3"/>
        <v>-28621.044651832344</v>
      </c>
      <c r="R25" s="18">
        <f t="shared" si="3"/>
        <v>-28621.044651832344</v>
      </c>
      <c r="S25" s="18">
        <f t="shared" si="3"/>
        <v>-28621.044651832344</v>
      </c>
      <c r="T25" s="18">
        <f t="shared" si="3"/>
        <v>-28621.044651832344</v>
      </c>
      <c r="U25" s="18">
        <f t="shared" si="3"/>
        <v>-24189.899864304392</v>
      </c>
      <c r="V25" s="18">
        <f t="shared" si="3"/>
        <v>-19086.651013085168</v>
      </c>
      <c r="W25" s="18">
        <f t="shared" ref="W25:AG25" si="4">+V29</f>
        <v>-13221.693183586547</v>
      </c>
      <c r="X25" s="18">
        <f t="shared" si="4"/>
        <v>-12226.513624922691</v>
      </c>
      <c r="Y25" s="18">
        <f t="shared" si="4"/>
        <v>-12226.513624922691</v>
      </c>
      <c r="Z25" s="18">
        <f t="shared" si="4"/>
        <v>-12226.513624922691</v>
      </c>
      <c r="AA25" s="18">
        <f t="shared" si="4"/>
        <v>-12226.513624922691</v>
      </c>
      <c r="AB25" s="18">
        <f t="shared" si="4"/>
        <v>-12226.513624922691</v>
      </c>
      <c r="AC25" s="18">
        <f t="shared" si="4"/>
        <v>-12226.513624922691</v>
      </c>
      <c r="AD25" s="18">
        <f t="shared" si="4"/>
        <v>-12226.513624922691</v>
      </c>
      <c r="AE25" s="18">
        <f t="shared" si="4"/>
        <v>-12226.513624922691</v>
      </c>
      <c r="AF25" s="18">
        <f t="shared" si="4"/>
        <v>-12226.513624922691</v>
      </c>
      <c r="AG25" s="18">
        <f t="shared" si="4"/>
        <v>-12226.513624922691</v>
      </c>
    </row>
    <row r="26" spans="1:33">
      <c r="A26" s="45" t="s">
        <v>369</v>
      </c>
      <c r="B26" s="18">
        <v>0</v>
      </c>
      <c r="C26" s="18">
        <f>+-B25*$B$24</f>
        <v>4006.9462512565287</v>
      </c>
      <c r="D26" s="18">
        <f t="shared" ref="D26:V26" si="5">+-D25*$B$24</f>
        <v>4006.9462512565287</v>
      </c>
      <c r="E26" s="18">
        <f t="shared" si="5"/>
        <v>4006.9462512565287</v>
      </c>
      <c r="F26" s="18">
        <f t="shared" si="5"/>
        <v>4006.9462512565287</v>
      </c>
      <c r="G26" s="18">
        <f t="shared" si="5"/>
        <v>4006.9462512565287</v>
      </c>
      <c r="H26" s="18">
        <f t="shared" si="5"/>
        <v>4006.9462512565287</v>
      </c>
      <c r="I26" s="18">
        <f t="shared" si="5"/>
        <v>4006.9462512565287</v>
      </c>
      <c r="J26" s="18">
        <f t="shared" si="5"/>
        <v>4006.9462512565287</v>
      </c>
      <c r="K26" s="18">
        <f t="shared" si="5"/>
        <v>4006.9462512565287</v>
      </c>
      <c r="L26" s="18">
        <f t="shared" si="5"/>
        <v>4006.9462512565287</v>
      </c>
      <c r="M26" s="18">
        <f t="shared" si="5"/>
        <v>4006.9462512565287</v>
      </c>
      <c r="N26" s="18">
        <f t="shared" si="5"/>
        <v>4006.9462512565287</v>
      </c>
      <c r="O26" s="18">
        <f t="shared" si="5"/>
        <v>4006.9462512565287</v>
      </c>
      <c r="P26" s="18">
        <f t="shared" si="5"/>
        <v>4006.9462512565287</v>
      </c>
      <c r="Q26" s="18">
        <f t="shared" si="5"/>
        <v>4006.9462512565287</v>
      </c>
      <c r="R26" s="18">
        <f t="shared" si="5"/>
        <v>4006.9462512565287</v>
      </c>
      <c r="S26" s="18">
        <f t="shared" si="5"/>
        <v>4006.9462512565287</v>
      </c>
      <c r="T26" s="18">
        <f t="shared" si="5"/>
        <v>4006.9462512565287</v>
      </c>
      <c r="U26" s="18">
        <f t="shared" si="5"/>
        <v>3386.5859810026154</v>
      </c>
      <c r="V26" s="18">
        <f t="shared" si="5"/>
        <v>2672.1311418319237</v>
      </c>
      <c r="W26" s="18">
        <f t="shared" ref="W26:AG26" si="6">+-W25*$B$24</f>
        <v>1851.0370457021168</v>
      </c>
      <c r="X26" s="18">
        <f t="shared" si="6"/>
        <v>1711.7119074891768</v>
      </c>
      <c r="Y26" s="18">
        <f t="shared" si="6"/>
        <v>1711.7119074891768</v>
      </c>
      <c r="Z26" s="18">
        <f t="shared" si="6"/>
        <v>1711.7119074891768</v>
      </c>
      <c r="AA26" s="18">
        <f t="shared" si="6"/>
        <v>1711.7119074891768</v>
      </c>
      <c r="AB26" s="18">
        <f t="shared" si="6"/>
        <v>1711.7119074891768</v>
      </c>
      <c r="AC26" s="18">
        <f t="shared" si="6"/>
        <v>1711.7119074891768</v>
      </c>
      <c r="AD26" s="18">
        <f t="shared" si="6"/>
        <v>1711.7119074891768</v>
      </c>
      <c r="AE26" s="18">
        <f t="shared" si="6"/>
        <v>1711.7119074891768</v>
      </c>
      <c r="AF26" s="18">
        <f t="shared" si="6"/>
        <v>1711.7119074891768</v>
      </c>
      <c r="AG26" s="18">
        <f t="shared" si="6"/>
        <v>1711.7119074891768</v>
      </c>
    </row>
    <row r="27" spans="1:33">
      <c r="A27" s="45" t="s">
        <v>365</v>
      </c>
      <c r="B27" s="18">
        <f>B21</f>
        <v>0</v>
      </c>
      <c r="C27" s="18">
        <f t="shared" ref="C27:AG27" si="7">C21</f>
        <v>3134.4541503099149</v>
      </c>
      <c r="D27" s="18">
        <f t="shared" si="7"/>
        <v>2202.8557406892587</v>
      </c>
      <c r="E27" s="18">
        <f t="shared" si="7"/>
        <v>2193.7799724189044</v>
      </c>
      <c r="F27" s="18">
        <f t="shared" si="7"/>
        <v>2725.4026522634085</v>
      </c>
      <c r="G27" s="18">
        <f t="shared" si="7"/>
        <v>2849.2238054950367</v>
      </c>
      <c r="H27" s="18">
        <f t="shared" si="7"/>
        <v>2735.7757674779496</v>
      </c>
      <c r="I27" s="18">
        <f t="shared" si="7"/>
        <v>2763.176337345767</v>
      </c>
      <c r="J27" s="18">
        <f t="shared" si="7"/>
        <v>2783.4588892934316</v>
      </c>
      <c r="K27" s="18">
        <f t="shared" si="7"/>
        <v>2926.4342225691853</v>
      </c>
      <c r="L27" s="18">
        <f t="shared" si="7"/>
        <v>2900.4177828128832</v>
      </c>
      <c r="M27" s="18">
        <f t="shared" si="7"/>
        <v>3036.9582346270508</v>
      </c>
      <c r="N27" s="18">
        <f t="shared" si="7"/>
        <v>3007.3651696484267</v>
      </c>
      <c r="O27" s="18">
        <f t="shared" si="7"/>
        <v>3163.8863406939563</v>
      </c>
      <c r="P27" s="18">
        <f t="shared" si="7"/>
        <v>3124.0851963641244</v>
      </c>
      <c r="Q27" s="18">
        <f t="shared" si="7"/>
        <v>2469.3677593465559</v>
      </c>
      <c r="R27" s="18">
        <f t="shared" si="7"/>
        <v>-725.03864703770705</v>
      </c>
      <c r="S27" s="18">
        <f t="shared" si="7"/>
        <v>3101.8198209950824</v>
      </c>
      <c r="T27" s="18">
        <f t="shared" si="7"/>
        <v>8438.0910387844797</v>
      </c>
      <c r="U27" s="18">
        <f t="shared" si="7"/>
        <v>8489.8348322218426</v>
      </c>
      <c r="V27" s="18">
        <f t="shared" si="7"/>
        <v>8537.0889713305442</v>
      </c>
      <c r="W27" s="18">
        <f t="shared" si="7"/>
        <v>2846.2166043659727</v>
      </c>
      <c r="X27" s="18">
        <f t="shared" si="7"/>
        <v>-1802.2385693106189</v>
      </c>
      <c r="Y27" s="18">
        <f t="shared" si="7"/>
        <v>-518.0956059093146</v>
      </c>
      <c r="Z27" s="18">
        <f t="shared" si="7"/>
        <v>-532.4554154159523</v>
      </c>
      <c r="AA27" s="18">
        <f t="shared" si="7"/>
        <v>-550.83068697983299</v>
      </c>
      <c r="AB27" s="18">
        <f t="shared" si="7"/>
        <v>-566.13705715846936</v>
      </c>
      <c r="AC27" s="18">
        <f t="shared" si="7"/>
        <v>-583.12116887322281</v>
      </c>
      <c r="AD27" s="18">
        <f t="shared" si="7"/>
        <v>-599.28326098286561</v>
      </c>
      <c r="AE27" s="18">
        <f t="shared" si="7"/>
        <v>-619.96479101415616</v>
      </c>
      <c r="AF27" s="18">
        <f t="shared" si="7"/>
        <v>-637.19224549932551</v>
      </c>
      <c r="AG27" s="18">
        <f t="shared" si="7"/>
        <v>-123.77327671946568</v>
      </c>
    </row>
    <row r="28" spans="1:33">
      <c r="A28" s="45" t="s">
        <v>368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4431.1447875279509</v>
      </c>
      <c r="U28" s="315">
        <f t="shared" si="8"/>
        <v>5103.2488512192267</v>
      </c>
      <c r="V28" s="315">
        <f t="shared" si="8"/>
        <v>5864.9578294986204</v>
      </c>
      <c r="W28" s="315">
        <f t="shared" ref="W28:AG28" si="9">+IF(W27&gt;W26,W27-W26,0)</f>
        <v>995.17955866385591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59</v>
      </c>
      <c r="B29" s="18">
        <f t="shared" ref="B29:V29" si="10">+B25+B28</f>
        <v>-28621.044651832344</v>
      </c>
      <c r="C29" s="18">
        <f t="shared" si="10"/>
        <v>-28621.044651832344</v>
      </c>
      <c r="D29" s="18">
        <f t="shared" si="10"/>
        <v>-28621.044651832344</v>
      </c>
      <c r="E29" s="18">
        <f t="shared" si="10"/>
        <v>-28621.044651832344</v>
      </c>
      <c r="F29" s="18">
        <f t="shared" si="10"/>
        <v>-28621.044651832344</v>
      </c>
      <c r="G29" s="18">
        <f t="shared" si="10"/>
        <v>-28621.044651832344</v>
      </c>
      <c r="H29" s="18">
        <f t="shared" si="10"/>
        <v>-28621.044651832344</v>
      </c>
      <c r="I29" s="18">
        <f t="shared" si="10"/>
        <v>-28621.044651832344</v>
      </c>
      <c r="J29" s="18">
        <f t="shared" si="10"/>
        <v>-28621.044651832344</v>
      </c>
      <c r="K29" s="18">
        <f t="shared" si="10"/>
        <v>-28621.044651832344</v>
      </c>
      <c r="L29" s="18">
        <f t="shared" si="10"/>
        <v>-28621.044651832344</v>
      </c>
      <c r="M29" s="18">
        <f t="shared" si="10"/>
        <v>-28621.044651832344</v>
      </c>
      <c r="N29" s="18">
        <f t="shared" si="10"/>
        <v>-28621.044651832344</v>
      </c>
      <c r="O29" s="18">
        <f t="shared" si="10"/>
        <v>-28621.044651832344</v>
      </c>
      <c r="P29" s="18">
        <f t="shared" si="10"/>
        <v>-28621.044651832344</v>
      </c>
      <c r="Q29" s="18">
        <f t="shared" si="10"/>
        <v>-28621.044651832344</v>
      </c>
      <c r="R29" s="18">
        <f t="shared" si="10"/>
        <v>-28621.044651832344</v>
      </c>
      <c r="S29" s="18">
        <f t="shared" si="10"/>
        <v>-28621.044651832344</v>
      </c>
      <c r="T29" s="18">
        <f t="shared" si="10"/>
        <v>-24189.899864304392</v>
      </c>
      <c r="U29" s="18">
        <f t="shared" si="10"/>
        <v>-19086.651013085168</v>
      </c>
      <c r="V29" s="18">
        <f t="shared" si="10"/>
        <v>-13221.693183586547</v>
      </c>
      <c r="W29" s="18">
        <f t="shared" ref="W29:AG29" si="11">+W25+W28</f>
        <v>-12226.513624922691</v>
      </c>
      <c r="X29" s="18">
        <f t="shared" si="11"/>
        <v>-12226.513624922691</v>
      </c>
      <c r="Y29" s="18">
        <f t="shared" si="11"/>
        <v>-12226.513624922691</v>
      </c>
      <c r="Z29" s="18">
        <f t="shared" si="11"/>
        <v>-12226.513624922691</v>
      </c>
      <c r="AA29" s="18">
        <f t="shared" si="11"/>
        <v>-12226.513624922691</v>
      </c>
      <c r="AB29" s="18">
        <f t="shared" si="11"/>
        <v>-12226.513624922691</v>
      </c>
      <c r="AC29" s="18">
        <f t="shared" si="11"/>
        <v>-12226.513624922691</v>
      </c>
      <c r="AD29" s="18">
        <f t="shared" si="11"/>
        <v>-12226.513624922691</v>
      </c>
      <c r="AE29" s="18">
        <f t="shared" si="11"/>
        <v>-12226.513624922691</v>
      </c>
      <c r="AF29" s="18">
        <f t="shared" si="11"/>
        <v>-12226.513624922691</v>
      </c>
      <c r="AG29" s="18">
        <f t="shared" si="11"/>
        <v>-12226.513624922691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401</v>
      </c>
    </row>
    <row r="34" spans="1:33">
      <c r="A34" s="455"/>
    </row>
    <row r="35" spans="1:33">
      <c r="A35" s="454" t="s">
        <v>367</v>
      </c>
    </row>
    <row r="36" spans="1:33" s="18" customFormat="1">
      <c r="A36" s="45" t="s">
        <v>366</v>
      </c>
      <c r="B36" s="18">
        <f>-Assumptions!C11*Assumptions!$G$48</f>
        <v>-28621.044651832344</v>
      </c>
    </row>
    <row r="37" spans="1:33" s="18" customFormat="1">
      <c r="A37" s="45" t="s">
        <v>365</v>
      </c>
      <c r="B37" s="462">
        <f>B21*Assumptions!$G$48</f>
        <v>0</v>
      </c>
      <c r="C37" s="462">
        <f>C21*Assumptions!$G$48</f>
        <v>3134.4541503099149</v>
      </c>
      <c r="D37" s="462">
        <f>D21*Assumptions!$G$48</f>
        <v>2202.8557406892587</v>
      </c>
      <c r="E37" s="462">
        <f>E21*Assumptions!$G$48</f>
        <v>2193.7799724189044</v>
      </c>
      <c r="F37" s="462">
        <f>F21*Assumptions!$G$48</f>
        <v>2725.4026522634085</v>
      </c>
      <c r="G37" s="462">
        <f>G21*Assumptions!$G$48</f>
        <v>2849.2238054950367</v>
      </c>
      <c r="H37" s="462">
        <f>H21*Assumptions!$G$48</f>
        <v>2735.7757674779496</v>
      </c>
      <c r="I37" s="462">
        <f>I21*Assumptions!$G$48</f>
        <v>2763.176337345767</v>
      </c>
      <c r="J37" s="462">
        <f>J21*Assumptions!$G$48</f>
        <v>2783.4588892934316</v>
      </c>
      <c r="K37" s="462">
        <f>K21*Assumptions!$G$48</f>
        <v>2926.4342225691853</v>
      </c>
      <c r="L37" s="462">
        <f>L21*Assumptions!$G$48</f>
        <v>2900.4177828128832</v>
      </c>
      <c r="M37" s="462">
        <f>M21*Assumptions!$G$48</f>
        <v>3036.9582346270508</v>
      </c>
      <c r="N37" s="462">
        <f>N21*Assumptions!$G$48</f>
        <v>3007.3651696484267</v>
      </c>
      <c r="O37" s="462">
        <f>O21*Assumptions!$G$48</f>
        <v>3163.8863406939563</v>
      </c>
      <c r="P37" s="462">
        <f>P21*Assumptions!$G$48</f>
        <v>3124.0851963641244</v>
      </c>
      <c r="Q37" s="462">
        <f>Q21*Assumptions!$G$48</f>
        <v>2469.3677593465559</v>
      </c>
      <c r="R37" s="462">
        <f>R21*Assumptions!$G$48</f>
        <v>-725.03864703770705</v>
      </c>
      <c r="S37" s="462">
        <f>S21*Assumptions!$G$48</f>
        <v>3101.8198209950824</v>
      </c>
      <c r="T37" s="462">
        <f>T21*Assumptions!$G$48</f>
        <v>8438.0910387844797</v>
      </c>
      <c r="U37" s="462">
        <f>U21*Assumptions!$G$48</f>
        <v>8489.8348322218426</v>
      </c>
      <c r="V37" s="462">
        <f>V21*Assumptions!$G$48</f>
        <v>8537.0889713305442</v>
      </c>
      <c r="W37" s="462">
        <f>W21*Assumptions!$G$48</f>
        <v>2846.2166043659727</v>
      </c>
      <c r="X37" s="462">
        <f>X21*Assumptions!$G$48</f>
        <v>-1802.2385693106189</v>
      </c>
      <c r="Y37" s="462">
        <f>Y21*Assumptions!$G$48</f>
        <v>-518.0956059093146</v>
      </c>
      <c r="Z37" s="462">
        <f>Z21*Assumptions!$G$48</f>
        <v>-532.4554154159523</v>
      </c>
      <c r="AA37" s="462">
        <f>AA21*Assumptions!$G$48</f>
        <v>-550.83068697983299</v>
      </c>
      <c r="AB37" s="462">
        <f>AB21*Assumptions!$G$48</f>
        <v>-566.13705715846936</v>
      </c>
      <c r="AC37" s="462">
        <f>AC21*Assumptions!$G$48</f>
        <v>-583.12116887322281</v>
      </c>
      <c r="AD37" s="462">
        <f>AD21*Assumptions!$G$48</f>
        <v>-599.28326098286561</v>
      </c>
      <c r="AE37" s="462">
        <f>AE21*Assumptions!$G$48</f>
        <v>-619.96479101415616</v>
      </c>
      <c r="AF37" s="462">
        <f>AF21*Assumptions!$G$48</f>
        <v>-637.19224549932551</v>
      </c>
      <c r="AG37" s="462">
        <f>AG21*Assumptions!$G$48</f>
        <v>-123.77327671946568</v>
      </c>
    </row>
    <row r="38" spans="1:33" s="18" customFormat="1">
      <c r="A38" s="45" t="s">
        <v>364</v>
      </c>
      <c r="B38" s="18">
        <f t="shared" ref="B38:AG38" si="12">SUM(B36:B37)</f>
        <v>-28621.044651832344</v>
      </c>
      <c r="C38" s="18">
        <f t="shared" si="12"/>
        <v>3134.4541503099149</v>
      </c>
      <c r="D38" s="18">
        <f t="shared" si="12"/>
        <v>2202.8557406892587</v>
      </c>
      <c r="E38" s="18">
        <f t="shared" si="12"/>
        <v>2193.7799724189044</v>
      </c>
      <c r="F38" s="18">
        <f t="shared" si="12"/>
        <v>2725.4026522634085</v>
      </c>
      <c r="G38" s="18">
        <f t="shared" si="12"/>
        <v>2849.2238054950367</v>
      </c>
      <c r="H38" s="18">
        <f t="shared" si="12"/>
        <v>2735.7757674779496</v>
      </c>
      <c r="I38" s="18">
        <f t="shared" si="12"/>
        <v>2763.176337345767</v>
      </c>
      <c r="J38" s="18">
        <f t="shared" si="12"/>
        <v>2783.4588892934316</v>
      </c>
      <c r="K38" s="18">
        <f t="shared" si="12"/>
        <v>2926.4342225691853</v>
      </c>
      <c r="L38" s="18">
        <f t="shared" si="12"/>
        <v>2900.4177828128832</v>
      </c>
      <c r="M38" s="18">
        <f t="shared" si="12"/>
        <v>3036.9582346270508</v>
      </c>
      <c r="N38" s="18">
        <f t="shared" si="12"/>
        <v>3007.3651696484267</v>
      </c>
      <c r="O38" s="18">
        <f t="shared" si="12"/>
        <v>3163.8863406939563</v>
      </c>
      <c r="P38" s="18">
        <f t="shared" si="12"/>
        <v>3124.0851963641244</v>
      </c>
      <c r="Q38" s="18">
        <f t="shared" si="12"/>
        <v>2469.3677593465559</v>
      </c>
      <c r="R38" s="18">
        <f t="shared" si="12"/>
        <v>-725.03864703770705</v>
      </c>
      <c r="S38" s="18">
        <f t="shared" si="12"/>
        <v>3101.8198209950824</v>
      </c>
      <c r="T38" s="18">
        <f t="shared" si="12"/>
        <v>8438.0910387844797</v>
      </c>
      <c r="U38" s="18">
        <f t="shared" si="12"/>
        <v>8489.8348322218426</v>
      </c>
      <c r="V38" s="18">
        <f t="shared" si="12"/>
        <v>8537.0889713305442</v>
      </c>
      <c r="W38" s="18">
        <f t="shared" si="12"/>
        <v>2846.2166043659727</v>
      </c>
      <c r="X38" s="18">
        <f t="shared" si="12"/>
        <v>-1802.2385693106189</v>
      </c>
      <c r="Y38" s="18">
        <f t="shared" si="12"/>
        <v>-518.0956059093146</v>
      </c>
      <c r="Z38" s="18">
        <f t="shared" si="12"/>
        <v>-532.4554154159523</v>
      </c>
      <c r="AA38" s="18">
        <f t="shared" si="12"/>
        <v>-550.83068697983299</v>
      </c>
      <c r="AB38" s="18">
        <f t="shared" si="12"/>
        <v>-566.13705715846936</v>
      </c>
      <c r="AC38" s="18">
        <f t="shared" si="12"/>
        <v>-583.12116887322281</v>
      </c>
      <c r="AD38" s="18">
        <f t="shared" si="12"/>
        <v>-599.28326098286561</v>
      </c>
      <c r="AE38" s="18">
        <f t="shared" si="12"/>
        <v>-619.96479101415616</v>
      </c>
      <c r="AF38" s="18">
        <f t="shared" si="12"/>
        <v>-637.19224549932551</v>
      </c>
      <c r="AG38" s="18">
        <f t="shared" si="12"/>
        <v>-123.77327671946568</v>
      </c>
    </row>
    <row r="39" spans="1:33">
      <c r="B39" s="454" t="s">
        <v>1</v>
      </c>
      <c r="C39" s="460">
        <f>XIRR(B38:AG38,B8:AG8)</f>
        <v>7.8000870347023021E-2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366</v>
      </c>
      <c r="B42" s="18">
        <f>-Assumptions!C11*Assumptions!$G$48</f>
        <v>-28621.044651832344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365</v>
      </c>
      <c r="B43" s="457">
        <f>B21*Assumptions!$G$48</f>
        <v>0</v>
      </c>
      <c r="C43" s="457">
        <f>C21*Assumptions!$G$48</f>
        <v>3134.4541503099149</v>
      </c>
      <c r="D43" s="457">
        <f>D21*Assumptions!$G$48</f>
        <v>2202.8557406892587</v>
      </c>
      <c r="E43" s="457">
        <f>E21*Assumptions!$G$48</f>
        <v>2193.7799724189044</v>
      </c>
      <c r="F43" s="457">
        <f>F21*Assumptions!$G$48</f>
        <v>2725.4026522634085</v>
      </c>
      <c r="G43" s="457">
        <f>G21*Assumptions!$G$48</f>
        <v>2849.2238054950367</v>
      </c>
      <c r="H43" s="457">
        <f>H21*Assumptions!$G$48</f>
        <v>2735.7757674779496</v>
      </c>
      <c r="I43" s="457">
        <f>I21*Assumptions!$G$48</f>
        <v>2763.176337345767</v>
      </c>
      <c r="J43" s="457">
        <f>J21*Assumptions!$G$48</f>
        <v>2783.4588892934316</v>
      </c>
      <c r="K43" s="457">
        <f>K21*Assumptions!$G$48</f>
        <v>2926.4342225691853</v>
      </c>
      <c r="L43" s="457">
        <f>L21*Assumptions!$G$48</f>
        <v>2900.4177828128832</v>
      </c>
      <c r="M43" s="457">
        <f>M21*Assumptions!$G$48</f>
        <v>3036.9582346270508</v>
      </c>
      <c r="N43" s="457">
        <f>N21*Assumptions!$G$48</f>
        <v>3007.3651696484267</v>
      </c>
      <c r="O43" s="457">
        <f>O21*Assumptions!$G$48</f>
        <v>3163.8863406939563</v>
      </c>
      <c r="P43" s="457">
        <f>P21*Assumptions!$G$48</f>
        <v>3124.0851963641244</v>
      </c>
      <c r="Q43" s="457">
        <f>Q21*Assumptions!$G$48</f>
        <v>2469.3677593465559</v>
      </c>
      <c r="R43" s="457">
        <f>R21*Assumptions!$G$48</f>
        <v>-725.03864703770705</v>
      </c>
      <c r="S43" s="457">
        <f>S21*Assumptions!$G$48</f>
        <v>3101.8198209950824</v>
      </c>
      <c r="T43" s="457">
        <f>T21*Assumptions!$G$48</f>
        <v>8438.0910387844797</v>
      </c>
      <c r="U43" s="457">
        <f>U21*Assumptions!$G$48</f>
        <v>8489.8348322218426</v>
      </c>
      <c r="V43" s="457">
        <f>V21*Assumptions!$G$48</f>
        <v>8537.0889713305442</v>
      </c>
      <c r="W43" s="457">
        <f>W21*Assumptions!$G$48</f>
        <v>2846.2166043659727</v>
      </c>
      <c r="X43" s="457">
        <f>X21*Assumptions!$G$48</f>
        <v>-1802.2385693106189</v>
      </c>
      <c r="Y43" s="457">
        <f>Y21*Assumptions!$G$48</f>
        <v>-518.0956059093146</v>
      </c>
      <c r="Z43" s="457">
        <f>Z21*Assumptions!$G$48</f>
        <v>-532.4554154159523</v>
      </c>
      <c r="AA43" s="457">
        <f>AA21*Assumptions!$G$48</f>
        <v>-550.83068697983299</v>
      </c>
      <c r="AB43" s="457">
        <f>AB21*Assumptions!$G$48</f>
        <v>-566.13705715846936</v>
      </c>
      <c r="AC43" s="457">
        <f>AC21*Assumptions!$G$48</f>
        <v>-583.12116887322281</v>
      </c>
      <c r="AD43" s="457">
        <f>AD21*Assumptions!$G$48</f>
        <v>-599.28326098286561</v>
      </c>
      <c r="AE43" s="457">
        <f>AE21*Assumptions!$G$48</f>
        <v>-619.96479101415616</v>
      </c>
      <c r="AF43" s="457">
        <f>AF21*Assumptions!$G$48</f>
        <v>-637.19224549932551</v>
      </c>
      <c r="AG43" s="457">
        <f>AG21*Assumptions!$G$48</f>
        <v>-123.77327671946568</v>
      </c>
    </row>
    <row r="44" spans="1:33">
      <c r="A44" s="56" t="s">
        <v>127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v>0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-13479.554694373659</v>
      </c>
    </row>
    <row r="45" spans="1:33">
      <c r="A45" s="56" t="s">
        <v>364</v>
      </c>
      <c r="B45" s="18">
        <f t="shared" ref="B45:AG45" si="13">SUM(B42:B44)</f>
        <v>-28621.044651832344</v>
      </c>
      <c r="C45" s="18">
        <f t="shared" si="13"/>
        <v>3134.4541503099149</v>
      </c>
      <c r="D45" s="18">
        <f t="shared" si="13"/>
        <v>2202.8557406892587</v>
      </c>
      <c r="E45" s="18">
        <f t="shared" si="13"/>
        <v>2193.7799724189044</v>
      </c>
      <c r="F45" s="18">
        <f t="shared" si="13"/>
        <v>2725.4026522634085</v>
      </c>
      <c r="G45" s="18">
        <f t="shared" si="13"/>
        <v>2849.2238054950367</v>
      </c>
      <c r="H45" s="18">
        <f t="shared" si="13"/>
        <v>2735.7757674779496</v>
      </c>
      <c r="I45" s="18">
        <f t="shared" si="13"/>
        <v>2763.176337345767</v>
      </c>
      <c r="J45" s="18">
        <f t="shared" si="13"/>
        <v>2783.4588892934316</v>
      </c>
      <c r="K45" s="18">
        <f t="shared" si="13"/>
        <v>2926.4342225691853</v>
      </c>
      <c r="L45" s="18">
        <f t="shared" si="13"/>
        <v>2900.4177828128832</v>
      </c>
      <c r="M45" s="18">
        <f t="shared" si="13"/>
        <v>3036.9582346270508</v>
      </c>
      <c r="N45" s="18">
        <f t="shared" si="13"/>
        <v>3007.3651696484267</v>
      </c>
      <c r="O45" s="18">
        <f t="shared" si="13"/>
        <v>3163.8863406939563</v>
      </c>
      <c r="P45" s="18">
        <f t="shared" si="13"/>
        <v>3124.0851963641244</v>
      </c>
      <c r="Q45" s="18">
        <f t="shared" si="13"/>
        <v>2469.3677593465559</v>
      </c>
      <c r="R45" s="18">
        <f t="shared" si="13"/>
        <v>-725.03864703770705</v>
      </c>
      <c r="S45" s="18">
        <f t="shared" si="13"/>
        <v>3101.8198209950824</v>
      </c>
      <c r="T45" s="18">
        <f t="shared" si="13"/>
        <v>8438.0910387844797</v>
      </c>
      <c r="U45" s="18">
        <f t="shared" si="13"/>
        <v>8489.8348322218426</v>
      </c>
      <c r="V45" s="18">
        <f t="shared" si="13"/>
        <v>8537.0889713305442</v>
      </c>
      <c r="W45" s="18">
        <f t="shared" si="13"/>
        <v>2846.2166043659727</v>
      </c>
      <c r="X45" s="18">
        <f t="shared" si="13"/>
        <v>-1802.2385693106189</v>
      </c>
      <c r="Y45" s="18">
        <f t="shared" si="13"/>
        <v>-518.0956059093146</v>
      </c>
      <c r="Z45" s="18">
        <f t="shared" si="13"/>
        <v>-532.4554154159523</v>
      </c>
      <c r="AA45" s="18">
        <f t="shared" si="13"/>
        <v>-550.83068697983299</v>
      </c>
      <c r="AB45" s="18">
        <f t="shared" si="13"/>
        <v>-566.13705715846936</v>
      </c>
      <c r="AC45" s="18">
        <f t="shared" si="13"/>
        <v>-583.12116887322281</v>
      </c>
      <c r="AD45" s="18">
        <f t="shared" si="13"/>
        <v>-599.28326098286561</v>
      </c>
      <c r="AE45" s="18">
        <f t="shared" si="13"/>
        <v>-619.96479101415616</v>
      </c>
      <c r="AF45" s="18">
        <f t="shared" si="13"/>
        <v>-637.19224549932551</v>
      </c>
      <c r="AG45" s="18">
        <f t="shared" si="13"/>
        <v>-13603.327971093124</v>
      </c>
    </row>
    <row r="46" spans="1:33">
      <c r="A46" s="13"/>
      <c r="B46" s="454" t="s">
        <v>1</v>
      </c>
      <c r="C46" s="460">
        <f>XIRR(B45:AG45,B8:AG8)</f>
        <v>7.2694823145866394E-2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366</v>
      </c>
      <c r="B49" s="18">
        <f>-Assumptions!C11*Assumptions!G48</f>
        <v>-28621.044651832344</v>
      </c>
    </row>
    <row r="50" spans="1:33" s="18" customFormat="1">
      <c r="A50" s="56" t="s">
        <v>365</v>
      </c>
      <c r="B50" s="18">
        <f>+B21*Assumptions!$G$48</f>
        <v>0</v>
      </c>
      <c r="C50" s="18">
        <f>+C21*Assumptions!$G$48</f>
        <v>3134.4541503099149</v>
      </c>
      <c r="D50" s="18">
        <f>+D21*Assumptions!$G$48</f>
        <v>2202.8557406892587</v>
      </c>
      <c r="E50" s="18">
        <f>+E21*Assumptions!$G$48</f>
        <v>2193.7799724189044</v>
      </c>
      <c r="F50" s="18">
        <f>+F21*Assumptions!$G$48</f>
        <v>2725.4026522634085</v>
      </c>
      <c r="G50" s="18">
        <f>+G21*Assumptions!$G$48</f>
        <v>2849.2238054950367</v>
      </c>
      <c r="H50" s="18">
        <f>+H21*Assumptions!$G$48</f>
        <v>2735.7757674779496</v>
      </c>
      <c r="I50" s="18">
        <f>+I21*Assumptions!$G$48</f>
        <v>2763.176337345767</v>
      </c>
      <c r="J50" s="18">
        <f>+J21*Assumptions!$G$48</f>
        <v>2783.4588892934316</v>
      </c>
      <c r="K50" s="18">
        <f>+K21*Assumptions!$G$48</f>
        <v>2926.4342225691853</v>
      </c>
      <c r="L50" s="18">
        <f>+L21*Assumptions!$G$48</f>
        <v>2900.4177828128832</v>
      </c>
      <c r="M50" s="18">
        <f>+M21*Assumptions!$G$48</f>
        <v>3036.9582346270508</v>
      </c>
      <c r="N50" s="18">
        <f>+N21*Assumptions!$G$48</f>
        <v>3007.3651696484267</v>
      </c>
      <c r="O50" s="18">
        <f>+O21*Assumptions!$G$48</f>
        <v>3163.8863406939563</v>
      </c>
      <c r="P50" s="18">
        <f>+P21*Assumptions!$G$48</f>
        <v>3124.0851963641244</v>
      </c>
      <c r="Q50" s="18">
        <f>+Q21*Assumptions!$G$48</f>
        <v>2469.3677593465559</v>
      </c>
      <c r="R50" s="18">
        <f>+R21*Assumptions!$G$48</f>
        <v>-725.03864703770705</v>
      </c>
      <c r="S50" s="18">
        <f>+S21*Assumptions!$G$48</f>
        <v>3101.8198209950824</v>
      </c>
      <c r="T50" s="18">
        <f>+T21*Assumptions!$G$48</f>
        <v>8438.0910387844797</v>
      </c>
      <c r="U50" s="18">
        <f>+U21*Assumptions!$G$48</f>
        <v>8489.8348322218426</v>
      </c>
      <c r="V50" s="18">
        <f>+V21*Assumptions!$G$48</f>
        <v>8537.0889713305442</v>
      </c>
      <c r="W50" s="18">
        <f>+W21*Assumptions!$G$48</f>
        <v>2846.2166043659727</v>
      </c>
      <c r="X50" s="18">
        <f>+X21*Assumptions!$G$48</f>
        <v>-1802.2385693106189</v>
      </c>
      <c r="Y50" s="18">
        <f>+Y21*Assumptions!$G$48</f>
        <v>-518.0956059093146</v>
      </c>
      <c r="Z50" s="18">
        <f>+Z21*Assumptions!$G$48</f>
        <v>-532.4554154159523</v>
      </c>
      <c r="AA50" s="18">
        <f>+AA21*Assumptions!$G$48</f>
        <v>-550.83068697983299</v>
      </c>
      <c r="AB50" s="18">
        <f>+AB21*Assumptions!$G$48</f>
        <v>-566.13705715846936</v>
      </c>
      <c r="AC50" s="18">
        <f>+AC21*Assumptions!$G$48</f>
        <v>-583.12116887322281</v>
      </c>
      <c r="AD50" s="18">
        <f>+AD21*Assumptions!$G$48</f>
        <v>-599.28326098286561</v>
      </c>
      <c r="AE50" s="18">
        <f>+AE21*Assumptions!$G$48</f>
        <v>-619.96479101415616</v>
      </c>
      <c r="AF50" s="18">
        <f>+AF21*Assumptions!$G$48</f>
        <v>-637.19224549932551</v>
      </c>
      <c r="AG50" s="18">
        <f>+AG21*Assumptions!$G$48</f>
        <v>-123.77327671946568</v>
      </c>
    </row>
    <row r="51" spans="1:33" s="18" customFormat="1">
      <c r="A51" s="56" t="s">
        <v>127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v>0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21053.345436015639</v>
      </c>
    </row>
    <row r="52" spans="1:33" s="18" customFormat="1">
      <c r="A52" s="56" t="s">
        <v>364</v>
      </c>
      <c r="B52" s="18">
        <f>SUM(B49:B51)</f>
        <v>-28621.044651832344</v>
      </c>
      <c r="C52" s="18">
        <f t="shared" ref="C52:AG52" si="14">SUM(C49:C51)</f>
        <v>3134.4541503099149</v>
      </c>
      <c r="D52" s="18">
        <f t="shared" si="14"/>
        <v>2202.8557406892587</v>
      </c>
      <c r="E52" s="18">
        <f t="shared" si="14"/>
        <v>2193.7799724189044</v>
      </c>
      <c r="F52" s="18">
        <f t="shared" si="14"/>
        <v>2725.4026522634085</v>
      </c>
      <c r="G52" s="18">
        <f t="shared" si="14"/>
        <v>2849.2238054950367</v>
      </c>
      <c r="H52" s="18">
        <f t="shared" si="14"/>
        <v>2735.7757674779496</v>
      </c>
      <c r="I52" s="18">
        <f t="shared" si="14"/>
        <v>2763.176337345767</v>
      </c>
      <c r="J52" s="18">
        <f t="shared" si="14"/>
        <v>2783.4588892934316</v>
      </c>
      <c r="K52" s="18">
        <f t="shared" si="14"/>
        <v>2926.4342225691853</v>
      </c>
      <c r="L52" s="18">
        <f t="shared" si="14"/>
        <v>2900.4177828128832</v>
      </c>
      <c r="M52" s="18">
        <f t="shared" si="14"/>
        <v>3036.9582346270508</v>
      </c>
      <c r="N52" s="18">
        <f t="shared" si="14"/>
        <v>3007.3651696484267</v>
      </c>
      <c r="O52" s="18">
        <f t="shared" si="14"/>
        <v>3163.8863406939563</v>
      </c>
      <c r="P52" s="18">
        <f t="shared" si="14"/>
        <v>3124.0851963641244</v>
      </c>
      <c r="Q52" s="18">
        <f t="shared" si="14"/>
        <v>2469.3677593465559</v>
      </c>
      <c r="R52" s="18">
        <f t="shared" si="14"/>
        <v>-725.03864703770705</v>
      </c>
      <c r="S52" s="18">
        <f t="shared" si="14"/>
        <v>3101.8198209950824</v>
      </c>
      <c r="T52" s="18">
        <f t="shared" si="14"/>
        <v>8438.0910387844797</v>
      </c>
      <c r="U52" s="18">
        <f t="shared" si="14"/>
        <v>8489.8348322218426</v>
      </c>
      <c r="V52" s="18">
        <f t="shared" si="14"/>
        <v>8537.0889713305442</v>
      </c>
      <c r="W52" s="18">
        <f t="shared" si="14"/>
        <v>2846.2166043659727</v>
      </c>
      <c r="X52" s="18">
        <f t="shared" si="14"/>
        <v>-1802.2385693106189</v>
      </c>
      <c r="Y52" s="18">
        <f t="shared" si="14"/>
        <v>-518.0956059093146</v>
      </c>
      <c r="Z52" s="18">
        <f t="shared" si="14"/>
        <v>-532.4554154159523</v>
      </c>
      <c r="AA52" s="18">
        <f t="shared" si="14"/>
        <v>-550.83068697983299</v>
      </c>
      <c r="AB52" s="18">
        <f t="shared" si="14"/>
        <v>-566.13705715846936</v>
      </c>
      <c r="AC52" s="18">
        <f t="shared" si="14"/>
        <v>-583.12116887322281</v>
      </c>
      <c r="AD52" s="18">
        <f t="shared" si="14"/>
        <v>-599.28326098286561</v>
      </c>
      <c r="AE52" s="18">
        <f t="shared" si="14"/>
        <v>-619.96479101415616</v>
      </c>
      <c r="AF52" s="18">
        <f t="shared" si="14"/>
        <v>-637.19224549932551</v>
      </c>
      <c r="AG52" s="18">
        <f t="shared" si="14"/>
        <v>20929.572159296175</v>
      </c>
    </row>
    <row r="53" spans="1:33">
      <c r="A53" s="13"/>
      <c r="B53" s="454" t="s">
        <v>1</v>
      </c>
      <c r="C53" s="460">
        <f>XIRR(B52:AG52,B8:AG8)</f>
        <v>8.4352561831474313E-2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366</v>
      </c>
      <c r="B56" s="18">
        <f>-Assumptions!C11*Assumptions!G48</f>
        <v>-28621.044651832344</v>
      </c>
    </row>
    <row r="57" spans="1:33" s="18" customFormat="1">
      <c r="A57" s="56" t="s">
        <v>365</v>
      </c>
      <c r="B57" s="457">
        <f>B21*Assumptions!$G$48</f>
        <v>0</v>
      </c>
      <c r="C57" s="457">
        <f>C21*Assumptions!$G$48</f>
        <v>3134.4541503099149</v>
      </c>
      <c r="D57" s="457">
        <f>D21*Assumptions!$G$48</f>
        <v>2202.8557406892587</v>
      </c>
      <c r="E57" s="457">
        <f>E21*Assumptions!$G$48</f>
        <v>2193.7799724189044</v>
      </c>
      <c r="F57" s="457">
        <f>F21*Assumptions!$G$48</f>
        <v>2725.4026522634085</v>
      </c>
      <c r="G57" s="457">
        <f>G21*Assumptions!$G$48</f>
        <v>2849.2238054950367</v>
      </c>
      <c r="H57" s="457">
        <f>H21*Assumptions!$G$48</f>
        <v>2735.7757674779496</v>
      </c>
      <c r="I57" s="457">
        <f>I21*Assumptions!$G$48</f>
        <v>2763.176337345767</v>
      </c>
      <c r="J57" s="457">
        <f>J21*Assumptions!$G$48</f>
        <v>2783.4588892934316</v>
      </c>
      <c r="K57" s="457">
        <f>K21*Assumptions!$G$48</f>
        <v>2926.4342225691853</v>
      </c>
      <c r="L57" s="457">
        <f>L21*Assumptions!$G$48</f>
        <v>2900.4177828128832</v>
      </c>
      <c r="M57" s="457">
        <f>M21*Assumptions!$G$48</f>
        <v>3036.9582346270508</v>
      </c>
      <c r="N57" s="457">
        <f>N21*Assumptions!$G$48</f>
        <v>3007.3651696484267</v>
      </c>
      <c r="O57" s="457">
        <f>O21*Assumptions!$G$48</f>
        <v>3163.8863406939563</v>
      </c>
      <c r="P57" s="457">
        <f>P21*Assumptions!$G$48</f>
        <v>3124.0851963641244</v>
      </c>
      <c r="Q57" s="457">
        <f>Q21*Assumptions!$G$48</f>
        <v>2469.3677593465559</v>
      </c>
      <c r="R57" s="457">
        <f>R21*Assumptions!$G$48</f>
        <v>-725.03864703770705</v>
      </c>
      <c r="S57" s="457">
        <f>S21*Assumptions!$G$48</f>
        <v>3101.8198209950824</v>
      </c>
      <c r="T57" s="457">
        <f>T21*Assumptions!$G$48</f>
        <v>8438.0910387844797</v>
      </c>
      <c r="U57" s="457">
        <f>U21*Assumptions!$G$48</f>
        <v>8489.8348322218426</v>
      </c>
      <c r="V57" s="457">
        <f>V21*Assumptions!$G$48</f>
        <v>8537.0889713305442</v>
      </c>
      <c r="W57" s="457">
        <f>W21*Assumptions!$G$48</f>
        <v>2846.2166043659727</v>
      </c>
      <c r="X57" s="457">
        <f>X21*Assumptions!$G$48</f>
        <v>-1802.2385693106189</v>
      </c>
      <c r="Y57" s="457">
        <f>Y21*Assumptions!$G$48</f>
        <v>-518.0956059093146</v>
      </c>
      <c r="Z57" s="457">
        <f>Z21*Assumptions!$G$48</f>
        <v>-532.4554154159523</v>
      </c>
      <c r="AA57" s="457">
        <f>AA21*Assumptions!$G$48</f>
        <v>-550.83068697983299</v>
      </c>
      <c r="AB57" s="457">
        <f>AB21*Assumptions!$G$48</f>
        <v>-566.13705715846936</v>
      </c>
      <c r="AC57" s="457">
        <f>AC21*Assumptions!$G$48</f>
        <v>-583.12116887322281</v>
      </c>
      <c r="AD57" s="457">
        <f>AD21*Assumptions!$G$48</f>
        <v>-599.28326098286561</v>
      </c>
      <c r="AE57" s="457">
        <f>AE21*Assumptions!$G$48</f>
        <v>-619.96479101415616</v>
      </c>
      <c r="AF57" s="457">
        <f>AF21*Assumptions!$G$48</f>
        <v>-637.19224549932551</v>
      </c>
      <c r="AG57" s="457">
        <f>AG21*Assumptions!$G$48</f>
        <v>-123.77327671946568</v>
      </c>
    </row>
    <row r="58" spans="1:33" s="18" customFormat="1">
      <c r="A58" s="56" t="s">
        <v>127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v>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38000</v>
      </c>
    </row>
    <row r="59" spans="1:33" s="18" customFormat="1" ht="12" customHeight="1">
      <c r="A59" s="56" t="s">
        <v>364</v>
      </c>
      <c r="B59" s="18">
        <f>SUM(B56:B58)</f>
        <v>-28621.044651832344</v>
      </c>
      <c r="C59" s="18">
        <f t="shared" ref="C59:AG59" si="15">SUM(C56:C58)</f>
        <v>3134.4541503099149</v>
      </c>
      <c r="D59" s="18">
        <f t="shared" si="15"/>
        <v>2202.8557406892587</v>
      </c>
      <c r="E59" s="18">
        <f t="shared" si="15"/>
        <v>2193.7799724189044</v>
      </c>
      <c r="F59" s="18">
        <f t="shared" si="15"/>
        <v>2725.4026522634085</v>
      </c>
      <c r="G59" s="18">
        <f t="shared" si="15"/>
        <v>2849.2238054950367</v>
      </c>
      <c r="H59" s="18">
        <f t="shared" si="15"/>
        <v>2735.7757674779496</v>
      </c>
      <c r="I59" s="18">
        <f t="shared" si="15"/>
        <v>2763.176337345767</v>
      </c>
      <c r="J59" s="18">
        <f t="shared" si="15"/>
        <v>2783.4588892934316</v>
      </c>
      <c r="K59" s="18">
        <f t="shared" si="15"/>
        <v>2926.4342225691853</v>
      </c>
      <c r="L59" s="18">
        <f t="shared" si="15"/>
        <v>2900.4177828128832</v>
      </c>
      <c r="M59" s="18">
        <f t="shared" si="15"/>
        <v>3036.9582346270508</v>
      </c>
      <c r="N59" s="18">
        <f t="shared" si="15"/>
        <v>3007.3651696484267</v>
      </c>
      <c r="O59" s="18">
        <f t="shared" si="15"/>
        <v>3163.8863406939563</v>
      </c>
      <c r="P59" s="18">
        <f t="shared" si="15"/>
        <v>3124.0851963641244</v>
      </c>
      <c r="Q59" s="18">
        <f t="shared" si="15"/>
        <v>2469.3677593465559</v>
      </c>
      <c r="R59" s="18">
        <f t="shared" si="15"/>
        <v>-725.03864703770705</v>
      </c>
      <c r="S59" s="18">
        <f t="shared" si="15"/>
        <v>3101.8198209950824</v>
      </c>
      <c r="T59" s="18">
        <f t="shared" si="15"/>
        <v>8438.0910387844797</v>
      </c>
      <c r="U59" s="18">
        <f t="shared" si="15"/>
        <v>8489.8348322218426</v>
      </c>
      <c r="V59" s="18">
        <f t="shared" si="15"/>
        <v>8537.0889713305442</v>
      </c>
      <c r="W59" s="18">
        <f t="shared" si="15"/>
        <v>2846.2166043659727</v>
      </c>
      <c r="X59" s="18">
        <f t="shared" si="15"/>
        <v>-1802.2385693106189</v>
      </c>
      <c r="Y59" s="18">
        <f t="shared" si="15"/>
        <v>-518.0956059093146</v>
      </c>
      <c r="Z59" s="18">
        <f t="shared" si="15"/>
        <v>-532.4554154159523</v>
      </c>
      <c r="AA59" s="18">
        <f t="shared" si="15"/>
        <v>-550.83068697983299</v>
      </c>
      <c r="AB59" s="18">
        <f t="shared" si="15"/>
        <v>-566.13705715846936</v>
      </c>
      <c r="AC59" s="18">
        <f t="shared" si="15"/>
        <v>-583.12116887322281</v>
      </c>
      <c r="AD59" s="18">
        <f t="shared" si="15"/>
        <v>-599.28326098286561</v>
      </c>
      <c r="AE59" s="18">
        <f t="shared" si="15"/>
        <v>-619.96479101415616</v>
      </c>
      <c r="AF59" s="18">
        <f t="shared" si="15"/>
        <v>-637.19224549932551</v>
      </c>
      <c r="AG59" s="18">
        <f t="shared" si="15"/>
        <v>37876.226723280532</v>
      </c>
    </row>
    <row r="60" spans="1:33">
      <c r="A60" s="13"/>
      <c r="B60" s="454" t="s">
        <v>1</v>
      </c>
      <c r="C60" s="460">
        <f>XIRR(B59:AG59,B8:AG8)</f>
        <v>8.8444086909294145E-2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zoomScale="75" workbookViewId="0">
      <selection activeCell="B10" sqref="B10 L5 B4"/>
    </sheetView>
  </sheetViews>
  <sheetFormatPr defaultRowHeight="12.75"/>
  <cols>
    <col min="1" max="1" width="30.7109375" customWidth="1"/>
    <col min="2" max="2" width="14.28515625" customWidth="1"/>
    <col min="3" max="4" width="10.140625" bestFit="1" customWidth="1"/>
  </cols>
  <sheetData>
    <row r="2" spans="1:22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22">
      <c r="A3" t="s">
        <v>441</v>
      </c>
      <c r="C3" s="541"/>
      <c r="D3" s="541"/>
      <c r="E3" s="541">
        <v>36831</v>
      </c>
      <c r="F3" s="541">
        <v>36861</v>
      </c>
      <c r="G3" s="541">
        <v>36892</v>
      </c>
      <c r="H3" s="541">
        <v>36923</v>
      </c>
      <c r="I3" s="541">
        <v>36951</v>
      </c>
      <c r="J3" s="541">
        <v>36982</v>
      </c>
      <c r="K3" s="541">
        <v>37012</v>
      </c>
      <c r="L3" s="541">
        <v>37043</v>
      </c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>
      <c r="A4" t="s">
        <v>442</v>
      </c>
      <c r="B4" s="542">
        <v>7.0000000000000007E-2</v>
      </c>
    </row>
    <row r="5" spans="1:22">
      <c r="A5" t="s">
        <v>443</v>
      </c>
      <c r="C5" s="543">
        <f>SUM(E5:L5)</f>
        <v>1</v>
      </c>
      <c r="E5" s="544">
        <v>0.25</v>
      </c>
      <c r="F5" s="544">
        <v>0.18</v>
      </c>
      <c r="G5" s="544">
        <v>0.15</v>
      </c>
      <c r="H5" s="544">
        <v>0.12</v>
      </c>
      <c r="I5" s="544">
        <v>0.1</v>
      </c>
      <c r="J5" s="544">
        <v>0.08</v>
      </c>
      <c r="K5" s="544">
        <v>0.06</v>
      </c>
      <c r="L5" s="544">
        <v>0.06</v>
      </c>
    </row>
    <row r="7" spans="1:22">
      <c r="A7" t="s">
        <v>444</v>
      </c>
      <c r="B7" s="545">
        <f>Assumptions!C34</f>
        <v>96489.798429326824</v>
      </c>
    </row>
    <row r="8" spans="1:22">
      <c r="A8" t="s">
        <v>445</v>
      </c>
      <c r="B8" s="546">
        <f>Assumptions!C20+Assumptions!C21</f>
        <v>57289.798429326831</v>
      </c>
    </row>
    <row r="10" spans="1:22">
      <c r="A10" t="s">
        <v>446</v>
      </c>
      <c r="B10" s="547">
        <f>B7-B8</f>
        <v>39199.999999999993</v>
      </c>
      <c r="E10" s="546">
        <f t="shared" ref="E10:L10" si="0">$B$10*E5*$B$4</f>
        <v>685.99999999999989</v>
      </c>
      <c r="F10" s="546">
        <f t="shared" si="0"/>
        <v>493.9199999999999</v>
      </c>
      <c r="G10" s="546">
        <f t="shared" si="0"/>
        <v>411.59999999999997</v>
      </c>
      <c r="H10" s="546">
        <f t="shared" si="0"/>
        <v>329.28</v>
      </c>
      <c r="I10" s="546">
        <f t="shared" si="0"/>
        <v>274.39999999999998</v>
      </c>
      <c r="J10" s="546">
        <f t="shared" si="0"/>
        <v>219.51999999999998</v>
      </c>
      <c r="K10" s="546">
        <f t="shared" si="0"/>
        <v>164.64</v>
      </c>
      <c r="L10" s="546">
        <f t="shared" si="0"/>
        <v>164.64</v>
      </c>
    </row>
    <row r="12" spans="1:22">
      <c r="A12" t="s">
        <v>447</v>
      </c>
      <c r="B12" s="547">
        <f>SUM(E10:L10)</f>
        <v>2743.9999999999995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IDC-Project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2000-02-22T21:34:17Z</cp:lastPrinted>
  <dcterms:created xsi:type="dcterms:W3CDTF">1999-04-02T01:38:38Z</dcterms:created>
  <dcterms:modified xsi:type="dcterms:W3CDTF">2014-09-03T11:32:09Z</dcterms:modified>
</cp:coreProperties>
</file>