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00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nnualHours" localSheetId="8">[6]Assumptions!#REF!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8">[6]Assumptions!#REF!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'[2]Project Assumptions'!#REF!</definedName>
    <definedName name="Variable" localSheetId="8">[6]Assumptions!#REF!</definedName>
    <definedName name="Variable">Assumptions!#REF!</definedName>
    <definedName name="WaterTreatmentVar" localSheetId="8">[6]Assumptions!#REF!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2" i="2" l="1"/>
  <c r="AA13" i="2"/>
  <c r="AA14" i="2" s="1"/>
  <c r="U14" i="2"/>
  <c r="V14" i="2"/>
  <c r="W14" i="2"/>
  <c r="X14" i="2"/>
  <c r="Y14" i="2"/>
  <c r="Z14" i="2"/>
  <c r="AB14" i="2"/>
  <c r="N17" i="2"/>
  <c r="P17" i="2"/>
  <c r="H60" i="2" s="1"/>
  <c r="H18" i="2"/>
  <c r="C20" i="2"/>
  <c r="C21" i="2"/>
  <c r="D21" i="2" s="1"/>
  <c r="N26" i="2"/>
  <c r="G32" i="2"/>
  <c r="H35" i="2"/>
  <c r="H39" i="2"/>
  <c r="C48" i="2"/>
  <c r="G48" i="2"/>
  <c r="D49" i="2"/>
  <c r="C56" i="2"/>
  <c r="H57" i="2"/>
  <c r="H66" i="2"/>
  <c r="H68" i="2"/>
  <c r="A69" i="2"/>
  <c r="A70" i="2"/>
  <c r="A71" i="2"/>
  <c r="A2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G13" i="7"/>
  <c r="H13" i="7"/>
  <c r="H27" i="7" s="1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G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41" i="7"/>
  <c r="C41" i="7"/>
  <c r="B42" i="7"/>
  <c r="G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I12" i="26"/>
  <c r="I15" i="26"/>
  <c r="I16" i="26"/>
  <c r="I18" i="26"/>
  <c r="I19" i="26"/>
  <c r="I20" i="26"/>
  <c r="I24" i="26"/>
  <c r="E26" i="26"/>
  <c r="I8" i="26" s="1"/>
  <c r="D25" i="3" s="1"/>
  <c r="D30" i="3" s="1"/>
  <c r="I26" i="26"/>
  <c r="V25" i="3" s="1"/>
  <c r="I27" i="26"/>
  <c r="E38" i="26"/>
  <c r="I9" i="26" s="1"/>
  <c r="E50" i="26"/>
  <c r="I10" i="26" s="1"/>
  <c r="E62" i="26"/>
  <c r="I11" i="26" s="1"/>
  <c r="E74" i="26"/>
  <c r="E86" i="26"/>
  <c r="I13" i="26" s="1"/>
  <c r="E98" i="26"/>
  <c r="I14" i="26" s="1"/>
  <c r="J25" i="3" s="1"/>
  <c r="J30" i="3" s="1"/>
  <c r="E110" i="26"/>
  <c r="E122" i="26"/>
  <c r="E134" i="26"/>
  <c r="I17" i="26" s="1"/>
  <c r="E146" i="26"/>
  <c r="E158" i="26"/>
  <c r="E170" i="26"/>
  <c r="E182" i="26"/>
  <c r="I21" i="26" s="1"/>
  <c r="E194" i="26"/>
  <c r="I22" i="26" s="1"/>
  <c r="E206" i="26"/>
  <c r="I23" i="26" s="1"/>
  <c r="E218" i="26"/>
  <c r="E230" i="26"/>
  <c r="I25" i="26" s="1"/>
  <c r="E242" i="26"/>
  <c r="A2" i="18"/>
  <c r="C6" i="18"/>
  <c r="E30" i="18" s="1"/>
  <c r="C7" i="18"/>
  <c r="C8" i="18"/>
  <c r="D8" i="18" s="1"/>
  <c r="C15" i="18"/>
  <c r="E15" i="18"/>
  <c r="A16" i="18"/>
  <c r="A17" i="18" s="1"/>
  <c r="C16" i="18"/>
  <c r="E16" i="18" s="1"/>
  <c r="C17" i="18"/>
  <c r="E17" i="18" s="1"/>
  <c r="F17" i="18" s="1"/>
  <c r="A18" i="18"/>
  <c r="C18" i="18"/>
  <c r="E18" i="18"/>
  <c r="F18" i="18" s="1"/>
  <c r="A19" i="18"/>
  <c r="C19" i="18"/>
  <c r="E19" i="18" s="1"/>
  <c r="F19" i="18" s="1"/>
  <c r="C20" i="18"/>
  <c r="E20" i="18"/>
  <c r="F20" i="18"/>
  <c r="C21" i="18"/>
  <c r="E21" i="18" s="1"/>
  <c r="F21" i="18" s="1"/>
  <c r="C22" i="18"/>
  <c r="E22" i="18"/>
  <c r="F22" i="18" s="1"/>
  <c r="C23" i="18"/>
  <c r="E23" i="18" s="1"/>
  <c r="F23" i="18" s="1"/>
  <c r="C24" i="18"/>
  <c r="E24" i="18"/>
  <c r="F24" i="18" s="1"/>
  <c r="C25" i="18"/>
  <c r="E25" i="18"/>
  <c r="F25" i="18" s="1"/>
  <c r="C26" i="18"/>
  <c r="E26" i="18" s="1"/>
  <c r="F26" i="18" s="1"/>
  <c r="C27" i="18"/>
  <c r="E27" i="18"/>
  <c r="F27" i="18" s="1"/>
  <c r="C28" i="18"/>
  <c r="C29" i="18"/>
  <c r="E29" i="18"/>
  <c r="F29" i="18"/>
  <c r="F30" i="18"/>
  <c r="E31" i="18"/>
  <c r="F31" i="18"/>
  <c r="E32" i="18"/>
  <c r="F32" i="18" s="1"/>
  <c r="E33" i="18"/>
  <c r="F33" i="18" s="1"/>
  <c r="H57" i="18"/>
  <c r="I57" i="18"/>
  <c r="J57" i="18"/>
  <c r="K57" i="18"/>
  <c r="L57" i="18"/>
  <c r="D59" i="18"/>
  <c r="D15" i="18" s="1"/>
  <c r="D34" i="18" s="1"/>
  <c r="C5" i="27"/>
  <c r="B8" i="27"/>
  <c r="A2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/>
  <c r="AC17" i="4" s="1"/>
  <c r="AD17" i="4" s="1"/>
  <c r="AE17" i="4" s="1"/>
  <c r="AF17" i="4" s="1"/>
  <c r="AG17" i="4" s="1"/>
  <c r="D20" i="4"/>
  <c r="E20" i="4" s="1"/>
  <c r="F20" i="4" s="1"/>
  <c r="G20" i="4"/>
  <c r="H20" i="4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/>
  <c r="Z22" i="4" s="1"/>
  <c r="AA22" i="4" s="1"/>
  <c r="AB22" i="4" s="1"/>
  <c r="AC22" i="4" s="1"/>
  <c r="AD22" i="4" s="1"/>
  <c r="AE22" i="4" s="1"/>
  <c r="AF22" i="4" s="1"/>
  <c r="AG22" i="4" s="1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D28" i="4"/>
  <c r="E28" i="4"/>
  <c r="F28" i="4" s="1"/>
  <c r="G28" i="4"/>
  <c r="H28" i="4" s="1"/>
  <c r="I28" i="4" s="1"/>
  <c r="J28" i="4" s="1"/>
  <c r="K28" i="4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D29" i="4"/>
  <c r="E29" i="4" s="1"/>
  <c r="F29" i="4" s="1"/>
  <c r="G29" i="4" s="1"/>
  <c r="H29" i="4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D8" i="3"/>
  <c r="E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G19" i="3" s="1"/>
  <c r="E19" i="3"/>
  <c r="F19" i="3"/>
  <c r="H19" i="3"/>
  <c r="I19" i="3"/>
  <c r="J19" i="3"/>
  <c r="K19" i="3"/>
  <c r="M19" i="3"/>
  <c r="N19" i="3"/>
  <c r="P19" i="3"/>
  <c r="Q19" i="3"/>
  <c r="R19" i="3"/>
  <c r="S19" i="3"/>
  <c r="U19" i="3"/>
  <c r="V19" i="3"/>
  <c r="X19" i="3"/>
  <c r="Y19" i="3"/>
  <c r="Z19" i="3"/>
  <c r="AA19" i="3"/>
  <c r="AC19" i="3"/>
  <c r="AD19" i="3"/>
  <c r="AF19" i="3"/>
  <c r="AG19" i="3"/>
  <c r="AH19" i="3"/>
  <c r="E25" i="3"/>
  <c r="F25" i="3"/>
  <c r="G25" i="3"/>
  <c r="H25" i="3"/>
  <c r="H30" i="3" s="1"/>
  <c r="I25" i="3"/>
  <c r="K25" i="3"/>
  <c r="L25" i="3"/>
  <c r="L30" i="3" s="1"/>
  <c r="M25" i="3"/>
  <c r="N25" i="3"/>
  <c r="O25" i="3"/>
  <c r="P25" i="3"/>
  <c r="P30" i="3" s="1"/>
  <c r="Q25" i="3"/>
  <c r="R25" i="3"/>
  <c r="R30" i="3" s="1"/>
  <c r="S25" i="3"/>
  <c r="T25" i="3"/>
  <c r="T30" i="3" s="1"/>
  <c r="U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E30" i="3"/>
  <c r="F30" i="3"/>
  <c r="F34" i="3" s="1"/>
  <c r="G30" i="3"/>
  <c r="I30" i="3"/>
  <c r="K30" i="3"/>
  <c r="M30" i="3"/>
  <c r="N30" i="3"/>
  <c r="O30" i="3"/>
  <c r="Q30" i="3"/>
  <c r="S30" i="3"/>
  <c r="U30" i="3"/>
  <c r="V30" i="3"/>
  <c r="Y30" i="3"/>
  <c r="Z30" i="3"/>
  <c r="AA30" i="3"/>
  <c r="AB30" i="3"/>
  <c r="AC30" i="3"/>
  <c r="AD30" i="3"/>
  <c r="AE30" i="3"/>
  <c r="AF30" i="3"/>
  <c r="AG30" i="3"/>
  <c r="AH30" i="3"/>
  <c r="N34" i="3"/>
  <c r="V34" i="3"/>
  <c r="AD34" i="3"/>
  <c r="AF34" i="3"/>
  <c r="A38" i="3"/>
  <c r="D42" i="3"/>
  <c r="D44" i="3" s="1"/>
  <c r="D34" i="3" s="1"/>
  <c r="E42" i="3"/>
  <c r="F42" i="3"/>
  <c r="F44" i="3" s="1"/>
  <c r="G42" i="3"/>
  <c r="G44" i="3" s="1"/>
  <c r="G34" i="3" s="1"/>
  <c r="H42" i="3"/>
  <c r="I42" i="3"/>
  <c r="I44" i="3" s="1"/>
  <c r="I34" i="3" s="1"/>
  <c r="J42" i="3"/>
  <c r="K42" i="3"/>
  <c r="L42" i="3"/>
  <c r="M42" i="3"/>
  <c r="N42" i="3"/>
  <c r="N44" i="3" s="1"/>
  <c r="O42" i="3"/>
  <c r="O44" i="3" s="1"/>
  <c r="O34" i="3" s="1"/>
  <c r="P42" i="3"/>
  <c r="Q42" i="3"/>
  <c r="Q44" i="3" s="1"/>
  <c r="Q34" i="3" s="1"/>
  <c r="R42" i="3"/>
  <c r="S42" i="3"/>
  <c r="T42" i="3"/>
  <c r="U42" i="3"/>
  <c r="V42" i="3"/>
  <c r="V44" i="3" s="1"/>
  <c r="W42" i="3"/>
  <c r="W44" i="3" s="1"/>
  <c r="X42" i="3"/>
  <c r="Y42" i="3"/>
  <c r="Y44" i="3" s="1"/>
  <c r="Y34" i="3" s="1"/>
  <c r="Z42" i="3"/>
  <c r="Z44" i="3" s="1"/>
  <c r="Z34" i="3" s="1"/>
  <c r="AA42" i="3"/>
  <c r="AB42" i="3"/>
  <c r="AC42" i="3"/>
  <c r="AD42" i="3"/>
  <c r="AD44" i="3" s="1"/>
  <c r="AE42" i="3"/>
  <c r="AE44" i="3" s="1"/>
  <c r="AE34" i="3" s="1"/>
  <c r="AF42" i="3"/>
  <c r="AG42" i="3"/>
  <c r="AG44" i="3" s="1"/>
  <c r="AG34" i="3" s="1"/>
  <c r="AH42" i="3"/>
  <c r="AH44" i="3" s="1"/>
  <c r="AH34" i="3" s="1"/>
  <c r="E44" i="3"/>
  <c r="H44" i="3"/>
  <c r="H34" i="3" s="1"/>
  <c r="J44" i="3"/>
  <c r="K44" i="3"/>
  <c r="L44" i="3"/>
  <c r="L34" i="3" s="1"/>
  <c r="M44" i="3"/>
  <c r="M34" i="3" s="1"/>
  <c r="P44" i="3"/>
  <c r="R44" i="3"/>
  <c r="R34" i="3" s="1"/>
  <c r="S44" i="3"/>
  <c r="S34" i="3" s="1"/>
  <c r="T44" i="3"/>
  <c r="T34" i="3" s="1"/>
  <c r="U44" i="3"/>
  <c r="U34" i="3" s="1"/>
  <c r="X44" i="3"/>
  <c r="AA44" i="3"/>
  <c r="AB44" i="3"/>
  <c r="AB34" i="3" s="1"/>
  <c r="AC44" i="3"/>
  <c r="AF44" i="3"/>
  <c r="A2" i="25"/>
  <c r="C6" i="25"/>
  <c r="C7" i="25"/>
  <c r="B8" i="25"/>
  <c r="B13" i="25"/>
  <c r="B18" i="25"/>
  <c r="B21" i="25"/>
  <c r="A41" i="25"/>
  <c r="B43" i="25"/>
  <c r="A48" i="25"/>
  <c r="B50" i="25"/>
  <c r="A55" i="25"/>
  <c r="B57" i="25"/>
  <c r="AG58" i="25"/>
  <c r="W58" i="25" s="1"/>
  <c r="A2" i="8"/>
  <c r="B6" i="8"/>
  <c r="B7" i="8"/>
  <c r="C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F16" i="18" l="1"/>
  <c r="E34" i="18"/>
  <c r="X34" i="3"/>
  <c r="E7" i="19"/>
  <c r="E7" i="7"/>
  <c r="D7" i="4"/>
  <c r="C73" i="2" s="1"/>
  <c r="F8" i="3"/>
  <c r="D7" i="25"/>
  <c r="E28" i="18"/>
  <c r="F28" i="18" s="1"/>
  <c r="C34" i="18"/>
  <c r="B27" i="25"/>
  <c r="B37" i="25"/>
  <c r="AC34" i="3"/>
  <c r="P34" i="3"/>
  <c r="J34" i="3"/>
  <c r="A20" i="18"/>
  <c r="E64" i="6"/>
  <c r="K34" i="3"/>
  <c r="AA34" i="3"/>
  <c r="E34" i="3"/>
  <c r="D6" i="19"/>
  <c r="D6" i="7"/>
  <c r="C6" i="4"/>
  <c r="D35" i="3"/>
  <c r="D36" i="3" s="1"/>
  <c r="D38" i="3" s="1"/>
  <c r="C11" i="4" s="1"/>
  <c r="E7" i="3"/>
  <c r="E21" i="3" s="1"/>
  <c r="D21" i="3"/>
  <c r="I28" i="26"/>
  <c r="X25" i="3" s="1"/>
  <c r="X30" i="3" s="1"/>
  <c r="W25" i="3"/>
  <c r="W30" i="3" s="1"/>
  <c r="W34" i="3" s="1"/>
  <c r="D8" i="19"/>
  <c r="C20" i="4"/>
  <c r="C28" i="4"/>
  <c r="C29" i="4"/>
  <c r="AB19" i="3"/>
  <c r="T19" i="3"/>
  <c r="L19" i="3"/>
  <c r="D19" i="3"/>
  <c r="F15" i="18"/>
  <c r="AE19" i="3"/>
  <c r="W19" i="3"/>
  <c r="O19" i="3"/>
  <c r="B47" i="7"/>
  <c r="D13" i="7"/>
  <c r="D7" i="19"/>
  <c r="D7" i="7"/>
  <c r="C7" i="4"/>
  <c r="B33" i="7"/>
  <c r="F13" i="7"/>
  <c r="E13" i="7"/>
  <c r="I13" i="7"/>
  <c r="O22" i="2"/>
  <c r="D25" i="2"/>
  <c r="D48" i="2"/>
  <c r="D56" i="2"/>
  <c r="O20" i="2"/>
  <c r="O25" i="2"/>
  <c r="D28" i="2"/>
  <c r="D39" i="2"/>
  <c r="D42" i="2"/>
  <c r="D53" i="2"/>
  <c r="D23" i="2"/>
  <c r="D22" i="2"/>
  <c r="D27" i="2"/>
  <c r="D30" i="2"/>
  <c r="D32" i="2"/>
  <c r="D38" i="2"/>
  <c r="D41" i="2"/>
  <c r="D45" i="2"/>
  <c r="H62" i="2"/>
  <c r="O24" i="2"/>
  <c r="D40" i="2"/>
  <c r="D54" i="2"/>
  <c r="D26" i="2"/>
  <c r="D31" i="2"/>
  <c r="D43" i="2"/>
  <c r="D55" i="2"/>
  <c r="O19" i="2"/>
  <c r="D24" i="2"/>
  <c r="D33" i="2"/>
  <c r="D47" i="2"/>
  <c r="O23" i="2"/>
  <c r="D37" i="2"/>
  <c r="O21" i="2"/>
  <c r="D44" i="2"/>
  <c r="D29" i="2"/>
  <c r="D12" i="2"/>
  <c r="C34" i="2"/>
  <c r="D20" i="2"/>
  <c r="O26" i="2" l="1"/>
  <c r="D27" i="7"/>
  <c r="D42" i="7"/>
  <c r="I42" i="7"/>
  <c r="I27" i="7"/>
  <c r="D27" i="4"/>
  <c r="L27" i="4"/>
  <c r="T27" i="4"/>
  <c r="AB27" i="4"/>
  <c r="E27" i="4"/>
  <c r="M27" i="4"/>
  <c r="U27" i="4"/>
  <c r="AC27" i="4"/>
  <c r="C27" i="4"/>
  <c r="K27" i="4"/>
  <c r="S27" i="4"/>
  <c r="AA27" i="4"/>
  <c r="G27" i="4"/>
  <c r="R27" i="4"/>
  <c r="AF27" i="4"/>
  <c r="I27" i="4"/>
  <c r="W27" i="4"/>
  <c r="P27" i="4"/>
  <c r="AD27" i="4"/>
  <c r="F27" i="4"/>
  <c r="Q27" i="4"/>
  <c r="AE27" i="4"/>
  <c r="Z27" i="4"/>
  <c r="H27" i="4"/>
  <c r="AG27" i="4"/>
  <c r="J27" i="4"/>
  <c r="N27" i="4"/>
  <c r="Y27" i="4"/>
  <c r="O27" i="4"/>
  <c r="X27" i="4"/>
  <c r="V27" i="4"/>
  <c r="E42" i="7"/>
  <c r="E27" i="7"/>
  <c r="F27" i="7"/>
  <c r="F42" i="7"/>
  <c r="B7" i="27"/>
  <c r="B10" i="27" s="1"/>
  <c r="G15" i="18"/>
  <c r="H16" i="18" s="1"/>
  <c r="F34" i="18"/>
  <c r="E6" i="19"/>
  <c r="E6" i="7"/>
  <c r="D6" i="4"/>
  <c r="D10" i="4" s="1"/>
  <c r="D6" i="25"/>
  <c r="E35" i="3"/>
  <c r="E36" i="3" s="1"/>
  <c r="E38" i="3" s="1"/>
  <c r="D11" i="4" s="1"/>
  <c r="C6" i="8"/>
  <c r="F7" i="3"/>
  <c r="E8" i="19"/>
  <c r="C8" i="25"/>
  <c r="N30" i="2"/>
  <c r="O30" i="2" s="1"/>
  <c r="N32" i="2"/>
  <c r="O32" i="2" s="1"/>
  <c r="C26" i="4"/>
  <c r="N33" i="2" s="1"/>
  <c r="O33" i="2" s="1"/>
  <c r="S26" i="4"/>
  <c r="C10" i="4"/>
  <c r="C13" i="4" s="1"/>
  <c r="C17" i="4"/>
  <c r="G39" i="2"/>
  <c r="B36" i="6"/>
  <c r="I16" i="4"/>
  <c r="Q16" i="4"/>
  <c r="Y16" i="4"/>
  <c r="AG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J16" i="4"/>
  <c r="R16" i="4"/>
  <c r="Z16" i="4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L16" i="4"/>
  <c r="W16" i="4"/>
  <c r="M16" i="4"/>
  <c r="AA16" i="4"/>
  <c r="C16" i="4"/>
  <c r="N16" i="4"/>
  <c r="AB16" i="4"/>
  <c r="G16" i="4"/>
  <c r="U16" i="4"/>
  <c r="K16" i="4"/>
  <c r="V16" i="4"/>
  <c r="O16" i="4"/>
  <c r="S16" i="4"/>
  <c r="T16" i="4"/>
  <c r="AC16" i="4"/>
  <c r="F16" i="4"/>
  <c r="AE16" i="4"/>
  <c r="E16" i="4"/>
  <c r="AD16" i="4"/>
  <c r="D16" i="4"/>
  <c r="D14" i="7"/>
  <c r="D43" i="7"/>
  <c r="D47" i="7" s="1"/>
  <c r="D41" i="7"/>
  <c r="G16" i="18"/>
  <c r="D34" i="2"/>
  <c r="B73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21" i="18"/>
  <c r="F7" i="19"/>
  <c r="F7" i="7"/>
  <c r="E7" i="4"/>
  <c r="D73" i="2" s="1"/>
  <c r="E7" i="25"/>
  <c r="G8" i="3"/>
  <c r="D7" i="8"/>
  <c r="A22" i="18" l="1"/>
  <c r="F6" i="19"/>
  <c r="F35" i="3"/>
  <c r="F36" i="3" s="1"/>
  <c r="F38" i="3" s="1"/>
  <c r="E11" i="4" s="1"/>
  <c r="F6" i="7"/>
  <c r="E6" i="4"/>
  <c r="E6" i="25"/>
  <c r="G21" i="3"/>
  <c r="G7" i="3"/>
  <c r="D6" i="8"/>
  <c r="G7" i="19"/>
  <c r="F7" i="4"/>
  <c r="G7" i="7"/>
  <c r="F7" i="25"/>
  <c r="H8" i="3"/>
  <c r="E7" i="8"/>
  <c r="I16" i="18"/>
  <c r="D28" i="7"/>
  <c r="D33" i="7" s="1"/>
  <c r="D18" i="7"/>
  <c r="B49" i="6"/>
  <c r="C12" i="25"/>
  <c r="G10" i="27"/>
  <c r="L10" i="27"/>
  <c r="K10" i="27"/>
  <c r="E10" i="27"/>
  <c r="F10" i="27"/>
  <c r="H10" i="27"/>
  <c r="J10" i="27"/>
  <c r="I10" i="27"/>
  <c r="N29" i="2"/>
  <c r="O29" i="2" s="1"/>
  <c r="D13" i="4"/>
  <c r="F8" i="19"/>
  <c r="D8" i="25"/>
  <c r="F21" i="3"/>
  <c r="H17" i="18"/>
  <c r="G17" i="18"/>
  <c r="E41" i="7"/>
  <c r="E14" i="7"/>
  <c r="E43" i="7"/>
  <c r="E47" i="7" s="1"/>
  <c r="H7" i="19" l="1"/>
  <c r="G7" i="4"/>
  <c r="I8" i="3"/>
  <c r="G7" i="25"/>
  <c r="F7" i="8"/>
  <c r="H7" i="7"/>
  <c r="G18" i="18"/>
  <c r="H18" i="18"/>
  <c r="I18" i="18" s="1"/>
  <c r="I17" i="18"/>
  <c r="E10" i="4"/>
  <c r="E13" i="4" s="1"/>
  <c r="B12" i="27"/>
  <c r="A23" i="18"/>
  <c r="F14" i="7"/>
  <c r="F41" i="7"/>
  <c r="F43" i="7"/>
  <c r="F47" i="7" s="1"/>
  <c r="G8" i="19"/>
  <c r="E8" i="25"/>
  <c r="G6" i="19"/>
  <c r="G6" i="7"/>
  <c r="F6" i="4"/>
  <c r="F10" i="4" s="1"/>
  <c r="F13" i="4" s="1"/>
  <c r="H21" i="3"/>
  <c r="H7" i="3"/>
  <c r="G35" i="3"/>
  <c r="G36" i="3" s="1"/>
  <c r="G38" i="3" s="1"/>
  <c r="F11" i="4" s="1"/>
  <c r="E6" i="8"/>
  <c r="F6" i="25"/>
  <c r="E28" i="7"/>
  <c r="E33" i="7" s="1"/>
  <c r="E18" i="7"/>
  <c r="F28" i="7" l="1"/>
  <c r="F33" i="7" s="1"/>
  <c r="F18" i="7"/>
  <c r="G19" i="18"/>
  <c r="H19" i="18"/>
  <c r="G14" i="7"/>
  <c r="G43" i="7"/>
  <c r="G47" i="7" s="1"/>
  <c r="G41" i="7"/>
  <c r="H23" i="18"/>
  <c r="A24" i="18"/>
  <c r="H8" i="19"/>
  <c r="F8" i="25"/>
  <c r="I7" i="19"/>
  <c r="I7" i="7"/>
  <c r="H7" i="4"/>
  <c r="J8" i="3"/>
  <c r="G7" i="8"/>
  <c r="H7" i="25"/>
  <c r="H6" i="19"/>
  <c r="H6" i="7"/>
  <c r="G6" i="4"/>
  <c r="G10" i="4" s="1"/>
  <c r="G13" i="4" s="1"/>
  <c r="I7" i="3"/>
  <c r="F6" i="8"/>
  <c r="H35" i="3"/>
  <c r="H36" i="3" s="1"/>
  <c r="H38" i="3" s="1"/>
  <c r="G11" i="4" s="1"/>
  <c r="G6" i="25"/>
  <c r="G28" i="7" l="1"/>
  <c r="G33" i="7" s="1"/>
  <c r="G18" i="7"/>
  <c r="I19" i="18"/>
  <c r="H14" i="7"/>
  <c r="H41" i="7"/>
  <c r="H43" i="7"/>
  <c r="H47" i="7" s="1"/>
  <c r="I6" i="19"/>
  <c r="I6" i="7"/>
  <c r="H6" i="4"/>
  <c r="H6" i="25"/>
  <c r="J7" i="3"/>
  <c r="I35" i="3"/>
  <c r="I36" i="3" s="1"/>
  <c r="I38" i="3" s="1"/>
  <c r="H11" i="4" s="1"/>
  <c r="G6" i="8"/>
  <c r="J21" i="3"/>
  <c r="G8" i="25"/>
  <c r="I8" i="19"/>
  <c r="H20" i="18"/>
  <c r="I20" i="18" s="1"/>
  <c r="A25" i="18"/>
  <c r="H24" i="18"/>
  <c r="I21" i="3"/>
  <c r="J7" i="19"/>
  <c r="I7" i="4"/>
  <c r="I7" i="25"/>
  <c r="K8" i="3"/>
  <c r="J7" i="7"/>
  <c r="H7" i="8"/>
  <c r="G20" i="18" l="1"/>
  <c r="H28" i="7"/>
  <c r="H33" i="7" s="1"/>
  <c r="H18" i="7"/>
  <c r="A26" i="18"/>
  <c r="H25" i="18"/>
  <c r="J6" i="19"/>
  <c r="J6" i="7"/>
  <c r="I6" i="4"/>
  <c r="I10" i="4" s="1"/>
  <c r="K7" i="3"/>
  <c r="J35" i="3"/>
  <c r="J36" i="3" s="1"/>
  <c r="J38" i="3" s="1"/>
  <c r="I11" i="4" s="1"/>
  <c r="H6" i="8"/>
  <c r="I6" i="25"/>
  <c r="K21" i="3"/>
  <c r="H10" i="4"/>
  <c r="H13" i="4" s="1"/>
  <c r="J8" i="19"/>
  <c r="H8" i="25"/>
  <c r="I41" i="7"/>
  <c r="I43" i="7"/>
  <c r="I47" i="7" s="1"/>
  <c r="I14" i="7"/>
  <c r="K7" i="19"/>
  <c r="K7" i="7"/>
  <c r="L8" i="3"/>
  <c r="J7" i="25"/>
  <c r="I7" i="8"/>
  <c r="J7" i="4"/>
  <c r="I28" i="7" l="1"/>
  <c r="I33" i="7" s="1"/>
  <c r="I18" i="7"/>
  <c r="H26" i="18"/>
  <c r="A27" i="18"/>
  <c r="K6" i="19"/>
  <c r="K6" i="7"/>
  <c r="J6" i="4"/>
  <c r="J10" i="4" s="1"/>
  <c r="K35" i="3"/>
  <c r="K36" i="3" s="1"/>
  <c r="K38" i="3" s="1"/>
  <c r="J11" i="4" s="1"/>
  <c r="L7" i="3"/>
  <c r="J6" i="25"/>
  <c r="I6" i="8"/>
  <c r="K8" i="19"/>
  <c r="I8" i="25"/>
  <c r="I13" i="4"/>
  <c r="L7" i="19"/>
  <c r="L7" i="7"/>
  <c r="M8" i="3"/>
  <c r="K7" i="25"/>
  <c r="J7" i="8"/>
  <c r="K7" i="4"/>
  <c r="J14" i="7"/>
  <c r="J41" i="7"/>
  <c r="J43" i="7"/>
  <c r="J47" i="7" s="1"/>
  <c r="H21" i="18"/>
  <c r="G21" i="18" s="1"/>
  <c r="G22" i="18" l="1"/>
  <c r="G23" i="18" s="1"/>
  <c r="G24" i="18" s="1"/>
  <c r="G25" i="18" s="1"/>
  <c r="G26" i="18" s="1"/>
  <c r="H22" i="18"/>
  <c r="J28" i="7"/>
  <c r="J33" i="7" s="1"/>
  <c r="J18" i="7"/>
  <c r="K41" i="7"/>
  <c r="K43" i="7"/>
  <c r="K47" i="7" s="1"/>
  <c r="K14" i="7"/>
  <c r="L8" i="19"/>
  <c r="J8" i="25"/>
  <c r="I21" i="18"/>
  <c r="H27" i="18"/>
  <c r="A28" i="18"/>
  <c r="M7" i="19"/>
  <c r="M7" i="7"/>
  <c r="L7" i="4"/>
  <c r="N8" i="3"/>
  <c r="L7" i="25"/>
  <c r="K7" i="8"/>
  <c r="L6" i="19"/>
  <c r="L6" i="7"/>
  <c r="K6" i="4"/>
  <c r="K10" i="4" s="1"/>
  <c r="K13" i="4" s="1"/>
  <c r="M7" i="3"/>
  <c r="M21" i="3"/>
  <c r="L35" i="3"/>
  <c r="L36" i="3" s="1"/>
  <c r="L38" i="3" s="1"/>
  <c r="K11" i="4" s="1"/>
  <c r="K6" i="25"/>
  <c r="J6" i="8"/>
  <c r="L21" i="3"/>
  <c r="J13" i="4"/>
  <c r="K28" i="7" l="1"/>
  <c r="K33" i="7" s="1"/>
  <c r="K18" i="7"/>
  <c r="L43" i="7"/>
  <c r="L47" i="7" s="1"/>
  <c r="L41" i="7"/>
  <c r="L14" i="7"/>
  <c r="A29" i="18"/>
  <c r="H28" i="18"/>
  <c r="G27" i="18"/>
  <c r="M6" i="19"/>
  <c r="M6" i="7"/>
  <c r="N21" i="3"/>
  <c r="L6" i="4"/>
  <c r="L10" i="4" s="1"/>
  <c r="L13" i="4" s="1"/>
  <c r="N7" i="3"/>
  <c r="M35" i="3"/>
  <c r="M36" i="3" s="1"/>
  <c r="M38" i="3" s="1"/>
  <c r="L11" i="4" s="1"/>
  <c r="L6" i="25"/>
  <c r="K6" i="8"/>
  <c r="M8" i="19"/>
  <c r="K8" i="25"/>
  <c r="N7" i="7"/>
  <c r="N7" i="19"/>
  <c r="O8" i="3"/>
  <c r="M7" i="4"/>
  <c r="M7" i="25"/>
  <c r="L7" i="8"/>
  <c r="I22" i="18"/>
  <c r="I23" i="18" s="1"/>
  <c r="I24" i="18" s="1"/>
  <c r="I25" i="18" s="1"/>
  <c r="I26" i="18" s="1"/>
  <c r="I27" i="18" s="1"/>
  <c r="I28" i="18" s="1"/>
  <c r="A30" i="18" l="1"/>
  <c r="I29" i="18"/>
  <c r="H29" i="18"/>
  <c r="M43" i="7"/>
  <c r="M47" i="7" s="1"/>
  <c r="M14" i="7"/>
  <c r="M41" i="7"/>
  <c r="L28" i="7"/>
  <c r="L33" i="7" s="1"/>
  <c r="L18" i="7"/>
  <c r="O7" i="19"/>
  <c r="O7" i="7"/>
  <c r="N7" i="4"/>
  <c r="N7" i="25"/>
  <c r="P8" i="3"/>
  <c r="M7" i="8"/>
  <c r="N6" i="19"/>
  <c r="N6" i="7"/>
  <c r="N35" i="3"/>
  <c r="N36" i="3" s="1"/>
  <c r="N38" i="3" s="1"/>
  <c r="M11" i="4" s="1"/>
  <c r="M6" i="25"/>
  <c r="O7" i="3"/>
  <c r="M6" i="4"/>
  <c r="M10" i="4" s="1"/>
  <c r="M13" i="4" s="1"/>
  <c r="O21" i="3"/>
  <c r="L6" i="8"/>
  <c r="N8" i="19"/>
  <c r="L8" i="25"/>
  <c r="G28" i="18"/>
  <c r="G29" i="18" s="1"/>
  <c r="M28" i="7" l="1"/>
  <c r="M33" i="7" s="1"/>
  <c r="M18" i="7"/>
  <c r="O6" i="19"/>
  <c r="O6" i="7"/>
  <c r="N6" i="4"/>
  <c r="N10" i="4" s="1"/>
  <c r="P7" i="3"/>
  <c r="P21" i="3" s="1"/>
  <c r="O35" i="3"/>
  <c r="O36" i="3" s="1"/>
  <c r="O38" i="3" s="1"/>
  <c r="N11" i="4" s="1"/>
  <c r="N6" i="25"/>
  <c r="M6" i="8"/>
  <c r="O8" i="19"/>
  <c r="M8" i="25"/>
  <c r="N14" i="7"/>
  <c r="N43" i="7"/>
  <c r="N47" i="7" s="1"/>
  <c r="N41" i="7"/>
  <c r="H30" i="18"/>
  <c r="G30" i="18" s="1"/>
  <c r="I30" i="18"/>
  <c r="A31" i="18"/>
  <c r="P7" i="19"/>
  <c r="P7" i="7"/>
  <c r="O7" i="4"/>
  <c r="O7" i="25"/>
  <c r="Q8" i="3"/>
  <c r="N7" i="8"/>
  <c r="N13" i="4" l="1"/>
  <c r="N28" i="7"/>
  <c r="N33" i="7" s="1"/>
  <c r="N18" i="7"/>
  <c r="O14" i="7"/>
  <c r="O41" i="7"/>
  <c r="O43" i="7"/>
  <c r="O47" i="7" s="1"/>
  <c r="P8" i="19"/>
  <c r="N8" i="25"/>
  <c r="Q7" i="19"/>
  <c r="Q7" i="7"/>
  <c r="P7" i="4"/>
  <c r="R8" i="3"/>
  <c r="P7" i="25"/>
  <c r="O7" i="8"/>
  <c r="I31" i="18"/>
  <c r="A32" i="18"/>
  <c r="H31" i="18"/>
  <c r="G31" i="18" s="1"/>
  <c r="P6" i="19"/>
  <c r="P6" i="7"/>
  <c r="Q7" i="3"/>
  <c r="Q21" i="3"/>
  <c r="O6" i="4"/>
  <c r="O10" i="4" s="1"/>
  <c r="O13" i="4" s="1"/>
  <c r="P35" i="3"/>
  <c r="P36" i="3" s="1"/>
  <c r="P38" i="3" s="1"/>
  <c r="O11" i="4" s="1"/>
  <c r="O6" i="25"/>
  <c r="N6" i="8"/>
  <c r="Q8" i="19" l="1"/>
  <c r="O8" i="25"/>
  <c r="P43" i="7"/>
  <c r="P47" i="7" s="1"/>
  <c r="P41" i="7"/>
  <c r="P14" i="7"/>
  <c r="R7" i="19"/>
  <c r="Q7" i="25"/>
  <c r="R7" i="7"/>
  <c r="Q7" i="4"/>
  <c r="S8" i="3"/>
  <c r="P7" i="8"/>
  <c r="Q6" i="19"/>
  <c r="Q6" i="7"/>
  <c r="P6" i="25"/>
  <c r="P6" i="4"/>
  <c r="P10" i="4" s="1"/>
  <c r="R7" i="3"/>
  <c r="R21" i="3" s="1"/>
  <c r="O6" i="8"/>
  <c r="Q35" i="3"/>
  <c r="Q36" i="3" s="1"/>
  <c r="Q38" i="3" s="1"/>
  <c r="P11" i="4" s="1"/>
  <c r="O28" i="7"/>
  <c r="O33" i="7" s="1"/>
  <c r="O18" i="7"/>
  <c r="I32" i="18"/>
  <c r="H32" i="18"/>
  <c r="G32" i="18" s="1"/>
  <c r="A33" i="18"/>
  <c r="G33" i="18" l="1"/>
  <c r="R8" i="19"/>
  <c r="P8" i="25"/>
  <c r="Q41" i="7"/>
  <c r="Q43" i="7"/>
  <c r="Q47" i="7" s="1"/>
  <c r="Q14" i="7"/>
  <c r="P28" i="7"/>
  <c r="P33" i="7" s="1"/>
  <c r="P18" i="7"/>
  <c r="S7" i="19"/>
  <c r="S7" i="7"/>
  <c r="T8" i="3"/>
  <c r="R7" i="4"/>
  <c r="Q7" i="8"/>
  <c r="R7" i="25"/>
  <c r="H33" i="18"/>
  <c r="H34" i="18" s="1"/>
  <c r="C46" i="2" s="1"/>
  <c r="I33" i="18"/>
  <c r="R6" i="19"/>
  <c r="Q6" i="4"/>
  <c r="Q10" i="4" s="1"/>
  <c r="Q13" i="4" s="1"/>
  <c r="S7" i="3"/>
  <c r="R35" i="3"/>
  <c r="R36" i="3" s="1"/>
  <c r="R38" i="3" s="1"/>
  <c r="Q11" i="4" s="1"/>
  <c r="R6" i="7"/>
  <c r="S21" i="3"/>
  <c r="Q6" i="25"/>
  <c r="P6" i="8"/>
  <c r="P13" i="4"/>
  <c r="S6" i="19" l="1"/>
  <c r="R6" i="4"/>
  <c r="R10" i="4" s="1"/>
  <c r="R13" i="4" s="1"/>
  <c r="S6" i="7"/>
  <c r="S35" i="3"/>
  <c r="S36" i="3" s="1"/>
  <c r="S38" i="3" s="1"/>
  <c r="R11" i="4" s="1"/>
  <c r="T7" i="3"/>
  <c r="R6" i="25"/>
  <c r="Q6" i="8"/>
  <c r="T7" i="19"/>
  <c r="T7" i="7"/>
  <c r="S7" i="4"/>
  <c r="U8" i="3"/>
  <c r="R7" i="8"/>
  <c r="S7" i="25"/>
  <c r="D46" i="2"/>
  <c r="C50" i="2"/>
  <c r="B16" i="7"/>
  <c r="Q28" i="7"/>
  <c r="Q33" i="7" s="1"/>
  <c r="Q18" i="7"/>
  <c r="R14" i="7"/>
  <c r="R41" i="7"/>
  <c r="R43" i="7"/>
  <c r="R47" i="7" s="1"/>
  <c r="S8" i="19"/>
  <c r="Q8" i="25"/>
  <c r="R45" i="7" l="1"/>
  <c r="R28" i="7"/>
  <c r="R33" i="7" s="1"/>
  <c r="R18" i="7"/>
  <c r="T6" i="19"/>
  <c r="T6" i="7"/>
  <c r="S6" i="4"/>
  <c r="S10" i="4" s="1"/>
  <c r="S13" i="4" s="1"/>
  <c r="U7" i="3"/>
  <c r="U21" i="3"/>
  <c r="S6" i="25"/>
  <c r="R6" i="8"/>
  <c r="T35" i="3"/>
  <c r="T36" i="3" s="1"/>
  <c r="T38" i="3" s="1"/>
  <c r="S11" i="4" s="1"/>
  <c r="U7" i="19"/>
  <c r="U7" i="7"/>
  <c r="T7" i="4"/>
  <c r="V8" i="3"/>
  <c r="S7" i="8"/>
  <c r="T7" i="25"/>
  <c r="T21" i="3"/>
  <c r="F16" i="7"/>
  <c r="N16" i="7"/>
  <c r="V16" i="7"/>
  <c r="AD16" i="7"/>
  <c r="J16" i="7"/>
  <c r="R16" i="7"/>
  <c r="Z16" i="7"/>
  <c r="AH16" i="7"/>
  <c r="G16" i="7"/>
  <c r="Q16" i="7"/>
  <c r="AB16" i="7"/>
  <c r="H16" i="7"/>
  <c r="S16" i="7"/>
  <c r="AC16" i="7"/>
  <c r="I16" i="7"/>
  <c r="T16" i="7"/>
  <c r="AE16" i="7"/>
  <c r="B45" i="7"/>
  <c r="D16" i="7"/>
  <c r="O16" i="7"/>
  <c r="Y16" i="7"/>
  <c r="B31" i="7"/>
  <c r="L16" i="7"/>
  <c r="AG16" i="7"/>
  <c r="M16" i="7"/>
  <c r="P16" i="7"/>
  <c r="K16" i="7"/>
  <c r="AF16" i="7"/>
  <c r="X16" i="7"/>
  <c r="AA16" i="7"/>
  <c r="U16" i="7"/>
  <c r="W16" i="7"/>
  <c r="E16" i="7"/>
  <c r="S14" i="7"/>
  <c r="S41" i="7"/>
  <c r="S45" i="7" s="1"/>
  <c r="S43" i="7"/>
  <c r="S47" i="7" s="1"/>
  <c r="T8" i="19"/>
  <c r="R8" i="25"/>
  <c r="D50" i="2"/>
  <c r="C58" i="2"/>
  <c r="B17" i="7"/>
  <c r="L19" i="7" l="1"/>
  <c r="U8" i="19"/>
  <c r="S8" i="25"/>
  <c r="R19" i="7"/>
  <c r="V7" i="19"/>
  <c r="V7" i="7"/>
  <c r="U7" i="4"/>
  <c r="U7" i="25"/>
  <c r="W8" i="3"/>
  <c r="T7" i="8"/>
  <c r="U6" i="19"/>
  <c r="U6" i="7"/>
  <c r="T6" i="4"/>
  <c r="T10" i="4" s="1"/>
  <c r="T6" i="25"/>
  <c r="V7" i="3"/>
  <c r="V21" i="3" s="1"/>
  <c r="U35" i="3"/>
  <c r="U36" i="3" s="1"/>
  <c r="U38" i="3" s="1"/>
  <c r="T11" i="4" s="1"/>
  <c r="S6" i="8"/>
  <c r="S28" i="7"/>
  <c r="S33" i="7" s="1"/>
  <c r="S18" i="7"/>
  <c r="T14" i="7"/>
  <c r="T41" i="7"/>
  <c r="T45" i="7" s="1"/>
  <c r="T43" i="7"/>
  <c r="T47" i="7" s="1"/>
  <c r="F17" i="7"/>
  <c r="F19" i="7" s="1"/>
  <c r="N17" i="7"/>
  <c r="V17" i="7"/>
  <c r="AD17" i="7"/>
  <c r="J17" i="7"/>
  <c r="J19" i="7" s="1"/>
  <c r="R17" i="7"/>
  <c r="Z17" i="7"/>
  <c r="AH17" i="7"/>
  <c r="G17" i="7"/>
  <c r="G19" i="7" s="1"/>
  <c r="Q17" i="7"/>
  <c r="Q19" i="7" s="1"/>
  <c r="AB17" i="7"/>
  <c r="H17" i="7"/>
  <c r="H19" i="7" s="1"/>
  <c r="S17" i="7"/>
  <c r="S19" i="7" s="1"/>
  <c r="AC17" i="7"/>
  <c r="I17" i="7"/>
  <c r="T17" i="7"/>
  <c r="AE17" i="7"/>
  <c r="B32" i="7"/>
  <c r="D17" i="7"/>
  <c r="D19" i="7" s="1"/>
  <c r="O17" i="7"/>
  <c r="Y17" i="7"/>
  <c r="W17" i="7"/>
  <c r="X17" i="7"/>
  <c r="E17" i="7"/>
  <c r="AA17" i="7"/>
  <c r="U17" i="7"/>
  <c r="K17" i="7"/>
  <c r="AF17" i="7"/>
  <c r="B46" i="7"/>
  <c r="AG17" i="7"/>
  <c r="L17" i="7"/>
  <c r="M17" i="7"/>
  <c r="P17" i="7"/>
  <c r="P19" i="7" s="1"/>
  <c r="E19" i="7"/>
  <c r="B19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N19" i="7"/>
  <c r="B28" i="2"/>
  <c r="B39" i="2"/>
  <c r="B42" i="2"/>
  <c r="B53" i="2"/>
  <c r="C11" i="2"/>
  <c r="B23" i="2"/>
  <c r="B26" i="2"/>
  <c r="B29" i="2"/>
  <c r="B31" i="2"/>
  <c r="B43" i="2"/>
  <c r="B54" i="2"/>
  <c r="B25" i="2"/>
  <c r="C18" i="19"/>
  <c r="C20" i="19" s="1"/>
  <c r="C25" i="19" s="1"/>
  <c r="B30" i="2"/>
  <c r="B41" i="2"/>
  <c r="B48" i="2"/>
  <c r="B55" i="2"/>
  <c r="B24" i="2"/>
  <c r="B33" i="2"/>
  <c r="B47" i="2"/>
  <c r="B20" i="2"/>
  <c r="B40" i="2"/>
  <c r="D58" i="2"/>
  <c r="C62" i="2" s="1"/>
  <c r="B49" i="2"/>
  <c r="B32" i="2"/>
  <c r="B27" i="2"/>
  <c r="B44" i="2"/>
  <c r="B45" i="2"/>
  <c r="B22" i="2"/>
  <c r="B38" i="2"/>
  <c r="B37" i="2"/>
  <c r="AG51" i="25"/>
  <c r="W51" i="25" s="1"/>
  <c r="B21" i="2"/>
  <c r="B46" i="2"/>
  <c r="M19" i="7"/>
  <c r="K19" i="7"/>
  <c r="O19" i="7"/>
  <c r="I19" i="7"/>
  <c r="J31" i="7"/>
  <c r="R31" i="7"/>
  <c r="Z31" i="7"/>
  <c r="AH31" i="7"/>
  <c r="F31" i="7"/>
  <c r="O31" i="7"/>
  <c r="X31" i="7"/>
  <c r="AG31" i="7"/>
  <c r="G31" i="7"/>
  <c r="P31" i="7"/>
  <c r="Y31" i="7"/>
  <c r="B34" i="7"/>
  <c r="L31" i="7"/>
  <c r="U31" i="7"/>
  <c r="AD31" i="7"/>
  <c r="Q31" i="7"/>
  <c r="AE31" i="7"/>
  <c r="D31" i="7"/>
  <c r="S31" i="7"/>
  <c r="AF31" i="7"/>
  <c r="E31" i="7"/>
  <c r="T31" i="7"/>
  <c r="N31" i="7"/>
  <c r="AC31" i="7"/>
  <c r="H31" i="7"/>
  <c r="I31" i="7"/>
  <c r="K31" i="7"/>
  <c r="AA31" i="7"/>
  <c r="AB31" i="7"/>
  <c r="M31" i="7"/>
  <c r="V31" i="7"/>
  <c r="W31" i="7"/>
  <c r="D48" i="7" l="1"/>
  <c r="Q46" i="7"/>
  <c r="AA46" i="7"/>
  <c r="R46" i="7"/>
  <c r="R48" i="7" s="1"/>
  <c r="Q34" i="4" s="1"/>
  <c r="P11" i="8" s="1"/>
  <c r="S46" i="7"/>
  <c r="S48" i="7" s="1"/>
  <c r="R34" i="4" s="1"/>
  <c r="Q11" i="8" s="1"/>
  <c r="O46" i="7"/>
  <c r="O48" i="7" s="1"/>
  <c r="N34" i="4" s="1"/>
  <c r="M11" i="8" s="1"/>
  <c r="Z46" i="7"/>
  <c r="K46" i="7"/>
  <c r="K48" i="7" s="1"/>
  <c r="J34" i="4" s="1"/>
  <c r="I11" i="8" s="1"/>
  <c r="AG46" i="7"/>
  <c r="M46" i="7"/>
  <c r="AH46" i="7"/>
  <c r="Y46" i="7"/>
  <c r="J46" i="7"/>
  <c r="AE46" i="7"/>
  <c r="V46" i="7"/>
  <c r="W46" i="7"/>
  <c r="U46" i="7"/>
  <c r="L46" i="7"/>
  <c r="X46" i="7"/>
  <c r="P46" i="7"/>
  <c r="P48" i="7" s="1"/>
  <c r="O34" i="4" s="1"/>
  <c r="N11" i="8" s="1"/>
  <c r="N46" i="7"/>
  <c r="AD46" i="7"/>
  <c r="H46" i="7"/>
  <c r="H48" i="7" s="1"/>
  <c r="G34" i="4" s="1"/>
  <c r="F11" i="8" s="1"/>
  <c r="AB46" i="7"/>
  <c r="T46" i="7"/>
  <c r="T48" i="7" s="1"/>
  <c r="S34" i="4" s="1"/>
  <c r="R11" i="8" s="1"/>
  <c r="AF46" i="7"/>
  <c r="AC46" i="7"/>
  <c r="G46" i="7"/>
  <c r="I46" i="7"/>
  <c r="E46" i="7"/>
  <c r="F46" i="7"/>
  <c r="F48" i="7" s="1"/>
  <c r="E34" i="4" s="1"/>
  <c r="D11" i="8" s="1"/>
  <c r="D46" i="7"/>
  <c r="T34" i="7"/>
  <c r="R12" i="8" s="1"/>
  <c r="Q48" i="7"/>
  <c r="P34" i="4" s="1"/>
  <c r="O11" i="8" s="1"/>
  <c r="I48" i="7"/>
  <c r="H34" i="4" s="1"/>
  <c r="G11" i="8" s="1"/>
  <c r="J32" i="7"/>
  <c r="J34" i="7" s="1"/>
  <c r="H12" i="8" s="1"/>
  <c r="R32" i="7"/>
  <c r="Z32" i="7"/>
  <c r="AH32" i="7"/>
  <c r="AC32" i="7"/>
  <c r="U32" i="7"/>
  <c r="AD32" i="7"/>
  <c r="N32" i="7"/>
  <c r="N34" i="7" s="1"/>
  <c r="L12" i="8" s="1"/>
  <c r="AB32" i="7"/>
  <c r="Q32" i="7"/>
  <c r="AF32" i="7"/>
  <c r="M32" i="7"/>
  <c r="M34" i="7" s="1"/>
  <c r="K12" i="8" s="1"/>
  <c r="AA32" i="7"/>
  <c r="AG32" i="7"/>
  <c r="H32" i="7"/>
  <c r="H34" i="7" s="1"/>
  <c r="F12" i="8" s="1"/>
  <c r="X32" i="7"/>
  <c r="V32" i="7"/>
  <c r="S32" i="7"/>
  <c r="Y32" i="7"/>
  <c r="K32" i="7"/>
  <c r="G32" i="7"/>
  <c r="L32" i="7"/>
  <c r="AE32" i="7"/>
  <c r="W32" i="7"/>
  <c r="O32" i="7"/>
  <c r="O34" i="7" s="1"/>
  <c r="M12" i="8" s="1"/>
  <c r="P32" i="7"/>
  <c r="T32" i="7"/>
  <c r="E32" i="7"/>
  <c r="E34" i="7" s="1"/>
  <c r="C12" i="8" s="1"/>
  <c r="F32" i="7"/>
  <c r="I32" i="7"/>
  <c r="D32" i="7"/>
  <c r="L34" i="7"/>
  <c r="J12" i="8" s="1"/>
  <c r="C47" i="19"/>
  <c r="T13" i="4"/>
  <c r="B36" i="7"/>
  <c r="B56" i="2"/>
  <c r="G48" i="7"/>
  <c r="F34" i="4" s="1"/>
  <c r="E11" i="8" s="1"/>
  <c r="U43" i="7"/>
  <c r="U47" i="7" s="1"/>
  <c r="U41" i="7"/>
  <c r="U45" i="7" s="1"/>
  <c r="U14" i="7"/>
  <c r="V8" i="19"/>
  <c r="T8" i="25"/>
  <c r="F34" i="7"/>
  <c r="D12" i="8" s="1"/>
  <c r="B34" i="2"/>
  <c r="C14" i="2"/>
  <c r="G41" i="19"/>
  <c r="O41" i="19"/>
  <c r="W41" i="19"/>
  <c r="AE41" i="19"/>
  <c r="D11" i="2"/>
  <c r="I41" i="19"/>
  <c r="Q41" i="19"/>
  <c r="Y41" i="19"/>
  <c r="AG41" i="19"/>
  <c r="F41" i="19"/>
  <c r="N41" i="19"/>
  <c r="V41" i="19"/>
  <c r="AD41" i="19"/>
  <c r="H47" i="2"/>
  <c r="M41" i="19"/>
  <c r="AA41" i="19"/>
  <c r="C41" i="19"/>
  <c r="C43" i="19" s="1"/>
  <c r="C45" i="19" s="1"/>
  <c r="P41" i="19"/>
  <c r="AB41" i="19"/>
  <c r="D41" i="19"/>
  <c r="R41" i="19"/>
  <c r="AC41" i="19"/>
  <c r="K41" i="19"/>
  <c r="X41" i="19"/>
  <c r="S41" i="19"/>
  <c r="U41" i="19"/>
  <c r="J41" i="19"/>
  <c r="L41" i="19"/>
  <c r="T41" i="19"/>
  <c r="Z41" i="19"/>
  <c r="E41" i="19"/>
  <c r="AH41" i="19"/>
  <c r="H41" i="19"/>
  <c r="AF41" i="19"/>
  <c r="B42" i="25"/>
  <c r="B45" i="25" s="1"/>
  <c r="B49" i="25"/>
  <c r="B52" i="25" s="1"/>
  <c r="B25" i="25"/>
  <c r="B56" i="25"/>
  <c r="B59" i="25" s="1"/>
  <c r="B36" i="25"/>
  <c r="B38" i="25" s="1"/>
  <c r="H48" i="2"/>
  <c r="K34" i="7"/>
  <c r="I12" i="8" s="1"/>
  <c r="S34" i="7"/>
  <c r="Q12" i="8" s="1"/>
  <c r="N48" i="7"/>
  <c r="M34" i="4" s="1"/>
  <c r="L11" i="8" s="1"/>
  <c r="I34" i="7"/>
  <c r="G12" i="8" s="1"/>
  <c r="D34" i="7"/>
  <c r="B12" i="8" s="1"/>
  <c r="P34" i="7"/>
  <c r="N12" i="8" s="1"/>
  <c r="R34" i="7"/>
  <c r="P12" i="8" s="1"/>
  <c r="M48" i="7"/>
  <c r="L34" i="4" s="1"/>
  <c r="K11" i="8" s="1"/>
  <c r="E48" i="7"/>
  <c r="D34" i="4" s="1"/>
  <c r="C11" i="8" s="1"/>
  <c r="T28" i="7"/>
  <c r="T33" i="7" s="1"/>
  <c r="T18" i="7"/>
  <c r="T19" i="7" s="1"/>
  <c r="G34" i="7"/>
  <c r="E12" i="8" s="1"/>
  <c r="L48" i="7"/>
  <c r="K34" i="4" s="1"/>
  <c r="J11" i="8" s="1"/>
  <c r="W7" i="19"/>
  <c r="W7" i="7"/>
  <c r="V7" i="4"/>
  <c r="V7" i="25"/>
  <c r="X8" i="3"/>
  <c r="U7" i="8"/>
  <c r="Q34" i="7"/>
  <c r="O12" i="8" s="1"/>
  <c r="B48" i="7"/>
  <c r="V6" i="19"/>
  <c r="V6" i="7"/>
  <c r="V35" i="3"/>
  <c r="V36" i="3" s="1"/>
  <c r="V38" i="3" s="1"/>
  <c r="U11" i="4" s="1"/>
  <c r="U6" i="4"/>
  <c r="U10" i="4" s="1"/>
  <c r="U13" i="4" s="1"/>
  <c r="U6" i="25"/>
  <c r="W21" i="3"/>
  <c r="W7" i="3"/>
  <c r="T6" i="8"/>
  <c r="B50" i="2"/>
  <c r="J48" i="7"/>
  <c r="I34" i="4" s="1"/>
  <c r="H11" i="8" s="1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B21" i="7"/>
  <c r="U34" i="7" l="1"/>
  <c r="S12" i="8" s="1"/>
  <c r="W8" i="19"/>
  <c r="U8" i="25"/>
  <c r="U48" i="7"/>
  <c r="T34" i="4" s="1"/>
  <c r="S11" i="8" s="1"/>
  <c r="V14" i="7"/>
  <c r="V43" i="7"/>
  <c r="V47" i="7" s="1"/>
  <c r="V41" i="7"/>
  <c r="V45" i="7" s="1"/>
  <c r="E19" i="19"/>
  <c r="M19" i="19"/>
  <c r="F19" i="19"/>
  <c r="N19" i="19"/>
  <c r="G19" i="19"/>
  <c r="O19" i="19"/>
  <c r="D19" i="19"/>
  <c r="L19" i="19"/>
  <c r="T19" i="19"/>
  <c r="S19" i="19"/>
  <c r="H19" i="19"/>
  <c r="I19" i="19"/>
  <c r="Q19" i="19"/>
  <c r="J19" i="19"/>
  <c r="P19" i="19"/>
  <c r="R19" i="19"/>
  <c r="K19" i="19"/>
  <c r="C34" i="4"/>
  <c r="B11" i="8" s="1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D14" i="2"/>
  <c r="B14" i="2"/>
  <c r="B12" i="2"/>
  <c r="X7" i="19"/>
  <c r="X7" i="7"/>
  <c r="W7" i="4"/>
  <c r="W7" i="25"/>
  <c r="Y8" i="3"/>
  <c r="V7" i="8"/>
  <c r="C26" i="25"/>
  <c r="B29" i="25"/>
  <c r="C25" i="25" s="1"/>
  <c r="D18" i="19"/>
  <c r="L18" i="19"/>
  <c r="T18" i="19"/>
  <c r="AB18" i="19"/>
  <c r="E18" i="19"/>
  <c r="E20" i="19" s="1"/>
  <c r="E25" i="19" s="1"/>
  <c r="M18" i="19"/>
  <c r="M20" i="19" s="1"/>
  <c r="M25" i="19" s="1"/>
  <c r="U18" i="19"/>
  <c r="AC18" i="19"/>
  <c r="F18" i="19"/>
  <c r="N18" i="19"/>
  <c r="V18" i="19"/>
  <c r="AD18" i="19"/>
  <c r="K18" i="19"/>
  <c r="S18" i="19"/>
  <c r="S20" i="19" s="1"/>
  <c r="S25" i="19" s="1"/>
  <c r="AA18" i="19"/>
  <c r="R18" i="19"/>
  <c r="AH18" i="19"/>
  <c r="G18" i="19"/>
  <c r="G20" i="19" s="1"/>
  <c r="G25" i="19" s="1"/>
  <c r="W18" i="19"/>
  <c r="H18" i="19"/>
  <c r="H20" i="19" s="1"/>
  <c r="H25" i="19" s="1"/>
  <c r="X18" i="19"/>
  <c r="P18" i="19"/>
  <c r="P20" i="19" s="1"/>
  <c r="P25" i="19" s="1"/>
  <c r="AF18" i="19"/>
  <c r="I18" i="19"/>
  <c r="O18" i="19"/>
  <c r="O20" i="19" s="1"/>
  <c r="O25" i="19" s="1"/>
  <c r="AE18" i="19"/>
  <c r="Y18" i="19"/>
  <c r="Z18" i="19"/>
  <c r="AG18" i="19"/>
  <c r="J18" i="19"/>
  <c r="D50" i="7"/>
  <c r="Q18" i="19"/>
  <c r="B50" i="7"/>
  <c r="U28" i="7"/>
  <c r="U33" i="7" s="1"/>
  <c r="U18" i="7"/>
  <c r="U19" i="7" s="1"/>
  <c r="B11" i="2"/>
  <c r="T21" i="7"/>
  <c r="U21" i="7" s="1"/>
  <c r="W6" i="7"/>
  <c r="W6" i="19"/>
  <c r="V6" i="4"/>
  <c r="V10" i="4" s="1"/>
  <c r="V6" i="25"/>
  <c r="W35" i="3"/>
  <c r="W36" i="3" s="1"/>
  <c r="W38" i="3" s="1"/>
  <c r="V11" i="4" s="1"/>
  <c r="X7" i="3"/>
  <c r="U6" i="8"/>
  <c r="B58" i="2"/>
  <c r="X6" i="19" l="1"/>
  <c r="X6" i="7"/>
  <c r="W6" i="4"/>
  <c r="Y7" i="3"/>
  <c r="X35" i="3"/>
  <c r="X36" i="3" s="1"/>
  <c r="X38" i="3" s="1"/>
  <c r="W11" i="4" s="1"/>
  <c r="V6" i="8"/>
  <c r="W6" i="25"/>
  <c r="Y21" i="3"/>
  <c r="T20" i="19"/>
  <c r="T25" i="19" s="1"/>
  <c r="Y7" i="19"/>
  <c r="Y7" i="7"/>
  <c r="X7" i="4"/>
  <c r="Z8" i="3"/>
  <c r="W7" i="8"/>
  <c r="X7" i="25"/>
  <c r="X21" i="3"/>
  <c r="F20" i="19"/>
  <c r="F25" i="19" s="1"/>
  <c r="D20" i="19"/>
  <c r="D25" i="19" s="1"/>
  <c r="V13" i="4"/>
  <c r="Q20" i="19"/>
  <c r="Q25" i="19" s="1"/>
  <c r="I20" i="19"/>
  <c r="I25" i="19" s="1"/>
  <c r="R20" i="19"/>
  <c r="R25" i="19" s="1"/>
  <c r="V28" i="7"/>
  <c r="V33" i="7" s="1"/>
  <c r="V34" i="7" s="1"/>
  <c r="T12" i="8" s="1"/>
  <c r="V18" i="7"/>
  <c r="V19" i="7" s="1"/>
  <c r="V21" i="7" s="1"/>
  <c r="C24" i="4"/>
  <c r="E50" i="7"/>
  <c r="U20" i="19"/>
  <c r="U25" i="19" s="1"/>
  <c r="W14" i="7"/>
  <c r="W43" i="7"/>
  <c r="W47" i="7" s="1"/>
  <c r="W41" i="7"/>
  <c r="W45" i="7" s="1"/>
  <c r="W48" i="7" s="1"/>
  <c r="V34" i="4" s="1"/>
  <c r="U11" i="8" s="1"/>
  <c r="K20" i="19"/>
  <c r="K25" i="19" s="1"/>
  <c r="N20" i="19"/>
  <c r="N25" i="19" s="1"/>
  <c r="L20" i="19"/>
  <c r="L25" i="19" s="1"/>
  <c r="U36" i="7"/>
  <c r="V36" i="7" s="1"/>
  <c r="W19" i="19"/>
  <c r="W20" i="19" s="1"/>
  <c r="W25" i="19" s="1"/>
  <c r="U19" i="19"/>
  <c r="V48" i="7"/>
  <c r="X8" i="19"/>
  <c r="V8" i="25"/>
  <c r="J20" i="19"/>
  <c r="J25" i="19" s="1"/>
  <c r="W36" i="7" l="1"/>
  <c r="Y8" i="19"/>
  <c r="W8" i="25"/>
  <c r="U34" i="4"/>
  <c r="T11" i="8" s="1"/>
  <c r="F50" i="7"/>
  <c r="D24" i="4"/>
  <c r="D30" i="4" s="1"/>
  <c r="D32" i="4" s="1"/>
  <c r="V19" i="19"/>
  <c r="V20" i="19" s="1"/>
  <c r="V25" i="19" s="1"/>
  <c r="N31" i="2"/>
  <c r="O31" i="2" s="1"/>
  <c r="C30" i="4"/>
  <c r="C32" i="4" s="1"/>
  <c r="Y6" i="19"/>
  <c r="Y6" i="7"/>
  <c r="X6" i="4"/>
  <c r="X10" i="4" s="1"/>
  <c r="X6" i="25"/>
  <c r="Z7" i="3"/>
  <c r="Z21" i="3" s="1"/>
  <c r="W6" i="8"/>
  <c r="Y35" i="3"/>
  <c r="Y36" i="3" s="1"/>
  <c r="Y38" i="3" s="1"/>
  <c r="X11" i="4" s="1"/>
  <c r="W28" i="7"/>
  <c r="W33" i="7" s="1"/>
  <c r="W34" i="7" s="1"/>
  <c r="U12" i="8" s="1"/>
  <c r="W18" i="7"/>
  <c r="W19" i="7" s="1"/>
  <c r="W21" i="7" s="1"/>
  <c r="W10" i="4"/>
  <c r="W13" i="4" s="1"/>
  <c r="Z7" i="19"/>
  <c r="Z7" i="7"/>
  <c r="Y7" i="4"/>
  <c r="Y7" i="25"/>
  <c r="AA8" i="3"/>
  <c r="X7" i="8"/>
  <c r="X41" i="7"/>
  <c r="X45" i="7" s="1"/>
  <c r="X43" i="7"/>
  <c r="X47" i="7" s="1"/>
  <c r="X14" i="7"/>
  <c r="X28" i="7" l="1"/>
  <c r="X33" i="7" s="1"/>
  <c r="X34" i="7" s="1"/>
  <c r="V12" i="8" s="1"/>
  <c r="X18" i="7"/>
  <c r="X19" i="7" s="1"/>
  <c r="X21" i="7" s="1"/>
  <c r="G50" i="7"/>
  <c r="E24" i="4"/>
  <c r="E30" i="4" s="1"/>
  <c r="E32" i="4" s="1"/>
  <c r="Z8" i="19"/>
  <c r="X8" i="25"/>
  <c r="X48" i="7"/>
  <c r="B74" i="2"/>
  <c r="C36" i="4"/>
  <c r="C11" i="25"/>
  <c r="C13" i="25" s="1"/>
  <c r="B38" i="6"/>
  <c r="Z6" i="19"/>
  <c r="Z6" i="7"/>
  <c r="AA7" i="3"/>
  <c r="Z35" i="3"/>
  <c r="Z36" i="3" s="1"/>
  <c r="Z38" i="3" s="1"/>
  <c r="Y11" i="4" s="1"/>
  <c r="Y6" i="4"/>
  <c r="Y10" i="4" s="1"/>
  <c r="Y13" i="4" s="1"/>
  <c r="Y6" i="25"/>
  <c r="X6" i="8"/>
  <c r="AA7" i="19"/>
  <c r="AA7" i="7"/>
  <c r="AB8" i="3"/>
  <c r="Z7" i="4"/>
  <c r="Z7" i="25"/>
  <c r="Y7" i="8"/>
  <c r="X13" i="4"/>
  <c r="X36" i="7"/>
  <c r="Y41" i="7"/>
  <c r="Y45" i="7" s="1"/>
  <c r="Y43" i="7"/>
  <c r="Y47" i="7" s="1"/>
  <c r="Y14" i="7"/>
  <c r="C74" i="2"/>
  <c r="C38" i="6"/>
  <c r="C29" i="6"/>
  <c r="C11" i="6" s="1"/>
  <c r="C13" i="6" s="1"/>
  <c r="D11" i="25"/>
  <c r="D36" i="4"/>
  <c r="W34" i="4" l="1"/>
  <c r="V11" i="8" s="1"/>
  <c r="X19" i="19"/>
  <c r="X20" i="19" s="1"/>
  <c r="X25" i="19" s="1"/>
  <c r="Y19" i="19"/>
  <c r="Y20" i="19" s="1"/>
  <c r="Y25" i="19" s="1"/>
  <c r="B11" i="6"/>
  <c r="B13" i="6" s="1"/>
  <c r="B37" i="6" s="1"/>
  <c r="Y28" i="7"/>
  <c r="Y33" i="7" s="1"/>
  <c r="Y34" i="7" s="1"/>
  <c r="W12" i="8" s="1"/>
  <c r="Y18" i="7"/>
  <c r="Y19" i="7" s="1"/>
  <c r="Y21" i="7" s="1"/>
  <c r="AB7" i="19"/>
  <c r="AB7" i="7"/>
  <c r="AC8" i="3"/>
  <c r="AA7" i="4"/>
  <c r="AA7" i="25"/>
  <c r="Z7" i="8"/>
  <c r="AA6" i="19"/>
  <c r="Z6" i="4"/>
  <c r="Z10" i="4" s="1"/>
  <c r="AA6" i="7"/>
  <c r="AA35" i="3"/>
  <c r="AA36" i="3" s="1"/>
  <c r="AA38" i="3" s="1"/>
  <c r="Z11" i="4" s="1"/>
  <c r="Z6" i="25"/>
  <c r="AB7" i="3"/>
  <c r="Y6" i="8"/>
  <c r="Y48" i="7"/>
  <c r="X34" i="4" s="1"/>
  <c r="W11" i="8" s="1"/>
  <c r="AA8" i="19"/>
  <c r="Y8" i="25"/>
  <c r="Y36" i="7"/>
  <c r="Z14" i="7"/>
  <c r="Z43" i="7"/>
  <c r="Z47" i="7" s="1"/>
  <c r="Z41" i="7"/>
  <c r="Z45" i="7" s="1"/>
  <c r="AA21" i="3"/>
  <c r="D74" i="2"/>
  <c r="E11" i="25"/>
  <c r="E36" i="4"/>
  <c r="D29" i="6"/>
  <c r="D38" i="6"/>
  <c r="B76" i="2"/>
  <c r="H50" i="7"/>
  <c r="F24" i="4"/>
  <c r="F30" i="4" s="1"/>
  <c r="F32" i="4" s="1"/>
  <c r="D11" i="6" l="1"/>
  <c r="D13" i="6" s="1"/>
  <c r="AB6" i="19"/>
  <c r="AB6" i="7"/>
  <c r="AA6" i="4"/>
  <c r="AA10" i="4" s="1"/>
  <c r="AC7" i="3"/>
  <c r="AC21" i="3"/>
  <c r="AB35" i="3"/>
  <c r="AB36" i="3" s="1"/>
  <c r="AB38" i="3" s="1"/>
  <c r="AA11" i="4" s="1"/>
  <c r="Z6" i="8"/>
  <c r="AA6" i="25"/>
  <c r="F36" i="4"/>
  <c r="F11" i="25"/>
  <c r="E29" i="6"/>
  <c r="E38" i="6"/>
  <c r="G24" i="4"/>
  <c r="G30" i="4" s="1"/>
  <c r="G32" i="4" s="1"/>
  <c r="I50" i="7"/>
  <c r="AB21" i="3"/>
  <c r="AA43" i="7"/>
  <c r="AA47" i="7" s="1"/>
  <c r="AA14" i="7"/>
  <c r="AA41" i="7"/>
  <c r="AA45" i="7" s="1"/>
  <c r="Z28" i="7"/>
  <c r="Z33" i="7" s="1"/>
  <c r="Z34" i="7" s="1"/>
  <c r="X12" i="8" s="1"/>
  <c r="Z18" i="7"/>
  <c r="Z19" i="7" s="1"/>
  <c r="Z21" i="7" s="1"/>
  <c r="AC7" i="19"/>
  <c r="AC7" i="7"/>
  <c r="AB7" i="4"/>
  <c r="AD8" i="3"/>
  <c r="AB7" i="25"/>
  <c r="AA7" i="8"/>
  <c r="AB8" i="19"/>
  <c r="Z8" i="25"/>
  <c r="Z13" i="4"/>
  <c r="B42" i="6"/>
  <c r="B35" i="6"/>
  <c r="B39" i="6" s="1"/>
  <c r="Z48" i="7"/>
  <c r="AA48" i="7" l="1"/>
  <c r="Z34" i="4" s="1"/>
  <c r="Y11" i="8" s="1"/>
  <c r="B45" i="6"/>
  <c r="C24" i="6" s="1"/>
  <c r="B44" i="6"/>
  <c r="AD7" i="19"/>
  <c r="AD7" i="7"/>
  <c r="AE8" i="3"/>
  <c r="AC7" i="4"/>
  <c r="AC7" i="25"/>
  <c r="AB7" i="8"/>
  <c r="AA28" i="7"/>
  <c r="AA33" i="7" s="1"/>
  <c r="AA34" i="7" s="1"/>
  <c r="Y12" i="8" s="1"/>
  <c r="AA18" i="7"/>
  <c r="AA19" i="7" s="1"/>
  <c r="AA21" i="7" s="1"/>
  <c r="E11" i="6"/>
  <c r="E13" i="6" s="1"/>
  <c r="AC6" i="19"/>
  <c r="AB6" i="4"/>
  <c r="AB10" i="4" s="1"/>
  <c r="AC6" i="7"/>
  <c r="AD21" i="3"/>
  <c r="AD7" i="3"/>
  <c r="AC35" i="3"/>
  <c r="AC36" i="3" s="1"/>
  <c r="AC38" i="3" s="1"/>
  <c r="AB11" i="4" s="1"/>
  <c r="AB6" i="25"/>
  <c r="AA6" i="8"/>
  <c r="AC8" i="19"/>
  <c r="AA8" i="25"/>
  <c r="H24" i="4"/>
  <c r="H30" i="4" s="1"/>
  <c r="H32" i="4" s="1"/>
  <c r="J50" i="7"/>
  <c r="B48" i="6"/>
  <c r="B56" i="6"/>
  <c r="AA13" i="4"/>
  <c r="AB14" i="7"/>
  <c r="AB43" i="7"/>
  <c r="AB47" i="7" s="1"/>
  <c r="AB41" i="7"/>
  <c r="AB45" i="7" s="1"/>
  <c r="AB48" i="7" s="1"/>
  <c r="AA34" i="4" s="1"/>
  <c r="Z11" i="8" s="1"/>
  <c r="Z36" i="7"/>
  <c r="AA36" i="7" s="1"/>
  <c r="Y34" i="4"/>
  <c r="X11" i="8" s="1"/>
  <c r="Z19" i="19"/>
  <c r="Z20" i="19" s="1"/>
  <c r="Z25" i="19" s="1"/>
  <c r="AA19" i="19"/>
  <c r="AA20" i="19" s="1"/>
  <c r="AA25" i="19" s="1"/>
  <c r="G36" i="4"/>
  <c r="G11" i="25"/>
  <c r="F29" i="6"/>
  <c r="F11" i="6" s="1"/>
  <c r="F13" i="6" s="1"/>
  <c r="F38" i="6"/>
  <c r="AD8" i="19" l="1"/>
  <c r="AB8" i="25"/>
  <c r="AB36" i="7"/>
  <c r="AB13" i="4"/>
  <c r="AE7" i="19"/>
  <c r="AE7" i="7"/>
  <c r="AD7" i="4"/>
  <c r="AD7" i="25"/>
  <c r="AF8" i="3"/>
  <c r="AC7" i="8"/>
  <c r="C27" i="6"/>
  <c r="C28" i="6" s="1"/>
  <c r="B50" i="6"/>
  <c r="B52" i="6" s="1"/>
  <c r="C16" i="25"/>
  <c r="AD6" i="19"/>
  <c r="AD6" i="7"/>
  <c r="AC6" i="4"/>
  <c r="AC10" i="4" s="1"/>
  <c r="AC13" i="4" s="1"/>
  <c r="AD35" i="3"/>
  <c r="AD36" i="3" s="1"/>
  <c r="AD38" i="3" s="1"/>
  <c r="AC11" i="4" s="1"/>
  <c r="AC6" i="25"/>
  <c r="AE7" i="3"/>
  <c r="AE21" i="3"/>
  <c r="AB6" i="8"/>
  <c r="B57" i="6"/>
  <c r="C38" i="4" s="1"/>
  <c r="C40" i="4" s="1"/>
  <c r="AB28" i="7"/>
  <c r="AB33" i="7" s="1"/>
  <c r="AB34" i="7" s="1"/>
  <c r="Z12" i="8" s="1"/>
  <c r="AB18" i="7"/>
  <c r="AB19" i="7" s="1"/>
  <c r="AB21" i="7" s="1"/>
  <c r="I24" i="4"/>
  <c r="I30" i="4" s="1"/>
  <c r="I32" i="4" s="1"/>
  <c r="K50" i="7"/>
  <c r="AB19" i="19"/>
  <c r="AB20" i="19" s="1"/>
  <c r="AB25" i="19" s="1"/>
  <c r="H36" i="4"/>
  <c r="H11" i="25"/>
  <c r="G29" i="6"/>
  <c r="G38" i="6"/>
  <c r="AC14" i="7"/>
  <c r="AC41" i="7"/>
  <c r="AC45" i="7" s="1"/>
  <c r="AC43" i="7"/>
  <c r="AC47" i="7" s="1"/>
  <c r="C33" i="6" l="1"/>
  <c r="C26" i="6"/>
  <c r="C30" i="6" s="1"/>
  <c r="AC48" i="7"/>
  <c r="AC28" i="7"/>
  <c r="AC33" i="7" s="1"/>
  <c r="AC34" i="7" s="1"/>
  <c r="AA12" i="8" s="1"/>
  <c r="AC18" i="7"/>
  <c r="AC19" i="7" s="1"/>
  <c r="AC21" i="7" s="1"/>
  <c r="I36" i="4"/>
  <c r="I11" i="25"/>
  <c r="H29" i="6"/>
  <c r="H38" i="6"/>
  <c r="AE6" i="19"/>
  <c r="AE6" i="7"/>
  <c r="AF7" i="3"/>
  <c r="AD6" i="4"/>
  <c r="AD10" i="4" s="1"/>
  <c r="AE35" i="3"/>
  <c r="AE36" i="3" s="1"/>
  <c r="AE38" i="3" s="1"/>
  <c r="AD11" i="4" s="1"/>
  <c r="AC6" i="8"/>
  <c r="AD6" i="25"/>
  <c r="B58" i="6"/>
  <c r="AE8" i="19"/>
  <c r="AC8" i="25"/>
  <c r="G11" i="6"/>
  <c r="G13" i="6" s="1"/>
  <c r="AF7" i="19"/>
  <c r="AF7" i="7"/>
  <c r="AE7" i="4"/>
  <c r="AG8" i="3"/>
  <c r="AE7" i="25"/>
  <c r="AD7" i="8"/>
  <c r="AC36" i="7"/>
  <c r="L50" i="7"/>
  <c r="J24" i="4"/>
  <c r="J30" i="4" s="1"/>
  <c r="J32" i="4" s="1"/>
  <c r="C42" i="4"/>
  <c r="C43" i="4"/>
  <c r="C45" i="4"/>
  <c r="B10" i="8"/>
  <c r="B13" i="8" s="1"/>
  <c r="AD14" i="7"/>
  <c r="AD43" i="7"/>
  <c r="AD47" i="7" s="1"/>
  <c r="AD41" i="7"/>
  <c r="AD45" i="7" s="1"/>
  <c r="B75" i="2" l="1"/>
  <c r="D42" i="19"/>
  <c r="D43" i="19" s="1"/>
  <c r="AF6" i="19"/>
  <c r="AF6" i="7"/>
  <c r="AG7" i="3"/>
  <c r="AG21" i="3"/>
  <c r="AE6" i="25"/>
  <c r="AD6" i="8"/>
  <c r="AF35" i="3"/>
  <c r="AF36" i="3" s="1"/>
  <c r="AF38" i="3" s="1"/>
  <c r="AE11" i="4" s="1"/>
  <c r="AE6" i="4"/>
  <c r="AE10" i="4" s="1"/>
  <c r="AE13" i="4" s="1"/>
  <c r="AD28" i="7"/>
  <c r="AD33" i="7" s="1"/>
  <c r="AD34" i="7" s="1"/>
  <c r="AB12" i="8" s="1"/>
  <c r="AD18" i="7"/>
  <c r="AD19" i="7" s="1"/>
  <c r="AD21" i="7" s="1"/>
  <c r="AF21" i="3"/>
  <c r="AF8" i="19"/>
  <c r="AD8" i="25"/>
  <c r="AE14" i="7"/>
  <c r="AE41" i="7"/>
  <c r="AE45" i="7" s="1"/>
  <c r="AE43" i="7"/>
  <c r="AE47" i="7" s="1"/>
  <c r="AB34" i="4"/>
  <c r="AA11" i="8" s="1"/>
  <c r="AC19" i="19"/>
  <c r="AC20" i="19" s="1"/>
  <c r="AC25" i="19" s="1"/>
  <c r="AG7" i="19"/>
  <c r="AG7" i="7"/>
  <c r="AF7" i="4"/>
  <c r="AH8" i="3"/>
  <c r="AF7" i="25"/>
  <c r="AE7" i="8"/>
  <c r="H11" i="6"/>
  <c r="H13" i="6" s="1"/>
  <c r="I29" i="6"/>
  <c r="I11" i="6" s="1"/>
  <c r="I13" i="6" s="1"/>
  <c r="J11" i="25"/>
  <c r="J36" i="4"/>
  <c r="I38" i="6"/>
  <c r="C36" i="6"/>
  <c r="C37" i="6"/>
  <c r="AD48" i="7"/>
  <c r="B28" i="8"/>
  <c r="B24" i="8"/>
  <c r="B16" i="8"/>
  <c r="K24" i="4"/>
  <c r="K30" i="4" s="1"/>
  <c r="K32" i="4" s="1"/>
  <c r="M50" i="7"/>
  <c r="AD13" i="4"/>
  <c r="AG6" i="19" l="1"/>
  <c r="AG6" i="7"/>
  <c r="AF6" i="25"/>
  <c r="AF6" i="4"/>
  <c r="AF10" i="4" s="1"/>
  <c r="AH7" i="3"/>
  <c r="AH21" i="3"/>
  <c r="AE6" i="8"/>
  <c r="AG35" i="3"/>
  <c r="AG36" i="3" s="1"/>
  <c r="AG38" i="3" s="1"/>
  <c r="AF11" i="4" s="1"/>
  <c r="C42" i="6"/>
  <c r="AF41" i="7"/>
  <c r="AF45" i="7" s="1"/>
  <c r="AF43" i="7"/>
  <c r="AF47" i="7" s="1"/>
  <c r="AF14" i="7"/>
  <c r="N50" i="7"/>
  <c r="L24" i="4"/>
  <c r="L30" i="4" s="1"/>
  <c r="L32" i="4" s="1"/>
  <c r="AD36" i="7"/>
  <c r="J29" i="6"/>
  <c r="K36" i="4"/>
  <c r="K11" i="25"/>
  <c r="J38" i="6"/>
  <c r="C49" i="6"/>
  <c r="D12" i="25"/>
  <c r="D13" i="25" s="1"/>
  <c r="AE48" i="7"/>
  <c r="AG8" i="19"/>
  <c r="AE8" i="25"/>
  <c r="AC34" i="4"/>
  <c r="AB11" i="8" s="1"/>
  <c r="AD19" i="19"/>
  <c r="AD20" i="19" s="1"/>
  <c r="AD25" i="19" s="1"/>
  <c r="C35" i="6"/>
  <c r="B19" i="8"/>
  <c r="B21" i="8"/>
  <c r="AH7" i="19"/>
  <c r="AG7" i="4"/>
  <c r="AH7" i="7"/>
  <c r="AG7" i="25"/>
  <c r="AF7" i="8"/>
  <c r="AE28" i="7"/>
  <c r="AE33" i="7" s="1"/>
  <c r="AE34" i="7" s="1"/>
  <c r="AC12" i="8" s="1"/>
  <c r="AE18" i="7"/>
  <c r="AE19" i="7" s="1"/>
  <c r="AE21" i="7" s="1"/>
  <c r="B29" i="8"/>
  <c r="B30" i="8" s="1"/>
  <c r="B41" i="8" l="1"/>
  <c r="C15" i="25" s="1"/>
  <c r="B33" i="8"/>
  <c r="AH6" i="19"/>
  <c r="AH6" i="7"/>
  <c r="AH35" i="3"/>
  <c r="AH36" i="3" s="1"/>
  <c r="AH38" i="3" s="1"/>
  <c r="AG11" i="4" s="1"/>
  <c r="AG6" i="4"/>
  <c r="AG10" i="4" s="1"/>
  <c r="AG13" i="4" s="1"/>
  <c r="AG6" i="25"/>
  <c r="AF6" i="8"/>
  <c r="B22" i="8"/>
  <c r="C18" i="8" s="1"/>
  <c r="AH8" i="19"/>
  <c r="AG8" i="25" s="1"/>
  <c r="AF8" i="25"/>
  <c r="AF13" i="4"/>
  <c r="C48" i="6"/>
  <c r="C56" i="6"/>
  <c r="AF48" i="7"/>
  <c r="J11" i="6"/>
  <c r="J13" i="6" s="1"/>
  <c r="C39" i="6"/>
  <c r="AG41" i="7"/>
  <c r="AG45" i="7" s="1"/>
  <c r="AG43" i="7"/>
  <c r="AG47" i="7" s="1"/>
  <c r="AG14" i="7"/>
  <c r="AD34" i="4"/>
  <c r="AC11" i="8" s="1"/>
  <c r="AE19" i="19"/>
  <c r="AE20" i="19" s="1"/>
  <c r="AE25" i="19" s="1"/>
  <c r="AE36" i="7"/>
  <c r="AF36" i="7" s="1"/>
  <c r="C45" i="6"/>
  <c r="D24" i="6" s="1"/>
  <c r="C44" i="6"/>
  <c r="O50" i="7"/>
  <c r="M24" i="4"/>
  <c r="M30" i="4" s="1"/>
  <c r="M32" i="4" s="1"/>
  <c r="AF28" i="7"/>
  <c r="AF33" i="7" s="1"/>
  <c r="AF34" i="7" s="1"/>
  <c r="AD12" i="8" s="1"/>
  <c r="AF18" i="7"/>
  <c r="AF19" i="7" s="1"/>
  <c r="AF21" i="7" s="1"/>
  <c r="C76" i="2"/>
  <c r="K29" i="6"/>
  <c r="K11" i="6" s="1"/>
  <c r="K13" i="6" s="1"/>
  <c r="L36" i="4"/>
  <c r="L11" i="25"/>
  <c r="K38" i="6"/>
  <c r="AG48" i="7" l="1"/>
  <c r="D28" i="6"/>
  <c r="D26" i="6" s="1"/>
  <c r="D27" i="6"/>
  <c r="P50" i="7"/>
  <c r="N24" i="4"/>
  <c r="N30" i="4" s="1"/>
  <c r="N32" i="4" s="1"/>
  <c r="C57" i="6"/>
  <c r="D38" i="4" s="1"/>
  <c r="D40" i="4" s="1"/>
  <c r="AH14" i="7"/>
  <c r="AH41" i="7"/>
  <c r="AH45" i="7" s="1"/>
  <c r="AH48" i="7" s="1"/>
  <c r="AH43" i="7"/>
  <c r="AH47" i="7" s="1"/>
  <c r="AE34" i="4"/>
  <c r="AD11" i="8" s="1"/>
  <c r="AF19" i="19"/>
  <c r="AF20" i="19" s="1"/>
  <c r="AF25" i="19" s="1"/>
  <c r="B36" i="8"/>
  <c r="B38" i="8"/>
  <c r="L38" i="6"/>
  <c r="M36" i="4"/>
  <c r="M11" i="25"/>
  <c r="L29" i="6"/>
  <c r="C50" i="6"/>
  <c r="C52" i="6" s="1"/>
  <c r="D16" i="25"/>
  <c r="D32" i="19"/>
  <c r="C18" i="25"/>
  <c r="C21" i="25" s="1"/>
  <c r="AG28" i="7"/>
  <c r="AG33" i="7" s="1"/>
  <c r="AG34" i="7" s="1"/>
  <c r="AE12" i="8" s="1"/>
  <c r="AG18" i="7"/>
  <c r="AG19" i="7" s="1"/>
  <c r="AG21" i="7" s="1"/>
  <c r="C58" i="6"/>
  <c r="AG34" i="4" l="1"/>
  <c r="AF11" i="8" s="1"/>
  <c r="AH19" i="19"/>
  <c r="AH20" i="19" s="1"/>
  <c r="AH25" i="19" s="1"/>
  <c r="AG36" i="7"/>
  <c r="B77" i="2"/>
  <c r="C57" i="25"/>
  <c r="C59" i="25" s="1"/>
  <c r="C43" i="25"/>
  <c r="C45" i="25" s="1"/>
  <c r="C27" i="25"/>
  <c r="C28" i="25" s="1"/>
  <c r="C29" i="25" s="1"/>
  <c r="D25" i="25" s="1"/>
  <c r="C37" i="25"/>
  <c r="C38" i="25" s="1"/>
  <c r="C50" i="25"/>
  <c r="C52" i="25" s="1"/>
  <c r="AH28" i="7"/>
  <c r="AH33" i="7" s="1"/>
  <c r="AH34" i="7" s="1"/>
  <c r="AF12" i="8" s="1"/>
  <c r="AH18" i="7"/>
  <c r="AH19" i="7" s="1"/>
  <c r="AH21" i="7" s="1"/>
  <c r="D37" i="19"/>
  <c r="D45" i="19" s="1"/>
  <c r="D47" i="19" s="1"/>
  <c r="B39" i="8"/>
  <c r="C35" i="8" s="1"/>
  <c r="D42" i="4"/>
  <c r="D43" i="4" s="1"/>
  <c r="C10" i="8"/>
  <c r="C13" i="8" s="1"/>
  <c r="D30" i="6"/>
  <c r="D33" i="6"/>
  <c r="L11" i="6"/>
  <c r="L13" i="6" s="1"/>
  <c r="M38" i="6"/>
  <c r="N36" i="4"/>
  <c r="N11" i="25"/>
  <c r="M29" i="6"/>
  <c r="M11" i="6" s="1"/>
  <c r="M13" i="6" s="1"/>
  <c r="AF34" i="4"/>
  <c r="AE11" i="8" s="1"/>
  <c r="AG19" i="19"/>
  <c r="AG20" i="19" s="1"/>
  <c r="AG25" i="19" s="1"/>
  <c r="Q50" i="7"/>
  <c r="O24" i="4"/>
  <c r="O30" i="4" s="1"/>
  <c r="O32" i="4" s="1"/>
  <c r="D45" i="4" l="1"/>
  <c r="D37" i="6"/>
  <c r="D35" i="6"/>
  <c r="D36" i="6"/>
  <c r="D26" i="25"/>
  <c r="O36" i="4"/>
  <c r="O11" i="25"/>
  <c r="N38" i="6"/>
  <c r="N29" i="6"/>
  <c r="C28" i="8"/>
  <c r="C16" i="8"/>
  <c r="C24" i="8"/>
  <c r="R50" i="7"/>
  <c r="P24" i="4"/>
  <c r="P30" i="4" s="1"/>
  <c r="P32" i="4" s="1"/>
  <c r="AH36" i="7"/>
  <c r="D39" i="6" l="1"/>
  <c r="D42" i="6"/>
  <c r="C19" i="8"/>
  <c r="C21" i="8"/>
  <c r="C75" i="2"/>
  <c r="E42" i="19"/>
  <c r="E43" i="19" s="1"/>
  <c r="E12" i="25"/>
  <c r="E13" i="25" s="1"/>
  <c r="D49" i="6"/>
  <c r="P36" i="4"/>
  <c r="P11" i="25"/>
  <c r="O38" i="6"/>
  <c r="O29" i="6"/>
  <c r="O11" i="6" s="1"/>
  <c r="O13" i="6" s="1"/>
  <c r="Q24" i="4"/>
  <c r="Q30" i="4" s="1"/>
  <c r="Q32" i="4" s="1"/>
  <c r="S50" i="7"/>
  <c r="D56" i="6"/>
  <c r="D48" i="6"/>
  <c r="C29" i="8"/>
  <c r="C30" i="8" s="1"/>
  <c r="N11" i="6"/>
  <c r="N13" i="6" s="1"/>
  <c r="C33" i="8" l="1"/>
  <c r="C41" i="8"/>
  <c r="D15" i="25" s="1"/>
  <c r="D50" i="6"/>
  <c r="D52" i="6" s="1"/>
  <c r="E16" i="25"/>
  <c r="C22" i="8"/>
  <c r="D18" i="8" s="1"/>
  <c r="T50" i="7"/>
  <c r="R24" i="4"/>
  <c r="R30" i="4" s="1"/>
  <c r="R32" i="4" s="1"/>
  <c r="D76" i="2"/>
  <c r="D45" i="6"/>
  <c r="E24" i="6" s="1"/>
  <c r="D44" i="6"/>
  <c r="Q36" i="4"/>
  <c r="P38" i="6"/>
  <c r="Q11" i="25"/>
  <c r="P29" i="6"/>
  <c r="P11" i="6" s="1"/>
  <c r="P13" i="6" s="1"/>
  <c r="R36" i="4" l="1"/>
  <c r="R11" i="25"/>
  <c r="Q29" i="6"/>
  <c r="Q38" i="6"/>
  <c r="S24" i="4"/>
  <c r="S30" i="4" s="1"/>
  <c r="S32" i="4" s="1"/>
  <c r="U50" i="7"/>
  <c r="E27" i="6"/>
  <c r="E32" i="19"/>
  <c r="D18" i="25"/>
  <c r="D21" i="25" s="1"/>
  <c r="D57" i="6"/>
  <c r="C36" i="8"/>
  <c r="C38" i="8"/>
  <c r="C77" i="2" l="1"/>
  <c r="D43" i="25"/>
  <c r="D45" i="25" s="1"/>
  <c r="D27" i="25"/>
  <c r="D28" i="25" s="1"/>
  <c r="D29" i="25" s="1"/>
  <c r="E25" i="25" s="1"/>
  <c r="D37" i="25"/>
  <c r="D38" i="25" s="1"/>
  <c r="D57" i="25"/>
  <c r="D59" i="25" s="1"/>
  <c r="D50" i="25"/>
  <c r="D52" i="25" s="1"/>
  <c r="S36" i="4"/>
  <c r="S11" i="25"/>
  <c r="R38" i="6"/>
  <c r="R29" i="6"/>
  <c r="R11" i="6" s="1"/>
  <c r="R13" i="6" s="1"/>
  <c r="C39" i="8"/>
  <c r="D35" i="8" s="1"/>
  <c r="E28" i="6"/>
  <c r="Q11" i="6"/>
  <c r="Q13" i="6" s="1"/>
  <c r="E37" i="19"/>
  <c r="E45" i="19" s="1"/>
  <c r="E47" i="19" s="1"/>
  <c r="E38" i="4"/>
  <c r="E40" i="4" s="1"/>
  <c r="D58" i="6"/>
  <c r="T24" i="4"/>
  <c r="T30" i="4" s="1"/>
  <c r="T32" i="4" s="1"/>
  <c r="V50" i="7"/>
  <c r="E33" i="6" l="1"/>
  <c r="E26" i="6"/>
  <c r="E30" i="6" s="1"/>
  <c r="S29" i="6"/>
  <c r="S11" i="6" s="1"/>
  <c r="S13" i="6" s="1"/>
  <c r="T36" i="4"/>
  <c r="T11" i="25"/>
  <c r="S38" i="6"/>
  <c r="U24" i="4"/>
  <c r="U30" i="4" s="1"/>
  <c r="U32" i="4" s="1"/>
  <c r="W50" i="7"/>
  <c r="E42" i="4"/>
  <c r="E43" i="4"/>
  <c r="E45" i="4" s="1"/>
  <c r="D10" i="8"/>
  <c r="D13" i="8" s="1"/>
  <c r="E26" i="25"/>
  <c r="F42" i="19" l="1"/>
  <c r="F43" i="19" s="1"/>
  <c r="D75" i="2"/>
  <c r="E36" i="6"/>
  <c r="E37" i="6" s="1"/>
  <c r="X50" i="7"/>
  <c r="V24" i="4"/>
  <c r="V30" i="4" s="1"/>
  <c r="V32" i="4" s="1"/>
  <c r="T29" i="6"/>
  <c r="T11" i="6" s="1"/>
  <c r="T13" i="6" s="1"/>
  <c r="U36" i="4"/>
  <c r="U11" i="25"/>
  <c r="T38" i="6"/>
  <c r="D28" i="8"/>
  <c r="D24" i="8"/>
  <c r="D16" i="8"/>
  <c r="E39" i="6" l="1"/>
  <c r="E42" i="6"/>
  <c r="E35" i="6"/>
  <c r="U38" i="6"/>
  <c r="V11" i="25"/>
  <c r="V36" i="4"/>
  <c r="U29" i="6"/>
  <c r="D21" i="8"/>
  <c r="D19" i="8"/>
  <c r="Y50" i="7"/>
  <c r="W24" i="4"/>
  <c r="W30" i="4" s="1"/>
  <c r="W32" i="4" s="1"/>
  <c r="D29" i="8"/>
  <c r="D30" i="8" s="1"/>
  <c r="E49" i="6"/>
  <c r="F12" i="25"/>
  <c r="F13" i="25" s="1"/>
  <c r="D33" i="8" l="1"/>
  <c r="D41" i="8"/>
  <c r="E15" i="25" s="1"/>
  <c r="D22" i="8"/>
  <c r="E18" i="8" s="1"/>
  <c r="E45" i="6"/>
  <c r="F24" i="6" s="1"/>
  <c r="E44" i="6"/>
  <c r="U11" i="6"/>
  <c r="U13" i="6" s="1"/>
  <c r="W11" i="25"/>
  <c r="W36" i="4"/>
  <c r="V38" i="6"/>
  <c r="V29" i="6"/>
  <c r="V11" i="6" s="1"/>
  <c r="V13" i="6" s="1"/>
  <c r="Z50" i="7"/>
  <c r="X24" i="4"/>
  <c r="X30" i="4" s="1"/>
  <c r="X32" i="4" s="1"/>
  <c r="E56" i="6"/>
  <c r="E48" i="6"/>
  <c r="E18" i="25" l="1"/>
  <c r="E21" i="25" s="1"/>
  <c r="F32" i="19"/>
  <c r="AA50" i="7"/>
  <c r="Y24" i="4"/>
  <c r="Y30" i="4" s="1"/>
  <c r="Y32" i="4" s="1"/>
  <c r="D38" i="8"/>
  <c r="D36" i="8"/>
  <c r="E57" i="6"/>
  <c r="F38" i="4" s="1"/>
  <c r="F40" i="4" s="1"/>
  <c r="F27" i="6"/>
  <c r="E50" i="6"/>
  <c r="E52" i="6" s="1"/>
  <c r="F16" i="25"/>
  <c r="X36" i="4"/>
  <c r="X11" i="25"/>
  <c r="W29" i="6"/>
  <c r="W38" i="6"/>
  <c r="Y36" i="4" l="1"/>
  <c r="Y11" i="25"/>
  <c r="X29" i="6"/>
  <c r="X38" i="6"/>
  <c r="F42" i="4"/>
  <c r="F43" i="4" s="1"/>
  <c r="E10" i="8"/>
  <c r="E13" i="8" s="1"/>
  <c r="E58" i="6"/>
  <c r="D39" i="8"/>
  <c r="E35" i="8" s="1"/>
  <c r="AB50" i="7"/>
  <c r="Z24" i="4"/>
  <c r="Z30" i="4" s="1"/>
  <c r="Z32" i="4" s="1"/>
  <c r="W11" i="6"/>
  <c r="W13" i="6" s="1"/>
  <c r="F28" i="6"/>
  <c r="F37" i="19"/>
  <c r="F45" i="19" s="1"/>
  <c r="F47" i="19" s="1"/>
  <c r="D77" i="2"/>
  <c r="E27" i="25"/>
  <c r="E28" i="25" s="1"/>
  <c r="E29" i="25" s="1"/>
  <c r="F25" i="25" s="1"/>
  <c r="E37" i="25"/>
  <c r="E38" i="25" s="1"/>
  <c r="E43" i="25"/>
  <c r="E45" i="25" s="1"/>
  <c r="E57" i="25"/>
  <c r="E59" i="25" s="1"/>
  <c r="E50" i="25"/>
  <c r="E52" i="25" s="1"/>
  <c r="Y29" i="6" l="1"/>
  <c r="Y38" i="6"/>
  <c r="Z11" i="25"/>
  <c r="Z36" i="4"/>
  <c r="E16" i="8"/>
  <c r="E24" i="8"/>
  <c r="E28" i="8"/>
  <c r="F45" i="4"/>
  <c r="G42" i="19" s="1"/>
  <c r="G43" i="19" s="1"/>
  <c r="F30" i="6"/>
  <c r="F33" i="6"/>
  <c r="F26" i="6"/>
  <c r="X11" i="6"/>
  <c r="X13" i="6" s="1"/>
  <c r="F26" i="25"/>
  <c r="AC50" i="7"/>
  <c r="AA24" i="4"/>
  <c r="AA30" i="4" s="1"/>
  <c r="AA32" i="4" s="1"/>
  <c r="F37" i="6" l="1"/>
  <c r="F35" i="6"/>
  <c r="F36" i="6"/>
  <c r="Y11" i="6"/>
  <c r="Y13" i="6" s="1"/>
  <c r="AA36" i="4"/>
  <c r="AA11" i="25"/>
  <c r="Z29" i="6"/>
  <c r="Z38" i="6"/>
  <c r="AD50" i="7"/>
  <c r="AB24" i="4"/>
  <c r="AB30" i="4" s="1"/>
  <c r="AB32" i="4" s="1"/>
  <c r="E30" i="8"/>
  <c r="E29" i="8"/>
  <c r="E21" i="8"/>
  <c r="E19" i="8"/>
  <c r="F56" i="6" l="1"/>
  <c r="F48" i="6"/>
  <c r="E22" i="8"/>
  <c r="F18" i="8" s="1"/>
  <c r="F42" i="6"/>
  <c r="F39" i="6"/>
  <c r="Z11" i="6"/>
  <c r="Z13" i="6" s="1"/>
  <c r="E33" i="8"/>
  <c r="E41" i="8"/>
  <c r="F15" i="25" s="1"/>
  <c r="AB11" i="25"/>
  <c r="AB36" i="4"/>
  <c r="AA38" i="6"/>
  <c r="AA29" i="6"/>
  <c r="G12" i="25"/>
  <c r="G13" i="25" s="1"/>
  <c r="F49" i="6"/>
  <c r="AC24" i="4"/>
  <c r="AC30" i="4" s="1"/>
  <c r="AC32" i="4" s="1"/>
  <c r="AE50" i="7"/>
  <c r="AF50" i="7" l="1"/>
  <c r="AD24" i="4"/>
  <c r="AD30" i="4" s="1"/>
  <c r="AD32" i="4" s="1"/>
  <c r="AC36" i="4"/>
  <c r="AC11" i="25"/>
  <c r="AB38" i="6"/>
  <c r="AB29" i="6"/>
  <c r="AB11" i="6" s="1"/>
  <c r="AB13" i="6" s="1"/>
  <c r="F18" i="25"/>
  <c r="F21" i="25" s="1"/>
  <c r="G32" i="19"/>
  <c r="F45" i="6"/>
  <c r="G24" i="6" s="1"/>
  <c r="F44" i="6"/>
  <c r="AA11" i="6"/>
  <c r="AA13" i="6" s="1"/>
  <c r="F50" i="6"/>
  <c r="F52" i="6" s="1"/>
  <c r="G16" i="25"/>
  <c r="E36" i="8"/>
  <c r="E38" i="8"/>
  <c r="AC29" i="6" l="1"/>
  <c r="AD36" i="4"/>
  <c r="AD11" i="25"/>
  <c r="AC38" i="6"/>
  <c r="F57" i="6"/>
  <c r="G27" i="6"/>
  <c r="G28" i="6" s="1"/>
  <c r="G37" i="19"/>
  <c r="G45" i="19" s="1"/>
  <c r="G47" i="19" s="1"/>
  <c r="AG50" i="7"/>
  <c r="AE24" i="4"/>
  <c r="AE30" i="4" s="1"/>
  <c r="AE32" i="4" s="1"/>
  <c r="E39" i="8"/>
  <c r="F35" i="8" s="1"/>
  <c r="F27" i="25"/>
  <c r="F28" i="25" s="1"/>
  <c r="F29" i="25" s="1"/>
  <c r="G25" i="25" s="1"/>
  <c r="F37" i="25"/>
  <c r="F38" i="25" s="1"/>
  <c r="F50" i="25"/>
  <c r="F52" i="25" s="1"/>
  <c r="F57" i="25"/>
  <c r="F59" i="25" s="1"/>
  <c r="F43" i="25"/>
  <c r="F45" i="25" s="1"/>
  <c r="G33" i="6" l="1"/>
  <c r="G30" i="6"/>
  <c r="G26" i="6"/>
  <c r="AC11" i="6"/>
  <c r="AC13" i="6" s="1"/>
  <c r="G26" i="25"/>
  <c r="AE11" i="25"/>
  <c r="AE36" i="4"/>
  <c r="AD29" i="6"/>
  <c r="AD38" i="6"/>
  <c r="AH50" i="7"/>
  <c r="AG24" i="4" s="1"/>
  <c r="AG30" i="4" s="1"/>
  <c r="AG32" i="4" s="1"/>
  <c r="AF24" i="4"/>
  <c r="AF30" i="4" s="1"/>
  <c r="AF32" i="4" s="1"/>
  <c r="G38" i="4"/>
  <c r="G40" i="4" s="1"/>
  <c r="F58" i="6"/>
  <c r="AF36" i="4" l="1"/>
  <c r="AF11" i="25"/>
  <c r="AG44" i="25"/>
  <c r="W44" i="25" s="1"/>
  <c r="AE29" i="6"/>
  <c r="AE38" i="6"/>
  <c r="AF38" i="6"/>
  <c r="AG36" i="4"/>
  <c r="AG11" i="25"/>
  <c r="AF29" i="6"/>
  <c r="G36" i="6"/>
  <c r="G42" i="4"/>
  <c r="F10" i="8"/>
  <c r="F13" i="8" s="1"/>
  <c r="AD11" i="6"/>
  <c r="AD13" i="6" s="1"/>
  <c r="G49" i="6" l="1"/>
  <c r="H12" i="25"/>
  <c r="H13" i="25" s="1"/>
  <c r="G43" i="4"/>
  <c r="G45" i="4" s="1"/>
  <c r="H42" i="19" s="1"/>
  <c r="H43" i="19" s="1"/>
  <c r="G37" i="6"/>
  <c r="AE11" i="6"/>
  <c r="AE13" i="6" s="1"/>
  <c r="F16" i="8"/>
  <c r="F24" i="8"/>
  <c r="F28" i="8"/>
  <c r="AF11" i="6"/>
  <c r="AF13" i="6" s="1"/>
  <c r="F21" i="8" l="1"/>
  <c r="F19" i="8"/>
  <c r="G39" i="6"/>
  <c r="G42" i="6"/>
  <c r="G35" i="6"/>
  <c r="F29" i="8"/>
  <c r="F30" i="8" s="1"/>
  <c r="F33" i="8" l="1"/>
  <c r="F41" i="8"/>
  <c r="G15" i="25" s="1"/>
  <c r="G48" i="6"/>
  <c r="G56" i="6"/>
  <c r="G44" i="6"/>
  <c r="G45" i="6"/>
  <c r="H24" i="6" s="1"/>
  <c r="F22" i="8"/>
  <c r="G18" i="8" s="1"/>
  <c r="H32" i="19" l="1"/>
  <c r="G18" i="25"/>
  <c r="G21" i="25" s="1"/>
  <c r="F36" i="8"/>
  <c r="F38" i="8"/>
  <c r="H26" i="6"/>
  <c r="H27" i="6"/>
  <c r="H28" i="6"/>
  <c r="G57" i="6"/>
  <c r="H38" i="4" s="1"/>
  <c r="H40" i="4" s="1"/>
  <c r="G50" i="6"/>
  <c r="G52" i="6" s="1"/>
  <c r="H16" i="25"/>
  <c r="H42" i="4" l="1"/>
  <c r="H43" i="4" s="1"/>
  <c r="H45" i="4" s="1"/>
  <c r="I42" i="19" s="1"/>
  <c r="I43" i="19" s="1"/>
  <c r="G10" i="8"/>
  <c r="G13" i="8" s="1"/>
  <c r="G27" i="25"/>
  <c r="G28" i="25" s="1"/>
  <c r="G29" i="25" s="1"/>
  <c r="H25" i="25" s="1"/>
  <c r="G37" i="25"/>
  <c r="G38" i="25" s="1"/>
  <c r="G50" i="25"/>
  <c r="G52" i="25" s="1"/>
  <c r="G43" i="25"/>
  <c r="G45" i="25" s="1"/>
  <c r="G57" i="25"/>
  <c r="G59" i="25" s="1"/>
  <c r="H37" i="19"/>
  <c r="H45" i="19" s="1"/>
  <c r="H47" i="19" s="1"/>
  <c r="H30" i="6"/>
  <c r="H33" i="6"/>
  <c r="G58" i="6"/>
  <c r="F39" i="8"/>
  <c r="G35" i="8" s="1"/>
  <c r="H36" i="6" l="1"/>
  <c r="H26" i="25"/>
  <c r="G24" i="8"/>
  <c r="G16" i="8"/>
  <c r="G28" i="8"/>
  <c r="G21" i="8" l="1"/>
  <c r="G19" i="8"/>
  <c r="G29" i="8"/>
  <c r="I12" i="25"/>
  <c r="I13" i="25" s="1"/>
  <c r="H49" i="6"/>
  <c r="G30" i="8"/>
  <c r="H37" i="6"/>
  <c r="G33" i="8" l="1"/>
  <c r="G41" i="8"/>
  <c r="H15" i="25" s="1"/>
  <c r="G22" i="8"/>
  <c r="H18" i="8" s="1"/>
  <c r="H42" i="6"/>
  <c r="H35" i="6"/>
  <c r="H45" i="6" l="1"/>
  <c r="I24" i="6" s="1"/>
  <c r="H44" i="6"/>
  <c r="I32" i="19"/>
  <c r="H18" i="25"/>
  <c r="H21" i="25" s="1"/>
  <c r="G38" i="8"/>
  <c r="G36" i="8"/>
  <c r="H48" i="6"/>
  <c r="H56" i="6"/>
  <c r="H39" i="6"/>
  <c r="G39" i="8" l="1"/>
  <c r="H35" i="8" s="1"/>
  <c r="H57" i="6"/>
  <c r="I38" i="4" s="1"/>
  <c r="I40" i="4" s="1"/>
  <c r="I27" i="6"/>
  <c r="I28" i="6" s="1"/>
  <c r="H50" i="6"/>
  <c r="H52" i="6" s="1"/>
  <c r="I16" i="25"/>
  <c r="H50" i="25"/>
  <c r="H52" i="25" s="1"/>
  <c r="H27" i="25"/>
  <c r="H28" i="25" s="1"/>
  <c r="H29" i="25" s="1"/>
  <c r="I25" i="25" s="1"/>
  <c r="H37" i="25"/>
  <c r="H38" i="25" s="1"/>
  <c r="H57" i="25"/>
  <c r="H59" i="25" s="1"/>
  <c r="H43" i="25"/>
  <c r="H45" i="25" s="1"/>
  <c r="I37" i="19"/>
  <c r="I45" i="19" s="1"/>
  <c r="I47" i="19" s="1"/>
  <c r="I33" i="6" l="1"/>
  <c r="I26" i="6"/>
  <c r="I30" i="6" s="1"/>
  <c r="I26" i="25"/>
  <c r="H58" i="6"/>
  <c r="I42" i="4"/>
  <c r="I43" i="4" s="1"/>
  <c r="H10" i="8"/>
  <c r="H13" i="8" s="1"/>
  <c r="H28" i="8" l="1"/>
  <c r="H16" i="8"/>
  <c r="I45" i="4"/>
  <c r="J42" i="19" s="1"/>
  <c r="J43" i="19" s="1"/>
  <c r="I36" i="6"/>
  <c r="I37" i="6" s="1"/>
  <c r="I42" i="6" l="1"/>
  <c r="I35" i="6"/>
  <c r="I49" i="6"/>
  <c r="J12" i="25"/>
  <c r="J13" i="25" s="1"/>
  <c r="H21" i="8"/>
  <c r="H19" i="8"/>
  <c r="I48" i="6" l="1"/>
  <c r="I56" i="6"/>
  <c r="H22" i="8"/>
  <c r="I18" i="8" s="1"/>
  <c r="H24" i="8"/>
  <c r="I39" i="6"/>
  <c r="I44" i="6"/>
  <c r="I45" i="6"/>
  <c r="J24" i="6" s="1"/>
  <c r="I50" i="6" l="1"/>
  <c r="I52" i="6" s="1"/>
  <c r="J16" i="25"/>
  <c r="H29" i="8"/>
  <c r="H30" i="8" s="1"/>
  <c r="J27" i="6"/>
  <c r="J28" i="6" s="1"/>
  <c r="I57" i="6"/>
  <c r="J38" i="4" s="1"/>
  <c r="J40" i="4" s="1"/>
  <c r="J33" i="6" l="1"/>
  <c r="J30" i="6"/>
  <c r="J26" i="6"/>
  <c r="J42" i="4"/>
  <c r="J45" i="4" s="1"/>
  <c r="K42" i="19" s="1"/>
  <c r="K43" i="19" s="1"/>
  <c r="I10" i="8"/>
  <c r="I13" i="8" s="1"/>
  <c r="J43" i="4"/>
  <c r="I58" i="6"/>
  <c r="H33" i="8"/>
  <c r="J35" i="6" l="1"/>
  <c r="J36" i="6"/>
  <c r="J37" i="6"/>
  <c r="I28" i="8"/>
  <c r="I16" i="8"/>
  <c r="H36" i="8"/>
  <c r="H38" i="8"/>
  <c r="H41" i="8" l="1"/>
  <c r="I15" i="25" s="1"/>
  <c r="J48" i="6"/>
  <c r="J56" i="6"/>
  <c r="H39" i="8"/>
  <c r="I35" i="8" s="1"/>
  <c r="I19" i="8"/>
  <c r="I21" i="8"/>
  <c r="J42" i="6"/>
  <c r="J39" i="6"/>
  <c r="K12" i="25"/>
  <c r="K13" i="25" s="1"/>
  <c r="J49" i="6"/>
  <c r="I22" i="8" l="1"/>
  <c r="J18" i="8" s="1"/>
  <c r="J50" i="6"/>
  <c r="J52" i="6" s="1"/>
  <c r="K16" i="25"/>
  <c r="J44" i="6"/>
  <c r="J45" i="6"/>
  <c r="K24" i="6" s="1"/>
  <c r="J32" i="19"/>
  <c r="I18" i="25"/>
  <c r="I21" i="25" s="1"/>
  <c r="J20" i="8"/>
  <c r="I24" i="8"/>
  <c r="J37" i="19" l="1"/>
  <c r="J45" i="19" s="1"/>
  <c r="J47" i="19" s="1"/>
  <c r="I29" i="8"/>
  <c r="I30" i="8" s="1"/>
  <c r="K27" i="6"/>
  <c r="K28" i="6" s="1"/>
  <c r="J57" i="6"/>
  <c r="I50" i="25"/>
  <c r="I52" i="25" s="1"/>
  <c r="I43" i="25"/>
  <c r="I45" i="25" s="1"/>
  <c r="I57" i="25"/>
  <c r="I59" i="25" s="1"/>
  <c r="I27" i="25"/>
  <c r="I28" i="25" s="1"/>
  <c r="I29" i="25" s="1"/>
  <c r="J25" i="25" s="1"/>
  <c r="I37" i="25"/>
  <c r="I38" i="25" s="1"/>
  <c r="K30" i="6" l="1"/>
  <c r="K33" i="6"/>
  <c r="K26" i="6"/>
  <c r="J26" i="25"/>
  <c r="I33" i="8"/>
  <c r="K38" i="4"/>
  <c r="K40" i="4" s="1"/>
  <c r="J58" i="6"/>
  <c r="I38" i="8" l="1"/>
  <c r="I36" i="8"/>
  <c r="K36" i="6"/>
  <c r="K37" i="6"/>
  <c r="K42" i="4"/>
  <c r="K43" i="4" s="1"/>
  <c r="J10" i="8"/>
  <c r="J13" i="8" s="1"/>
  <c r="J16" i="8" l="1"/>
  <c r="J28" i="8"/>
  <c r="I39" i="8"/>
  <c r="J35" i="8" s="1"/>
  <c r="K45" i="4"/>
  <c r="L42" i="19" s="1"/>
  <c r="L43" i="19" s="1"/>
  <c r="I41" i="8"/>
  <c r="J15" i="25" s="1"/>
  <c r="K42" i="6"/>
  <c r="K35" i="6"/>
  <c r="L12" i="25"/>
  <c r="L13" i="25" s="1"/>
  <c r="K49" i="6"/>
  <c r="J19" i="8" l="1"/>
  <c r="J21" i="8"/>
  <c r="K48" i="6"/>
  <c r="K56" i="6"/>
  <c r="K39" i="6"/>
  <c r="K45" i="6"/>
  <c r="L24" i="6" s="1"/>
  <c r="K44" i="6"/>
  <c r="J18" i="25"/>
  <c r="J21" i="25" s="1"/>
  <c r="K32" i="19"/>
  <c r="K57" i="6" l="1"/>
  <c r="L38" i="4" s="1"/>
  <c r="L40" i="4" s="1"/>
  <c r="K20" i="8"/>
  <c r="J24" i="8"/>
  <c r="L28" i="6"/>
  <c r="L26" i="6"/>
  <c r="L27" i="6"/>
  <c r="J22" i="8"/>
  <c r="K18" i="8" s="1"/>
  <c r="K58" i="6"/>
  <c r="K37" i="19"/>
  <c r="K45" i="19" s="1"/>
  <c r="K47" i="19" s="1"/>
  <c r="K50" i="6"/>
  <c r="K52" i="6" s="1"/>
  <c r="L16" i="25"/>
  <c r="J27" i="25"/>
  <c r="J28" i="25" s="1"/>
  <c r="J29" i="25" s="1"/>
  <c r="K25" i="25" s="1"/>
  <c r="J37" i="25"/>
  <c r="J38" i="25" s="1"/>
  <c r="J43" i="25"/>
  <c r="J45" i="25" s="1"/>
  <c r="J57" i="25"/>
  <c r="J59" i="25" s="1"/>
  <c r="J50" i="25"/>
  <c r="J52" i="25" s="1"/>
  <c r="L42" i="4" l="1"/>
  <c r="K10" i="8"/>
  <c r="K13" i="8" s="1"/>
  <c r="L33" i="6"/>
  <c r="L30" i="6"/>
  <c r="J29" i="8"/>
  <c r="J30" i="8" s="1"/>
  <c r="K26" i="25"/>
  <c r="L37" i="6" l="1"/>
  <c r="L36" i="6"/>
  <c r="K16" i="8"/>
  <c r="K28" i="8"/>
  <c r="L43" i="4"/>
  <c r="L45" i="4" s="1"/>
  <c r="M42" i="19" s="1"/>
  <c r="M43" i="19" s="1"/>
  <c r="J33" i="8"/>
  <c r="J36" i="8" l="1"/>
  <c r="J38" i="8"/>
  <c r="L42" i="6"/>
  <c r="K19" i="8"/>
  <c r="K21" i="8"/>
  <c r="L35" i="6"/>
  <c r="M12" i="25"/>
  <c r="M13" i="25" s="1"/>
  <c r="L49" i="6"/>
  <c r="L56" i="6" l="1"/>
  <c r="L48" i="6"/>
  <c r="L20" i="8"/>
  <c r="K24" i="8"/>
  <c r="K22" i="8"/>
  <c r="L18" i="8" s="1"/>
  <c r="L44" i="6"/>
  <c r="L45" i="6"/>
  <c r="M24" i="6" s="1"/>
  <c r="J41" i="8"/>
  <c r="K15" i="25" s="1"/>
  <c r="L39" i="6"/>
  <c r="J39" i="8"/>
  <c r="K35" i="8" s="1"/>
  <c r="K29" i="8" l="1"/>
  <c r="K30" i="8" s="1"/>
  <c r="M27" i="6"/>
  <c r="M28" i="6"/>
  <c r="M26" i="6" s="1"/>
  <c r="L57" i="6"/>
  <c r="M38" i="4" s="1"/>
  <c r="M40" i="4" s="1"/>
  <c r="K18" i="25"/>
  <c r="K21" i="25" s="1"/>
  <c r="L32" i="19"/>
  <c r="L50" i="6"/>
  <c r="L52" i="6" s="1"/>
  <c r="M16" i="25"/>
  <c r="L58" i="6" l="1"/>
  <c r="M42" i="4"/>
  <c r="M43" i="4"/>
  <c r="M45" i="4"/>
  <c r="N42" i="19" s="1"/>
  <c r="N43" i="19" s="1"/>
  <c r="L10" i="8"/>
  <c r="L13" i="8" s="1"/>
  <c r="L37" i="19"/>
  <c r="L45" i="19" s="1"/>
  <c r="L47" i="19" s="1"/>
  <c r="M33" i="6"/>
  <c r="M30" i="6"/>
  <c r="K43" i="25"/>
  <c r="K45" i="25" s="1"/>
  <c r="K57" i="25"/>
  <c r="K59" i="25" s="1"/>
  <c r="K37" i="25"/>
  <c r="K38" i="25" s="1"/>
  <c r="K27" i="25"/>
  <c r="K28" i="25" s="1"/>
  <c r="K29" i="25" s="1"/>
  <c r="L25" i="25" s="1"/>
  <c r="K50" i="25"/>
  <c r="K52" i="25" s="1"/>
  <c r="K33" i="8"/>
  <c r="L26" i="25" l="1"/>
  <c r="L16" i="8"/>
  <c r="L28" i="8"/>
  <c r="M35" i="6"/>
  <c r="M36" i="6"/>
  <c r="M37" i="6"/>
  <c r="K38" i="8"/>
  <c r="K36" i="8"/>
  <c r="M56" i="6" l="1"/>
  <c r="M48" i="6"/>
  <c r="K41" i="8"/>
  <c r="L15" i="25" s="1"/>
  <c r="L21" i="8"/>
  <c r="L19" i="8"/>
  <c r="K39" i="8"/>
  <c r="L35" i="8" s="1"/>
  <c r="M42" i="6"/>
  <c r="M39" i="6"/>
  <c r="N12" i="25"/>
  <c r="N13" i="25" s="1"/>
  <c r="M49" i="6"/>
  <c r="L18" i="25" l="1"/>
  <c r="L21" i="25" s="1"/>
  <c r="M32" i="19"/>
  <c r="M45" i="6"/>
  <c r="N24" i="6" s="1"/>
  <c r="M44" i="6"/>
  <c r="L22" i="8"/>
  <c r="M18" i="8" s="1"/>
  <c r="M50" i="6"/>
  <c r="M52" i="6" s="1"/>
  <c r="N16" i="25"/>
  <c r="M20" i="8"/>
  <c r="L24" i="8"/>
  <c r="L29" i="8" l="1"/>
  <c r="L30" i="8" s="1"/>
  <c r="M37" i="19"/>
  <c r="M45" i="19" s="1"/>
  <c r="M47" i="19" s="1"/>
  <c r="M57" i="6"/>
  <c r="N27" i="6"/>
  <c r="L43" i="25"/>
  <c r="L45" i="25" s="1"/>
  <c r="L57" i="25"/>
  <c r="L59" i="25" s="1"/>
  <c r="L27" i="25"/>
  <c r="L28" i="25" s="1"/>
  <c r="L29" i="25" s="1"/>
  <c r="M25" i="25" s="1"/>
  <c r="L37" i="25"/>
  <c r="L38" i="25" s="1"/>
  <c r="L50" i="25"/>
  <c r="L52" i="25" s="1"/>
  <c r="N38" i="4" l="1"/>
  <c r="N40" i="4" s="1"/>
  <c r="M58" i="6"/>
  <c r="M26" i="25"/>
  <c r="L33" i="8"/>
  <c r="N28" i="6"/>
  <c r="N33" i="6" l="1"/>
  <c r="N26" i="6"/>
  <c r="N30" i="6" s="1"/>
  <c r="L36" i="8"/>
  <c r="L38" i="8"/>
  <c r="N42" i="4"/>
  <c r="N43" i="4"/>
  <c r="N45" i="4" s="1"/>
  <c r="O42" i="19" s="1"/>
  <c r="O43" i="19" s="1"/>
  <c r="M10" i="8"/>
  <c r="M13" i="8" s="1"/>
  <c r="L41" i="8" l="1"/>
  <c r="M15" i="25" s="1"/>
  <c r="L39" i="8"/>
  <c r="M35" i="8" s="1"/>
  <c r="N36" i="6"/>
  <c r="N37" i="6"/>
  <c r="M16" i="8"/>
  <c r="M28" i="8"/>
  <c r="M18" i="25" l="1"/>
  <c r="M21" i="25" s="1"/>
  <c r="N32" i="19"/>
  <c r="M21" i="8"/>
  <c r="M19" i="8"/>
  <c r="N42" i="6"/>
  <c r="N39" i="6"/>
  <c r="N35" i="6"/>
  <c r="O12" i="25"/>
  <c r="O13" i="25" s="1"/>
  <c r="N49" i="6"/>
  <c r="N45" i="6" l="1"/>
  <c r="O24" i="6" s="1"/>
  <c r="N44" i="6"/>
  <c r="M22" i="8"/>
  <c r="N18" i="8" s="1"/>
  <c r="N20" i="8"/>
  <c r="M24" i="8"/>
  <c r="N37" i="19"/>
  <c r="N45" i="19" s="1"/>
  <c r="N47" i="19" s="1"/>
  <c r="M43" i="25"/>
  <c r="M45" i="25" s="1"/>
  <c r="M57" i="25"/>
  <c r="M59" i="25" s="1"/>
  <c r="M27" i="25"/>
  <c r="M28" i="25" s="1"/>
  <c r="M29" i="25" s="1"/>
  <c r="N25" i="25" s="1"/>
  <c r="M37" i="25"/>
  <c r="M38" i="25" s="1"/>
  <c r="M50" i="25"/>
  <c r="M52" i="25" s="1"/>
  <c r="N56" i="6"/>
  <c r="N48" i="6"/>
  <c r="N26" i="25" l="1"/>
  <c r="N50" i="6"/>
  <c r="N52" i="6" s="1"/>
  <c r="O16" i="25"/>
  <c r="M29" i="8"/>
  <c r="M30" i="8" s="1"/>
  <c r="N57" i="6"/>
  <c r="O38" i="4" s="1"/>
  <c r="O40" i="4" s="1"/>
  <c r="O27" i="6"/>
  <c r="O42" i="4" l="1"/>
  <c r="O43" i="4"/>
  <c r="O45" i="4"/>
  <c r="P42" i="19" s="1"/>
  <c r="P43" i="19" s="1"/>
  <c r="N10" i="8"/>
  <c r="N13" i="8" s="1"/>
  <c r="M33" i="8"/>
  <c r="O28" i="6"/>
  <c r="N58" i="6"/>
  <c r="M36" i="8" l="1"/>
  <c r="M38" i="8"/>
  <c r="N16" i="8"/>
  <c r="N28" i="8"/>
  <c r="O33" i="6"/>
  <c r="O26" i="6"/>
  <c r="O30" i="6" s="1"/>
  <c r="O37" i="6" l="1"/>
  <c r="O36" i="6"/>
  <c r="N21" i="8"/>
  <c r="N19" i="8"/>
  <c r="M41" i="8"/>
  <c r="N15" i="25" s="1"/>
  <c r="M39" i="8"/>
  <c r="N35" i="8" s="1"/>
  <c r="O42" i="6" l="1"/>
  <c r="N22" i="8"/>
  <c r="O18" i="8" s="1"/>
  <c r="O20" i="8"/>
  <c r="N24" i="8"/>
  <c r="P12" i="25"/>
  <c r="P13" i="25" s="1"/>
  <c r="O49" i="6"/>
  <c r="N18" i="25"/>
  <c r="N21" i="25" s="1"/>
  <c r="O32" i="19"/>
  <c r="O35" i="6"/>
  <c r="O56" i="6" l="1"/>
  <c r="O48" i="6"/>
  <c r="O37" i="19"/>
  <c r="O45" i="19" s="1"/>
  <c r="O47" i="19" s="1"/>
  <c r="N27" i="25"/>
  <c r="N28" i="25" s="1"/>
  <c r="N29" i="25" s="1"/>
  <c r="O25" i="25" s="1"/>
  <c r="N37" i="25"/>
  <c r="N38" i="25" s="1"/>
  <c r="N43" i="25"/>
  <c r="N45" i="25" s="1"/>
  <c r="N50" i="25"/>
  <c r="N52" i="25" s="1"/>
  <c r="N57" i="25"/>
  <c r="N59" i="25" s="1"/>
  <c r="N29" i="8"/>
  <c r="N30" i="8" s="1"/>
  <c r="O44" i="6"/>
  <c r="O45" i="6"/>
  <c r="P24" i="6" s="1"/>
  <c r="O39" i="6"/>
  <c r="P27" i="6" l="1"/>
  <c r="O57" i="6"/>
  <c r="P38" i="4" s="1"/>
  <c r="P40" i="4" s="1"/>
  <c r="O26" i="25"/>
  <c r="N33" i="8"/>
  <c r="O50" i="6"/>
  <c r="O52" i="6" s="1"/>
  <c r="P16" i="25"/>
  <c r="P42" i="4" l="1"/>
  <c r="P43" i="4" s="1"/>
  <c r="O10" i="8"/>
  <c r="O13" i="8" s="1"/>
  <c r="O58" i="6"/>
  <c r="P28" i="6"/>
  <c r="N36" i="8"/>
  <c r="N38" i="8"/>
  <c r="P30" i="6" l="1"/>
  <c r="P33" i="6"/>
  <c r="P26" i="6"/>
  <c r="N41" i="8"/>
  <c r="O15" i="25" s="1"/>
  <c r="P45" i="4"/>
  <c r="Q42" i="19" s="1"/>
  <c r="Q43" i="19" s="1"/>
  <c r="O28" i="8"/>
  <c r="O16" i="8"/>
  <c r="N39" i="8"/>
  <c r="O35" i="8" s="1"/>
  <c r="O18" i="25" l="1"/>
  <c r="O21" i="25" s="1"/>
  <c r="P32" i="19"/>
  <c r="O21" i="8"/>
  <c r="O19" i="8"/>
  <c r="P36" i="6"/>
  <c r="P37" i="6" s="1"/>
  <c r="P39" i="6" l="1"/>
  <c r="P42" i="6"/>
  <c r="P35" i="6"/>
  <c r="O22" i="8"/>
  <c r="P18" i="8" s="1"/>
  <c r="P49" i="6"/>
  <c r="Q12" i="25"/>
  <c r="Q13" i="25" s="1"/>
  <c r="P37" i="19"/>
  <c r="P45" i="19" s="1"/>
  <c r="P47" i="19" s="1"/>
  <c r="P20" i="8"/>
  <c r="O24" i="8"/>
  <c r="O27" i="25"/>
  <c r="O28" i="25" s="1"/>
  <c r="O29" i="25" s="1"/>
  <c r="P25" i="25" s="1"/>
  <c r="O37" i="25"/>
  <c r="O38" i="25" s="1"/>
  <c r="O50" i="25"/>
  <c r="O52" i="25" s="1"/>
  <c r="O57" i="25"/>
  <c r="O59" i="25" s="1"/>
  <c r="O43" i="25"/>
  <c r="O45" i="25" s="1"/>
  <c r="P26" i="25" l="1"/>
  <c r="O29" i="8"/>
  <c r="O30" i="8" s="1"/>
  <c r="P48" i="6"/>
  <c r="P56" i="6"/>
  <c r="P45" i="6"/>
  <c r="Q24" i="6" s="1"/>
  <c r="P44" i="6"/>
  <c r="P58" i="6" l="1"/>
  <c r="P50" i="6"/>
  <c r="P52" i="6" s="1"/>
  <c r="Q16" i="25"/>
  <c r="O33" i="8"/>
  <c r="Q28" i="6"/>
  <c r="Q26" i="6" s="1"/>
  <c r="Q27" i="6"/>
  <c r="P57" i="6"/>
  <c r="Q38" i="4" s="1"/>
  <c r="Q40" i="4" s="1"/>
  <c r="Q33" i="6" l="1"/>
  <c r="Q30" i="6"/>
  <c r="O36" i="8"/>
  <c r="O38" i="8"/>
  <c r="Q42" i="4"/>
  <c r="Q43" i="4" s="1"/>
  <c r="Q45" i="4" s="1"/>
  <c r="R42" i="19" s="1"/>
  <c r="R43" i="19" s="1"/>
  <c r="P10" i="8"/>
  <c r="P13" i="8" s="1"/>
  <c r="O41" i="8" l="1"/>
  <c r="P15" i="25" s="1"/>
  <c r="O39" i="8"/>
  <c r="P35" i="8" s="1"/>
  <c r="P28" i="8"/>
  <c r="P16" i="8"/>
  <c r="Q36" i="6"/>
  <c r="Q37" i="6" s="1"/>
  <c r="Q39" i="6" l="1"/>
  <c r="Q42" i="6"/>
  <c r="Q35" i="6"/>
  <c r="P18" i="25"/>
  <c r="P21" i="25" s="1"/>
  <c r="Q32" i="19"/>
  <c r="R12" i="25"/>
  <c r="R13" i="25" s="1"/>
  <c r="Q49" i="6"/>
  <c r="P21" i="8"/>
  <c r="P19" i="8"/>
  <c r="Q37" i="19" l="1"/>
  <c r="Q45" i="19" s="1"/>
  <c r="Q47" i="19" s="1"/>
  <c r="P22" i="8"/>
  <c r="Q18" i="8" s="1"/>
  <c r="Q20" i="8"/>
  <c r="P24" i="8"/>
  <c r="Q48" i="6"/>
  <c r="Q56" i="6"/>
  <c r="P27" i="25"/>
  <c r="P28" i="25" s="1"/>
  <c r="P29" i="25" s="1"/>
  <c r="Q25" i="25" s="1"/>
  <c r="P37" i="25"/>
  <c r="P38" i="25" s="1"/>
  <c r="P50" i="25"/>
  <c r="P52" i="25" s="1"/>
  <c r="P57" i="25"/>
  <c r="P59" i="25" s="1"/>
  <c r="P43" i="25"/>
  <c r="P45" i="25" s="1"/>
  <c r="Q44" i="6"/>
  <c r="Q45" i="6"/>
  <c r="R24" i="6" s="1"/>
  <c r="Q26" i="25" l="1"/>
  <c r="Q50" i="6"/>
  <c r="Q52" i="6" s="1"/>
  <c r="R16" i="25"/>
  <c r="Q57" i="6"/>
  <c r="R38" i="4" s="1"/>
  <c r="R40" i="4" s="1"/>
  <c r="P29" i="8"/>
  <c r="P30" i="8" s="1"/>
  <c r="R27" i="6"/>
  <c r="R28" i="6"/>
  <c r="P33" i="8" l="1"/>
  <c r="R42" i="4"/>
  <c r="Q10" i="8"/>
  <c r="Q13" i="8" s="1"/>
  <c r="R33" i="6"/>
  <c r="R30" i="6"/>
  <c r="B20" i="6"/>
  <c r="R26" i="6"/>
  <c r="Q58" i="6"/>
  <c r="R36" i="6" l="1"/>
  <c r="R37" i="6"/>
  <c r="R52" i="6"/>
  <c r="Q28" i="8"/>
  <c r="Q16" i="8"/>
  <c r="R43" i="4"/>
  <c r="R45" i="4" s="1"/>
  <c r="S42" i="19" s="1"/>
  <c r="S43" i="19" s="1"/>
  <c r="P38" i="8"/>
  <c r="P36" i="8"/>
  <c r="Q19" i="8" l="1"/>
  <c r="Q21" i="8"/>
  <c r="R42" i="6"/>
  <c r="R39" i="6"/>
  <c r="S12" i="25"/>
  <c r="S13" i="25" s="1"/>
  <c r="R49" i="6"/>
  <c r="P39" i="8"/>
  <c r="Q35" i="8" s="1"/>
  <c r="Q37" i="8"/>
  <c r="P41" i="8"/>
  <c r="Q15" i="25" s="1"/>
  <c r="R35" i="6"/>
  <c r="Q18" i="25" l="1"/>
  <c r="Q21" i="25" s="1"/>
  <c r="R32" i="19"/>
  <c r="R44" i="6"/>
  <c r="R45" i="6"/>
  <c r="S24" i="6" s="1"/>
  <c r="R20" i="8"/>
  <c r="Q24" i="8"/>
  <c r="Q22" i="8"/>
  <c r="R18" i="8" s="1"/>
  <c r="R56" i="6"/>
  <c r="R48" i="6"/>
  <c r="Q29" i="8" l="1"/>
  <c r="Q30" i="8" s="1"/>
  <c r="R37" i="19"/>
  <c r="R45" i="19" s="1"/>
  <c r="R47" i="19" s="1"/>
  <c r="R50" i="6"/>
  <c r="S16" i="25"/>
  <c r="S27" i="6"/>
  <c r="S28" i="6"/>
  <c r="R57" i="6"/>
  <c r="S38" i="4" s="1"/>
  <c r="S40" i="4" s="1"/>
  <c r="Q27" i="25"/>
  <c r="Q28" i="25" s="1"/>
  <c r="Q29" i="25" s="1"/>
  <c r="R25" i="25" s="1"/>
  <c r="Q37" i="25"/>
  <c r="Q38" i="25" s="1"/>
  <c r="Q50" i="25"/>
  <c r="Q52" i="25" s="1"/>
  <c r="Q57" i="25"/>
  <c r="Q59" i="25" s="1"/>
  <c r="Q43" i="25"/>
  <c r="Q45" i="25" s="1"/>
  <c r="R26" i="25" l="1"/>
  <c r="S42" i="4"/>
  <c r="S43" i="4"/>
  <c r="S45" i="4"/>
  <c r="T42" i="19" s="1"/>
  <c r="T43" i="19" s="1"/>
  <c r="R10" i="8"/>
  <c r="R13" i="8" s="1"/>
  <c r="S33" i="6"/>
  <c r="S30" i="6"/>
  <c r="Q33" i="8"/>
  <c r="S26" i="6"/>
  <c r="R58" i="6"/>
  <c r="Q38" i="8" l="1"/>
  <c r="Q36" i="8"/>
  <c r="S36" i="6"/>
  <c r="S37" i="6" s="1"/>
  <c r="S52" i="6"/>
  <c r="R16" i="8"/>
  <c r="R28" i="8"/>
  <c r="S39" i="6" l="1"/>
  <c r="S42" i="6"/>
  <c r="S35" i="6"/>
  <c r="T12" i="25"/>
  <c r="T13" i="25" s="1"/>
  <c r="S49" i="6"/>
  <c r="R19" i="8"/>
  <c r="R21" i="8"/>
  <c r="Q39" i="8"/>
  <c r="R35" i="8" s="1"/>
  <c r="R37" i="8"/>
  <c r="Q41" i="8"/>
  <c r="R15" i="25" s="1"/>
  <c r="S20" i="8" l="1"/>
  <c r="R24" i="8"/>
  <c r="S48" i="6"/>
  <c r="S56" i="6"/>
  <c r="S44" i="6"/>
  <c r="S45" i="6"/>
  <c r="T24" i="6" s="1"/>
  <c r="R22" i="8"/>
  <c r="S18" i="8" s="1"/>
  <c r="R18" i="25"/>
  <c r="R21" i="25" s="1"/>
  <c r="S32" i="19"/>
  <c r="S37" i="19" l="1"/>
  <c r="S45" i="19" s="1"/>
  <c r="S47" i="19" s="1"/>
  <c r="R27" i="25"/>
  <c r="R28" i="25" s="1"/>
  <c r="R29" i="25" s="1"/>
  <c r="S25" i="25" s="1"/>
  <c r="R37" i="25"/>
  <c r="R38" i="25" s="1"/>
  <c r="R57" i="25"/>
  <c r="R59" i="25" s="1"/>
  <c r="R50" i="25"/>
  <c r="R52" i="25" s="1"/>
  <c r="R43" i="25"/>
  <c r="R45" i="25" s="1"/>
  <c r="S50" i="6"/>
  <c r="T16" i="25"/>
  <c r="R29" i="8"/>
  <c r="R30" i="8" s="1"/>
  <c r="T28" i="6"/>
  <c r="T27" i="6"/>
  <c r="S57" i="6"/>
  <c r="T38" i="4" s="1"/>
  <c r="T40" i="4" s="1"/>
  <c r="T30" i="6" l="1"/>
  <c r="T33" i="6"/>
  <c r="S26" i="25"/>
  <c r="R33" i="8"/>
  <c r="S58" i="6"/>
  <c r="T26" i="6"/>
  <c r="S10" i="8"/>
  <c r="S13" i="8" s="1"/>
  <c r="T42" i="4"/>
  <c r="T45" i="4" l="1"/>
  <c r="U42" i="19" s="1"/>
  <c r="U43" i="19" s="1"/>
  <c r="R38" i="8"/>
  <c r="R36" i="8"/>
  <c r="R39" i="8" s="1"/>
  <c r="S35" i="8" s="1"/>
  <c r="S16" i="8"/>
  <c r="S28" i="8"/>
  <c r="T43" i="4"/>
  <c r="T36" i="6"/>
  <c r="T52" i="6"/>
  <c r="U12" i="25" l="1"/>
  <c r="U13" i="25" s="1"/>
  <c r="T49" i="6"/>
  <c r="T37" i="6"/>
  <c r="S19" i="8"/>
  <c r="S21" i="8"/>
  <c r="S37" i="8"/>
  <c r="R41" i="8"/>
  <c r="S15" i="25" s="1"/>
  <c r="S22" i="8" l="1"/>
  <c r="T39" i="6"/>
  <c r="T42" i="6"/>
  <c r="T35" i="6"/>
  <c r="S18" i="25"/>
  <c r="S21" i="25" s="1"/>
  <c r="T32" i="19"/>
  <c r="T20" i="8"/>
  <c r="S24" i="8"/>
  <c r="T37" i="19" l="1"/>
  <c r="T45" i="19" s="1"/>
  <c r="T47" i="19" s="1"/>
  <c r="S43" i="25"/>
  <c r="S45" i="25" s="1"/>
  <c r="S57" i="25"/>
  <c r="S59" i="25" s="1"/>
  <c r="S27" i="25"/>
  <c r="S28" i="25" s="1"/>
  <c r="S29" i="25" s="1"/>
  <c r="T25" i="25" s="1"/>
  <c r="S37" i="25"/>
  <c r="S38" i="25" s="1"/>
  <c r="S50" i="25"/>
  <c r="S52" i="25" s="1"/>
  <c r="T56" i="6"/>
  <c r="T48" i="6"/>
  <c r="S29" i="8"/>
  <c r="S30" i="8" s="1"/>
  <c r="T45" i="6"/>
  <c r="U24" i="6" s="1"/>
  <c r="T44" i="6"/>
  <c r="T26" i="25" l="1"/>
  <c r="T50" i="6"/>
  <c r="U16" i="25"/>
  <c r="T58" i="6"/>
  <c r="T57" i="6"/>
  <c r="U38" i="4" s="1"/>
  <c r="U40" i="4" s="1"/>
  <c r="U27" i="6"/>
  <c r="S33" i="8"/>
  <c r="T10" i="8" l="1"/>
  <c r="T13" i="8" s="1"/>
  <c r="U42" i="4"/>
  <c r="S36" i="8"/>
  <c r="S38" i="8"/>
  <c r="U28" i="6"/>
  <c r="U45" i="4" l="1"/>
  <c r="V42" i="19" s="1"/>
  <c r="V43" i="19" s="1"/>
  <c r="U30" i="6"/>
  <c r="U33" i="6"/>
  <c r="U26" i="6"/>
  <c r="T37" i="8"/>
  <c r="S41" i="8"/>
  <c r="T15" i="25" s="1"/>
  <c r="S39" i="8"/>
  <c r="U43" i="4"/>
  <c r="T16" i="8"/>
  <c r="T28" i="8"/>
  <c r="T18" i="25" l="1"/>
  <c r="T21" i="25" s="1"/>
  <c r="U32" i="19"/>
  <c r="T19" i="8"/>
  <c r="T21" i="8"/>
  <c r="U36" i="6"/>
  <c r="U37" i="6"/>
  <c r="U52" i="6"/>
  <c r="U35" i="6"/>
  <c r="T43" i="25" l="1"/>
  <c r="T45" i="25" s="1"/>
  <c r="T57" i="25"/>
  <c r="T59" i="25" s="1"/>
  <c r="T50" i="25"/>
  <c r="T52" i="25" s="1"/>
  <c r="T27" i="25"/>
  <c r="T28" i="25" s="1"/>
  <c r="T29" i="25" s="1"/>
  <c r="U25" i="25" s="1"/>
  <c r="T37" i="25"/>
  <c r="T38" i="25" s="1"/>
  <c r="U42" i="6"/>
  <c r="U39" i="6"/>
  <c r="V12" i="25"/>
  <c r="V13" i="25" s="1"/>
  <c r="U49" i="6"/>
  <c r="U20" i="8"/>
  <c r="T24" i="8"/>
  <c r="T22" i="8"/>
  <c r="U18" i="8" s="1"/>
  <c r="U48" i="6"/>
  <c r="U56" i="6"/>
  <c r="U37" i="19"/>
  <c r="U45" i="19" s="1"/>
  <c r="U47" i="19" s="1"/>
  <c r="U45" i="6" l="1"/>
  <c r="V24" i="6" s="1"/>
  <c r="U44" i="6"/>
  <c r="T29" i="8"/>
  <c r="T30" i="8" s="1"/>
  <c r="U50" i="6"/>
  <c r="V16" i="25"/>
  <c r="U26" i="25"/>
  <c r="V27" i="6" l="1"/>
  <c r="T33" i="8"/>
  <c r="U57" i="6"/>
  <c r="V38" i="4" l="1"/>
  <c r="V40" i="4" s="1"/>
  <c r="U58" i="6"/>
  <c r="T38" i="8"/>
  <c r="T36" i="8"/>
  <c r="T39" i="8" s="1"/>
  <c r="U35" i="8" s="1"/>
  <c r="V28" i="6"/>
  <c r="V30" i="6" l="1"/>
  <c r="V33" i="6"/>
  <c r="V26" i="6"/>
  <c r="U37" i="8"/>
  <c r="T41" i="8"/>
  <c r="U15" i="25" s="1"/>
  <c r="V42" i="4"/>
  <c r="U10" i="8"/>
  <c r="U13" i="8" s="1"/>
  <c r="U18" i="25" l="1"/>
  <c r="U21" i="25" s="1"/>
  <c r="V32" i="19"/>
  <c r="V43" i="4"/>
  <c r="V45" i="4" s="1"/>
  <c r="W42" i="19" s="1"/>
  <c r="W43" i="19" s="1"/>
  <c r="U16" i="8"/>
  <c r="U28" i="8"/>
  <c r="V36" i="6"/>
  <c r="V37" i="6" s="1"/>
  <c r="V52" i="6"/>
  <c r="V42" i="6" l="1"/>
  <c r="V39" i="6"/>
  <c r="V35" i="6"/>
  <c r="U21" i="8"/>
  <c r="U19" i="8"/>
  <c r="V37" i="19"/>
  <c r="V45" i="19" s="1"/>
  <c r="V47" i="19" s="1"/>
  <c r="V49" i="6"/>
  <c r="W12" i="25"/>
  <c r="W13" i="25" s="1"/>
  <c r="U43" i="25"/>
  <c r="U45" i="25" s="1"/>
  <c r="U57" i="25"/>
  <c r="U59" i="25" s="1"/>
  <c r="U37" i="25"/>
  <c r="U38" i="25" s="1"/>
  <c r="U27" i="25"/>
  <c r="U28" i="25" s="1"/>
  <c r="U29" i="25" s="1"/>
  <c r="V25" i="25" s="1"/>
  <c r="U50" i="25"/>
  <c r="U52" i="25" s="1"/>
  <c r="V45" i="6" l="1"/>
  <c r="W24" i="6" s="1"/>
  <c r="V44" i="6"/>
  <c r="V26" i="25"/>
  <c r="U22" i="8"/>
  <c r="V18" i="8" s="1"/>
  <c r="V56" i="6"/>
  <c r="V48" i="6"/>
  <c r="V20" i="8"/>
  <c r="U24" i="8"/>
  <c r="V50" i="6" l="1"/>
  <c r="W16" i="25"/>
  <c r="W27" i="6"/>
  <c r="V58" i="6"/>
  <c r="U29" i="8"/>
  <c r="U30" i="8" s="1"/>
  <c r="V57" i="6"/>
  <c r="W38" i="4" s="1"/>
  <c r="W40" i="4" s="1"/>
  <c r="W28" i="6" l="1"/>
  <c r="U33" i="8"/>
  <c r="W42" i="4"/>
  <c r="W43" i="4" s="1"/>
  <c r="W45" i="4" s="1"/>
  <c r="X42" i="19" s="1"/>
  <c r="X43" i="19" s="1"/>
  <c r="V10" i="8"/>
  <c r="V13" i="8" s="1"/>
  <c r="U38" i="8" l="1"/>
  <c r="U36" i="8"/>
  <c r="W33" i="6"/>
  <c r="W26" i="6"/>
  <c r="W30" i="6" s="1"/>
  <c r="V16" i="8"/>
  <c r="V28" i="8"/>
  <c r="V21" i="8" l="1"/>
  <c r="V19" i="8"/>
  <c r="W36" i="6"/>
  <c r="U39" i="8"/>
  <c r="V35" i="8" s="1"/>
  <c r="V37" i="8"/>
  <c r="U41" i="8"/>
  <c r="V15" i="25" s="1"/>
  <c r="W20" i="8" l="1"/>
  <c r="V24" i="8"/>
  <c r="W49" i="6"/>
  <c r="X12" i="25"/>
  <c r="X13" i="25" s="1"/>
  <c r="W37" i="6"/>
  <c r="V18" i="25"/>
  <c r="V21" i="25" s="1"/>
  <c r="W32" i="19"/>
  <c r="V22" i="8"/>
  <c r="W18" i="8" s="1"/>
  <c r="V29" i="8" l="1"/>
  <c r="V30" i="8" s="1"/>
  <c r="W37" i="19"/>
  <c r="W45" i="19" s="1"/>
  <c r="W47" i="19" s="1"/>
  <c r="V43" i="25"/>
  <c r="V45" i="25" s="1"/>
  <c r="V50" i="25"/>
  <c r="V52" i="25" s="1"/>
  <c r="V57" i="25"/>
  <c r="V59" i="25" s="1"/>
  <c r="V37" i="25"/>
  <c r="V38" i="25" s="1"/>
  <c r="V27" i="25"/>
  <c r="V28" i="25" s="1"/>
  <c r="V29" i="25" s="1"/>
  <c r="W25" i="25" s="1"/>
  <c r="W42" i="6"/>
  <c r="W35" i="6"/>
  <c r="W48" i="6" l="1"/>
  <c r="W56" i="6"/>
  <c r="W44" i="6"/>
  <c r="W45" i="6"/>
  <c r="X24" i="6" s="1"/>
  <c r="V33" i="8"/>
  <c r="W39" i="6"/>
  <c r="W26" i="25"/>
  <c r="W50" i="6" l="1"/>
  <c r="W52" i="6" s="1"/>
  <c r="X16" i="25"/>
  <c r="V36" i="8"/>
  <c r="V39" i="8" s="1"/>
  <c r="W35" i="8" s="1"/>
  <c r="V38" i="8"/>
  <c r="X27" i="6"/>
  <c r="W57" i="6"/>
  <c r="X38" i="4" s="1"/>
  <c r="X40" i="4" s="1"/>
  <c r="X42" i="4" l="1"/>
  <c r="X43" i="4" s="1"/>
  <c r="X45" i="4" s="1"/>
  <c r="Y42" i="19" s="1"/>
  <c r="Y43" i="19" s="1"/>
  <c r="W10" i="8"/>
  <c r="W13" i="8" s="1"/>
  <c r="X28" i="6"/>
  <c r="W37" i="8"/>
  <c r="V41" i="8"/>
  <c r="W15" i="25" s="1"/>
  <c r="W58" i="6"/>
  <c r="W24" i="8" l="1"/>
  <c r="W16" i="8"/>
  <c r="W28" i="8"/>
  <c r="X33" i="6"/>
  <c r="X26" i="6"/>
  <c r="X30" i="6" s="1"/>
  <c r="W18" i="25"/>
  <c r="W21" i="25" s="1"/>
  <c r="X32" i="19"/>
  <c r="W27" i="25" l="1"/>
  <c r="W28" i="25" s="1"/>
  <c r="W29" i="25" s="1"/>
  <c r="X25" i="25" s="1"/>
  <c r="W37" i="25"/>
  <c r="W38" i="25" s="1"/>
  <c r="C39" i="25" s="1"/>
  <c r="W50" i="25"/>
  <c r="W52" i="25" s="1"/>
  <c r="C53" i="25" s="1"/>
  <c r="C70" i="2" s="1"/>
  <c r="W43" i="25"/>
  <c r="W45" i="25" s="1"/>
  <c r="C46" i="25" s="1"/>
  <c r="C69" i="2" s="1"/>
  <c r="W57" i="25"/>
  <c r="W59" i="25" s="1"/>
  <c r="C60" i="25" s="1"/>
  <c r="C71" i="2" s="1"/>
  <c r="W30" i="8"/>
  <c r="W29" i="8"/>
  <c r="X36" i="6"/>
  <c r="W21" i="8"/>
  <c r="W19" i="8"/>
  <c r="X37" i="19"/>
  <c r="X45" i="19" s="1"/>
  <c r="X47" i="19" s="1"/>
  <c r="C68" i="2" l="1"/>
  <c r="B9" i="16"/>
  <c r="B12" i="16" s="1"/>
  <c r="W22" i="8"/>
  <c r="X18" i="8" s="1"/>
  <c r="W41" i="8"/>
  <c r="X15" i="25" s="1"/>
  <c r="W33" i="8"/>
  <c r="X20" i="8"/>
  <c r="Y12" i="25"/>
  <c r="Y13" i="25" s="1"/>
  <c r="X49" i="6"/>
  <c r="X37" i="6"/>
  <c r="X26" i="25"/>
  <c r="X39" i="6" l="1"/>
  <c r="X42" i="6"/>
  <c r="X35" i="6"/>
  <c r="W38" i="8"/>
  <c r="X37" i="8" s="1"/>
  <c r="W36" i="8"/>
  <c r="X18" i="25"/>
  <c r="X21" i="25" s="1"/>
  <c r="Y32" i="19"/>
  <c r="X45" i="6" l="1"/>
  <c r="Y24" i="6" s="1"/>
  <c r="X44" i="6"/>
  <c r="Y37" i="19"/>
  <c r="Y45" i="19" s="1"/>
  <c r="Y47" i="19" s="1"/>
  <c r="X50" i="25"/>
  <c r="X52" i="25" s="1"/>
  <c r="X27" i="25"/>
  <c r="X28" i="25" s="1"/>
  <c r="X29" i="25" s="1"/>
  <c r="Y25" i="25" s="1"/>
  <c r="X37" i="25"/>
  <c r="X38" i="25" s="1"/>
  <c r="X43" i="25"/>
  <c r="X45" i="25" s="1"/>
  <c r="X57" i="25"/>
  <c r="X59" i="25" s="1"/>
  <c r="W39" i="8"/>
  <c r="X35" i="8" s="1"/>
  <c r="X48" i="6"/>
  <c r="X56" i="6"/>
  <c r="Y26" i="25" l="1"/>
  <c r="X57" i="6"/>
  <c r="Y38" i="4" s="1"/>
  <c r="Y40" i="4" s="1"/>
  <c r="Y27" i="6"/>
  <c r="X50" i="6"/>
  <c r="X52" i="6" s="1"/>
  <c r="Y16" i="25"/>
  <c r="X58" i="6" l="1"/>
  <c r="Y28" i="6"/>
  <c r="Y43" i="4"/>
  <c r="Y45" i="4" s="1"/>
  <c r="Z42" i="19" s="1"/>
  <c r="Z43" i="19" s="1"/>
  <c r="X10" i="8"/>
  <c r="X13" i="8" s="1"/>
  <c r="Y42" i="4"/>
  <c r="X16" i="8" l="1"/>
  <c r="X24" i="8"/>
  <c r="X28" i="8"/>
  <c r="Y33" i="6"/>
  <c r="Y30" i="6"/>
  <c r="Y26" i="6"/>
  <c r="Y36" i="6" l="1"/>
  <c r="Y37" i="6"/>
  <c r="Y35" i="6" s="1"/>
  <c r="X29" i="8"/>
  <c r="X30" i="8" s="1"/>
  <c r="X21" i="8"/>
  <c r="X19" i="8"/>
  <c r="Y48" i="6" l="1"/>
  <c r="Y56" i="6"/>
  <c r="X33" i="8"/>
  <c r="X41" i="8"/>
  <c r="Y15" i="25" s="1"/>
  <c r="Y20" i="8"/>
  <c r="Y39" i="6"/>
  <c r="Y42" i="6"/>
  <c r="Z12" i="25"/>
  <c r="Z13" i="25" s="1"/>
  <c r="Y49" i="6"/>
  <c r="X22" i="8"/>
  <c r="Y18" i="8" s="1"/>
  <c r="Z32" i="19" l="1"/>
  <c r="Y18" i="25"/>
  <c r="Y21" i="25" s="1"/>
  <c r="Y45" i="6"/>
  <c r="Z24" i="6" s="1"/>
  <c r="Y44" i="6"/>
  <c r="X38" i="8"/>
  <c r="Y37" i="8" s="1"/>
  <c r="X36" i="8"/>
  <c r="X39" i="8" s="1"/>
  <c r="Y35" i="8" s="1"/>
  <c r="Y50" i="6"/>
  <c r="Y52" i="6" s="1"/>
  <c r="Z16" i="25"/>
  <c r="Y57" i="6" l="1"/>
  <c r="Z37" i="19"/>
  <c r="Z45" i="19" s="1"/>
  <c r="Z47" i="19" s="1"/>
  <c r="Z27" i="6"/>
  <c r="Y27" i="25"/>
  <c r="Y28" i="25" s="1"/>
  <c r="Y29" i="25" s="1"/>
  <c r="Z25" i="25" s="1"/>
  <c r="Y37" i="25"/>
  <c r="Y38" i="25" s="1"/>
  <c r="Y50" i="25"/>
  <c r="Y52" i="25" s="1"/>
  <c r="Y57" i="25"/>
  <c r="Y59" i="25" s="1"/>
  <c r="Y43" i="25"/>
  <c r="Y45" i="25" s="1"/>
  <c r="Z28" i="6" l="1"/>
  <c r="Z38" i="4"/>
  <c r="Z40" i="4" s="1"/>
  <c r="Y58" i="6"/>
  <c r="Z26" i="25"/>
  <c r="Z42" i="4" l="1"/>
  <c r="Y10" i="8"/>
  <c r="Y13" i="8" s="1"/>
  <c r="Z33" i="6"/>
  <c r="Z30" i="6"/>
  <c r="Z26" i="6"/>
  <c r="Z36" i="6" l="1"/>
  <c r="Z43" i="4"/>
  <c r="Z45" i="4" s="1"/>
  <c r="AA42" i="19" s="1"/>
  <c r="AA43" i="19" s="1"/>
  <c r="Y28" i="8"/>
  <c r="Y16" i="8"/>
  <c r="Y24" i="8"/>
  <c r="Y19" i="8" l="1"/>
  <c r="Y22" i="8" s="1"/>
  <c r="Z18" i="8" s="1"/>
  <c r="Y21" i="8"/>
  <c r="Z49" i="6"/>
  <c r="AA12" i="25"/>
  <c r="AA13" i="25" s="1"/>
  <c r="Z37" i="6"/>
  <c r="Y29" i="8"/>
  <c r="Y30" i="8" s="1"/>
  <c r="Y41" i="8" l="1"/>
  <c r="Z15" i="25" s="1"/>
  <c r="Y33" i="8"/>
  <c r="Z42" i="6"/>
  <c r="Z39" i="6"/>
  <c r="Z35" i="6"/>
  <c r="Z20" i="8"/>
  <c r="Y36" i="8" l="1"/>
  <c r="Y38" i="8"/>
  <c r="Z37" i="8" s="1"/>
  <c r="Z44" i="6"/>
  <c r="Z45" i="6"/>
  <c r="AA24" i="6" s="1"/>
  <c r="Z48" i="6"/>
  <c r="Z56" i="6"/>
  <c r="Z18" i="25"/>
  <c r="Z21" i="25" s="1"/>
  <c r="AA32" i="19"/>
  <c r="Z27" i="25" l="1"/>
  <c r="Z28" i="25" s="1"/>
  <c r="Z29" i="25" s="1"/>
  <c r="AA25" i="25" s="1"/>
  <c r="Z37" i="25"/>
  <c r="Z38" i="25" s="1"/>
  <c r="Z57" i="25"/>
  <c r="Z59" i="25" s="1"/>
  <c r="Z50" i="25"/>
  <c r="Z52" i="25" s="1"/>
  <c r="Z43" i="25"/>
  <c r="Z45" i="25" s="1"/>
  <c r="AA28" i="6"/>
  <c r="AA26" i="6" s="1"/>
  <c r="AA27" i="6"/>
  <c r="Z57" i="6"/>
  <c r="AA38" i="4" s="1"/>
  <c r="AA40" i="4" s="1"/>
  <c r="AA37" i="19"/>
  <c r="AA45" i="19" s="1"/>
  <c r="AA47" i="19" s="1"/>
  <c r="Z58" i="6"/>
  <c r="Z50" i="6"/>
  <c r="Z52" i="6" s="1"/>
  <c r="AA16" i="25"/>
  <c r="Y39" i="8"/>
  <c r="Z35" i="8" s="1"/>
  <c r="AA42" i="4" l="1"/>
  <c r="AA43" i="4"/>
  <c r="AA45" i="4" s="1"/>
  <c r="AB42" i="19" s="1"/>
  <c r="AB43" i="19" s="1"/>
  <c r="Z10" i="8"/>
  <c r="Z13" i="8" s="1"/>
  <c r="AA26" i="25"/>
  <c r="AA30" i="6"/>
  <c r="AA33" i="6"/>
  <c r="AA36" i="6" l="1"/>
  <c r="Z24" i="8"/>
  <c r="Z28" i="8"/>
  <c r="Z16" i="8"/>
  <c r="AB12" i="25" l="1"/>
  <c r="AB13" i="25" s="1"/>
  <c r="AA49" i="6"/>
  <c r="Z19" i="8"/>
  <c r="Z21" i="8"/>
  <c r="Z30" i="8"/>
  <c r="Z29" i="8"/>
  <c r="AA37" i="6"/>
  <c r="AA42" i="6" l="1"/>
  <c r="AA35" i="6"/>
  <c r="Z41" i="8"/>
  <c r="AA15" i="25" s="1"/>
  <c r="Z33" i="8"/>
  <c r="AA20" i="8"/>
  <c r="Z22" i="8"/>
  <c r="AA18" i="8" s="1"/>
  <c r="AA44" i="6" l="1"/>
  <c r="AA45" i="6"/>
  <c r="AB24" i="6" s="1"/>
  <c r="Z36" i="8"/>
  <c r="Z38" i="8"/>
  <c r="AA37" i="8" s="1"/>
  <c r="AB32" i="19"/>
  <c r="AA18" i="25"/>
  <c r="AA21" i="25" s="1"/>
  <c r="AA48" i="6"/>
  <c r="AA56" i="6"/>
  <c r="AA39" i="6"/>
  <c r="AB37" i="19" l="1"/>
  <c r="AB45" i="19" s="1"/>
  <c r="AB47" i="19" s="1"/>
  <c r="AB27" i="6"/>
  <c r="AA57" i="6"/>
  <c r="AB38" i="4" s="1"/>
  <c r="AB40" i="4" s="1"/>
  <c r="AA58" i="6"/>
  <c r="AA50" i="6"/>
  <c r="AA52" i="6" s="1"/>
  <c r="AB16" i="25"/>
  <c r="AA27" i="25"/>
  <c r="AA28" i="25" s="1"/>
  <c r="AA29" i="25" s="1"/>
  <c r="AB25" i="25" s="1"/>
  <c r="AA37" i="25"/>
  <c r="AA38" i="25" s="1"/>
  <c r="AA57" i="25"/>
  <c r="AA59" i="25" s="1"/>
  <c r="AA43" i="25"/>
  <c r="AA45" i="25" s="1"/>
  <c r="AA50" i="25"/>
  <c r="AA52" i="25" s="1"/>
  <c r="Z39" i="8"/>
  <c r="AA35" i="8" s="1"/>
  <c r="AB42" i="4" l="1"/>
  <c r="AB45" i="4" s="1"/>
  <c r="AC42" i="19" s="1"/>
  <c r="AC43" i="19" s="1"/>
  <c r="AB43" i="4"/>
  <c r="AA10" i="8"/>
  <c r="AA13" i="8" s="1"/>
  <c r="AB26" i="25"/>
  <c r="AB28" i="6"/>
  <c r="AB33" i="6" l="1"/>
  <c r="AB26" i="6"/>
  <c r="AB30" i="6" s="1"/>
  <c r="AA28" i="8"/>
  <c r="AA24" i="8"/>
  <c r="AA16" i="8"/>
  <c r="AA29" i="8" l="1"/>
  <c r="AA30" i="8" s="1"/>
  <c r="AB36" i="6"/>
  <c r="AA19" i="8"/>
  <c r="AA21" i="8"/>
  <c r="AA33" i="8" l="1"/>
  <c r="AA41" i="8"/>
  <c r="AB15" i="25" s="1"/>
  <c r="AB20" i="8"/>
  <c r="AA22" i="8"/>
  <c r="AB18" i="8" s="1"/>
  <c r="AC12" i="25"/>
  <c r="AC13" i="25" s="1"/>
  <c r="AB49" i="6"/>
  <c r="AB37" i="6"/>
  <c r="AB39" i="6" l="1"/>
  <c r="AB42" i="6"/>
  <c r="AB35" i="6"/>
  <c r="AC32" i="19"/>
  <c r="AB18" i="25"/>
  <c r="AB21" i="25" s="1"/>
  <c r="AA36" i="8"/>
  <c r="AA38" i="8"/>
  <c r="AB37" i="8" s="1"/>
  <c r="AA39" i="8" l="1"/>
  <c r="AB35" i="8" s="1"/>
  <c r="AC37" i="19"/>
  <c r="AC45" i="19" s="1"/>
  <c r="AC47" i="19" s="1"/>
  <c r="AB48" i="6"/>
  <c r="AB56" i="6"/>
  <c r="AB44" i="6"/>
  <c r="AB45" i="6"/>
  <c r="AC24" i="6" s="1"/>
  <c r="AB43" i="25"/>
  <c r="AB45" i="25" s="1"/>
  <c r="AB27" i="25"/>
  <c r="AB28" i="25" s="1"/>
  <c r="AB29" i="25" s="1"/>
  <c r="AC25" i="25" s="1"/>
  <c r="AB37" i="25"/>
  <c r="AB38" i="25" s="1"/>
  <c r="AB57" i="25"/>
  <c r="AB59" i="25" s="1"/>
  <c r="AB50" i="25"/>
  <c r="AB52" i="25" s="1"/>
  <c r="AB57" i="6" l="1"/>
  <c r="AC38" i="4" s="1"/>
  <c r="AC40" i="4" s="1"/>
  <c r="AB50" i="6"/>
  <c r="AB52" i="6" s="1"/>
  <c r="AC16" i="25"/>
  <c r="AC27" i="6"/>
  <c r="AC26" i="25"/>
  <c r="AB58" i="6" l="1"/>
  <c r="AC28" i="6"/>
  <c r="AC42" i="4"/>
  <c r="AB10" i="8"/>
  <c r="AB13" i="8" s="1"/>
  <c r="AC43" i="4" l="1"/>
  <c r="AC45" i="4" s="1"/>
  <c r="AD42" i="19" s="1"/>
  <c r="AD43" i="19" s="1"/>
  <c r="AB16" i="8"/>
  <c r="AB28" i="8"/>
  <c r="AB24" i="8"/>
  <c r="AC30" i="6"/>
  <c r="AC33" i="6"/>
  <c r="AC26" i="6"/>
  <c r="AC36" i="6" l="1"/>
  <c r="AB29" i="8"/>
  <c r="AB30" i="8"/>
  <c r="AB21" i="8"/>
  <c r="AB19" i="8"/>
  <c r="AB22" i="8" l="1"/>
  <c r="AC18" i="8" s="1"/>
  <c r="AC49" i="6"/>
  <c r="AD12" i="25"/>
  <c r="AD13" i="25" s="1"/>
  <c r="AB33" i="8"/>
  <c r="AB41" i="8"/>
  <c r="AC15" i="25" s="1"/>
  <c r="AC37" i="6"/>
  <c r="AC20" i="8"/>
  <c r="AC42" i="6" l="1"/>
  <c r="AC35" i="6"/>
  <c r="AD32" i="19"/>
  <c r="AC18" i="25"/>
  <c r="AC21" i="25" s="1"/>
  <c r="AB36" i="8"/>
  <c r="AB38" i="8"/>
  <c r="AC37" i="8" s="1"/>
  <c r="AC45" i="6" l="1"/>
  <c r="AD24" i="6" s="1"/>
  <c r="AC44" i="6"/>
  <c r="AB39" i="8"/>
  <c r="AC35" i="8" s="1"/>
  <c r="AC43" i="25"/>
  <c r="AC45" i="25" s="1"/>
  <c r="AC27" i="25"/>
  <c r="AC28" i="25" s="1"/>
  <c r="AC29" i="25" s="1"/>
  <c r="AD25" i="25" s="1"/>
  <c r="AC37" i="25"/>
  <c r="AC38" i="25" s="1"/>
  <c r="AC57" i="25"/>
  <c r="AC59" i="25" s="1"/>
  <c r="AC50" i="25"/>
  <c r="AC52" i="25" s="1"/>
  <c r="AD37" i="19"/>
  <c r="AD45" i="19" s="1"/>
  <c r="AD47" i="19" s="1"/>
  <c r="AC48" i="6"/>
  <c r="AC56" i="6"/>
  <c r="AC39" i="6"/>
  <c r="AD26" i="25" l="1"/>
  <c r="AC57" i="6"/>
  <c r="AD38" i="4" s="1"/>
  <c r="AD40" i="4" s="1"/>
  <c r="AD27" i="6"/>
  <c r="AC50" i="6"/>
  <c r="AC52" i="6" s="1"/>
  <c r="AD16" i="25"/>
  <c r="AC58" i="6" l="1"/>
  <c r="AD28" i="6"/>
  <c r="AD42" i="4"/>
  <c r="AC10" i="8"/>
  <c r="AC13" i="8" s="1"/>
  <c r="AC16" i="8" l="1"/>
  <c r="AC24" i="8"/>
  <c r="AC28" i="8"/>
  <c r="AD43" i="4"/>
  <c r="AD45" i="4" s="1"/>
  <c r="AE42" i="19" s="1"/>
  <c r="AE43" i="19" s="1"/>
  <c r="AD30" i="6"/>
  <c r="AD33" i="6"/>
  <c r="AD26" i="6"/>
  <c r="AC19" i="8" l="1"/>
  <c r="AC22" i="8" s="1"/>
  <c r="AD18" i="8" s="1"/>
  <c r="AC21" i="8"/>
  <c r="AD20" i="8" s="1"/>
  <c r="AD36" i="6"/>
  <c r="AD37" i="6" s="1"/>
  <c r="AC29" i="8"/>
  <c r="AC30" i="8" s="1"/>
  <c r="AC33" i="8" l="1"/>
  <c r="AC41" i="8"/>
  <c r="AD15" i="25" s="1"/>
  <c r="AD42" i="6"/>
  <c r="AD35" i="6"/>
  <c r="AD49" i="6"/>
  <c r="AE12" i="25"/>
  <c r="AE13" i="25" s="1"/>
  <c r="AC36" i="8" l="1"/>
  <c r="AC39" i="8" s="1"/>
  <c r="AD35" i="8" s="1"/>
  <c r="AC38" i="8"/>
  <c r="AD37" i="8" s="1"/>
  <c r="AE32" i="19"/>
  <c r="AD18" i="25"/>
  <c r="AD21" i="25" s="1"/>
  <c r="AD48" i="6"/>
  <c r="AD56" i="6"/>
  <c r="AD39" i="6"/>
  <c r="AD44" i="6"/>
  <c r="AD45" i="6"/>
  <c r="AE24" i="6" s="1"/>
  <c r="AD43" i="25" l="1"/>
  <c r="AD45" i="25" s="1"/>
  <c r="AD50" i="25"/>
  <c r="AD52" i="25" s="1"/>
  <c r="AD37" i="25"/>
  <c r="AD38" i="25" s="1"/>
  <c r="AD27" i="25"/>
  <c r="AD28" i="25" s="1"/>
  <c r="AD29" i="25" s="1"/>
  <c r="AE25" i="25" s="1"/>
  <c r="AD57" i="25"/>
  <c r="AD59" i="25" s="1"/>
  <c r="AE26" i="6"/>
  <c r="AE27" i="6"/>
  <c r="AE28" i="6"/>
  <c r="AD57" i="6"/>
  <c r="AE38" i="4" s="1"/>
  <c r="AE40" i="4" s="1"/>
  <c r="AD58" i="6"/>
  <c r="AD50" i="6"/>
  <c r="AD52" i="6" s="1"/>
  <c r="AE16" i="25"/>
  <c r="AE37" i="19"/>
  <c r="AE45" i="19" s="1"/>
  <c r="AE47" i="19" s="1"/>
  <c r="AE33" i="6" l="1"/>
  <c r="AE30" i="6"/>
  <c r="AE26" i="25"/>
  <c r="AE42" i="4"/>
  <c r="AE43" i="4"/>
  <c r="AE45" i="4"/>
  <c r="AF42" i="19" s="1"/>
  <c r="AF43" i="19" s="1"/>
  <c r="AD10" i="8"/>
  <c r="AD13" i="8" s="1"/>
  <c r="AD16" i="8" l="1"/>
  <c r="AD24" i="8"/>
  <c r="AD28" i="8"/>
  <c r="AE36" i="6"/>
  <c r="AF12" i="25" l="1"/>
  <c r="AF13" i="25" s="1"/>
  <c r="AE49" i="6"/>
  <c r="AD29" i="8"/>
  <c r="AD21" i="8"/>
  <c r="AE20" i="8" s="1"/>
  <c r="AD19" i="8"/>
  <c r="AE37" i="6"/>
  <c r="AD30" i="8"/>
  <c r="AD41" i="8" l="1"/>
  <c r="AE15" i="25" s="1"/>
  <c r="AD33" i="8"/>
  <c r="AE42" i="6"/>
  <c r="AE35" i="6"/>
  <c r="AD22" i="8"/>
  <c r="AE18" i="8" s="1"/>
  <c r="AF32" i="19" l="1"/>
  <c r="AE18" i="25"/>
  <c r="AE21" i="25" s="1"/>
  <c r="AE56" i="6"/>
  <c r="AE48" i="6"/>
  <c r="AE39" i="6"/>
  <c r="AE44" i="6"/>
  <c r="AE45" i="6"/>
  <c r="AF24" i="6" s="1"/>
  <c r="AD36" i="8"/>
  <c r="AD38" i="8"/>
  <c r="AE37" i="8" s="1"/>
  <c r="AE27" i="25" l="1"/>
  <c r="AE28" i="25" s="1"/>
  <c r="AE29" i="25" s="1"/>
  <c r="AF25" i="25" s="1"/>
  <c r="AE37" i="25"/>
  <c r="AE38" i="25" s="1"/>
  <c r="AE50" i="25"/>
  <c r="AE52" i="25" s="1"/>
  <c r="AE43" i="25"/>
  <c r="AE45" i="25" s="1"/>
  <c r="AE57" i="25"/>
  <c r="AE59" i="25" s="1"/>
  <c r="AD39" i="8"/>
  <c r="AE35" i="8" s="1"/>
  <c r="AF37" i="19"/>
  <c r="AF45" i="19" s="1"/>
  <c r="AF47" i="19" s="1"/>
  <c r="AF28" i="6"/>
  <c r="AF27" i="6"/>
  <c r="AE57" i="6"/>
  <c r="AF38" i="4" s="1"/>
  <c r="AF40" i="4" s="1"/>
  <c r="AE50" i="6"/>
  <c r="AE52" i="6" s="1"/>
  <c r="AF16" i="25"/>
  <c r="AF30" i="6" l="1"/>
  <c r="AF33" i="6"/>
  <c r="AF26" i="6"/>
  <c r="AF26" i="25"/>
  <c r="AE58" i="6"/>
  <c r="AF42" i="4"/>
  <c r="AF43" i="4" s="1"/>
  <c r="AE10" i="8"/>
  <c r="AE13" i="8" s="1"/>
  <c r="AF45" i="4" l="1"/>
  <c r="AG42" i="19" s="1"/>
  <c r="AG43" i="19" s="1"/>
  <c r="AE28" i="8"/>
  <c r="AE16" i="8"/>
  <c r="AE24" i="8"/>
  <c r="AF36" i="6"/>
  <c r="AF37" i="6" s="1"/>
  <c r="AF42" i="6" l="1"/>
  <c r="AF35" i="6"/>
  <c r="AE30" i="8"/>
  <c r="AG12" i="25"/>
  <c r="AG13" i="25" s="1"/>
  <c r="AF49" i="6"/>
  <c r="AE29" i="8"/>
  <c r="AE21" i="8"/>
  <c r="AF20" i="8" s="1"/>
  <c r="AE19" i="8"/>
  <c r="AE22" i="8" s="1"/>
  <c r="AF18" i="8" s="1"/>
  <c r="AE41" i="8" l="1"/>
  <c r="AF15" i="25" s="1"/>
  <c r="AE33" i="8"/>
  <c r="AF56" i="6"/>
  <c r="AF58" i="6" s="1"/>
  <c r="AF48" i="6"/>
  <c r="B77" i="6"/>
  <c r="E66" i="6" s="1"/>
  <c r="G35" i="2" s="1"/>
  <c r="AF45" i="6"/>
  <c r="AF44" i="6"/>
  <c r="AF57" i="6" s="1"/>
  <c r="AG38" i="4" s="1"/>
  <c r="AG40" i="4" s="1"/>
  <c r="AF39" i="6"/>
  <c r="AG32" i="19" l="1"/>
  <c r="AF18" i="25"/>
  <c r="AF21" i="25" s="1"/>
  <c r="AF50" i="6"/>
  <c r="AF52" i="6" s="1"/>
  <c r="AG16" i="25"/>
  <c r="AE38" i="8"/>
  <c r="AF37" i="8" s="1"/>
  <c r="AE36" i="8"/>
  <c r="AE39" i="8" s="1"/>
  <c r="AF35" i="8" s="1"/>
  <c r="AG42" i="4"/>
  <c r="AG45" i="4" s="1"/>
  <c r="AH42" i="19" s="1"/>
  <c r="AH43" i="19" s="1"/>
  <c r="AG43" i="4"/>
  <c r="AF10" i="8"/>
  <c r="AF13" i="8" s="1"/>
  <c r="E69" i="6" l="1"/>
  <c r="E68" i="6"/>
  <c r="AF28" i="8"/>
  <c r="AF16" i="8"/>
  <c r="AF24" i="8"/>
  <c r="AF50" i="25"/>
  <c r="AF52" i="25" s="1"/>
  <c r="AF27" i="25"/>
  <c r="AF28" i="25" s="1"/>
  <c r="AF29" i="25" s="1"/>
  <c r="AG25" i="25" s="1"/>
  <c r="AF37" i="25"/>
  <c r="AF38" i="25" s="1"/>
  <c r="AF43" i="25"/>
  <c r="AF45" i="25" s="1"/>
  <c r="AF57" i="25"/>
  <c r="AF59" i="25" s="1"/>
  <c r="AG37" i="19"/>
  <c r="AG45" i="19" s="1"/>
  <c r="AG47" i="19" s="1"/>
  <c r="AF19" i="8" l="1"/>
  <c r="AF21" i="8"/>
  <c r="AF29" i="8"/>
  <c r="AF30" i="8"/>
  <c r="D65" i="2"/>
  <c r="C9" i="16"/>
  <c r="C12" i="16" s="1"/>
  <c r="C65" i="2"/>
  <c r="D9" i="16"/>
  <c r="D12" i="16" s="1"/>
  <c r="AG26" i="25"/>
  <c r="AF41" i="8" l="1"/>
  <c r="AG15" i="25" s="1"/>
  <c r="AF33" i="8"/>
  <c r="AF22" i="8"/>
  <c r="AF36" i="8" l="1"/>
  <c r="AF38" i="8"/>
  <c r="AG18" i="25"/>
  <c r="AG21" i="25" s="1"/>
  <c r="AH32" i="19"/>
  <c r="AH37" i="19" s="1"/>
  <c r="AH45" i="19" s="1"/>
  <c r="AH47" i="19" s="1"/>
  <c r="AG50" i="25" l="1"/>
  <c r="AG52" i="25" s="1"/>
  <c r="AG57" i="25"/>
  <c r="AG59" i="25" s="1"/>
  <c r="AG27" i="25"/>
  <c r="AG28" i="25" s="1"/>
  <c r="AG29" i="25" s="1"/>
  <c r="AG43" i="25"/>
  <c r="AG45" i="25" s="1"/>
  <c r="AG37" i="25"/>
  <c r="AG38" i="25" s="1"/>
  <c r="AF39" i="8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Per Patrick Malloy in Tax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<sst xmlns="http://schemas.openxmlformats.org/spreadsheetml/2006/main" count="577" uniqueCount="450">
  <si>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</si>
  <si>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</si>
  <si>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</si>
  <si>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</si>
  <si>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</si>
  <si>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</si>
  <si>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</si>
  <si>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</si>
  <si>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</si>
  <si>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</si>
  <si>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</si>
  <si>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</si>
  <si>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</si>
  <si>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</si>
  <si>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</si>
  <si>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</si>
  <si>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</si>
  <si>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</si>
  <si>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</si>
  <si>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</si>
  <si>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</si>
  <si>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</si>
  <si>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</si>
  <si>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</si>
  <si>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</si>
  <si>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</si>
  <si>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</si>
  <si>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</si>
  <si>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</si>
  <si>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</si>
  <si>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</si>
  <si>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</si>
  <si>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</si>
  <si>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</si>
  <si>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</si>
  <si>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</si>
  <si>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</si>
  <si>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</si>
  <si>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</si>
  <si>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</si>
  <si>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</si>
  <si>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</si>
  <si>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</si>
  <si>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</si>
  <si>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</si>
  <si>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</si>
  <si>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</si>
  <si>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</si>
  <si>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</si>
  <si>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</si>
  <si>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</si>
  <si>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</si>
  <si>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</si>
  <si>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</si>
  <si>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</si>
  <si>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</si>
  <si>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</si>
  <si>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</si>
  <si>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</si>
  <si>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</si>
  <si>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</si>
  <si>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</si>
  <si>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</si>
  <si>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</si>
  <si>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</si>
  <si>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</si>
  <si>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</si>
  <si>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</si>
  <si>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</si>
  <si>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</si>
  <si>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</si>
  <si>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</si>
  <si>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</si>
  <si>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</si>
  <si>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</si>
  <si>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</si>
  <si>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</si>
  <si>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</si>
  <si>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</si>
  <si>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</si>
  <si>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</si>
  <si>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</si>
  <si>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</si>
  <si>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</si>
  <si>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</si>
  <si>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</si>
  <si>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</si>
  <si>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</si>
  <si>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</si>
  <si>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</si>
  <si>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</si>
  <si>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</si>
  <si>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</si>
  <si>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</si>
  <si>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</si>
  <si>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</si>
  <si>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</si>
  <si>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</si>
  <si>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</si>
  <si>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</si>
  <si>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</si>
  <si>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</si>
  <si>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</si>
  <si>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</si>
  <si>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</si>
  <si>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</si>
  <si>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</si>
  <si>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</si>
  <si>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</si>
  <si>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</si>
  <si>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</si>
  <si>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</si>
  <si>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</si>
  <si>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</si>
  <si>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</si>
  <si>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</si>
  <si>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</si>
  <si>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</si>
  <si>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</si>
  <si>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</si>
  <si>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</si>
  <si>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</si>
  <si>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</si>
  <si>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</si>
  <si>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</si>
  <si>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</si>
  <si>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</si>
  <si>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</si>
  <si>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</si>
  <si>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</si>
  <si>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</si>
  <si>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</si>
  <si>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</si>
  <si>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</si>
  <si>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</si>
  <si>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</si>
  <si>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</si>
  <si>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</si>
  <si>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</si>
  <si>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</si>
  <si>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</si>
  <si>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</si>
  <si>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</si>
  <si>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</si>
  <si>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</si>
  <si>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</si>
  <si>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</si>
  <si>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</si>
  <si>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</si>
  <si>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</si>
  <si>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</si>
  <si>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</si>
  <si>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</si>
  <si>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</si>
  <si>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</si>
  <si>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</si>
  <si>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</si>
  <si>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</si>
  <si>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</si>
  <si>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</si>
  <si>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</si>
  <si>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</si>
  <si>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</si>
  <si>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</si>
  <si>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</si>
  <si>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</si>
  <si>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</si>
  <si>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</si>
  <si>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</si>
  <si>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</si>
  <si>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</si>
  <si>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</si>
  <si>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</si>
  <si>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</si>
  <si>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</si>
  <si>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</si>
  <si>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</si>
  <si>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</si>
  <si>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</si>
  <si>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</si>
  <si>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</si>
  <si>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</si>
  <si>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</si>
  <si>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</si>
  <si>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</si>
  <si>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</si>
  <si>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</si>
  <si>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</si>
  <si>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</si>
  <si>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</si>
  <si>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</si>
  <si>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</si>
  <si>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</si>
  <si>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</si>
  <si>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</si>
  <si>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</si>
  <si>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</si>
  <si>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</si>
  <si>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</si>
  <si>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</si>
  <si>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</si>
  <si>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</si>
  <si>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</si>
  <si>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</si>
  <si>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</si>
  <si>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</si>
  <si>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</si>
  <si>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</si>
  <si>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</si>
  <si>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</si>
  <si>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</si>
  <si>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</si>
  <si>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</si>
  <si>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</si>
  <si>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</si>
  <si>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</si>
  <si>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</si>
  <si>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</si>
  <si>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</si>
  <si>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</si>
  <si>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</si>
  <si>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</si>
  <si>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</si>
  <si>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</si>
  <si>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</si>
  <si>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</si>
  <si>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</si>
  <si>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</si>
  <si>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</si>
  <si>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</si>
  <si>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</si>
  <si>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</si>
  <si>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</si>
  <si>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</si>
  <si>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</si>
  <si>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</si>
  <si>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</si>
  <si>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</si>
  <si>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</si>
  <si>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</si>
  <si>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</si>
  <si>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</si>
  <si>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</si>
  <si>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</si>
  <si>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</si>
  <si>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</si>
  <si>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</si>
  <si>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</si>
  <si>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</si>
  <si>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</si>
  <si>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</si>
  <si>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</si>
  <si>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</si>
  <si>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</si>
  <si>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</si>
  <si>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</si>
  <si>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</si>
  <si>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</si>
  <si>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</si>
  <si>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</si>
  <si>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</si>
  <si>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</si>
  <si>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</si>
  <si>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</si>
  <si>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</si>
  <si>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</si>
  <si>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</si>
  <si>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</si>
  <si>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</si>
  <si>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</si>
  <si>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</si>
  <si>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</si>
  <si>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</si>
  <si>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</si>
  <si>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</si>
  <si>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</si>
  <si>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</si>
  <si>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</si>
  <si>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</si>
  <si>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</si>
  <si>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</si>
  <si>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</si>
  <si>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</si>
  <si>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</si>
  <si>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</si>
  <si>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</si>
  <si>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</si>
  <si>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</si>
  <si>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</si>
  <si>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</si>
  <si>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</si>
  <si>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</si>
  <si>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</si>
  <si>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</si>
  <si>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</si>
  <si>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</si>
  <si>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</si>
  <si>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</si>
  <si>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</si>
  <si>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</si>
  <si>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</si>
  <si>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</si>
  <si>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</si>
  <si>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</si>
  <si>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</si>
  <si>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</si>
  <si>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</si>
  <si>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</si>
  <si>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</si>
  <si>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</si>
  <si>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</si>
  <si>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</si>
  <si>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</si>
  <si>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</si>
  <si>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</si>
  <si>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</si>
  <si>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</si>
  <si>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</si>
  <si>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</si>
  <si>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</si>
  <si>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</si>
  <si>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</si>
  <si>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</si>
  <si>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</si>
  <si>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</si>
  <si>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</si>
  <si>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</si>
  <si>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</si>
  <si>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</si>
  <si>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</si>
  <si>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</si>
  <si>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</si>
  <si>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</si>
  <si>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</si>
  <si>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</si>
  <si>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</si>
  <si>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</si>
  <si>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</si>
  <si>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</si>
  <si>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</si>
  <si>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</si>
  <si>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</si>
  <si>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</si>
  <si>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</si>
  <si>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</si>
  <si>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</si>
  <si>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</si>
  <si>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</si>
  <si>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</si>
  <si>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</si>
  <si>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</si>
  <si>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</si>
  <si>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</si>
  <si>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</si>
  <si>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</si>
  <si>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</si>
  <si>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</si>
  <si>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</si>
  <si>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</si>
  <si>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</si>
  <si>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</si>
  <si>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</si>
  <si>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</si>
  <si>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</si>
  <si>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</si>
  <si>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</si>
  <si>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</si>
  <si>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</si>
  <si>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</si>
  <si>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</si>
  <si>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</si>
  <si>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</si>
  <si>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</si>
  <si>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</si>
  <si>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</si>
  <si>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</si>
  <si>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</si>
  <si>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</si>
  <si>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</si>
  <si>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</si>
  <si>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</si>
  <si>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</si>
  <si>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</si>
  <si>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</si>
  <si>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</si>
  <si>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</si>
  <si>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</si>
  <si>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</si>
  <si>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</si>
  <si>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</si>
  <si>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</si>
  <si>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</si>
  <si>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</si>
  <si>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</si>
  <si>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</si>
  <si>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</si>
  <si>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</si>
  <si>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</si>
  <si>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</si>
  <si>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</si>
  <si>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</si>
  <si>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</si>
  <si>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</si>
  <si>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</si>
  <si>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</si>
  <si>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</si>
  <si>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</si>
  <si>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</si>
  <si>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</si>
  <si>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</si>
  <si>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</si>
  <si>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</si>
  <si>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</si>
  <si>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</si>
  <si>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</si>
  <si>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</si>
  <si>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</si>
  <si>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</si>
  <si>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</si>
  <si>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</si>
  <si>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</si>
  <si>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</si>
  <si>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</si>
  <si>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</si>
  <si>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</si>
  <si>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</si>
  <si>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</si>
  <si>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</si>
  <si>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</si>
  <si>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</si>
  <si>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</si>
  <si>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</si>
  <si>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</si>
  <si>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</si>
  <si>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</si>
  <si>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</si>
  <si>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</si>
  <si>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</si>
  <si>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</si>
  <si>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</si>
  <si>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</si>
  <si>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</si>
  <si>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</si>
  <si>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</si>
  <si>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</si>
  <si>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</si>
  <si>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</si>
  <si>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</si>
  <si>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</si>
  <si>
    <t>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</si>
</sst>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0" fontId="22" fillId="11" borderId="0" xfId="0" applyNumberFormat="1" applyFont="1" applyFill="1" applyBorder="1" applyAlignment="1">
      <alignment horizontal="center"/>
    </xf>
    <xf numFmtId="281" fontId="22" fillId="8" borderId="0" xfId="0" applyNumberFormat="1" applyFont="1" applyFill="1" applyBorder="1"/>
    <xf numFmtId="0" fontId="2" fillId="0" borderId="9" xfId="0" applyFont="1" applyBorder="1" applyAlignment="1">
      <alignment horizontal="center"/>
    </xf>
    <xf numFmtId="9" fontId="2" fillId="8" borderId="9" xfId="2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167</v>
      </c>
      <c r="C2" s="5"/>
    </row>
    <row r="3" spans="1:18" s="46" customFormat="1" ht="15.75"/>
    <row r="4" spans="1:18" s="46" customFormat="1" ht="18.75">
      <c r="A4" s="478">
        <v>1</v>
      </c>
      <c r="B4" s="210" t="s">
        <v>406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407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210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378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373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425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319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339</v>
      </c>
      <c r="C20" s="12"/>
      <c r="D20" s="12"/>
      <c r="E20" s="12"/>
      <c r="F20" s="12"/>
      <c r="G20" s="12"/>
      <c r="H20" s="12"/>
      <c r="I20" s="12" t="s">
        <v>340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371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374</v>
      </c>
      <c r="C22" s="12"/>
      <c r="D22" s="12"/>
      <c r="E22" s="12"/>
      <c r="F22" s="12"/>
      <c r="G22" s="12"/>
      <c r="H22" s="12"/>
      <c r="I22" s="12" t="s">
        <v>375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415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281</v>
      </c>
    </row>
    <row r="28" spans="1:16" s="46" customFormat="1" ht="18.75">
      <c r="A28" s="286"/>
    </row>
    <row r="29" spans="1:16" s="46" customFormat="1" ht="15.75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75">
      <c r="A30" s="12"/>
      <c r="B30" s="12" t="s">
        <v>380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75">
      <c r="A32" s="12"/>
      <c r="B32" s="12" t="s">
        <v>381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75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75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75">
      <c r="A37" s="12"/>
      <c r="B37" s="12" t="s">
        <v>339</v>
      </c>
      <c r="C37" s="12"/>
      <c r="D37" s="12"/>
      <c r="E37" s="12" t="s">
        <v>340</v>
      </c>
      <c r="F37" s="12"/>
      <c r="G37" s="12"/>
      <c r="H37" s="12" t="s">
        <v>337</v>
      </c>
      <c r="I37" s="12"/>
      <c r="J37" s="12"/>
    </row>
    <row r="38" spans="1:10" s="46" customFormat="1" ht="15.75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338</v>
      </c>
      <c r="I38" s="12"/>
      <c r="J38" s="12"/>
    </row>
    <row r="39" spans="1:10" s="46" customFormat="1" ht="15.75">
      <c r="A39" s="12"/>
      <c r="B39" s="12" t="s">
        <v>420</v>
      </c>
      <c r="C39" s="12"/>
      <c r="D39" s="12"/>
      <c r="E39" s="12" t="s">
        <v>404</v>
      </c>
      <c r="F39" s="12"/>
      <c r="G39" s="12"/>
      <c r="H39" s="12" t="s">
        <v>405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429</v>
      </c>
      <c r="F40" s="12"/>
      <c r="G40" s="12"/>
      <c r="H40" s="12" t="s">
        <v>430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75">
      <c r="A42" s="12"/>
      <c r="B42" s="12" t="s">
        <v>376</v>
      </c>
      <c r="C42" s="12"/>
      <c r="D42" s="12"/>
      <c r="E42" s="12" t="s">
        <v>402</v>
      </c>
      <c r="F42" s="12"/>
      <c r="G42" s="12"/>
      <c r="H42" s="12" t="s">
        <v>403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375</v>
      </c>
      <c r="F43" s="12"/>
      <c r="G43" s="12"/>
      <c r="H43" s="12" t="s">
        <v>377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6" t="s">
        <v>416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398</v>
      </c>
      <c r="B11" s="394">
        <f>B29+B38</f>
        <v>3814.628794992173</v>
      </c>
      <c r="C11" s="394">
        <f t="shared" ref="C11:AF11" si="1">C29+C38</f>
        <v>11598.684501811475</v>
      </c>
      <c r="D11" s="394">
        <f t="shared" si="1"/>
        <v>11627.817998904109</v>
      </c>
      <c r="E11" s="394">
        <f t="shared" si="1"/>
        <v>11591.272672051797</v>
      </c>
      <c r="F11" s="394">
        <f t="shared" si="1"/>
        <v>11529.828692322557</v>
      </c>
      <c r="G11" s="394">
        <f t="shared" si="1"/>
        <v>11490.747479329475</v>
      </c>
      <c r="H11" s="394">
        <f t="shared" si="1"/>
        <v>11442.460637590311</v>
      </c>
      <c r="I11" s="394">
        <f t="shared" si="1"/>
        <v>11400.565251253172</v>
      </c>
      <c r="J11" s="394">
        <f t="shared" si="1"/>
        <v>11334.013592988049</v>
      </c>
      <c r="K11" s="394">
        <f t="shared" si="1"/>
        <v>11289.278458485904</v>
      </c>
      <c r="L11" s="394">
        <f t="shared" si="1"/>
        <v>11235.309813527869</v>
      </c>
      <c r="M11" s="394">
        <f t="shared" si="1"/>
        <v>11187.423325242766</v>
      </c>
      <c r="N11" s="394">
        <f t="shared" si="1"/>
        <v>11115.150874867699</v>
      </c>
      <c r="O11" s="394">
        <f t="shared" si="1"/>
        <v>11064.083827211722</v>
      </c>
      <c r="P11" s="471">
        <f t="shared" si="1"/>
        <v>11003.751473206699</v>
      </c>
      <c r="Q11" s="394">
        <f t="shared" si="1"/>
        <v>10949.154893032681</v>
      </c>
      <c r="R11" s="394">
        <f t="shared" si="1"/>
        <v>10870.473889391906</v>
      </c>
      <c r="S11" s="394">
        <f t="shared" si="1"/>
        <v>10812.314449955884</v>
      </c>
      <c r="T11" s="394">
        <f t="shared" si="1"/>
        <v>10744.853468638365</v>
      </c>
      <c r="U11" s="394">
        <f t="shared" si="1"/>
        <v>10682.740282883671</v>
      </c>
      <c r="V11" s="394">
        <f t="shared" si="1"/>
        <v>5345.7072432056775</v>
      </c>
      <c r="W11" s="394">
        <f t="shared" si="1"/>
        <v>-1157.4012919440918</v>
      </c>
      <c r="X11" s="394">
        <f t="shared" si="1"/>
        <v>-2791.473542619266</v>
      </c>
      <c r="Y11" s="394">
        <f t="shared" si="1"/>
        <v>-2871.0317031545624</v>
      </c>
      <c r="Z11" s="394">
        <f t="shared" si="1"/>
        <v>-2946.8915774684287</v>
      </c>
      <c r="AA11" s="394">
        <f t="shared" si="1"/>
        <v>-3030.9226993174761</v>
      </c>
      <c r="AB11" s="394">
        <f t="shared" si="1"/>
        <v>-3115.3200369305832</v>
      </c>
      <c r="AC11" s="394">
        <f t="shared" si="1"/>
        <v>-3204.314778368313</v>
      </c>
      <c r="AD11" s="394">
        <f t="shared" si="1"/>
        <v>-3289.191988636921</v>
      </c>
      <c r="AE11" s="394">
        <f t="shared" si="1"/>
        <v>-3383.1996689533044</v>
      </c>
      <c r="AF11" s="471">
        <f t="shared" si="1"/>
        <v>-4350.5620572971829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332</v>
      </c>
      <c r="B13" s="312">
        <f>B11/B12</f>
        <v>2934.3298423016713</v>
      </c>
      <c r="C13" s="312">
        <f t="shared" ref="C13:AF13" si="2">C11/C12</f>
        <v>8922.065001393441</v>
      </c>
      <c r="D13" s="312">
        <f t="shared" si="2"/>
        <v>8944.4753837723911</v>
      </c>
      <c r="E13" s="312">
        <f t="shared" si="2"/>
        <v>8916.363593885997</v>
      </c>
      <c r="F13" s="312">
        <f t="shared" si="2"/>
        <v>8869.0989940942745</v>
      </c>
      <c r="G13" s="312">
        <f t="shared" si="2"/>
        <v>8839.0365225611349</v>
      </c>
      <c r="H13" s="312">
        <f t="shared" si="2"/>
        <v>8801.892798146393</v>
      </c>
      <c r="I13" s="312">
        <f t="shared" si="2"/>
        <v>8769.6655778870554</v>
      </c>
      <c r="J13" s="312">
        <f t="shared" si="2"/>
        <v>8718.4719946061905</v>
      </c>
      <c r="K13" s="312">
        <f t="shared" si="2"/>
        <v>8684.0603526814648</v>
      </c>
      <c r="L13" s="312">
        <f t="shared" si="2"/>
        <v>8642.546010406053</v>
      </c>
      <c r="M13" s="312">
        <f t="shared" si="2"/>
        <v>8605.710250186743</v>
      </c>
      <c r="N13" s="312">
        <f t="shared" si="2"/>
        <v>8550.1160575905378</v>
      </c>
      <c r="O13" s="312">
        <f t="shared" si="2"/>
        <v>8510.8337132397864</v>
      </c>
      <c r="P13" s="398">
        <f t="shared" si="2"/>
        <v>8464.4242101589989</v>
      </c>
      <c r="Q13" s="312">
        <f t="shared" si="2"/>
        <v>8422.4268407943691</v>
      </c>
      <c r="R13" s="312">
        <f t="shared" si="2"/>
        <v>8361.9029918399265</v>
      </c>
      <c r="S13" s="312">
        <f t="shared" si="2"/>
        <v>8317.1649615045262</v>
      </c>
      <c r="T13" s="312">
        <f t="shared" si="2"/>
        <v>8265.2718989525874</v>
      </c>
      <c r="U13" s="312">
        <f t="shared" si="2"/>
        <v>8217.4925252951307</v>
      </c>
      <c r="V13" s="312">
        <f t="shared" si="2"/>
        <v>4112.0824947735982</v>
      </c>
      <c r="W13" s="312">
        <f t="shared" si="2"/>
        <v>-890.30868611083986</v>
      </c>
      <c r="X13" s="312">
        <f t="shared" si="2"/>
        <v>-2147.2873404763586</v>
      </c>
      <c r="Y13" s="312">
        <f t="shared" si="2"/>
        <v>-2208.4859255035094</v>
      </c>
      <c r="Z13" s="312">
        <f t="shared" si="2"/>
        <v>-2266.8396749757144</v>
      </c>
      <c r="AA13" s="312">
        <f t="shared" si="2"/>
        <v>-2331.4789994749817</v>
      </c>
      <c r="AB13" s="312">
        <f t="shared" si="2"/>
        <v>-2396.4000284081408</v>
      </c>
      <c r="AC13" s="312">
        <f t="shared" si="2"/>
        <v>-2464.8575218217793</v>
      </c>
      <c r="AD13" s="312">
        <f t="shared" si="2"/>
        <v>-2530.1476835668623</v>
      </c>
      <c r="AE13" s="312">
        <f t="shared" si="2"/>
        <v>-2602.4612838102339</v>
      </c>
      <c r="AF13" s="398">
        <f t="shared" si="2"/>
        <v>-3346.5861979209099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356</v>
      </c>
      <c r="B19" s="404">
        <v>75505.500901236432</v>
      </c>
      <c r="S19" s="18"/>
      <c r="AF19" s="65"/>
      <c r="AG19"/>
    </row>
    <row r="20" spans="1:33">
      <c r="A20" s="11" t="s">
        <v>355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74714.886443865151</v>
      </c>
      <c r="D24" s="48">
        <f t="shared" ref="D24:AF24" si="3">C45</f>
        <v>72087.296301039198</v>
      </c>
      <c r="E24" s="48">
        <f t="shared" si="3"/>
        <v>69209.856962536811</v>
      </c>
      <c r="F24" s="48">
        <f t="shared" si="3"/>
        <v>66116.046422181782</v>
      </c>
      <c r="G24" s="48">
        <f t="shared" si="3"/>
        <v>62793.256549536367</v>
      </c>
      <c r="H24" s="48">
        <f t="shared" si="3"/>
        <v>59216.722174438502</v>
      </c>
      <c r="I24" s="48">
        <f t="shared" si="3"/>
        <v>55367.657501768219</v>
      </c>
      <c r="J24" s="48">
        <f t="shared" si="3"/>
        <v>51221.237342754786</v>
      </c>
      <c r="K24" s="48">
        <f t="shared" si="3"/>
        <v>46760.220922431014</v>
      </c>
      <c r="L24" s="48">
        <f t="shared" si="3"/>
        <v>41950.197501876733</v>
      </c>
      <c r="M24" s="48">
        <f t="shared" si="3"/>
        <v>36765.032989965388</v>
      </c>
      <c r="N24" s="48">
        <f t="shared" si="3"/>
        <v>31170.1052467921</v>
      </c>
      <c r="O24" s="48">
        <f t="shared" si="3"/>
        <v>25141.679273339996</v>
      </c>
      <c r="P24" s="48">
        <f t="shared" si="3"/>
        <v>18631.949405503517</v>
      </c>
      <c r="Q24" s="48">
        <f t="shared" si="3"/>
        <v>11604.532794529739</v>
      </c>
      <c r="R24" s="48">
        <f t="shared" si="3"/>
        <v>4011.1758291541619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909.27957873063997</v>
      </c>
      <c r="Y24" s="48">
        <f t="shared" si="3"/>
        <v>3181.2529265994635</v>
      </c>
      <c r="Z24" s="48">
        <f t="shared" si="3"/>
        <v>5713.0138411428989</v>
      </c>
      <c r="AA24" s="48">
        <f t="shared" si="3"/>
        <v>8523.7361765320602</v>
      </c>
      <c r="AB24" s="48">
        <f t="shared" si="3"/>
        <v>11644.808299447153</v>
      </c>
      <c r="AC24" s="48">
        <f t="shared" si="3"/>
        <v>15103.113327463821</v>
      </c>
      <c r="AD24" s="48">
        <f t="shared" si="3"/>
        <v>18932.305354536871</v>
      </c>
      <c r="AE24" s="48">
        <f t="shared" si="3"/>
        <v>23158.665238171841</v>
      </c>
      <c r="AF24" s="48">
        <f t="shared" si="3"/>
        <v>27826.896907768376</v>
      </c>
      <c r="AG24"/>
    </row>
    <row r="25" spans="1:33">
      <c r="A25" s="48" t="s">
        <v>333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1295.433243582389</v>
      </c>
      <c r="D26" s="48">
        <f t="shared" si="4"/>
        <v>1416.9213253736671</v>
      </c>
      <c r="E26" s="48">
        <f t="shared" si="4"/>
        <v>1512.7555533044069</v>
      </c>
      <c r="F26" s="48">
        <f t="shared" si="4"/>
        <v>1636.1441557472863</v>
      </c>
      <c r="G26" s="48">
        <f t="shared" si="4"/>
        <v>1758.1164014961105</v>
      </c>
      <c r="H26" s="48">
        <f t="shared" si="4"/>
        <v>1891.1308044469988</v>
      </c>
      <c r="I26" s="48">
        <f t="shared" si="4"/>
        <v>2028.5015001391439</v>
      </c>
      <c r="J26" s="48">
        <f t="shared" si="4"/>
        <v>2191.2632898506054</v>
      </c>
      <c r="K26" s="48">
        <f t="shared" si="4"/>
        <v>2360.1654703954991</v>
      </c>
      <c r="L26" s="48">
        <f t="shared" si="4"/>
        <v>2543.2742234111502</v>
      </c>
      <c r="M26" s="48">
        <f t="shared" si="4"/>
        <v>2738.2124893558212</v>
      </c>
      <c r="N26" s="48">
        <f t="shared" si="4"/>
        <v>2955.762733149204</v>
      </c>
      <c r="O26" s="48">
        <f t="shared" si="4"/>
        <v>3189.8229433087399</v>
      </c>
      <c r="P26" s="48">
        <f t="shared" si="4"/>
        <v>3442.5237289065153</v>
      </c>
      <c r="Q26" s="48">
        <f t="shared" si="4"/>
        <v>3717.3488621063852</v>
      </c>
      <c r="R26" s="48">
        <f t="shared" si="4"/>
        <v>4011.1758291541619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-445.15434305541993</v>
      </c>
      <c r="X26" s="48">
        <f t="shared" si="4"/>
        <v>-1112.1821773147904</v>
      </c>
      <c r="Y26" s="48">
        <f t="shared" si="4"/>
        <v>-1239.6304099867657</v>
      </c>
      <c r="Z26" s="48">
        <f t="shared" si="4"/>
        <v>-1375.2269223502472</v>
      </c>
      <c r="AA26" s="48">
        <f t="shared" si="4"/>
        <v>-1527.0057974113297</v>
      </c>
      <c r="AB26" s="48">
        <f t="shared" si="4"/>
        <v>-1691.7484645943368</v>
      </c>
      <c r="AC26" s="48">
        <f t="shared" si="4"/>
        <v>-1875.185563304507</v>
      </c>
      <c r="AD26" s="48">
        <f t="shared" si="4"/>
        <v>-2066.3961726583293</v>
      </c>
      <c r="AE26" s="48">
        <f t="shared" si="4"/>
        <v>-2282.7773576161271</v>
      </c>
      <c r="AF26" s="48">
        <f t="shared" si="4"/>
        <v>-2852.6960994075162</v>
      </c>
      <c r="AG26"/>
    </row>
    <row r="27" spans="1:33">
      <c r="A27" s="48" t="s">
        <v>58</v>
      </c>
      <c r="B27"/>
      <c r="C27" s="392">
        <f t="shared" ref="C27:AF27" si="5">C24*(C23-B41)/(C41-B41)*$E$64</f>
        <v>1583.3414976528684</v>
      </c>
      <c r="D27" s="392">
        <f t="shared" si="5"/>
        <v>1527.6581832562692</v>
      </c>
      <c r="E27" s="392">
        <f t="shared" si="5"/>
        <v>1478.7461241722347</v>
      </c>
      <c r="F27" s="392">
        <f t="shared" si="5"/>
        <v>1401.1167645906196</v>
      </c>
      <c r="G27" s="392">
        <f t="shared" si="5"/>
        <v>1330.7009298922296</v>
      </c>
      <c r="H27" s="392">
        <f t="shared" si="5"/>
        <v>1254.9077973131011</v>
      </c>
      <c r="I27" s="392">
        <f t="shared" si="5"/>
        <v>1182.9920264039004</v>
      </c>
      <c r="J27" s="392">
        <f t="shared" si="5"/>
        <v>1085.4692351950912</v>
      </c>
      <c r="K27" s="392">
        <f t="shared" si="5"/>
        <v>990.93235297261356</v>
      </c>
      <c r="L27" s="392">
        <f t="shared" si="5"/>
        <v>888.99939089593579</v>
      </c>
      <c r="M27" s="392">
        <f t="shared" si="5"/>
        <v>785.52611470363217</v>
      </c>
      <c r="N27" s="392">
        <f t="shared" si="5"/>
        <v>660.55003858612861</v>
      </c>
      <c r="O27" s="392">
        <f t="shared" si="5"/>
        <v>532.79695665557506</v>
      </c>
      <c r="P27" s="392">
        <f t="shared" si="5"/>
        <v>394.84418808649235</v>
      </c>
      <c r="Q27" s="392">
        <f t="shared" si="5"/>
        <v>247.94384276836766</v>
      </c>
      <c r="R27" s="392">
        <f t="shared" si="5"/>
        <v>85.003959009609432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19.269253538305485</v>
      </c>
      <c r="Y27" s="392">
        <f t="shared" si="5"/>
        <v>67.971032475431173</v>
      </c>
      <c r="Z27" s="392">
        <f t="shared" si="5"/>
        <v>121.06893715408309</v>
      </c>
      <c r="AA27" s="392">
        <f t="shared" si="5"/>
        <v>180.63314883691913</v>
      </c>
      <c r="AB27" s="392">
        <f t="shared" si="5"/>
        <v>246.77422519513357</v>
      </c>
      <c r="AC27" s="392">
        <f t="shared" si="5"/>
        <v>322.69493502941828</v>
      </c>
      <c r="AD27" s="392">
        <f t="shared" si="5"/>
        <v>401.20926552696636</v>
      </c>
      <c r="AE27" s="392">
        <f t="shared" si="5"/>
        <v>490.77335785550468</v>
      </c>
      <c r="AF27" s="392">
        <f t="shared" si="5"/>
        <v>589.70150022352993</v>
      </c>
      <c r="AG27"/>
    </row>
    <row r="28" spans="1:33">
      <c r="A28" s="48" t="s">
        <v>59</v>
      </c>
      <c r="B28"/>
      <c r="C28" s="163">
        <f t="shared" ref="C28:AF28" si="6">MAX(C24+C25+B44+C27-0.5*C13,0)</f>
        <v>73419.453200282762</v>
      </c>
      <c r="D28" s="163">
        <f t="shared" si="6"/>
        <v>70670.374975665531</v>
      </c>
      <c r="E28" s="163">
        <f t="shared" si="6"/>
        <v>67697.101409232404</v>
      </c>
      <c r="F28" s="163">
        <f t="shared" si="6"/>
        <v>64479.902266434496</v>
      </c>
      <c r="G28" s="163">
        <f t="shared" si="6"/>
        <v>61035.140148040256</v>
      </c>
      <c r="H28" s="163">
        <f t="shared" si="6"/>
        <v>57325.591369991504</v>
      </c>
      <c r="I28" s="163">
        <f t="shared" si="6"/>
        <v>53339.156001629075</v>
      </c>
      <c r="J28" s="163">
        <f t="shared" si="6"/>
        <v>49029.974052904181</v>
      </c>
      <c r="K28" s="163">
        <f t="shared" si="6"/>
        <v>44400.055452035514</v>
      </c>
      <c r="L28" s="163">
        <f t="shared" si="6"/>
        <v>39406.923278465583</v>
      </c>
      <c r="M28" s="163">
        <f t="shared" si="6"/>
        <v>34026.820500609567</v>
      </c>
      <c r="N28" s="163">
        <f t="shared" si="6"/>
        <v>28214.342513642896</v>
      </c>
      <c r="O28" s="163">
        <f t="shared" si="6"/>
        <v>21951.856330031256</v>
      </c>
      <c r="P28" s="163">
        <f t="shared" si="6"/>
        <v>15189.425676597002</v>
      </c>
      <c r="Q28" s="163">
        <f t="shared" si="6"/>
        <v>7887.1839324233542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445.15434305541993</v>
      </c>
      <c r="X28" s="163">
        <f t="shared" si="6"/>
        <v>2021.4617560454303</v>
      </c>
      <c r="Y28" s="163">
        <f t="shared" si="6"/>
        <v>4420.8833365862292</v>
      </c>
      <c r="Z28" s="163">
        <f t="shared" si="6"/>
        <v>7088.240763493146</v>
      </c>
      <c r="AA28" s="163">
        <f t="shared" si="6"/>
        <v>10050.74197394339</v>
      </c>
      <c r="AB28" s="163">
        <f t="shared" si="6"/>
        <v>13336.55676404149</v>
      </c>
      <c r="AC28" s="163">
        <f t="shared" si="6"/>
        <v>16978.298890768328</v>
      </c>
      <c r="AD28" s="163">
        <f t="shared" si="6"/>
        <v>20998.7015271952</v>
      </c>
      <c r="AE28" s="163">
        <f t="shared" si="6"/>
        <v>25441.442595787968</v>
      </c>
      <c r="AF28" s="163">
        <f t="shared" si="6"/>
        <v>30679.593007175892</v>
      </c>
      <c r="AG28"/>
    </row>
    <row r="29" spans="1:33">
      <c r="A29" s="48" t="s">
        <v>335</v>
      </c>
      <c r="B29"/>
      <c r="C29" s="163">
        <f>(C23-B41)/(C41-B41)*IS!D32+(B41-B32)/(B41-Assumptions!H17)*IS!C32</f>
        <v>5752.4712415375025</v>
      </c>
      <c r="D29" s="163">
        <f>(D23-C41)/(D41-C41)*IS!E32+(C41-C32)/(C41-B41)*IS!D32</f>
        <v>5803.4191408219176</v>
      </c>
      <c r="E29" s="163">
        <f>(E23-D41)/(E41-D41)*IS!F32+(D41-D32)/(D41-C41)*IS!E32</f>
        <v>5805.1541160517991</v>
      </c>
      <c r="F29" s="163">
        <f>(F23-E41)/(F41-E41)*IS!G32+(E41-E32)/(E41-D41)*IS!F32</f>
        <v>5750.9167868516506</v>
      </c>
      <c r="G29" s="163">
        <f>(G23-F41)/(G41-F41)*IS!H32+(F41-F32)/(F41-E41)*IS!G32</f>
        <v>5735.5438102804183</v>
      </c>
      <c r="H29" s="163">
        <f>(H23-G41)/(H41-G41)*IS!I32+(G41-G32)/(G41-F41)*IS!H32</f>
        <v>5711.6330361466516</v>
      </c>
      <c r="I29" s="163">
        <f>(I23-H41)/(I41-H41)*IS!J32+(H41-H32)/(H41-G41)*IS!I32</f>
        <v>5710.3902358060541</v>
      </c>
      <c r="J29" s="163">
        <f>(J23-I41)/(J41-I41)*IS!K32+(I41-I32)/(I41-H41)*IS!J32</f>
        <v>5654.0188444073001</v>
      </c>
      <c r="K29" s="163">
        <f>(K23-J41)/(K41-J41)*IS!L32+(J41-J32)/(J41-I41)*IS!K32</f>
        <v>5635.7805176754209</v>
      </c>
      <c r="L29" s="163">
        <f>(L23-K41)/(L41-K41)*IS!M32+(K41-K32)/(K41-J41)*IS!L32</f>
        <v>5609.0565899444891</v>
      </c>
      <c r="M29" s="163">
        <f>(M23-L41)/(M41-L41)*IS!N32+(L41-L32)/(L41-K41)*IS!M32</f>
        <v>5604.4799609760794</v>
      </c>
      <c r="N29" s="163">
        <f>(N23-M41)/(N41-M41)*IS!O32+(M41-M32)/(M41-L41)*IS!N32</f>
        <v>5545.7174297855072</v>
      </c>
      <c r="O29" s="163">
        <f>(O23-N41)/(O41-N41)*IS!P32+(N41-N32)/(N41-M41)*IS!O32</f>
        <v>5524.2703349589265</v>
      </c>
      <c r="P29" s="163">
        <f>(P23-O41)/(P41-O41)*IS!Q32+(O41-O32)/(O41-N41)*IS!P32</f>
        <v>5494.3956637109995</v>
      </c>
      <c r="Q29" s="163">
        <f>(Q23-P41)/(Q41-P41)*IS!R32+(P41-P32)/(P41-O41)*IS!Q32</f>
        <v>5486.0859229931466</v>
      </c>
      <c r="R29" s="163">
        <f>(R23-Q41)/(R41-Q41)*IS!S32+(Q41-Q32)/(Q41-P41)*IS!R32</f>
        <v>5424.6437963805147</v>
      </c>
      <c r="S29" s="163">
        <f>(S23-R41)/(S41-R41)*IS!T32+(R41-R32)/(R41-Q41)*IS!S32</f>
        <v>5399.6027496716124</v>
      </c>
      <c r="T29" s="163">
        <f>(T23-S41)/(T41-S41)*IS!U32+(S41-S32)/(S41-R41)*IS!T32</f>
        <v>5366.1986509925537</v>
      </c>
      <c r="U29" s="163">
        <f>(U23-T41)/(U41-T41)*IS!V32+(T41-T32)/(T41-S41)*IS!U32</f>
        <v>5353.7079797493325</v>
      </c>
      <c r="V29" s="163">
        <f>(V23-U41)/(V41-U41)*IS!W32+(U41-U32)/(U41-T41)*IS!V32</f>
        <v>3545.2602142954065</v>
      </c>
      <c r="W29" s="163">
        <f>(W23-V41)/(W41-V41)*IS!X32+(V41-V32)/(V41-U41)*IS!W32</f>
        <v>213.56628490482581</v>
      </c>
      <c r="X29" s="163">
        <f>(X23-W41)/(X41-W41)*IS!Y32+(W41-W32)/(W41-V41)*IS!X32</f>
        <v>-1382.4165761737397</v>
      </c>
      <c r="Y29" s="163">
        <f>(Y23-X41)/(Y41-X41)*IS!Z32+(X41-X32)/(X41-W41)*IS!Y32</f>
        <v>-1426.7603659518641</v>
      </c>
      <c r="Z29" s="163">
        <f>(Z23-Y41)/(Z41-Y41)*IS!AA32+(Y41-Y32)/(Y41-X41)*IS!Z32</f>
        <v>-1458.3789242155931</v>
      </c>
      <c r="AA29" s="163">
        <f>(AA23-Z41)/(AA41-Z41)*IS!AB32+(Z41-Z32)/(Z41-Y41)*IS!AA32</f>
        <v>-1500.9803543207968</v>
      </c>
      <c r="AB29" s="163">
        <f>(AB23-AA41)/(AB41-AA41)*IS!AC32+(AA41-AA32)/(AA41-Z41)*IS!AB32</f>
        <v>-1542.7696231948207</v>
      </c>
      <c r="AC29" s="163">
        <f>(AC23-AB41)/(AC41-AB41)*IS!AD32+(AB41-AB32)/(AB41-AA41)*IS!AC32</f>
        <v>-1592.3601718539608</v>
      </c>
      <c r="AD29" s="163">
        <f>(AD23-AC41)/(AD41-AC41)*IS!AE32+(AC41-AC32)/(AC41-AB41)*IS!AD32</f>
        <v>-1627.7530662728682</v>
      </c>
      <c r="AE29" s="163">
        <f>(AE23-AD41)/(AE41-AD41)*IS!AF32+(AD41-AD32)/(AD41-AC41)*IS!AE32</f>
        <v>-1675.4091671893411</v>
      </c>
      <c r="AF29" s="163">
        <f>(AF23-AE41)/(AG23-AE41)*IS!AG32+(AE41-AE32)/(AE41-AD41)*IS!AF32</f>
        <v>-3482.4629910123112</v>
      </c>
      <c r="AG29"/>
    </row>
    <row r="30" spans="1:33">
      <c r="A30" s="412" t="s">
        <v>0</v>
      </c>
      <c r="B30" s="414"/>
      <c r="C30" s="413">
        <f>IF(C28&gt;0.1,C29/(C27+C26+B44)," ")</f>
        <v>1.2894932374151262</v>
      </c>
      <c r="D30" s="413">
        <f t="shared" ref="D30:AF30" si="7">IF(D28&gt;0.1,D29/(D27+D26+C44)," ")</f>
        <v>1.2976544496619262</v>
      </c>
      <c r="E30" s="413">
        <f t="shared" si="7"/>
        <v>1.3021349017288664</v>
      </c>
      <c r="F30" s="413">
        <f t="shared" si="7"/>
        <v>1.2968435216882934</v>
      </c>
      <c r="G30" s="413">
        <f t="shared" si="7"/>
        <v>1.297775791658009</v>
      </c>
      <c r="H30" s="413">
        <f t="shared" si="7"/>
        <v>1.2978192684531376</v>
      </c>
      <c r="I30" s="413">
        <f t="shared" si="7"/>
        <v>1.3023051301306066</v>
      </c>
      <c r="J30" s="413">
        <f t="shared" si="7"/>
        <v>1.29702058982474</v>
      </c>
      <c r="K30" s="413">
        <f t="shared" si="7"/>
        <v>1.2979597766004038</v>
      </c>
      <c r="L30" s="413">
        <f t="shared" si="7"/>
        <v>1.2980102352225638</v>
      </c>
      <c r="M30" s="413">
        <f t="shared" si="7"/>
        <v>1.3025025937526666</v>
      </c>
      <c r="N30" s="413">
        <f t="shared" si="7"/>
        <v>1.297226234692378</v>
      </c>
      <c r="O30" s="413">
        <f t="shared" si="7"/>
        <v>1.298173720951723</v>
      </c>
      <c r="P30" s="413">
        <f t="shared" si="7"/>
        <v>1.2982325855352634</v>
      </c>
      <c r="Q30" s="413">
        <f t="shared" si="7"/>
        <v>1.3027328172020598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-0.47975783733561744</v>
      </c>
      <c r="X30" s="413">
        <f t="shared" si="7"/>
        <v>1.2875934674556053</v>
      </c>
      <c r="Y30" s="413">
        <f t="shared" si="7"/>
        <v>1.2920710514617202</v>
      </c>
      <c r="Z30" s="413">
        <f t="shared" si="7"/>
        <v>1.28670672241628</v>
      </c>
      <c r="AA30" s="413">
        <f t="shared" si="7"/>
        <v>1.2875778462158973</v>
      </c>
      <c r="AB30" s="413">
        <f t="shared" si="7"/>
        <v>1.2875726964664067</v>
      </c>
      <c r="AC30" s="413">
        <f t="shared" si="7"/>
        <v>1.2920504797997778</v>
      </c>
      <c r="AD30" s="413">
        <f t="shared" si="7"/>
        <v>1.2866862095402676</v>
      </c>
      <c r="AE30" s="413">
        <f t="shared" si="7"/>
        <v>1.2875574192876311</v>
      </c>
      <c r="AF30" s="413">
        <f t="shared" si="7"/>
        <v>2.0812032232582638</v>
      </c>
      <c r="AG30"/>
    </row>
    <row r="31" spans="1:33">
      <c r="A31" s="11"/>
      <c r="B31" s="388"/>
      <c r="C31" s="53"/>
      <c r="AG31"/>
    </row>
    <row r="32" spans="1:33">
      <c r="A32" s="411" t="s">
        <v>421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75505.500901236432</v>
      </c>
      <c r="C33" s="48">
        <f>C28</f>
        <v>73419.453200282762</v>
      </c>
      <c r="D33" s="48">
        <f t="shared" ref="D33:AF33" si="8">D28</f>
        <v>70670.374975665531</v>
      </c>
      <c r="E33" s="48">
        <f t="shared" si="8"/>
        <v>67697.101409232404</v>
      </c>
      <c r="F33" s="48">
        <f t="shared" si="8"/>
        <v>64479.902266434496</v>
      </c>
      <c r="G33" s="48">
        <f t="shared" si="8"/>
        <v>61035.140148040256</v>
      </c>
      <c r="H33" s="48">
        <f t="shared" si="8"/>
        <v>57325.591369991504</v>
      </c>
      <c r="I33" s="48">
        <f t="shared" si="8"/>
        <v>53339.156001629075</v>
      </c>
      <c r="J33" s="48">
        <f t="shared" si="8"/>
        <v>49029.974052904181</v>
      </c>
      <c r="K33" s="48">
        <f t="shared" si="8"/>
        <v>44400.055452035514</v>
      </c>
      <c r="L33" s="48">
        <f t="shared" si="8"/>
        <v>39406.923278465583</v>
      </c>
      <c r="M33" s="48">
        <f t="shared" si="8"/>
        <v>34026.820500609567</v>
      </c>
      <c r="N33" s="48">
        <f t="shared" si="8"/>
        <v>28214.342513642896</v>
      </c>
      <c r="O33" s="48">
        <f t="shared" si="8"/>
        <v>21951.856330031256</v>
      </c>
      <c r="P33" s="48">
        <f t="shared" si="8"/>
        <v>15189.425676597002</v>
      </c>
      <c r="Q33" s="48">
        <f t="shared" si="8"/>
        <v>7887.1839324233542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445.15434305541993</v>
      </c>
      <c r="X33" s="48">
        <f t="shared" si="8"/>
        <v>2021.4617560454303</v>
      </c>
      <c r="Y33" s="48">
        <f t="shared" si="8"/>
        <v>4420.8833365862292</v>
      </c>
      <c r="Z33" s="48">
        <f t="shared" si="8"/>
        <v>7088.240763493146</v>
      </c>
      <c r="AA33" s="48">
        <f t="shared" si="8"/>
        <v>10050.74197394339</v>
      </c>
      <c r="AB33" s="48">
        <f t="shared" si="8"/>
        <v>13336.55676404149</v>
      </c>
      <c r="AC33" s="48">
        <f t="shared" si="8"/>
        <v>16978.298890768328</v>
      </c>
      <c r="AD33" s="48">
        <f t="shared" si="8"/>
        <v>20998.7015271952</v>
      </c>
      <c r="AE33" s="48">
        <f t="shared" si="8"/>
        <v>25441.442595787968</v>
      </c>
      <c r="AF33" s="48">
        <f t="shared" si="8"/>
        <v>30679.593007175892</v>
      </c>
      <c r="AG33"/>
    </row>
    <row r="34" spans="1:39">
      <c r="A34" s="48" t="s">
        <v>333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790.61445737128088</v>
      </c>
      <c r="C35" s="48">
        <f>C33-C37</f>
        <v>1332.1568992435641</v>
      </c>
      <c r="D35" s="48">
        <f t="shared" ref="D35:AF35" si="9">D33-D37</f>
        <v>1460.5180131287198</v>
      </c>
      <c r="E35" s="48">
        <f t="shared" si="9"/>
        <v>1581.054987050622</v>
      </c>
      <c r="F35" s="48">
        <f t="shared" si="9"/>
        <v>1686.6457168981287</v>
      </c>
      <c r="G35" s="48">
        <f t="shared" si="9"/>
        <v>1818.4179736017541</v>
      </c>
      <c r="H35" s="48">
        <f t="shared" si="9"/>
        <v>1957.9338682232847</v>
      </c>
      <c r="I35" s="48">
        <f t="shared" si="9"/>
        <v>2117.9186588742887</v>
      </c>
      <c r="J35" s="48">
        <f t="shared" si="9"/>
        <v>2269.7531304731674</v>
      </c>
      <c r="K35" s="48">
        <f t="shared" si="9"/>
        <v>2449.857950158781</v>
      </c>
      <c r="L35" s="48">
        <f t="shared" si="9"/>
        <v>2641.8902885001953</v>
      </c>
      <c r="M35" s="48">
        <f t="shared" si="9"/>
        <v>2856.7152538174669</v>
      </c>
      <c r="N35" s="48">
        <f t="shared" si="9"/>
        <v>3072.6632403028998</v>
      </c>
      <c r="O35" s="48">
        <f t="shared" si="9"/>
        <v>3319.9069245277387</v>
      </c>
      <c r="P35" s="48">
        <f t="shared" si="9"/>
        <v>3584.8928820672627</v>
      </c>
      <c r="Q35" s="48">
        <f t="shared" si="9"/>
        <v>3876.0081032691924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-464.12523567522004</v>
      </c>
      <c r="X35" s="48">
        <f t="shared" si="9"/>
        <v>-1159.7911705540332</v>
      </c>
      <c r="Y35" s="48">
        <f t="shared" si="9"/>
        <v>-1292.1305045566696</v>
      </c>
      <c r="Z35" s="48">
        <f t="shared" si="9"/>
        <v>-1435.4954130389142</v>
      </c>
      <c r="AA35" s="48">
        <f t="shared" si="9"/>
        <v>-1594.0663255037634</v>
      </c>
      <c r="AB35" s="48">
        <f t="shared" si="9"/>
        <v>-1766.5565634223312</v>
      </c>
      <c r="AC35" s="48">
        <f t="shared" si="9"/>
        <v>-1954.0064637685427</v>
      </c>
      <c r="AD35" s="48">
        <f t="shared" si="9"/>
        <v>-2159.9637109766409</v>
      </c>
      <c r="AE35" s="48">
        <f t="shared" si="9"/>
        <v>-2385.4543119804075</v>
      </c>
      <c r="AF35" s="48">
        <f t="shared" si="9"/>
        <v>-1887.6299816133251</v>
      </c>
      <c r="AG35"/>
    </row>
    <row r="36" spans="1:39">
      <c r="A36" s="48" t="s">
        <v>58</v>
      </c>
      <c r="B36" s="392">
        <f>B33*(B32-Assumptions!H17)/365.25*$E$64</f>
        <v>2143.7153849303813</v>
      </c>
      <c r="C36" s="392">
        <f t="shared" ref="C36:AF36" si="10">C33*(C32-C23)/(C41-B41)*$E$64</f>
        <v>3128.8756014531464</v>
      </c>
      <c r="D36" s="392">
        <f t="shared" si="10"/>
        <v>3011.7196787574721</v>
      </c>
      <c r="E36" s="392">
        <f t="shared" si="10"/>
        <v>2877.1268098923774</v>
      </c>
      <c r="F36" s="392">
        <f t="shared" si="10"/>
        <v>2747.9037801490103</v>
      </c>
      <c r="G36" s="392">
        <f t="shared" si="10"/>
        <v>2601.1002876788116</v>
      </c>
      <c r="H36" s="392">
        <f t="shared" si="10"/>
        <v>2443.0125308499119</v>
      </c>
      <c r="I36" s="392">
        <f t="shared" si="10"/>
        <v>2266.9141300692359</v>
      </c>
      <c r="J36" s="392">
        <f t="shared" si="10"/>
        <v>2089.4828668299306</v>
      </c>
      <c r="K36" s="392">
        <f t="shared" si="10"/>
        <v>1892.1722261819523</v>
      </c>
      <c r="L36" s="392">
        <f t="shared" si="10"/>
        <v>1679.382716702828</v>
      </c>
      <c r="M36" s="392">
        <f t="shared" si="10"/>
        <v>1446.1398712759067</v>
      </c>
      <c r="N36" s="392">
        <f t="shared" si="10"/>
        <v>1202.3947884923707</v>
      </c>
      <c r="O36" s="392">
        <f t="shared" si="10"/>
        <v>935.50993209215414</v>
      </c>
      <c r="P36" s="392">
        <f t="shared" si="10"/>
        <v>647.31922301223665</v>
      </c>
      <c r="Q36" s="392">
        <f t="shared" si="10"/>
        <v>335.20531712799254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18.970892619800161</v>
      </c>
      <c r="X36" s="392">
        <f t="shared" si="10"/>
        <v>86.14750031585389</v>
      </c>
      <c r="Y36" s="392">
        <f t="shared" si="10"/>
        <v>187.88754180491475</v>
      </c>
      <c r="Z36" s="392">
        <f t="shared" si="10"/>
        <v>302.07557555105723</v>
      </c>
      <c r="AA36" s="392">
        <f t="shared" si="10"/>
        <v>428.32682576627246</v>
      </c>
      <c r="AB36" s="392">
        <f t="shared" si="10"/>
        <v>568.35654921826131</v>
      </c>
      <c r="AC36" s="392">
        <f t="shared" si="10"/>
        <v>721.577702857654</v>
      </c>
      <c r="AD36" s="392">
        <f t="shared" si="10"/>
        <v>894.88986919320928</v>
      </c>
      <c r="AE36" s="392">
        <f t="shared" si="10"/>
        <v>1084.2236700752926</v>
      </c>
      <c r="AF36" s="392">
        <f t="shared" si="10"/>
        <v>214.3368826528727</v>
      </c>
      <c r="AG36"/>
    </row>
    <row r="37" spans="1:39">
      <c r="A37" s="48" t="s">
        <v>59</v>
      </c>
      <c r="B37" s="163">
        <f>MAX(B33+B34+B36-B13,0)</f>
        <v>74714.886443865151</v>
      </c>
      <c r="C37" s="163">
        <f>MAX(C33+C34+C36-0.5*C13,0)</f>
        <v>72087.296301039198</v>
      </c>
      <c r="D37" s="163">
        <f t="shared" ref="D37:AF37" si="11">MAX(D33+D34+D36-0.5*D13,0)</f>
        <v>69209.856962536811</v>
      </c>
      <c r="E37" s="163">
        <f t="shared" si="11"/>
        <v>66116.046422181782</v>
      </c>
      <c r="F37" s="163">
        <f t="shared" si="11"/>
        <v>62793.256549536367</v>
      </c>
      <c r="G37" s="163">
        <f t="shared" si="11"/>
        <v>59216.722174438502</v>
      </c>
      <c r="H37" s="163">
        <f t="shared" si="11"/>
        <v>55367.657501768219</v>
      </c>
      <c r="I37" s="163">
        <f t="shared" si="11"/>
        <v>51221.237342754786</v>
      </c>
      <c r="J37" s="163">
        <f t="shared" si="11"/>
        <v>46760.220922431014</v>
      </c>
      <c r="K37" s="163">
        <f t="shared" si="11"/>
        <v>41950.197501876733</v>
      </c>
      <c r="L37" s="163">
        <f t="shared" si="11"/>
        <v>36765.032989965388</v>
      </c>
      <c r="M37" s="163">
        <f t="shared" si="11"/>
        <v>31170.1052467921</v>
      </c>
      <c r="N37" s="163">
        <f t="shared" si="11"/>
        <v>25141.679273339996</v>
      </c>
      <c r="O37" s="163">
        <f t="shared" si="11"/>
        <v>18631.949405503517</v>
      </c>
      <c r="P37" s="163">
        <f t="shared" si="11"/>
        <v>11604.532794529739</v>
      </c>
      <c r="Q37" s="163">
        <f t="shared" si="11"/>
        <v>4011.1758291541619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909.27957873063997</v>
      </c>
      <c r="X37" s="163">
        <f t="shared" si="11"/>
        <v>3181.2529265994635</v>
      </c>
      <c r="Y37" s="163">
        <f t="shared" si="11"/>
        <v>5713.0138411428989</v>
      </c>
      <c r="Z37" s="163">
        <f t="shared" si="11"/>
        <v>8523.7361765320602</v>
      </c>
      <c r="AA37" s="163">
        <f t="shared" si="11"/>
        <v>11644.808299447153</v>
      </c>
      <c r="AB37" s="163">
        <f t="shared" si="11"/>
        <v>15103.113327463821</v>
      </c>
      <c r="AC37" s="163">
        <f t="shared" si="11"/>
        <v>18932.305354536871</v>
      </c>
      <c r="AD37" s="163">
        <f t="shared" si="11"/>
        <v>23158.665238171841</v>
      </c>
      <c r="AE37" s="163">
        <f t="shared" si="11"/>
        <v>27826.896907768376</v>
      </c>
      <c r="AF37" s="163">
        <f t="shared" si="11"/>
        <v>32567.222988789217</v>
      </c>
      <c r="AG37"/>
    </row>
    <row r="38" spans="1:39">
      <c r="A38" s="48" t="s">
        <v>335</v>
      </c>
      <c r="B38" s="163">
        <f>(B32-Assumptions!H17)/(Debt!B41-Assumptions!H17)*IS!C32</f>
        <v>3814.628794992173</v>
      </c>
      <c r="C38" s="163">
        <f>(C32-C23)/(C41-B41)*IS!D32</f>
        <v>5846.2132602739721</v>
      </c>
      <c r="D38" s="163">
        <f>(D32-D23)/(D41-C41)*IS!E32</f>
        <v>5824.3988580821924</v>
      </c>
      <c r="E38" s="163">
        <f>(E32-E23)/(E41-D41)*IS!F32</f>
        <v>5786.1185559999976</v>
      </c>
      <c r="F38" s="163">
        <f>(F32-F23)/(F41-E41)*IS!G32</f>
        <v>5778.9119054709063</v>
      </c>
      <c r="G38" s="163">
        <f>(G32-G23)/(G41-F41)*IS!H32</f>
        <v>5755.2036690490577</v>
      </c>
      <c r="H38" s="163">
        <f>(H32-H23)/(H41-G41)*IS!I32</f>
        <v>5730.8276014436597</v>
      </c>
      <c r="I38" s="163">
        <f>(I32-I23)/(I41-H41)*IS!J32</f>
        <v>5690.1750154471183</v>
      </c>
      <c r="J38" s="163">
        <f>(J32-J23)/(J41-I41)*IS!K32</f>
        <v>5679.9947485807497</v>
      </c>
      <c r="K38" s="163">
        <f>(K32-K23)/(K41-J41)*IS!L32</f>
        <v>5653.4979408104837</v>
      </c>
      <c r="L38" s="163">
        <f>(L32-L23)/(L41-K41)*IS!M32</f>
        <v>5626.2532235833796</v>
      </c>
      <c r="M38" s="163">
        <f>(M32-M23)/(M41-L41)*IS!N32</f>
        <v>5582.9433642666854</v>
      </c>
      <c r="N38" s="163">
        <f>(N32-N23)/(N41-M41)*IS!O32</f>
        <v>5569.4334450821916</v>
      </c>
      <c r="O38" s="163">
        <f>(O32-O23)/(O41-N41)*IS!P32</f>
        <v>5539.8134922527943</v>
      </c>
      <c r="P38" s="163">
        <f>(P32-P23)/(P41-O41)*IS!Q32</f>
        <v>5509.3558094957007</v>
      </c>
      <c r="Q38" s="163">
        <f>(Q32-Q23)/(Q41-P41)*IS!R32</f>
        <v>5463.0689700395342</v>
      </c>
      <c r="R38" s="163">
        <f>(R32-R23)/(R41-Q41)*IS!S32</f>
        <v>5445.8300930113901</v>
      </c>
      <c r="S38" s="163">
        <f>(S32-S23)/(S41-R41)*IS!T32</f>
        <v>5412.7117002842706</v>
      </c>
      <c r="T38" s="163">
        <f>(T32-T23)/(T41-S41)*IS!U32</f>
        <v>5378.6548176458109</v>
      </c>
      <c r="U38" s="163">
        <f>(U32-U23)/(U41-T41)*IS!V32</f>
        <v>5329.0323031343378</v>
      </c>
      <c r="V38" s="163">
        <f>(V32-V23)/(V41-U41)*IS!W32</f>
        <v>1800.4470289102708</v>
      </c>
      <c r="W38" s="163">
        <f>(W32-W23)/(W41-V41)*IS!X32</f>
        <v>-1370.9675768489176</v>
      </c>
      <c r="X38" s="163">
        <f>(X32-X23)/(X41-W41)*IS!Y32</f>
        <v>-1409.0569664455263</v>
      </c>
      <c r="Y38" s="163">
        <f>(Y32-Y23)/(Y41-X41)*IS!Z32</f>
        <v>-1444.2713372026983</v>
      </c>
      <c r="Z38" s="163">
        <f>(Z32-Z23)/(Z41-Y41)*IS!AA32</f>
        <v>-1488.5126532528357</v>
      </c>
      <c r="AA38" s="163">
        <f>(AA32-AA23)/(AA41-Z41)*IS!AB32</f>
        <v>-1529.9423449966791</v>
      </c>
      <c r="AB38" s="163">
        <f>(AB32-AB23)/(AB41-AA41)*IS!AC32</f>
        <v>-1572.5504137357627</v>
      </c>
      <c r="AC38" s="163">
        <f>(AC32-AC23)/(AC41-AB41)*IS!AD32</f>
        <v>-1611.9546065143522</v>
      </c>
      <c r="AD38" s="163">
        <f>(AD32-AD23)/(AD41-AC41)*IS!AE32</f>
        <v>-1661.4389223640528</v>
      </c>
      <c r="AE38" s="163">
        <f>(AE32-AE23)/(AE41-AD41)*IS!AF32</f>
        <v>-1707.790501763963</v>
      </c>
      <c r="AF38" s="163">
        <f>(AF32-AF23)/(AG23-AE41)*IS!AG32</f>
        <v>-868.09906628487181</v>
      </c>
      <c r="AG38"/>
    </row>
    <row r="39" spans="1:39">
      <c r="A39" s="412" t="s">
        <v>0</v>
      </c>
      <c r="B39" s="413">
        <f t="shared" ref="B39:AF39" si="12">IF(B37&gt;0.1,B38/(B36+B35)," ")</f>
        <v>1.300000000000004</v>
      </c>
      <c r="C39" s="413">
        <f t="shared" si="12"/>
        <v>1.3105067625848787</v>
      </c>
      <c r="D39" s="413">
        <f t="shared" si="12"/>
        <v>1.3023455503380723</v>
      </c>
      <c r="E39" s="413">
        <f t="shared" si="12"/>
        <v>1.2978650982711319</v>
      </c>
      <c r="F39" s="413">
        <f t="shared" si="12"/>
        <v>1.3031564783117082</v>
      </c>
      <c r="G39" s="413">
        <f t="shared" si="12"/>
        <v>1.302224208341991</v>
      </c>
      <c r="H39" s="413">
        <f t="shared" si="12"/>
        <v>1.3021807315468612</v>
      </c>
      <c r="I39" s="413">
        <f t="shared" si="12"/>
        <v>1.297694869869394</v>
      </c>
      <c r="J39" s="413">
        <f t="shared" si="12"/>
        <v>1.3029794101752594</v>
      </c>
      <c r="K39" s="413">
        <f t="shared" si="12"/>
        <v>1.3020402233995978</v>
      </c>
      <c r="L39" s="413">
        <f t="shared" si="12"/>
        <v>1.3019897647774386</v>
      </c>
      <c r="M39" s="413">
        <f t="shared" si="12"/>
        <v>1.2974974062473306</v>
      </c>
      <c r="N39" s="413">
        <f t="shared" si="12"/>
        <v>1.3027737653076212</v>
      </c>
      <c r="O39" s="413">
        <f t="shared" si="12"/>
        <v>1.3018262790482777</v>
      </c>
      <c r="P39" s="413">
        <f t="shared" si="12"/>
        <v>1.3017674144647366</v>
      </c>
      <c r="Q39" s="413">
        <f t="shared" si="12"/>
        <v>1.2972671827979403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3.0797578373356176</v>
      </c>
      <c r="X39" s="413">
        <f t="shared" si="12"/>
        <v>1.3124065325443945</v>
      </c>
      <c r="Y39" s="413">
        <f t="shared" si="12"/>
        <v>1.3079289485382803</v>
      </c>
      <c r="Z39" s="413">
        <f t="shared" si="12"/>
        <v>1.3132932775837207</v>
      </c>
      <c r="AA39" s="413">
        <f t="shared" si="12"/>
        <v>1.3124221537841019</v>
      </c>
      <c r="AB39" s="413">
        <f t="shared" si="12"/>
        <v>1.3124273035335949</v>
      </c>
      <c r="AC39" s="413">
        <f t="shared" si="12"/>
        <v>1.3079495202002229</v>
      </c>
      <c r="AD39" s="413">
        <f t="shared" si="12"/>
        <v>1.3133137904597312</v>
      </c>
      <c r="AE39" s="413">
        <f t="shared" si="12"/>
        <v>1.3124425807123701</v>
      </c>
      <c r="AF39" s="413">
        <f t="shared" si="12"/>
        <v>0.51879677674173508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74714.886443865151</v>
      </c>
      <c r="C42" s="48">
        <f>C37</f>
        <v>72087.296301039198</v>
      </c>
      <c r="D42" s="48">
        <f t="shared" ref="D42:AF42" si="14">D37</f>
        <v>69209.856962536811</v>
      </c>
      <c r="E42" s="48">
        <f t="shared" si="14"/>
        <v>66116.046422181782</v>
      </c>
      <c r="F42" s="48">
        <f t="shared" si="14"/>
        <v>62793.256549536367</v>
      </c>
      <c r="G42" s="48">
        <f t="shared" si="14"/>
        <v>59216.722174438502</v>
      </c>
      <c r="H42" s="48">
        <f t="shared" si="14"/>
        <v>55367.657501768219</v>
      </c>
      <c r="I42" s="48">
        <f t="shared" si="14"/>
        <v>51221.237342754786</v>
      </c>
      <c r="J42" s="48">
        <f t="shared" si="14"/>
        <v>46760.220922431014</v>
      </c>
      <c r="K42" s="48">
        <f t="shared" si="14"/>
        <v>41950.197501876733</v>
      </c>
      <c r="L42" s="48">
        <f t="shared" si="14"/>
        <v>36765.032989965388</v>
      </c>
      <c r="M42" s="48">
        <f t="shared" si="14"/>
        <v>31170.1052467921</v>
      </c>
      <c r="N42" s="48">
        <f t="shared" si="14"/>
        <v>25141.679273339996</v>
      </c>
      <c r="O42" s="48">
        <f t="shared" si="14"/>
        <v>18631.949405503517</v>
      </c>
      <c r="P42" s="48">
        <f t="shared" si="14"/>
        <v>11604.532794529739</v>
      </c>
      <c r="Q42" s="48">
        <f t="shared" si="14"/>
        <v>4011.1758291541619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909.27957873063997</v>
      </c>
      <c r="X42" s="48">
        <f t="shared" si="14"/>
        <v>3181.2529265994635</v>
      </c>
      <c r="Y42" s="48">
        <f t="shared" si="14"/>
        <v>5713.0138411428989</v>
      </c>
      <c r="Z42" s="48">
        <f t="shared" si="14"/>
        <v>8523.7361765320602</v>
      </c>
      <c r="AA42" s="48">
        <f t="shared" si="14"/>
        <v>11644.808299447153</v>
      </c>
      <c r="AB42" s="48">
        <f t="shared" si="14"/>
        <v>15103.113327463821</v>
      </c>
      <c r="AC42" s="48">
        <f t="shared" si="14"/>
        <v>18932.305354536871</v>
      </c>
      <c r="AD42" s="48">
        <f t="shared" si="14"/>
        <v>23158.665238171841</v>
      </c>
      <c r="AE42" s="48">
        <f t="shared" si="14"/>
        <v>27826.896907768376</v>
      </c>
      <c r="AF42" s="48">
        <f t="shared" si="14"/>
        <v>32567.222988789217</v>
      </c>
    </row>
    <row r="43" spans="1:39">
      <c r="A43" s="48" t="s">
        <v>333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1582.2577594614565</v>
      </c>
      <c r="C44" s="392">
        <f t="shared" ref="C44:AF44" si="15">C42*(C41-C32)/(C41-B41)*$E$64</f>
        <v>1527.6581832562692</v>
      </c>
      <c r="D44" s="392">
        <f t="shared" si="15"/>
        <v>1466.6801194663624</v>
      </c>
      <c r="E44" s="392">
        <f t="shared" si="15"/>
        <v>1397.2885767092243</v>
      </c>
      <c r="F44" s="392">
        <f t="shared" si="15"/>
        <v>1330.7009298922296</v>
      </c>
      <c r="G44" s="392">
        <f t="shared" si="15"/>
        <v>1254.9077973131011</v>
      </c>
      <c r="H44" s="392">
        <f t="shared" si="15"/>
        <v>1173.3392624004855</v>
      </c>
      <c r="I44" s="392">
        <f t="shared" si="15"/>
        <v>1082.5034722573998</v>
      </c>
      <c r="J44" s="392">
        <f t="shared" si="15"/>
        <v>990.93235297261356</v>
      </c>
      <c r="K44" s="392">
        <f t="shared" si="15"/>
        <v>888.99939089593579</v>
      </c>
      <c r="L44" s="392">
        <f t="shared" si="15"/>
        <v>779.11652103392419</v>
      </c>
      <c r="M44" s="392">
        <f t="shared" si="15"/>
        <v>658.74525705993699</v>
      </c>
      <c r="N44" s="392">
        <f t="shared" si="15"/>
        <v>532.79695665557506</v>
      </c>
      <c r="O44" s="392">
        <f t="shared" si="15"/>
        <v>394.84418808649235</v>
      </c>
      <c r="P44" s="392">
        <f t="shared" si="15"/>
        <v>245.92071552243161</v>
      </c>
      <c r="Q44" s="392">
        <f t="shared" si="15"/>
        <v>84.771707755484812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19.269253538305485</v>
      </c>
      <c r="X44" s="392">
        <f t="shared" si="15"/>
        <v>67.41641475958042</v>
      </c>
      <c r="Y44" s="392">
        <f t="shared" si="15"/>
        <v>120.73814770830691</v>
      </c>
      <c r="Z44" s="392">
        <f t="shared" si="15"/>
        <v>180.63314883691913</v>
      </c>
      <c r="AA44" s="392">
        <f t="shared" si="15"/>
        <v>246.77422519513357</v>
      </c>
      <c r="AB44" s="392">
        <f t="shared" si="15"/>
        <v>320.06186736419903</v>
      </c>
      <c r="AC44" s="392">
        <f t="shared" si="15"/>
        <v>400.11306534793096</v>
      </c>
      <c r="AD44" s="392">
        <f t="shared" si="15"/>
        <v>490.77335785550468</v>
      </c>
      <c r="AE44" s="392">
        <f t="shared" si="15"/>
        <v>589.70150022352993</v>
      </c>
      <c r="AF44" s="392">
        <f t="shared" si="15"/>
        <v>1850.5320679109273</v>
      </c>
    </row>
    <row r="45" spans="1:39">
      <c r="A45" s="48" t="s">
        <v>59</v>
      </c>
      <c r="B45" s="48">
        <f>B42+B43</f>
        <v>74714.886443865151</v>
      </c>
      <c r="C45" s="48">
        <f t="shared" ref="C45:AF45" si="16">C42+C43</f>
        <v>72087.296301039198</v>
      </c>
      <c r="D45" s="48">
        <f t="shared" si="16"/>
        <v>69209.856962536811</v>
      </c>
      <c r="E45" s="48">
        <f t="shared" si="16"/>
        <v>66116.046422181782</v>
      </c>
      <c r="F45" s="48">
        <f t="shared" si="16"/>
        <v>62793.256549536367</v>
      </c>
      <c r="G45" s="48">
        <f t="shared" si="16"/>
        <v>59216.722174438502</v>
      </c>
      <c r="H45" s="48">
        <f t="shared" si="16"/>
        <v>55367.657501768219</v>
      </c>
      <c r="I45" s="48">
        <f t="shared" si="16"/>
        <v>51221.237342754786</v>
      </c>
      <c r="J45" s="48">
        <f t="shared" si="16"/>
        <v>46760.220922431014</v>
      </c>
      <c r="K45" s="48">
        <f t="shared" si="16"/>
        <v>41950.197501876733</v>
      </c>
      <c r="L45" s="48">
        <f t="shared" si="16"/>
        <v>36765.032989965388</v>
      </c>
      <c r="M45" s="48">
        <f t="shared" si="16"/>
        <v>31170.1052467921</v>
      </c>
      <c r="N45" s="48">
        <f t="shared" si="16"/>
        <v>25141.679273339996</v>
      </c>
      <c r="O45" s="48">
        <f t="shared" si="16"/>
        <v>18631.949405503517</v>
      </c>
      <c r="P45" s="48">
        <f t="shared" si="16"/>
        <v>11604.532794529739</v>
      </c>
      <c r="Q45" s="48">
        <f t="shared" si="16"/>
        <v>4011.1758291541619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909.27957873063997</v>
      </c>
      <c r="X45" s="48">
        <f t="shared" si="16"/>
        <v>3181.2529265994635</v>
      </c>
      <c r="Y45" s="48">
        <f t="shared" si="16"/>
        <v>5713.0138411428989</v>
      </c>
      <c r="Z45" s="48">
        <f t="shared" si="16"/>
        <v>8523.7361765320602</v>
      </c>
      <c r="AA45" s="48">
        <f t="shared" si="16"/>
        <v>11644.808299447153</v>
      </c>
      <c r="AB45" s="48">
        <f t="shared" si="16"/>
        <v>15103.113327463821</v>
      </c>
      <c r="AC45" s="48">
        <f t="shared" si="16"/>
        <v>18932.305354536871</v>
      </c>
      <c r="AD45" s="48">
        <f t="shared" si="16"/>
        <v>23158.665238171841</v>
      </c>
      <c r="AE45" s="48">
        <f t="shared" si="16"/>
        <v>27826.896907768376</v>
      </c>
      <c r="AF45" s="48">
        <f t="shared" si="16"/>
        <v>32567.222988789217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393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790.61445737128088</v>
      </c>
      <c r="C48" s="163">
        <f t="shared" ref="C48:AF48" si="17">SUM(C35,C26)</f>
        <v>2627.5901428259531</v>
      </c>
      <c r="D48" s="163">
        <f t="shared" si="17"/>
        <v>2877.4393385023868</v>
      </c>
      <c r="E48" s="163">
        <f t="shared" si="17"/>
        <v>3093.8105403550289</v>
      </c>
      <c r="F48" s="163">
        <f t="shared" si="17"/>
        <v>3322.789872645415</v>
      </c>
      <c r="G48" s="163">
        <f t="shared" si="17"/>
        <v>3576.5343750978645</v>
      </c>
      <c r="H48" s="163">
        <f t="shared" si="17"/>
        <v>3849.0646726702835</v>
      </c>
      <c r="I48" s="163">
        <f t="shared" si="17"/>
        <v>4146.4201590134326</v>
      </c>
      <c r="J48" s="163">
        <f t="shared" si="17"/>
        <v>4461.0164203237728</v>
      </c>
      <c r="K48" s="163">
        <f t="shared" si="17"/>
        <v>4810.0234205542802</v>
      </c>
      <c r="L48" s="163">
        <f t="shared" si="17"/>
        <v>5185.1645119113455</v>
      </c>
      <c r="M48" s="163">
        <f t="shared" si="17"/>
        <v>5594.927743173288</v>
      </c>
      <c r="N48" s="163">
        <f t="shared" si="17"/>
        <v>6028.4259734521038</v>
      </c>
      <c r="O48" s="163">
        <f t="shared" si="17"/>
        <v>6509.7298678364787</v>
      </c>
      <c r="P48" s="163">
        <f t="shared" si="17"/>
        <v>7027.416610973778</v>
      </c>
      <c r="Q48" s="163">
        <f t="shared" si="17"/>
        <v>7593.3569653755776</v>
      </c>
      <c r="R48" s="163">
        <f t="shared" si="17"/>
        <v>4011.1758291541619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-909.27957873063997</v>
      </c>
      <c r="X48" s="163">
        <f t="shared" si="17"/>
        <v>-2271.9733478688236</v>
      </c>
      <c r="Y48" s="163">
        <f t="shared" si="17"/>
        <v>-2531.7609145434353</v>
      </c>
      <c r="Z48" s="163">
        <f t="shared" si="17"/>
        <v>-2810.7223353891613</v>
      </c>
      <c r="AA48" s="163">
        <f t="shared" si="17"/>
        <v>-3121.0721229150931</v>
      </c>
      <c r="AB48" s="163">
        <f t="shared" si="17"/>
        <v>-3458.3050280166681</v>
      </c>
      <c r="AC48" s="163">
        <f t="shared" si="17"/>
        <v>-3829.1920270730498</v>
      </c>
      <c r="AD48" s="163">
        <f t="shared" si="17"/>
        <v>-4226.3598836349702</v>
      </c>
      <c r="AE48" s="163">
        <f t="shared" si="17"/>
        <v>-4668.2316695965346</v>
      </c>
      <c r="AF48" s="163">
        <f t="shared" si="17"/>
        <v>-4740.3260810208412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2143.7153849303813</v>
      </c>
      <c r="C49" s="392">
        <f t="shared" ref="C49:AF49" si="18">C27+C36+B44</f>
        <v>6294.4748585674715</v>
      </c>
      <c r="D49" s="392">
        <f t="shared" si="18"/>
        <v>6067.0360452700115</v>
      </c>
      <c r="E49" s="392">
        <f t="shared" si="18"/>
        <v>5822.5530535309745</v>
      </c>
      <c r="F49" s="392">
        <f t="shared" si="18"/>
        <v>5546.3091214488541</v>
      </c>
      <c r="G49" s="392">
        <f t="shared" si="18"/>
        <v>5262.5021474632704</v>
      </c>
      <c r="H49" s="392">
        <f t="shared" si="18"/>
        <v>4952.8281254761141</v>
      </c>
      <c r="I49" s="392">
        <f t="shared" si="18"/>
        <v>4623.2454188736219</v>
      </c>
      <c r="J49" s="392">
        <f t="shared" si="18"/>
        <v>4257.4555742824214</v>
      </c>
      <c r="K49" s="392">
        <f t="shared" si="18"/>
        <v>3874.0369321271792</v>
      </c>
      <c r="L49" s="392">
        <f t="shared" si="18"/>
        <v>3457.3814984946998</v>
      </c>
      <c r="M49" s="392">
        <f t="shared" si="18"/>
        <v>3010.7825070134631</v>
      </c>
      <c r="N49" s="392">
        <f t="shared" si="18"/>
        <v>2521.6900841384363</v>
      </c>
      <c r="O49" s="392">
        <f t="shared" si="18"/>
        <v>2001.1038454033044</v>
      </c>
      <c r="P49" s="392">
        <f t="shared" si="18"/>
        <v>1437.0075991852214</v>
      </c>
      <c r="Q49" s="392">
        <f t="shared" si="18"/>
        <v>829.06987541879175</v>
      </c>
      <c r="R49" s="392">
        <f t="shared" si="18"/>
        <v>169.77566676509423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18.970892619800161</v>
      </c>
      <c r="X49" s="392">
        <f t="shared" si="18"/>
        <v>124.68600739246486</v>
      </c>
      <c r="Y49" s="392">
        <f t="shared" si="18"/>
        <v>323.27498903992637</v>
      </c>
      <c r="Z49" s="392">
        <f t="shared" si="18"/>
        <v>543.88266041344718</v>
      </c>
      <c r="AA49" s="392">
        <f t="shared" si="18"/>
        <v>789.59312344011073</v>
      </c>
      <c r="AB49" s="392">
        <f t="shared" si="18"/>
        <v>1061.9049996085284</v>
      </c>
      <c r="AC49" s="392">
        <f t="shared" si="18"/>
        <v>1364.3345052512714</v>
      </c>
      <c r="AD49" s="392">
        <f t="shared" si="18"/>
        <v>1696.2122000681065</v>
      </c>
      <c r="AE49" s="392">
        <f t="shared" si="18"/>
        <v>2065.7703857863021</v>
      </c>
      <c r="AF49" s="392">
        <f t="shared" si="18"/>
        <v>1393.7398830999327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2934.3298423016622</v>
      </c>
      <c r="C50" s="49">
        <f t="shared" si="19"/>
        <v>8922.0650013934246</v>
      </c>
      <c r="D50" s="49">
        <f t="shared" si="19"/>
        <v>8944.4753837723983</v>
      </c>
      <c r="E50" s="49">
        <f t="shared" si="19"/>
        <v>8916.3635938860025</v>
      </c>
      <c r="F50" s="49">
        <f t="shared" si="19"/>
        <v>8869.0989940942691</v>
      </c>
      <c r="G50" s="49">
        <f t="shared" si="19"/>
        <v>8839.0365225611349</v>
      </c>
      <c r="H50" s="49">
        <f t="shared" si="19"/>
        <v>8801.8927981463967</v>
      </c>
      <c r="I50" s="49">
        <f t="shared" si="19"/>
        <v>8769.6655778870554</v>
      </c>
      <c r="J50" s="49">
        <f t="shared" si="19"/>
        <v>8718.4719946061941</v>
      </c>
      <c r="K50" s="49">
        <f t="shared" si="19"/>
        <v>8684.0603526814593</v>
      </c>
      <c r="L50" s="49">
        <f t="shared" si="19"/>
        <v>8642.5460104060458</v>
      </c>
      <c r="M50" s="49">
        <f t="shared" si="19"/>
        <v>8605.7102501867521</v>
      </c>
      <c r="N50" s="49">
        <f t="shared" si="19"/>
        <v>8550.1160575905396</v>
      </c>
      <c r="O50" s="49">
        <f t="shared" si="19"/>
        <v>8510.8337132397828</v>
      </c>
      <c r="P50" s="49">
        <f t="shared" si="19"/>
        <v>8464.4242101589989</v>
      </c>
      <c r="Q50" s="49">
        <f t="shared" si="19"/>
        <v>8422.4268407943691</v>
      </c>
      <c r="R50" s="49">
        <f t="shared" si="19"/>
        <v>4180.9514959192566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-890.30868611083986</v>
      </c>
      <c r="X50" s="49">
        <f t="shared" si="19"/>
        <v>-2147.2873404763586</v>
      </c>
      <c r="Y50" s="49">
        <f t="shared" si="19"/>
        <v>-2208.485925503509</v>
      </c>
      <c r="Z50" s="49">
        <f t="shared" si="19"/>
        <v>-2266.8396749757139</v>
      </c>
      <c r="AA50" s="49">
        <f t="shared" si="19"/>
        <v>-2331.4789994749826</v>
      </c>
      <c r="AB50" s="49">
        <f t="shared" si="19"/>
        <v>-2396.4000284081394</v>
      </c>
      <c r="AC50" s="49">
        <f t="shared" si="19"/>
        <v>-2464.8575218217784</v>
      </c>
      <c r="AD50" s="49">
        <f t="shared" si="19"/>
        <v>-2530.1476835668636</v>
      </c>
      <c r="AE50" s="49">
        <f t="shared" si="19"/>
        <v>-2602.4612838102325</v>
      </c>
      <c r="AF50" s="49">
        <f t="shared" si="19"/>
        <v>-3346.5861979209085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408</v>
      </c>
      <c r="B52" s="410">
        <f>IF(B33&gt;0.1,(B38+B29)/B50," ")</f>
        <v>1.300000000000004</v>
      </c>
      <c r="C52" s="410">
        <f t="shared" ref="C52:AF52" si="20">IF(C33&gt;0.1,(C38+C29)/C50," ")</f>
        <v>1.3000000000000025</v>
      </c>
      <c r="D52" s="410">
        <f t="shared" si="20"/>
        <v>1.2999999999999989</v>
      </c>
      <c r="E52" s="410">
        <f t="shared" si="20"/>
        <v>1.2999999999999992</v>
      </c>
      <c r="F52" s="410">
        <f t="shared" si="20"/>
        <v>1.3000000000000007</v>
      </c>
      <c r="G52" s="410">
        <f t="shared" si="20"/>
        <v>1.3</v>
      </c>
      <c r="H52" s="410">
        <f t="shared" si="20"/>
        <v>1.2999999999999996</v>
      </c>
      <c r="I52" s="410">
        <f t="shared" si="20"/>
        <v>1.3</v>
      </c>
      <c r="J52" s="410">
        <f t="shared" si="20"/>
        <v>1.2999999999999996</v>
      </c>
      <c r="K52" s="410">
        <f t="shared" si="20"/>
        <v>1.3000000000000007</v>
      </c>
      <c r="L52" s="410">
        <f t="shared" si="20"/>
        <v>1.3000000000000012</v>
      </c>
      <c r="M52" s="410">
        <f t="shared" si="20"/>
        <v>1.2999999999999987</v>
      </c>
      <c r="N52" s="410">
        <f t="shared" si="20"/>
        <v>1.2999999999999996</v>
      </c>
      <c r="O52" s="410">
        <f t="shared" si="20"/>
        <v>1.3000000000000005</v>
      </c>
      <c r="P52" s="472">
        <f t="shared" si="20"/>
        <v>1.3</v>
      </c>
      <c r="Q52" s="410">
        <f t="shared" si="20"/>
        <v>1.3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</v>
      </c>
      <c r="X52" s="410">
        <f t="shared" si="20"/>
        <v>1.2999999999999998</v>
      </c>
      <c r="Y52" s="410">
        <f t="shared" si="20"/>
        <v>1.3000000000000003</v>
      </c>
      <c r="Z52" s="410">
        <f t="shared" si="20"/>
        <v>1.3000000000000003</v>
      </c>
      <c r="AA52" s="410">
        <f t="shared" si="20"/>
        <v>1.2999999999999994</v>
      </c>
      <c r="AB52" s="410">
        <f t="shared" si="20"/>
        <v>1.3000000000000009</v>
      </c>
      <c r="AC52" s="410">
        <f t="shared" si="20"/>
        <v>1.3000000000000005</v>
      </c>
      <c r="AD52" s="410">
        <f t="shared" si="20"/>
        <v>1.2999999999999994</v>
      </c>
      <c r="AE52" s="410">
        <f t="shared" si="20"/>
        <v>1.3000000000000007</v>
      </c>
      <c r="AF52" s="472">
        <f t="shared" si="20"/>
        <v>1.3000000000000005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392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790.61445737128088</v>
      </c>
      <c r="C56" s="163">
        <f t="shared" si="21"/>
        <v>2627.5901428259531</v>
      </c>
      <c r="D56" s="163">
        <f t="shared" si="21"/>
        <v>2877.4393385023868</v>
      </c>
      <c r="E56" s="163">
        <f t="shared" si="21"/>
        <v>3093.8105403550289</v>
      </c>
      <c r="F56" s="163">
        <f t="shared" si="21"/>
        <v>3322.789872645415</v>
      </c>
      <c r="G56" s="163">
        <f t="shared" si="21"/>
        <v>3576.5343750978645</v>
      </c>
      <c r="H56" s="163">
        <f t="shared" si="21"/>
        <v>3849.0646726702835</v>
      </c>
      <c r="I56" s="163">
        <f t="shared" si="21"/>
        <v>4146.4201590134326</v>
      </c>
      <c r="J56" s="163">
        <f t="shared" si="21"/>
        <v>4461.0164203237728</v>
      </c>
      <c r="K56" s="163">
        <f t="shared" si="21"/>
        <v>4810.0234205542802</v>
      </c>
      <c r="L56" s="163">
        <f t="shared" si="21"/>
        <v>5185.1645119113455</v>
      </c>
      <c r="M56" s="163">
        <f t="shared" si="21"/>
        <v>5594.927743173288</v>
      </c>
      <c r="N56" s="163">
        <f t="shared" si="21"/>
        <v>6028.4259734521038</v>
      </c>
      <c r="O56" s="163">
        <f t="shared" si="21"/>
        <v>6509.7298678364787</v>
      </c>
      <c r="P56" s="163">
        <f t="shared" si="21"/>
        <v>7027.416610973778</v>
      </c>
      <c r="Q56" s="163">
        <f t="shared" si="21"/>
        <v>7593.3569653755776</v>
      </c>
      <c r="R56" s="163">
        <f t="shared" si="21"/>
        <v>4011.1758291541619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-909.27957873063997</v>
      </c>
      <c r="X56" s="163">
        <f t="shared" si="21"/>
        <v>-2271.9733478688236</v>
      </c>
      <c r="Y56" s="163">
        <f t="shared" si="21"/>
        <v>-2531.7609145434353</v>
      </c>
      <c r="Z56" s="163">
        <f t="shared" si="21"/>
        <v>-2810.7223353891613</v>
      </c>
      <c r="AA56" s="163">
        <f t="shared" si="21"/>
        <v>-3121.0721229150931</v>
      </c>
      <c r="AB56" s="163">
        <f t="shared" si="21"/>
        <v>-3458.3050280166681</v>
      </c>
      <c r="AC56" s="163">
        <f t="shared" si="21"/>
        <v>-3829.1920270730498</v>
      </c>
      <c r="AD56" s="163">
        <f t="shared" si="21"/>
        <v>-4226.3598836349702</v>
      </c>
      <c r="AE56" s="163">
        <f t="shared" si="21"/>
        <v>-4668.2316695965346</v>
      </c>
      <c r="AF56" s="163">
        <f t="shared" si="21"/>
        <v>-4740.3260810208412</v>
      </c>
    </row>
    <row r="57" spans="1:39">
      <c r="A57" s="403" t="s">
        <v>137</v>
      </c>
      <c r="B57" s="392">
        <f t="shared" ref="B57:AF57" si="22">B36+B44+B27</f>
        <v>3725.9731443918381</v>
      </c>
      <c r="C57" s="392">
        <f t="shared" si="22"/>
        <v>6239.8752823622845</v>
      </c>
      <c r="D57" s="392">
        <f t="shared" si="22"/>
        <v>6006.057981480104</v>
      </c>
      <c r="E57" s="392">
        <f t="shared" si="22"/>
        <v>5753.1615107738371</v>
      </c>
      <c r="F57" s="392">
        <f t="shared" si="22"/>
        <v>5479.7214746318596</v>
      </c>
      <c r="G57" s="392">
        <f t="shared" si="22"/>
        <v>5186.7090148841426</v>
      </c>
      <c r="H57" s="392">
        <f t="shared" si="22"/>
        <v>4871.2595905634989</v>
      </c>
      <c r="I57" s="392">
        <f t="shared" si="22"/>
        <v>4532.4096287305356</v>
      </c>
      <c r="J57" s="392">
        <f t="shared" si="22"/>
        <v>4165.8844549976347</v>
      </c>
      <c r="K57" s="392">
        <f t="shared" si="22"/>
        <v>3772.1039700505016</v>
      </c>
      <c r="L57" s="392">
        <f t="shared" si="22"/>
        <v>3347.498628632688</v>
      </c>
      <c r="M57" s="392">
        <f t="shared" si="22"/>
        <v>2890.4112430394757</v>
      </c>
      <c r="N57" s="392">
        <f t="shared" si="22"/>
        <v>2395.7417837340745</v>
      </c>
      <c r="O57" s="392">
        <f t="shared" si="22"/>
        <v>1863.1510768342216</v>
      </c>
      <c r="P57" s="392">
        <f t="shared" si="22"/>
        <v>1288.0841266211605</v>
      </c>
      <c r="Q57" s="392">
        <f t="shared" si="22"/>
        <v>667.92086765184501</v>
      </c>
      <c r="R57" s="392">
        <f t="shared" si="22"/>
        <v>85.003959009609432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38.240146158105645</v>
      </c>
      <c r="X57" s="392">
        <f t="shared" si="22"/>
        <v>172.83316861373979</v>
      </c>
      <c r="Y57" s="392">
        <f t="shared" si="22"/>
        <v>376.59672198865286</v>
      </c>
      <c r="Z57" s="392">
        <f t="shared" si="22"/>
        <v>603.77766154205949</v>
      </c>
      <c r="AA57" s="392">
        <f t="shared" si="22"/>
        <v>855.73419979832511</v>
      </c>
      <c r="AB57" s="392">
        <f t="shared" si="22"/>
        <v>1135.192641777594</v>
      </c>
      <c r="AC57" s="392">
        <f t="shared" si="22"/>
        <v>1444.3857032350031</v>
      </c>
      <c r="AD57" s="392">
        <f t="shared" si="22"/>
        <v>1786.8724925756803</v>
      </c>
      <c r="AE57" s="392">
        <f t="shared" si="22"/>
        <v>2164.6985281543275</v>
      </c>
      <c r="AF57" s="392">
        <f t="shared" si="22"/>
        <v>2654.5704507873297</v>
      </c>
    </row>
    <row r="58" spans="1:39">
      <c r="A58" s="49" t="s">
        <v>60</v>
      </c>
      <c r="B58" s="49">
        <f>SUM(B56:B57)</f>
        <v>4516.587601763119</v>
      </c>
      <c r="C58" s="49">
        <f t="shared" ref="C58:AF58" si="23">SUM(C56:C57)</f>
        <v>8867.4654251882384</v>
      </c>
      <c r="D58" s="49">
        <f t="shared" si="23"/>
        <v>8883.4973199824908</v>
      </c>
      <c r="E58" s="49">
        <f t="shared" si="23"/>
        <v>8846.9720511288651</v>
      </c>
      <c r="F58" s="49">
        <f t="shared" si="23"/>
        <v>8802.5113472772755</v>
      </c>
      <c r="G58" s="49">
        <f t="shared" si="23"/>
        <v>8763.2433899820062</v>
      </c>
      <c r="H58" s="49">
        <f t="shared" si="23"/>
        <v>8720.3242632337824</v>
      </c>
      <c r="I58" s="49">
        <f t="shared" si="23"/>
        <v>8678.8297877439691</v>
      </c>
      <c r="J58" s="49">
        <f t="shared" si="23"/>
        <v>8626.9008753214075</v>
      </c>
      <c r="K58" s="49">
        <f t="shared" si="23"/>
        <v>8582.1273906047827</v>
      </c>
      <c r="L58" s="49">
        <f t="shared" si="23"/>
        <v>8532.663140544033</v>
      </c>
      <c r="M58" s="49">
        <f t="shared" si="23"/>
        <v>8485.3389862127642</v>
      </c>
      <c r="N58" s="49">
        <f t="shared" si="23"/>
        <v>8424.1677571861783</v>
      </c>
      <c r="O58" s="49">
        <f t="shared" si="23"/>
        <v>8372.8809446707</v>
      </c>
      <c r="P58" s="49">
        <f t="shared" si="23"/>
        <v>8315.500737594939</v>
      </c>
      <c r="Q58" s="49">
        <f t="shared" si="23"/>
        <v>8261.2778330274232</v>
      </c>
      <c r="R58" s="49">
        <f t="shared" si="23"/>
        <v>4096.1797881637713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-871.03943257253434</v>
      </c>
      <c r="X58" s="49">
        <f t="shared" si="23"/>
        <v>-2099.1401792550837</v>
      </c>
      <c r="Y58" s="49">
        <f t="shared" si="23"/>
        <v>-2155.1641925547824</v>
      </c>
      <c r="Z58" s="49">
        <f t="shared" si="23"/>
        <v>-2206.944673847102</v>
      </c>
      <c r="AA58" s="49">
        <f t="shared" si="23"/>
        <v>-2265.3379231167683</v>
      </c>
      <c r="AB58" s="49">
        <f t="shared" si="23"/>
        <v>-2323.1123862390741</v>
      </c>
      <c r="AC58" s="49">
        <f t="shared" si="23"/>
        <v>-2384.8063238380464</v>
      </c>
      <c r="AD58" s="49">
        <f t="shared" si="23"/>
        <v>-2439.4873910592896</v>
      </c>
      <c r="AE58" s="49">
        <f t="shared" si="23"/>
        <v>-2503.5331414422071</v>
      </c>
      <c r="AF58" s="49">
        <f t="shared" si="23"/>
        <v>-2085.7556302335115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57" t="s">
        <v>334</v>
      </c>
      <c r="C61" s="558"/>
      <c r="D61" s="558"/>
      <c r="E61" s="55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396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397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395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394</v>
      </c>
      <c r="C66" s="13"/>
      <c r="D66" s="13"/>
      <c r="E66" s="465">
        <f>B77</f>
        <v>-1.5995205634039749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75505.500901236432</v>
      </c>
      <c r="AA67" s="12"/>
      <c r="AB67" s="12"/>
    </row>
    <row r="68" spans="1:43">
      <c r="B68" s="336" t="s">
        <v>0</v>
      </c>
      <c r="C68" s="57"/>
      <c r="D68" s="57" t="s">
        <v>390</v>
      </c>
      <c r="E68" s="468">
        <f>AVERAGE(B52:AF52)</f>
        <v>1.3000000000000005</v>
      </c>
      <c r="AA68" s="12"/>
      <c r="AB68" s="12"/>
    </row>
    <row r="69" spans="1:43">
      <c r="B69" s="466"/>
      <c r="C69" s="58"/>
      <c r="D69" s="58" t="s">
        <v>391</v>
      </c>
      <c r="E69" s="469">
        <f>MIN(B52:AF52)</f>
        <v>1.2999999999999987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-1.5995205634039749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324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100099.81606826364</v>
      </c>
      <c r="C16" s="309"/>
      <c r="D16" s="18">
        <f>$B$16*D12</f>
        <v>5004.9908034131822</v>
      </c>
      <c r="E16" s="18">
        <f t="shared" ref="E16:Y16" si="0">$B$16*E12</f>
        <v>9509.482526485046</v>
      </c>
      <c r="F16" s="18">
        <f t="shared" si="0"/>
        <v>8558.5342738365416</v>
      </c>
      <c r="G16" s="18">
        <f t="shared" si="0"/>
        <v>7707.6858372563001</v>
      </c>
      <c r="H16" s="18">
        <f t="shared" si="0"/>
        <v>6936.9172535306698</v>
      </c>
      <c r="I16" s="18">
        <f t="shared" si="0"/>
        <v>6236.2185410528245</v>
      </c>
      <c r="J16" s="18">
        <f t="shared" si="0"/>
        <v>5905.8891480275543</v>
      </c>
      <c r="K16" s="18">
        <f t="shared" si="0"/>
        <v>5915.8991296343811</v>
      </c>
      <c r="L16" s="18">
        <f t="shared" si="0"/>
        <v>5905.8891480275543</v>
      </c>
      <c r="M16" s="18">
        <f t="shared" si="0"/>
        <v>5915.8991296343811</v>
      </c>
      <c r="N16" s="18">
        <f t="shared" si="0"/>
        <v>5905.8891480275543</v>
      </c>
      <c r="O16" s="18">
        <f t="shared" si="0"/>
        <v>5915.8991296343811</v>
      </c>
      <c r="P16" s="18">
        <f t="shared" si="0"/>
        <v>5905.8891480275543</v>
      </c>
      <c r="Q16" s="18">
        <f t="shared" si="0"/>
        <v>5915.8991296343811</v>
      </c>
      <c r="R16" s="18">
        <f t="shared" si="0"/>
        <v>5905.8891480275543</v>
      </c>
      <c r="S16" s="18">
        <f t="shared" si="0"/>
        <v>2952.9445740137771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3372</v>
      </c>
      <c r="C17" s="309"/>
      <c r="D17" s="306">
        <f>$B$17*D13</f>
        <v>393.40000000000003</v>
      </c>
      <c r="E17" s="306">
        <f t="shared" ref="E17:AH17" si="2">$B$17*E13</f>
        <v>674.40000000000009</v>
      </c>
      <c r="F17" s="306">
        <f t="shared" si="2"/>
        <v>674.40000000000009</v>
      </c>
      <c r="G17" s="306">
        <f t="shared" si="2"/>
        <v>674.40000000000009</v>
      </c>
      <c r="H17" s="306">
        <f t="shared" si="2"/>
        <v>674.40000000000009</v>
      </c>
      <c r="I17" s="306">
        <f t="shared" si="2"/>
        <v>281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324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103471.81606826364</v>
      </c>
      <c r="C19" s="309"/>
      <c r="D19" s="18">
        <f t="shared" ref="D19:Y19" si="5">SUM(D16:D18)</f>
        <v>5398.3908034131819</v>
      </c>
      <c r="E19" s="18">
        <f t="shared" si="5"/>
        <v>10183.882526485046</v>
      </c>
      <c r="F19" s="18">
        <f t="shared" si="5"/>
        <v>9232.9342738365413</v>
      </c>
      <c r="G19" s="18">
        <f t="shared" si="5"/>
        <v>8382.0858372562998</v>
      </c>
      <c r="H19" s="18">
        <f t="shared" si="5"/>
        <v>7611.3172535306694</v>
      </c>
      <c r="I19" s="18">
        <f t="shared" si="5"/>
        <v>6517.2185410528245</v>
      </c>
      <c r="J19" s="18">
        <f t="shared" si="5"/>
        <v>5905.8891480275543</v>
      </c>
      <c r="K19" s="18">
        <f t="shared" si="5"/>
        <v>5915.8991296343811</v>
      </c>
      <c r="L19" s="18">
        <f t="shared" si="5"/>
        <v>5905.8891480275543</v>
      </c>
      <c r="M19" s="18">
        <f t="shared" si="5"/>
        <v>5915.8991296343811</v>
      </c>
      <c r="N19" s="18">
        <f t="shared" si="5"/>
        <v>5905.8891480275543</v>
      </c>
      <c r="O19" s="18">
        <f t="shared" si="5"/>
        <v>5915.8991296343811</v>
      </c>
      <c r="P19" s="18">
        <f t="shared" si="5"/>
        <v>5905.8891480275543</v>
      </c>
      <c r="Q19" s="18">
        <f t="shared" si="5"/>
        <v>5915.8991296343811</v>
      </c>
      <c r="R19" s="18">
        <f t="shared" si="5"/>
        <v>5905.8891480275543</v>
      </c>
      <c r="S19" s="18">
        <f t="shared" si="5"/>
        <v>2952.9445740137771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103471.81606826364</v>
      </c>
      <c r="C21" s="383"/>
      <c r="D21" s="310">
        <f>B19-D19</f>
        <v>98073.425264850463</v>
      </c>
      <c r="E21" s="310">
        <f>D21-E19</f>
        <v>87889.542738365417</v>
      </c>
      <c r="F21" s="310">
        <f t="shared" ref="F21:X21" si="7">E21-F19</f>
        <v>78656.608464528879</v>
      </c>
      <c r="G21" s="310">
        <f t="shared" si="7"/>
        <v>70274.522627272585</v>
      </c>
      <c r="H21" s="310">
        <f t="shared" si="7"/>
        <v>62663.205373741919</v>
      </c>
      <c r="I21" s="310">
        <f t="shared" si="7"/>
        <v>56145.986832689094</v>
      </c>
      <c r="J21" s="310">
        <f t="shared" si="7"/>
        <v>50240.097684661538</v>
      </c>
      <c r="K21" s="310">
        <f t="shared" si="7"/>
        <v>44324.198555027157</v>
      </c>
      <c r="L21" s="310">
        <f t="shared" si="7"/>
        <v>38418.3094069996</v>
      </c>
      <c r="M21" s="310">
        <f t="shared" si="7"/>
        <v>32502.410277365219</v>
      </c>
      <c r="N21" s="310">
        <f t="shared" si="7"/>
        <v>26596.521129337663</v>
      </c>
      <c r="O21" s="310">
        <f t="shared" si="7"/>
        <v>20680.621999703282</v>
      </c>
      <c r="P21" s="310">
        <f t="shared" si="7"/>
        <v>14774.732851675728</v>
      </c>
      <c r="Q21" s="310">
        <f t="shared" si="7"/>
        <v>8858.8337220413468</v>
      </c>
      <c r="R21" s="310">
        <f t="shared" si="7"/>
        <v>2952.9445740137926</v>
      </c>
      <c r="S21" s="310">
        <f t="shared" si="7"/>
        <v>1.546140993013978E-11</v>
      </c>
      <c r="T21" s="310">
        <f t="shared" si="7"/>
        <v>1.546140993013978E-11</v>
      </c>
      <c r="U21" s="310">
        <f t="shared" si="7"/>
        <v>1.546140993013978E-11</v>
      </c>
      <c r="V21" s="310">
        <f t="shared" si="7"/>
        <v>1.546140993013978E-11</v>
      </c>
      <c r="W21" s="310">
        <f t="shared" si="7"/>
        <v>1.546140993013978E-11</v>
      </c>
      <c r="X21" s="310">
        <f t="shared" si="7"/>
        <v>1.546140993013978E-11</v>
      </c>
      <c r="Y21" s="310">
        <f>X21-Y19</f>
        <v>1.546140993013978E-11</v>
      </c>
      <c r="Z21" s="310">
        <f t="shared" ref="Z21:AH21" si="8">Y21-Z19</f>
        <v>1.546140993013978E-11</v>
      </c>
      <c r="AA21" s="310">
        <f t="shared" si="8"/>
        <v>1.546140993013978E-11</v>
      </c>
      <c r="AB21" s="310">
        <f t="shared" si="8"/>
        <v>1.546140993013978E-11</v>
      </c>
      <c r="AC21" s="310">
        <f t="shared" si="8"/>
        <v>1.546140993013978E-11</v>
      </c>
      <c r="AD21" s="310">
        <f t="shared" si="8"/>
        <v>1.546140993013978E-11</v>
      </c>
      <c r="AE21" s="310">
        <f t="shared" si="8"/>
        <v>1.546140993013978E-11</v>
      </c>
      <c r="AF21" s="310">
        <f t="shared" si="8"/>
        <v>1.546140993013978E-11</v>
      </c>
      <c r="AG21" s="310">
        <f t="shared" si="8"/>
        <v>1.546140993013978E-11</v>
      </c>
      <c r="AH21" s="310">
        <f t="shared" si="8"/>
        <v>1.546140993013978E-11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324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100099.81606826364</v>
      </c>
      <c r="C31" s="309"/>
      <c r="D31" s="18">
        <f>$B$31*D26</f>
        <v>5004.9908034131822</v>
      </c>
      <c r="E31" s="18">
        <f t="shared" ref="E31:Y31" si="14">$B$31*E26</f>
        <v>9509.482526485046</v>
      </c>
      <c r="F31" s="18">
        <f t="shared" si="14"/>
        <v>8558.5342738365416</v>
      </c>
      <c r="G31" s="18">
        <f t="shared" si="14"/>
        <v>7707.6858372563001</v>
      </c>
      <c r="H31" s="18">
        <f t="shared" si="14"/>
        <v>6936.9172535306698</v>
      </c>
      <c r="I31" s="18">
        <f t="shared" si="14"/>
        <v>6236.2185410528245</v>
      </c>
      <c r="J31" s="18">
        <f t="shared" si="14"/>
        <v>5905.8891480275543</v>
      </c>
      <c r="K31" s="18">
        <f t="shared" si="14"/>
        <v>5915.8991296343811</v>
      </c>
      <c r="L31" s="18">
        <f t="shared" si="14"/>
        <v>5905.8891480275543</v>
      </c>
      <c r="M31" s="18">
        <f t="shared" si="14"/>
        <v>5915.8991296343811</v>
      </c>
      <c r="N31" s="18">
        <f t="shared" si="14"/>
        <v>5905.8891480275543</v>
      </c>
      <c r="O31" s="18">
        <f t="shared" si="14"/>
        <v>5915.8991296343811</v>
      </c>
      <c r="P31" s="18">
        <f t="shared" si="14"/>
        <v>5905.8891480275543</v>
      </c>
      <c r="Q31" s="18">
        <f t="shared" si="14"/>
        <v>5915.8991296343811</v>
      </c>
      <c r="R31" s="18">
        <f t="shared" si="14"/>
        <v>5905.8891480275543</v>
      </c>
      <c r="S31" s="18">
        <f t="shared" si="14"/>
        <v>2952.9445740137771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3372</v>
      </c>
      <c r="C32" s="309"/>
      <c r="D32" s="306">
        <f>D27*$B$32</f>
        <v>393.40000000000003</v>
      </c>
      <c r="E32" s="306">
        <f t="shared" ref="E32:AH32" si="16">E27*$B$32</f>
        <v>674.40000000000009</v>
      </c>
      <c r="F32" s="306">
        <f t="shared" si="16"/>
        <v>674.40000000000009</v>
      </c>
      <c r="G32" s="306">
        <f t="shared" si="16"/>
        <v>674.40000000000009</v>
      </c>
      <c r="H32" s="306">
        <f t="shared" si="16"/>
        <v>674.40000000000009</v>
      </c>
      <c r="I32" s="306">
        <f t="shared" si="16"/>
        <v>281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324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103471.81606826364</v>
      </c>
      <c r="C34" s="309"/>
      <c r="D34" s="18">
        <f t="shared" ref="D34:Y34" si="19">SUM(D31:D33)</f>
        <v>5398.3908034131819</v>
      </c>
      <c r="E34" s="18">
        <f t="shared" si="19"/>
        <v>10183.882526485046</v>
      </c>
      <c r="F34" s="18">
        <f t="shared" si="19"/>
        <v>9232.9342738365413</v>
      </c>
      <c r="G34" s="18">
        <f t="shared" si="19"/>
        <v>8382.0858372562998</v>
      </c>
      <c r="H34" s="18">
        <f t="shared" si="19"/>
        <v>7611.3172535306694</v>
      </c>
      <c r="I34" s="18">
        <f t="shared" si="19"/>
        <v>6517.2185410528245</v>
      </c>
      <c r="J34" s="18">
        <f t="shared" si="19"/>
        <v>5905.8891480275543</v>
      </c>
      <c r="K34" s="18">
        <f t="shared" si="19"/>
        <v>5915.8991296343811</v>
      </c>
      <c r="L34" s="18">
        <f t="shared" si="19"/>
        <v>5905.8891480275543</v>
      </c>
      <c r="M34" s="18">
        <f t="shared" si="19"/>
        <v>5915.8991296343811</v>
      </c>
      <c r="N34" s="18">
        <f t="shared" si="19"/>
        <v>5905.8891480275543</v>
      </c>
      <c r="O34" s="18">
        <f t="shared" si="19"/>
        <v>5915.8991296343811</v>
      </c>
      <c r="P34" s="18">
        <f t="shared" si="19"/>
        <v>5905.8891480275543</v>
      </c>
      <c r="Q34" s="18">
        <f t="shared" si="19"/>
        <v>5915.8991296343811</v>
      </c>
      <c r="R34" s="18">
        <f t="shared" si="19"/>
        <v>5905.8891480275543</v>
      </c>
      <c r="S34" s="18">
        <f t="shared" si="19"/>
        <v>2952.9445740137771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103471.81606826364</v>
      </c>
      <c r="C36" s="385"/>
      <c r="D36" s="310">
        <f>B34-D34</f>
        <v>98073.425264850463</v>
      </c>
      <c r="E36" s="310">
        <f>D36-E34</f>
        <v>87889.542738365417</v>
      </c>
      <c r="F36" s="310">
        <f t="shared" ref="F36:W36" si="21">E36-F34</f>
        <v>78656.608464528879</v>
      </c>
      <c r="G36" s="310">
        <f t="shared" si="21"/>
        <v>70274.522627272585</v>
      </c>
      <c r="H36" s="310">
        <f t="shared" si="21"/>
        <v>62663.205373741919</v>
      </c>
      <c r="I36" s="310">
        <f t="shared" si="21"/>
        <v>56145.986832689094</v>
      </c>
      <c r="J36" s="310">
        <f t="shared" si="21"/>
        <v>50240.097684661538</v>
      </c>
      <c r="K36" s="310">
        <f t="shared" si="21"/>
        <v>44324.198555027157</v>
      </c>
      <c r="L36" s="310">
        <f t="shared" si="21"/>
        <v>38418.3094069996</v>
      </c>
      <c r="M36" s="310">
        <f t="shared" si="21"/>
        <v>32502.410277365219</v>
      </c>
      <c r="N36" s="310">
        <f t="shared" si="21"/>
        <v>26596.521129337663</v>
      </c>
      <c r="O36" s="310">
        <f t="shared" si="21"/>
        <v>20680.621999703282</v>
      </c>
      <c r="P36" s="310">
        <f t="shared" si="21"/>
        <v>14774.732851675728</v>
      </c>
      <c r="Q36" s="310">
        <f t="shared" si="21"/>
        <v>8858.8337220413468</v>
      </c>
      <c r="R36" s="310">
        <f t="shared" si="21"/>
        <v>2952.9445740137926</v>
      </c>
      <c r="S36" s="310">
        <f t="shared" si="21"/>
        <v>1.546140993013978E-11</v>
      </c>
      <c r="T36" s="310">
        <f t="shared" si="21"/>
        <v>1.546140993013978E-11</v>
      </c>
      <c r="U36" s="310">
        <f t="shared" si="21"/>
        <v>1.546140993013978E-11</v>
      </c>
      <c r="V36" s="310">
        <f t="shared" si="21"/>
        <v>1.546140993013978E-11</v>
      </c>
      <c r="W36" s="310">
        <f t="shared" si="21"/>
        <v>1.546140993013978E-11</v>
      </c>
      <c r="X36" s="310">
        <f>W36-X34</f>
        <v>1.546140993013978E-11</v>
      </c>
      <c r="Y36" s="310">
        <f>X36-Y34</f>
        <v>1.546140993013978E-11</v>
      </c>
      <c r="Z36" s="310">
        <f t="shared" ref="Z36:AH36" si="22">Y36-Z34</f>
        <v>1.546140993013978E-11</v>
      </c>
      <c r="AA36" s="310">
        <f t="shared" si="22"/>
        <v>1.546140993013978E-11</v>
      </c>
      <c r="AB36" s="310">
        <f t="shared" si="22"/>
        <v>1.546140993013978E-11</v>
      </c>
      <c r="AC36" s="310">
        <f t="shared" si="22"/>
        <v>1.546140993013978E-11</v>
      </c>
      <c r="AD36" s="310">
        <f t="shared" si="22"/>
        <v>1.546140993013978E-11</v>
      </c>
      <c r="AE36" s="310">
        <f t="shared" si="22"/>
        <v>1.546140993013978E-11</v>
      </c>
      <c r="AF36" s="310">
        <f t="shared" si="22"/>
        <v>1.546140993013978E-11</v>
      </c>
      <c r="AG36" s="310">
        <f t="shared" si="22"/>
        <v>1.546140993013978E-11</v>
      </c>
      <c r="AH36" s="310">
        <f t="shared" si="22"/>
        <v>1.546140993013978E-11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379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324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100099.81606826364</v>
      </c>
      <c r="C45" s="309"/>
      <c r="D45" s="18">
        <f t="shared" ref="D45:Y45" si="24">D41*$B$45</f>
        <v>1751.7467811946137</v>
      </c>
      <c r="E45" s="18">
        <f t="shared" si="24"/>
        <v>3002.9944820479091</v>
      </c>
      <c r="F45" s="18">
        <f t="shared" si="24"/>
        <v>3002.9944820479091</v>
      </c>
      <c r="G45" s="18">
        <f t="shared" si="24"/>
        <v>3002.9944820479091</v>
      </c>
      <c r="H45" s="18">
        <f t="shared" si="24"/>
        <v>3002.9944820479091</v>
      </c>
      <c r="I45" s="18">
        <f t="shared" si="24"/>
        <v>3002.9944820479091</v>
      </c>
      <c r="J45" s="18">
        <f t="shared" si="24"/>
        <v>3002.9944820479091</v>
      </c>
      <c r="K45" s="18">
        <f t="shared" si="24"/>
        <v>3002.9944820479091</v>
      </c>
      <c r="L45" s="18">
        <f t="shared" si="24"/>
        <v>3002.9944820479091</v>
      </c>
      <c r="M45" s="18">
        <f t="shared" si="24"/>
        <v>3002.9944820479091</v>
      </c>
      <c r="N45" s="18">
        <f t="shared" si="24"/>
        <v>3002.9944820479091</v>
      </c>
      <c r="O45" s="18">
        <f t="shared" si="24"/>
        <v>3002.9944820479091</v>
      </c>
      <c r="P45" s="18">
        <f t="shared" si="24"/>
        <v>3002.9944820479091</v>
      </c>
      <c r="Q45" s="18">
        <f t="shared" si="24"/>
        <v>3002.9944820479091</v>
      </c>
      <c r="R45" s="18">
        <f t="shared" si="24"/>
        <v>3002.9944820479091</v>
      </c>
      <c r="S45" s="18">
        <f t="shared" si="24"/>
        <v>3002.9944820479091</v>
      </c>
      <c r="T45" s="18">
        <f t="shared" si="24"/>
        <v>3002.9944820479091</v>
      </c>
      <c r="U45" s="18">
        <f t="shared" si="24"/>
        <v>3002.9944820479091</v>
      </c>
      <c r="V45" s="18">
        <f t="shared" si="24"/>
        <v>3002.9944820479091</v>
      </c>
      <c r="W45" s="18">
        <f t="shared" si="24"/>
        <v>3002.9944820479091</v>
      </c>
      <c r="X45" s="18">
        <f t="shared" si="24"/>
        <v>3002.9944820479091</v>
      </c>
      <c r="Y45" s="18">
        <f t="shared" si="24"/>
        <v>3002.9944820479091</v>
      </c>
      <c r="Z45" s="18">
        <f t="shared" ref="Z45:AH45" si="25">Z41*$B$45</f>
        <v>3002.9944820479091</v>
      </c>
      <c r="AA45" s="18">
        <f t="shared" si="25"/>
        <v>3002.9944820479091</v>
      </c>
      <c r="AB45" s="18">
        <f t="shared" si="25"/>
        <v>3002.9944820479091</v>
      </c>
      <c r="AC45" s="18">
        <f t="shared" si="25"/>
        <v>3002.9944820479091</v>
      </c>
      <c r="AD45" s="18">
        <f t="shared" si="25"/>
        <v>3002.9944820479091</v>
      </c>
      <c r="AE45" s="18">
        <f t="shared" si="25"/>
        <v>3002.9944820479091</v>
      </c>
      <c r="AF45" s="18">
        <f t="shared" si="25"/>
        <v>3002.9944820479091</v>
      </c>
      <c r="AG45" s="18">
        <f t="shared" si="25"/>
        <v>3002.9944820479091</v>
      </c>
      <c r="AH45" s="18">
        <f t="shared" si="25"/>
        <v>1251.2477008532951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3372</v>
      </c>
      <c r="C46" s="309"/>
      <c r="D46" s="306">
        <f>D42*$B$46</f>
        <v>393.40000000000003</v>
      </c>
      <c r="E46" s="306">
        <f t="shared" ref="E46:AH46" si="26">E42*$B$46</f>
        <v>674.40000000000009</v>
      </c>
      <c r="F46" s="306">
        <f t="shared" si="26"/>
        <v>674.40000000000009</v>
      </c>
      <c r="G46" s="306">
        <f t="shared" si="26"/>
        <v>674.40000000000009</v>
      </c>
      <c r="H46" s="306">
        <f t="shared" si="26"/>
        <v>674.40000000000009</v>
      </c>
      <c r="I46" s="306">
        <f t="shared" si="26"/>
        <v>281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324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103471.81606826364</v>
      </c>
      <c r="C48" s="309"/>
      <c r="D48" s="18">
        <f t="shared" ref="D48:Y48" si="29">SUM(D45:D47)</f>
        <v>2145.1467811946136</v>
      </c>
      <c r="E48" s="18">
        <f t="shared" si="29"/>
        <v>3677.3944820479092</v>
      </c>
      <c r="F48" s="18">
        <f t="shared" si="29"/>
        <v>3677.3944820479092</v>
      </c>
      <c r="G48" s="18">
        <f t="shared" si="29"/>
        <v>3677.3944820479092</v>
      </c>
      <c r="H48" s="18">
        <f t="shared" si="29"/>
        <v>3677.3944820479092</v>
      </c>
      <c r="I48" s="18">
        <f t="shared" si="29"/>
        <v>3283.9944820479091</v>
      </c>
      <c r="J48" s="18">
        <f t="shared" si="29"/>
        <v>3002.9944820479091</v>
      </c>
      <c r="K48" s="18">
        <f t="shared" si="29"/>
        <v>3002.9944820479091</v>
      </c>
      <c r="L48" s="18">
        <f t="shared" si="29"/>
        <v>3002.9944820479091</v>
      </c>
      <c r="M48" s="18">
        <f t="shared" si="29"/>
        <v>3002.9944820479091</v>
      </c>
      <c r="N48" s="18">
        <f t="shared" si="29"/>
        <v>3002.9944820479091</v>
      </c>
      <c r="O48" s="18">
        <f t="shared" si="29"/>
        <v>3002.9944820479091</v>
      </c>
      <c r="P48" s="18">
        <f t="shared" si="29"/>
        <v>3002.9944820479091</v>
      </c>
      <c r="Q48" s="18">
        <f t="shared" si="29"/>
        <v>3002.9944820479091</v>
      </c>
      <c r="R48" s="18">
        <f t="shared" si="29"/>
        <v>3002.9944820479091</v>
      </c>
      <c r="S48" s="18">
        <f t="shared" si="29"/>
        <v>3002.9944820479091</v>
      </c>
      <c r="T48" s="18">
        <f t="shared" si="29"/>
        <v>3002.9944820479091</v>
      </c>
      <c r="U48" s="18">
        <f t="shared" si="29"/>
        <v>3002.9944820479091</v>
      </c>
      <c r="V48" s="18">
        <f t="shared" si="29"/>
        <v>3002.9944820479091</v>
      </c>
      <c r="W48" s="18">
        <f t="shared" si="29"/>
        <v>3002.9944820479091</v>
      </c>
      <c r="X48" s="18">
        <f t="shared" si="29"/>
        <v>3002.9944820479091</v>
      </c>
      <c r="Y48" s="18">
        <f t="shared" si="29"/>
        <v>3002.9944820479091</v>
      </c>
      <c r="Z48" s="18">
        <f t="shared" ref="Z48:AH48" si="30">SUM(Z45:Z47)</f>
        <v>3002.9944820479091</v>
      </c>
      <c r="AA48" s="18">
        <f t="shared" si="30"/>
        <v>3002.9944820479091</v>
      </c>
      <c r="AB48" s="18">
        <f t="shared" si="30"/>
        <v>3002.9944820479091</v>
      </c>
      <c r="AC48" s="18">
        <f t="shared" si="30"/>
        <v>3002.9944820479091</v>
      </c>
      <c r="AD48" s="18">
        <f t="shared" si="30"/>
        <v>3002.9944820479091</v>
      </c>
      <c r="AE48" s="18">
        <f t="shared" si="30"/>
        <v>3002.9944820479091</v>
      </c>
      <c r="AF48" s="18">
        <f t="shared" si="30"/>
        <v>3002.9944820479091</v>
      </c>
      <c r="AG48" s="18">
        <f t="shared" si="30"/>
        <v>3002.9944820479091</v>
      </c>
      <c r="AH48" s="18">
        <f t="shared" si="30"/>
        <v>1251.2477008532951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103471.81606826364</v>
      </c>
      <c r="C50" s="385"/>
      <c r="D50" s="310">
        <f>B48-D48</f>
        <v>101326.66928706902</v>
      </c>
      <c r="E50" s="310">
        <f>D50-E48</f>
        <v>97649.274805021108</v>
      </c>
      <c r="F50" s="310">
        <f t="shared" ref="F50:Y50" si="31">E50-F48</f>
        <v>93971.8803229732</v>
      </c>
      <c r="G50" s="310">
        <f t="shared" si="31"/>
        <v>90294.485840925292</v>
      </c>
      <c r="H50" s="310">
        <f t="shared" si="31"/>
        <v>86617.091358877384</v>
      </c>
      <c r="I50" s="310">
        <f t="shared" si="31"/>
        <v>83333.09687682947</v>
      </c>
      <c r="J50" s="310">
        <f t="shared" si="31"/>
        <v>80330.102394781556</v>
      </c>
      <c r="K50" s="310">
        <f t="shared" si="31"/>
        <v>77327.107912733642</v>
      </c>
      <c r="L50" s="310">
        <f t="shared" si="31"/>
        <v>74324.113430685728</v>
      </c>
      <c r="M50" s="310">
        <f t="shared" si="31"/>
        <v>71321.118948637813</v>
      </c>
      <c r="N50" s="310">
        <f t="shared" si="31"/>
        <v>68318.124466589899</v>
      </c>
      <c r="O50" s="310">
        <f t="shared" si="31"/>
        <v>65315.129984541993</v>
      </c>
      <c r="P50" s="310">
        <f t="shared" si="31"/>
        <v>62312.135502494086</v>
      </c>
      <c r="Q50" s="310">
        <f t="shared" si="31"/>
        <v>59309.141020446179</v>
      </c>
      <c r="R50" s="310">
        <f t="shared" si="31"/>
        <v>56306.146538398272</v>
      </c>
      <c r="S50" s="310">
        <f t="shared" si="31"/>
        <v>53303.152056350365</v>
      </c>
      <c r="T50" s="310">
        <f t="shared" si="31"/>
        <v>50300.157574302459</v>
      </c>
      <c r="U50" s="310">
        <f t="shared" si="31"/>
        <v>47297.163092254552</v>
      </c>
      <c r="V50" s="310">
        <f t="shared" si="31"/>
        <v>44294.168610206645</v>
      </c>
      <c r="W50" s="310">
        <f t="shared" si="31"/>
        <v>41291.174128158738</v>
      </c>
      <c r="X50" s="310">
        <f t="shared" si="31"/>
        <v>38288.179646110832</v>
      </c>
      <c r="Y50" s="310">
        <f t="shared" si="31"/>
        <v>35285.185164062925</v>
      </c>
      <c r="Z50" s="310">
        <f t="shared" ref="Z50:AH50" si="32">Y50-Z48</f>
        <v>32282.190682015014</v>
      </c>
      <c r="AA50" s="310">
        <f t="shared" si="32"/>
        <v>29279.196199967104</v>
      </c>
      <c r="AB50" s="310">
        <f t="shared" si="32"/>
        <v>26276.201717919193</v>
      </c>
      <c r="AC50" s="310">
        <f t="shared" si="32"/>
        <v>23273.207235871283</v>
      </c>
      <c r="AD50" s="310">
        <f t="shared" si="32"/>
        <v>20270.212753823373</v>
      </c>
      <c r="AE50" s="310">
        <f t="shared" si="32"/>
        <v>17267.218271775462</v>
      </c>
      <c r="AF50" s="310">
        <f t="shared" si="32"/>
        <v>14264.223789727554</v>
      </c>
      <c r="AG50" s="310">
        <f t="shared" si="32"/>
        <v>11261.229307679645</v>
      </c>
      <c r="AH50" s="310">
        <f t="shared" si="32"/>
        <v>10009.98160682635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788.84674108021045</v>
      </c>
      <c r="C10" s="19">
        <f>IS!D40</f>
        <v>1743.2102355898041</v>
      </c>
      <c r="D10" s="19">
        <f>IS!E40</f>
        <v>1933.517936471987</v>
      </c>
      <c r="E10" s="19">
        <f>IS!F40</f>
        <v>2141.681119178249</v>
      </c>
      <c r="F10" s="19">
        <f>IS!G40</f>
        <v>2369.1291006802348</v>
      </c>
      <c r="G10" s="19">
        <f>IS!H40</f>
        <v>3008.2546407887467</v>
      </c>
      <c r="H10" s="19">
        <f>IS!I40</f>
        <v>3556.0851324538144</v>
      </c>
      <c r="I10" s="19">
        <f>IS!J40</f>
        <v>3844.9459201157924</v>
      </c>
      <c r="J10" s="19">
        <f>IS!K40</f>
        <v>4160.072337446114</v>
      </c>
      <c r="K10" s="19">
        <f>IS!L40</f>
        <v>4501.0039981520067</v>
      </c>
      <c r="L10" s="19">
        <f>IS!M40</f>
        <v>4871.2687833518266</v>
      </c>
      <c r="M10" s="19">
        <f>IS!N40</f>
        <v>5272.4810034459861</v>
      </c>
      <c r="N10" s="19">
        <f>IS!O40</f>
        <v>5709.6965618409668</v>
      </c>
      <c r="O10" s="19">
        <f>IS!P40</f>
        <v>6183.2092207477599</v>
      </c>
      <c r="P10" s="19">
        <f>IS!Q40</f>
        <v>6697.5272408715336</v>
      </c>
      <c r="Q10" s="19">
        <f>IS!R40</f>
        <v>7255.2225903793151</v>
      </c>
      <c r="R10" s="19">
        <f>IS!S40</f>
        <v>7773.903110577221</v>
      </c>
      <c r="S10" s="19">
        <f>IS!T40</f>
        <v>7792.8512589562361</v>
      </c>
      <c r="T10" s="19">
        <f>IS!U40</f>
        <v>7724.9235968631347</v>
      </c>
      <c r="U10" s="19">
        <f>IS!V40</f>
        <v>7655.070124220767</v>
      </c>
      <c r="V10" s="19">
        <f>IS!W40</f>
        <v>588.0610674179311</v>
      </c>
      <c r="W10" s="19">
        <f>IS!X40</f>
        <v>-5775.6781558008506</v>
      </c>
      <c r="X10" s="19">
        <f>IS!Y40</f>
        <v>-5986.241818708736</v>
      </c>
      <c r="Y10" s="19">
        <f>IS!Z40</f>
        <v>-6268.1338784419577</v>
      </c>
      <c r="Z10" s="19">
        <f>IS!AA40</f>
        <v>-6575.6635011707613</v>
      </c>
      <c r="AA10" s="19">
        <f>IS!AB40</f>
        <v>-6910.2530311565506</v>
      </c>
      <c r="AB10" s="19">
        <f>IS!AC40</f>
        <v>-7274.6947796372697</v>
      </c>
      <c r="AC10" s="19">
        <f>IS!AD40</f>
        <v>-7671.2893983116164</v>
      </c>
      <c r="AD10" s="19">
        <f>IS!AE40</f>
        <v>-8103.6659181365912</v>
      </c>
      <c r="AE10" s="19">
        <f>IS!AF40</f>
        <v>-8573.9418251959323</v>
      </c>
      <c r="AF10" s="19">
        <f>IS!AG40</f>
        <v>-7407.1510523229408</v>
      </c>
    </row>
    <row r="11" spans="1:32">
      <c r="A11" s="21" t="s">
        <v>70</v>
      </c>
      <c r="B11" s="19">
        <f>IS!C34</f>
        <v>2145.1467811946136</v>
      </c>
      <c r="C11" s="19">
        <f>IS!D34</f>
        <v>3677.3944820479092</v>
      </c>
      <c r="D11" s="19">
        <f>IS!E34</f>
        <v>3677.3944820479092</v>
      </c>
      <c r="E11" s="19">
        <f>IS!F34</f>
        <v>3677.3944820479092</v>
      </c>
      <c r="F11" s="19">
        <f>IS!G34</f>
        <v>3677.3944820479092</v>
      </c>
      <c r="G11" s="19">
        <f>IS!H34</f>
        <v>3283.9944820479091</v>
      </c>
      <c r="H11" s="19">
        <f>IS!I34</f>
        <v>3002.9944820479091</v>
      </c>
      <c r="I11" s="19">
        <f>IS!J34</f>
        <v>3002.9944820479091</v>
      </c>
      <c r="J11" s="19">
        <f>IS!K34</f>
        <v>3002.9944820479091</v>
      </c>
      <c r="K11" s="19">
        <f>IS!L34</f>
        <v>3002.9944820479091</v>
      </c>
      <c r="L11" s="19">
        <f>IS!M34</f>
        <v>3002.9944820479091</v>
      </c>
      <c r="M11" s="19">
        <f>IS!N34</f>
        <v>3002.9944820479091</v>
      </c>
      <c r="N11" s="19">
        <f>IS!O34</f>
        <v>3002.9944820479091</v>
      </c>
      <c r="O11" s="19">
        <f>IS!P34</f>
        <v>3002.9944820479091</v>
      </c>
      <c r="P11" s="19">
        <f>IS!Q34</f>
        <v>3002.9944820479091</v>
      </c>
      <c r="Q11" s="19">
        <f>IS!R34</f>
        <v>3002.9944820479091</v>
      </c>
      <c r="R11" s="19">
        <f>IS!S34</f>
        <v>3002.9944820479091</v>
      </c>
      <c r="S11" s="19">
        <f>IS!T34</f>
        <v>3002.9944820479091</v>
      </c>
      <c r="T11" s="19">
        <f>IS!U34</f>
        <v>3002.9944820479091</v>
      </c>
      <c r="U11" s="19">
        <f>IS!V34</f>
        <v>3002.9944820479091</v>
      </c>
      <c r="V11" s="19">
        <f>IS!W34</f>
        <v>3002.9944820479091</v>
      </c>
      <c r="W11" s="19">
        <f>IS!X34</f>
        <v>3002.9944820479091</v>
      </c>
      <c r="X11" s="19">
        <f>IS!Y34</f>
        <v>3002.9944820479091</v>
      </c>
      <c r="Y11" s="19">
        <f>IS!Z34</f>
        <v>3002.9944820479091</v>
      </c>
      <c r="Z11" s="19">
        <f>IS!AA34</f>
        <v>3002.9944820479091</v>
      </c>
      <c r="AA11" s="19">
        <f>IS!AB34</f>
        <v>3002.9944820479091</v>
      </c>
      <c r="AB11" s="19">
        <f>IS!AC34</f>
        <v>3002.9944820479091</v>
      </c>
      <c r="AC11" s="19">
        <f>IS!AD34</f>
        <v>3002.9944820479091</v>
      </c>
      <c r="AD11" s="19">
        <f>IS!AE34</f>
        <v>3002.9944820479091</v>
      </c>
      <c r="AE11" s="19">
        <f>IS!AF34</f>
        <v>3002.9944820479091</v>
      </c>
      <c r="AF11" s="19">
        <f>IS!AG34</f>
        <v>1251.2477008532951</v>
      </c>
    </row>
    <row r="12" spans="1:32" ht="15">
      <c r="A12" s="21" t="s">
        <v>71</v>
      </c>
      <c r="B12" s="131">
        <f>-Depreciation!D34</f>
        <v>-5398.3908034131819</v>
      </c>
      <c r="C12" s="131">
        <f>-Depreciation!E34</f>
        <v>-10183.882526485046</v>
      </c>
      <c r="D12" s="131">
        <f>-Depreciation!F34</f>
        <v>-9232.9342738365413</v>
      </c>
      <c r="E12" s="131">
        <f>-Depreciation!G34</f>
        <v>-8382.0858372562998</v>
      </c>
      <c r="F12" s="131">
        <f>-Depreciation!H34</f>
        <v>-7611.3172535306694</v>
      </c>
      <c r="G12" s="131">
        <f>-Depreciation!I34</f>
        <v>-6517.2185410528245</v>
      </c>
      <c r="H12" s="131">
        <f>-Depreciation!J34</f>
        <v>-5905.8891480275543</v>
      </c>
      <c r="I12" s="131">
        <f>-Depreciation!K34</f>
        <v>-5915.8991296343811</v>
      </c>
      <c r="J12" s="131">
        <f>-Depreciation!L34</f>
        <v>-5905.8891480275543</v>
      </c>
      <c r="K12" s="131">
        <f>-Depreciation!M34</f>
        <v>-5915.8991296343811</v>
      </c>
      <c r="L12" s="131">
        <f>-Depreciation!N34</f>
        <v>-5905.8891480275543</v>
      </c>
      <c r="M12" s="131">
        <f>-Depreciation!O34</f>
        <v>-5915.8991296343811</v>
      </c>
      <c r="N12" s="131">
        <f>-Depreciation!P34</f>
        <v>-5905.8891480275543</v>
      </c>
      <c r="O12" s="131">
        <f>-Depreciation!Q34</f>
        <v>-5915.8991296343811</v>
      </c>
      <c r="P12" s="131">
        <f>-Depreciation!R34</f>
        <v>-5905.8891480275543</v>
      </c>
      <c r="Q12" s="131">
        <f>-Depreciation!S34</f>
        <v>-2952.9445740137771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-2464.3972811383578</v>
      </c>
      <c r="C13" s="23">
        <f t="shared" ref="C13:W13" si="0">SUM(C10:C12)</f>
        <v>-4763.2778088473324</v>
      </c>
      <c r="D13" s="23">
        <f t="shared" si="0"/>
        <v>-3622.0218553166451</v>
      </c>
      <c r="E13" s="23">
        <f t="shared" si="0"/>
        <v>-2563.0102360301416</v>
      </c>
      <c r="F13" s="23">
        <f t="shared" si="0"/>
        <v>-1564.7936708025254</v>
      </c>
      <c r="G13" s="23">
        <f t="shared" si="0"/>
        <v>-224.96941821616838</v>
      </c>
      <c r="H13" s="23">
        <f t="shared" si="0"/>
        <v>653.19046647416872</v>
      </c>
      <c r="I13" s="23">
        <f t="shared" si="0"/>
        <v>932.04127252932085</v>
      </c>
      <c r="J13" s="23">
        <f t="shared" si="0"/>
        <v>1257.1776714664684</v>
      </c>
      <c r="K13" s="23">
        <f t="shared" si="0"/>
        <v>1588.0993505655351</v>
      </c>
      <c r="L13" s="23">
        <f t="shared" si="0"/>
        <v>1968.374117372181</v>
      </c>
      <c r="M13" s="23">
        <f t="shared" si="0"/>
        <v>2359.5763558595136</v>
      </c>
      <c r="N13" s="23">
        <f t="shared" si="0"/>
        <v>2806.8018958613211</v>
      </c>
      <c r="O13" s="23">
        <f t="shared" si="0"/>
        <v>3270.3045731612874</v>
      </c>
      <c r="P13" s="23">
        <f t="shared" si="0"/>
        <v>3794.632574891888</v>
      </c>
      <c r="Q13" s="23">
        <f t="shared" si="0"/>
        <v>7305.2724984134466</v>
      </c>
      <c r="R13" s="23">
        <f t="shared" si="0"/>
        <v>10776.89759262513</v>
      </c>
      <c r="S13" s="23">
        <f t="shared" si="0"/>
        <v>10795.845741004145</v>
      </c>
      <c r="T13" s="23">
        <f t="shared" si="0"/>
        <v>10727.918078911043</v>
      </c>
      <c r="U13" s="23">
        <f t="shared" si="0"/>
        <v>10658.064606268676</v>
      </c>
      <c r="V13" s="23">
        <f t="shared" si="0"/>
        <v>3591.0555494658402</v>
      </c>
      <c r="W13" s="23">
        <f t="shared" si="0"/>
        <v>-2772.6836737529416</v>
      </c>
      <c r="X13" s="23">
        <f t="shared" ref="X13:AF13" si="1">SUM(X10:X12)</f>
        <v>-2983.2473366608269</v>
      </c>
      <c r="Y13" s="23">
        <f t="shared" si="1"/>
        <v>-3265.1393963940486</v>
      </c>
      <c r="Z13" s="23">
        <f t="shared" si="1"/>
        <v>-3572.6690191228522</v>
      </c>
      <c r="AA13" s="23">
        <f t="shared" si="1"/>
        <v>-3907.2585491086415</v>
      </c>
      <c r="AB13" s="23">
        <f t="shared" si="1"/>
        <v>-4271.7002975893611</v>
      </c>
      <c r="AC13" s="23">
        <f t="shared" si="1"/>
        <v>-4668.2949162637069</v>
      </c>
      <c r="AD13" s="23">
        <f t="shared" si="1"/>
        <v>-5100.6714360886817</v>
      </c>
      <c r="AE13" s="23">
        <f t="shared" si="1"/>
        <v>-5570.9473431480237</v>
      </c>
      <c r="AF13" s="23">
        <f t="shared" si="1"/>
        <v>-6155.9033514696457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-172.50780967968507</v>
      </c>
      <c r="C16" s="19">
        <f t="shared" si="2"/>
        <v>-333.4294466193133</v>
      </c>
      <c r="D16" s="19">
        <f t="shared" si="2"/>
        <v>-253.54152987216517</v>
      </c>
      <c r="E16" s="19">
        <f t="shared" si="2"/>
        <v>-179.41071652210994</v>
      </c>
      <c r="F16" s="19">
        <f t="shared" si="2"/>
        <v>-109.53555695617679</v>
      </c>
      <c r="G16" s="19">
        <f t="shared" si="2"/>
        <v>-15.747859275131788</v>
      </c>
      <c r="H16" s="19">
        <f t="shared" si="2"/>
        <v>45.723332653191811</v>
      </c>
      <c r="I16" s="19">
        <f t="shared" si="2"/>
        <v>65.242889077052467</v>
      </c>
      <c r="J16" s="19">
        <f t="shared" si="2"/>
        <v>88.002437002652798</v>
      </c>
      <c r="K16" s="19">
        <f t="shared" si="2"/>
        <v>111.16695453958746</v>
      </c>
      <c r="L16" s="19">
        <f t="shared" si="2"/>
        <v>137.78618821605269</v>
      </c>
      <c r="M16" s="19">
        <f t="shared" si="2"/>
        <v>165.17034491016597</v>
      </c>
      <c r="N16" s="19">
        <f t="shared" si="2"/>
        <v>196.47613271029249</v>
      </c>
      <c r="O16" s="19">
        <f t="shared" si="2"/>
        <v>228.92132012129014</v>
      </c>
      <c r="P16" s="19">
        <f t="shared" si="2"/>
        <v>265.62428024243218</v>
      </c>
      <c r="Q16" s="19">
        <f t="shared" si="2"/>
        <v>511.36907488894133</v>
      </c>
      <c r="R16" s="19">
        <f t="shared" si="2"/>
        <v>754.38283148375911</v>
      </c>
      <c r="S16" s="19">
        <f t="shared" si="2"/>
        <v>755.70920187029014</v>
      </c>
      <c r="T16" s="19">
        <f t="shared" si="2"/>
        <v>750.95426552377307</v>
      </c>
      <c r="U16" s="19">
        <f t="shared" si="2"/>
        <v>746.06452243880733</v>
      </c>
      <c r="V16" s="19">
        <f t="shared" si="2"/>
        <v>251.37388846260885</v>
      </c>
      <c r="W16" s="19">
        <f t="shared" si="2"/>
        <v>-194.08785716270592</v>
      </c>
      <c r="X16" s="19">
        <f t="shared" si="2"/>
        <v>-208.82731356625791</v>
      </c>
      <c r="Y16" s="19">
        <f t="shared" si="2"/>
        <v>-228.55975774758343</v>
      </c>
      <c r="Z16" s="19">
        <f t="shared" si="2"/>
        <v>-250.08683133859967</v>
      </c>
      <c r="AA16" s="19">
        <f t="shared" si="2"/>
        <v>-273.50809843760493</v>
      </c>
      <c r="AB16" s="19">
        <f t="shared" si="2"/>
        <v>-299.01902083125532</v>
      </c>
      <c r="AC16" s="19">
        <f t="shared" si="2"/>
        <v>-326.78064413845954</v>
      </c>
      <c r="AD16" s="19">
        <f t="shared" si="2"/>
        <v>-357.04700052620774</v>
      </c>
      <c r="AE16" s="19">
        <f t="shared" si="2"/>
        <v>-389.96631402036172</v>
      </c>
      <c r="AF16" s="19">
        <f t="shared" si="2"/>
        <v>-430.91323460287526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172.50780967968507</v>
      </c>
      <c r="D18" s="19">
        <f t="shared" ref="D18:W18" si="3">C22</f>
        <v>505.93725629899836</v>
      </c>
      <c r="E18" s="19">
        <f t="shared" si="3"/>
        <v>759.47878617116351</v>
      </c>
      <c r="F18" s="19">
        <f t="shared" si="3"/>
        <v>938.88950269327347</v>
      </c>
      <c r="G18" s="19">
        <f t="shared" si="3"/>
        <v>1048.4250596494503</v>
      </c>
      <c r="H18" s="19">
        <f t="shared" si="3"/>
        <v>1064.1729189245821</v>
      </c>
      <c r="I18" s="19">
        <f t="shared" si="3"/>
        <v>1018.4495862713902</v>
      </c>
      <c r="J18" s="19">
        <f t="shared" si="3"/>
        <v>953.20669719433772</v>
      </c>
      <c r="K18" s="19">
        <f t="shared" si="3"/>
        <v>803.66267224224418</v>
      </c>
      <c r="L18" s="19">
        <f t="shared" si="3"/>
        <v>619.57651776568139</v>
      </c>
      <c r="M18" s="19">
        <f t="shared" si="3"/>
        <v>481.79032954962872</v>
      </c>
      <c r="N18" s="19">
        <f t="shared" si="3"/>
        <v>316.61998463946276</v>
      </c>
      <c r="O18" s="19">
        <f t="shared" si="3"/>
        <v>120.14385192917027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194.08785716270592</v>
      </c>
      <c r="Y18" s="19">
        <f t="shared" si="4"/>
        <v>402.91517072896386</v>
      </c>
      <c r="Z18" s="19">
        <f t="shared" si="4"/>
        <v>631.47492847654735</v>
      </c>
      <c r="AA18" s="19">
        <f t="shared" si="4"/>
        <v>881.56175981514707</v>
      </c>
      <c r="AB18" s="19">
        <f t="shared" si="4"/>
        <v>1155.0698582527521</v>
      </c>
      <c r="AC18" s="19">
        <f t="shared" si="4"/>
        <v>1454.0888790840074</v>
      </c>
      <c r="AD18" s="19">
        <f t="shared" si="4"/>
        <v>1780.869523222467</v>
      </c>
      <c r="AE18" s="19">
        <f t="shared" si="4"/>
        <v>2137.916523748675</v>
      </c>
      <c r="AF18" s="19">
        <f t="shared" si="4"/>
        <v>2333.7949806063307</v>
      </c>
    </row>
    <row r="19" spans="1:32">
      <c r="A19" s="21" t="s">
        <v>75</v>
      </c>
      <c r="B19" s="140">
        <f>IF(B16&lt;0,-B16,0)</f>
        <v>172.50780967968507</v>
      </c>
      <c r="C19" s="140">
        <f t="shared" ref="C19:W19" si="5">IF(C16&lt;0,-C16,0)</f>
        <v>333.4294466193133</v>
      </c>
      <c r="D19" s="140">
        <f t="shared" si="5"/>
        <v>253.54152987216517</v>
      </c>
      <c r="E19" s="140">
        <f t="shared" si="5"/>
        <v>179.41071652210994</v>
      </c>
      <c r="F19" s="140">
        <f t="shared" si="5"/>
        <v>109.53555695617679</v>
      </c>
      <c r="G19" s="140">
        <f t="shared" si="5"/>
        <v>15.747859275131788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194.08785716270592</v>
      </c>
      <c r="X19" s="140">
        <f t="shared" ref="X19:AF19" si="6">IF(X16&lt;0,-X16,0)</f>
        <v>208.82731356625791</v>
      </c>
      <c r="Y19" s="140">
        <f t="shared" si="6"/>
        <v>228.55975774758343</v>
      </c>
      <c r="Z19" s="140">
        <f t="shared" si="6"/>
        <v>250.08683133859967</v>
      </c>
      <c r="AA19" s="140">
        <f t="shared" si="6"/>
        <v>273.50809843760493</v>
      </c>
      <c r="AB19" s="140">
        <f t="shared" si="6"/>
        <v>299.01902083125532</v>
      </c>
      <c r="AC19" s="140">
        <f t="shared" si="6"/>
        <v>326.78064413845954</v>
      </c>
      <c r="AD19" s="140">
        <f t="shared" si="6"/>
        <v>357.04700052620774</v>
      </c>
      <c r="AE19" s="140">
        <f t="shared" si="6"/>
        <v>389.96631402036172</v>
      </c>
      <c r="AF19" s="140">
        <f t="shared" si="6"/>
        <v>430.91323460287526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-61.541587949440782</v>
      </c>
      <c r="K20" s="476">
        <f t="shared" ref="K20:AF20" si="7">IF(-SUM(C21:J21, C20:J20)&gt;C19,0,-C19-SUM(C21:J21,C20:J20))</f>
        <v>-72.919199936975417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-194.08785716270592</v>
      </c>
      <c r="AF20" s="476">
        <f t="shared" si="7"/>
        <v>-14.739456403551998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-45.723332653191811</v>
      </c>
      <c r="I21" s="133">
        <f t="shared" si="8"/>
        <v>-65.242889077052467</v>
      </c>
      <c r="J21" s="133">
        <f t="shared" si="8"/>
        <v>-88.002437002652798</v>
      </c>
      <c r="K21" s="133">
        <f t="shared" si="8"/>
        <v>-111.16695453958746</v>
      </c>
      <c r="L21" s="133">
        <f t="shared" si="8"/>
        <v>-137.78618821605269</v>
      </c>
      <c r="M21" s="133">
        <f t="shared" si="8"/>
        <v>-165.17034491016597</v>
      </c>
      <c r="N21" s="133">
        <f t="shared" si="8"/>
        <v>-196.47613271029249</v>
      </c>
      <c r="O21" s="133">
        <f t="shared" si="8"/>
        <v>-120.14385192917027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172.50780967968507</v>
      </c>
      <c r="C22" s="133">
        <f t="shared" si="10"/>
        <v>505.93725629899836</v>
      </c>
      <c r="D22" s="133">
        <f t="shared" si="10"/>
        <v>759.47878617116351</v>
      </c>
      <c r="E22" s="133">
        <f t="shared" si="10"/>
        <v>938.88950269327347</v>
      </c>
      <c r="F22" s="133">
        <f t="shared" si="10"/>
        <v>1048.4250596494503</v>
      </c>
      <c r="G22" s="133">
        <f t="shared" si="10"/>
        <v>1064.1729189245821</v>
      </c>
      <c r="H22" s="133">
        <f t="shared" si="10"/>
        <v>1018.4495862713902</v>
      </c>
      <c r="I22" s="133">
        <f t="shared" si="10"/>
        <v>953.20669719433772</v>
      </c>
      <c r="J22" s="133">
        <f t="shared" si="10"/>
        <v>803.66267224224418</v>
      </c>
      <c r="K22" s="133">
        <f t="shared" si="10"/>
        <v>619.57651776568139</v>
      </c>
      <c r="L22" s="133">
        <f t="shared" si="10"/>
        <v>481.79032954962872</v>
      </c>
      <c r="M22" s="133">
        <f t="shared" si="10"/>
        <v>316.61998463946276</v>
      </c>
      <c r="N22" s="133">
        <f t="shared" si="10"/>
        <v>120.14385192917027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194.08785716270592</v>
      </c>
      <c r="X22" s="133">
        <f t="shared" si="10"/>
        <v>402.91517072896386</v>
      </c>
      <c r="Y22" s="133">
        <f t="shared" si="10"/>
        <v>631.47492847654735</v>
      </c>
      <c r="Z22" s="133">
        <f t="shared" si="10"/>
        <v>881.56175981514707</v>
      </c>
      <c r="AA22" s="133">
        <f t="shared" si="10"/>
        <v>1155.0698582527521</v>
      </c>
      <c r="AB22" s="133">
        <f t="shared" si="10"/>
        <v>1454.0888790840074</v>
      </c>
      <c r="AC22" s="133">
        <f t="shared" si="10"/>
        <v>1780.869523222467</v>
      </c>
      <c r="AD22" s="133">
        <f t="shared" si="10"/>
        <v>2137.916523748675</v>
      </c>
      <c r="AE22" s="133">
        <f t="shared" si="10"/>
        <v>2333.7949806063307</v>
      </c>
      <c r="AF22" s="133">
        <f t="shared" si="10"/>
        <v>2749.968758805654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108.77746819211987</v>
      </c>
      <c r="P24" s="137">
        <f t="shared" si="11"/>
        <v>265.62428024243218</v>
      </c>
      <c r="Q24" s="137">
        <f t="shared" si="11"/>
        <v>511.36907488894133</v>
      </c>
      <c r="R24" s="137">
        <f t="shared" si="11"/>
        <v>754.38283148375911</v>
      </c>
      <c r="S24" s="137">
        <f t="shared" si="11"/>
        <v>755.70920187029014</v>
      </c>
      <c r="T24" s="137">
        <f t="shared" si="11"/>
        <v>750.95426552377307</v>
      </c>
      <c r="U24" s="137">
        <f t="shared" si="11"/>
        <v>746.06452243880733</v>
      </c>
      <c r="V24" s="137">
        <f t="shared" si="11"/>
        <v>251.37388846260885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-2464.3972811383578</v>
      </c>
      <c r="C28" s="19">
        <f t="shared" ref="C28:AF28" si="12">C13</f>
        <v>-4763.2778088473324</v>
      </c>
      <c r="D28" s="19">
        <f t="shared" si="12"/>
        <v>-3622.0218553166451</v>
      </c>
      <c r="E28" s="19">
        <f t="shared" si="12"/>
        <v>-2563.0102360301416</v>
      </c>
      <c r="F28" s="19">
        <f t="shared" si="12"/>
        <v>-1564.7936708025254</v>
      </c>
      <c r="G28" s="19">
        <f t="shared" si="12"/>
        <v>-224.96941821616838</v>
      </c>
      <c r="H28" s="19">
        <f t="shared" si="12"/>
        <v>653.19046647416872</v>
      </c>
      <c r="I28" s="19">
        <f t="shared" si="12"/>
        <v>932.04127252932085</v>
      </c>
      <c r="J28" s="19">
        <f t="shared" si="12"/>
        <v>1257.1776714664684</v>
      </c>
      <c r="K28" s="19">
        <f t="shared" si="12"/>
        <v>1588.0993505655351</v>
      </c>
      <c r="L28" s="19">
        <f t="shared" si="12"/>
        <v>1968.374117372181</v>
      </c>
      <c r="M28" s="19">
        <f t="shared" si="12"/>
        <v>2359.5763558595136</v>
      </c>
      <c r="N28" s="19">
        <f t="shared" si="12"/>
        <v>2806.8018958613211</v>
      </c>
      <c r="O28" s="19">
        <f t="shared" si="12"/>
        <v>3270.3045731612874</v>
      </c>
      <c r="P28" s="19">
        <f t="shared" si="12"/>
        <v>3794.632574891888</v>
      </c>
      <c r="Q28" s="19">
        <f t="shared" si="12"/>
        <v>7305.2724984134466</v>
      </c>
      <c r="R28" s="19">
        <f t="shared" si="12"/>
        <v>10776.89759262513</v>
      </c>
      <c r="S28" s="19">
        <f t="shared" si="12"/>
        <v>10795.845741004145</v>
      </c>
      <c r="T28" s="19">
        <f t="shared" si="12"/>
        <v>10727.918078911043</v>
      </c>
      <c r="U28" s="19">
        <f t="shared" si="12"/>
        <v>10658.064606268676</v>
      </c>
      <c r="V28" s="19">
        <f t="shared" si="12"/>
        <v>3591.0555494658402</v>
      </c>
      <c r="W28" s="19">
        <f t="shared" si="12"/>
        <v>-2772.6836737529416</v>
      </c>
      <c r="X28" s="19">
        <f t="shared" si="12"/>
        <v>-2983.2473366608269</v>
      </c>
      <c r="Y28" s="19">
        <f t="shared" si="12"/>
        <v>-3265.1393963940486</v>
      </c>
      <c r="Z28" s="19">
        <f t="shared" si="12"/>
        <v>-3572.6690191228522</v>
      </c>
      <c r="AA28" s="19">
        <f t="shared" si="12"/>
        <v>-3907.2585491086415</v>
      </c>
      <c r="AB28" s="19">
        <f t="shared" si="12"/>
        <v>-4271.7002975893611</v>
      </c>
      <c r="AC28" s="19">
        <f t="shared" si="12"/>
        <v>-4668.2949162637069</v>
      </c>
      <c r="AD28" s="19">
        <f t="shared" si="12"/>
        <v>-5100.6714360886817</v>
      </c>
      <c r="AE28" s="19">
        <f t="shared" si="12"/>
        <v>-5570.9473431480237</v>
      </c>
      <c r="AF28" s="19">
        <f t="shared" si="12"/>
        <v>-6155.9033514696457</v>
      </c>
    </row>
    <row r="29" spans="1:32" ht="15">
      <c r="A29" s="21" t="s">
        <v>78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-108.77746819211987</v>
      </c>
      <c r="P29" s="135">
        <f t="shared" si="13"/>
        <v>-265.62428024243218</v>
      </c>
      <c r="Q29" s="135">
        <f t="shared" si="13"/>
        <v>-511.36907488894133</v>
      </c>
      <c r="R29" s="135">
        <f t="shared" si="13"/>
        <v>-754.38283148375911</v>
      </c>
      <c r="S29" s="135">
        <f t="shared" si="13"/>
        <v>-755.70920187029014</v>
      </c>
      <c r="T29" s="135">
        <f t="shared" si="13"/>
        <v>-750.95426552377307</v>
      </c>
      <c r="U29" s="135">
        <f t="shared" si="13"/>
        <v>-746.06452243880733</v>
      </c>
      <c r="V29" s="135">
        <f t="shared" si="13"/>
        <v>-251.37388846260885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-2464.3972811383578</v>
      </c>
      <c r="C30" s="44">
        <f t="shared" si="14"/>
        <v>-4763.2778088473324</v>
      </c>
      <c r="D30" s="44">
        <f t="shared" si="14"/>
        <v>-3622.0218553166451</v>
      </c>
      <c r="E30" s="44">
        <f t="shared" si="14"/>
        <v>-2563.0102360301416</v>
      </c>
      <c r="F30" s="44">
        <f t="shared" si="14"/>
        <v>-1564.7936708025254</v>
      </c>
      <c r="G30" s="44">
        <f t="shared" si="14"/>
        <v>-224.96941821616838</v>
      </c>
      <c r="H30" s="44">
        <f t="shared" si="14"/>
        <v>653.19046647416872</v>
      </c>
      <c r="I30" s="44">
        <f t="shared" si="14"/>
        <v>932.04127252932085</v>
      </c>
      <c r="J30" s="44">
        <f t="shared" si="14"/>
        <v>1257.1776714664684</v>
      </c>
      <c r="K30" s="44">
        <f t="shared" si="14"/>
        <v>1588.0993505655351</v>
      </c>
      <c r="L30" s="44">
        <f t="shared" si="14"/>
        <v>1968.374117372181</v>
      </c>
      <c r="M30" s="44">
        <f t="shared" si="14"/>
        <v>2359.5763558595136</v>
      </c>
      <c r="N30" s="44">
        <f t="shared" si="14"/>
        <v>2806.8018958613211</v>
      </c>
      <c r="O30" s="44">
        <f t="shared" si="14"/>
        <v>3161.5271049691673</v>
      </c>
      <c r="P30" s="44">
        <f t="shared" si="14"/>
        <v>3529.0082946494558</v>
      </c>
      <c r="Q30" s="44">
        <f t="shared" si="14"/>
        <v>6793.9034235245053</v>
      </c>
      <c r="R30" s="44">
        <f t="shared" si="14"/>
        <v>10022.51476114137</v>
      </c>
      <c r="S30" s="44">
        <f t="shared" si="14"/>
        <v>10040.136539133855</v>
      </c>
      <c r="T30" s="44">
        <f t="shared" si="14"/>
        <v>9976.9638133872704</v>
      </c>
      <c r="U30" s="44">
        <f t="shared" si="14"/>
        <v>9912.0000838298674</v>
      </c>
      <c r="V30" s="44">
        <f t="shared" si="14"/>
        <v>3339.6816610032315</v>
      </c>
      <c r="W30" s="44">
        <f t="shared" si="14"/>
        <v>-2772.6836737529416</v>
      </c>
      <c r="X30" s="44">
        <f t="shared" si="14"/>
        <v>-2983.2473366608269</v>
      </c>
      <c r="Y30" s="44">
        <f t="shared" si="14"/>
        <v>-3265.1393963940486</v>
      </c>
      <c r="Z30" s="44">
        <f t="shared" si="14"/>
        <v>-3572.6690191228522</v>
      </c>
      <c r="AA30" s="44">
        <f t="shared" si="14"/>
        <v>-3907.2585491086415</v>
      </c>
      <c r="AB30" s="44">
        <f t="shared" si="14"/>
        <v>-4271.7002975893611</v>
      </c>
      <c r="AC30" s="44">
        <f t="shared" si="14"/>
        <v>-4668.2949162637069</v>
      </c>
      <c r="AD30" s="44">
        <f t="shared" si="14"/>
        <v>-5100.6714360886817</v>
      </c>
      <c r="AE30" s="44">
        <f t="shared" si="14"/>
        <v>-5570.9473431480237</v>
      </c>
      <c r="AF30" s="44">
        <f t="shared" si="14"/>
        <v>-6155.9033514696457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-862.53904839842517</v>
      </c>
      <c r="C33" s="19">
        <f t="shared" ref="C33:W33" si="15">C30*C32</f>
        <v>-1667.1472330965662</v>
      </c>
      <c r="D33" s="19">
        <f t="shared" si="15"/>
        <v>-1267.7076493608256</v>
      </c>
      <c r="E33" s="19">
        <f t="shared" si="15"/>
        <v>-897.05358261054948</v>
      </c>
      <c r="F33" s="19">
        <f t="shared" si="15"/>
        <v>-547.67778478088383</v>
      </c>
      <c r="G33" s="19">
        <f t="shared" si="15"/>
        <v>-78.739296375658924</v>
      </c>
      <c r="H33" s="19">
        <f t="shared" si="15"/>
        <v>228.61666326595903</v>
      </c>
      <c r="I33" s="19">
        <f t="shared" si="15"/>
        <v>326.21444538526225</v>
      </c>
      <c r="J33" s="19">
        <f t="shared" si="15"/>
        <v>440.01218501326389</v>
      </c>
      <c r="K33" s="19">
        <f t="shared" si="15"/>
        <v>555.8347726979373</v>
      </c>
      <c r="L33" s="19">
        <f t="shared" si="15"/>
        <v>688.93094108026332</v>
      </c>
      <c r="M33" s="19">
        <f t="shared" si="15"/>
        <v>825.85172455082966</v>
      </c>
      <c r="N33" s="19">
        <f t="shared" si="15"/>
        <v>982.38066355146236</v>
      </c>
      <c r="O33" s="19">
        <f t="shared" si="15"/>
        <v>1106.5344867392084</v>
      </c>
      <c r="P33" s="19">
        <f t="shared" si="15"/>
        <v>1235.1529031273094</v>
      </c>
      <c r="Q33" s="19">
        <f t="shared" si="15"/>
        <v>2377.8661982335766</v>
      </c>
      <c r="R33" s="19">
        <f t="shared" si="15"/>
        <v>3507.8801663994795</v>
      </c>
      <c r="S33" s="19">
        <f t="shared" si="15"/>
        <v>3514.0477886968492</v>
      </c>
      <c r="T33" s="19">
        <f t="shared" si="15"/>
        <v>3491.9373346855446</v>
      </c>
      <c r="U33" s="19">
        <f t="shared" si="15"/>
        <v>3469.2000293404535</v>
      </c>
      <c r="V33" s="19">
        <f t="shared" si="15"/>
        <v>1168.8885813511311</v>
      </c>
      <c r="W33" s="19">
        <f t="shared" si="15"/>
        <v>-970.43928581352952</v>
      </c>
      <c r="X33" s="19">
        <f t="shared" ref="X33:AF33" si="16">X30*X32</f>
        <v>-1044.1365678312893</v>
      </c>
      <c r="Y33" s="19">
        <f t="shared" si="16"/>
        <v>-1142.798788737917</v>
      </c>
      <c r="Z33" s="19">
        <f t="shared" si="16"/>
        <v>-1250.4341566929982</v>
      </c>
      <c r="AA33" s="19">
        <f t="shared" si="16"/>
        <v>-1367.5404921880245</v>
      </c>
      <c r="AB33" s="19">
        <f t="shared" si="16"/>
        <v>-1495.0951041562762</v>
      </c>
      <c r="AC33" s="19">
        <f t="shared" si="16"/>
        <v>-1633.9032206922973</v>
      </c>
      <c r="AD33" s="19">
        <f t="shared" si="16"/>
        <v>-1785.2350026310385</v>
      </c>
      <c r="AE33" s="19">
        <f t="shared" si="16"/>
        <v>-1949.8315701018082</v>
      </c>
      <c r="AF33" s="19">
        <f t="shared" si="16"/>
        <v>-2154.5661730143756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862.53904839842517</v>
      </c>
      <c r="D35" s="19">
        <f t="shared" si="17"/>
        <v>2529.6862814949914</v>
      </c>
      <c r="E35" s="19">
        <f t="shared" si="17"/>
        <v>3797.393930855817</v>
      </c>
      <c r="F35" s="19">
        <f t="shared" si="17"/>
        <v>4694.4475134663662</v>
      </c>
      <c r="G35" s="19">
        <f t="shared" si="17"/>
        <v>5242.1252982472497</v>
      </c>
      <c r="H35" s="19">
        <f t="shared" si="17"/>
        <v>5320.864594622909</v>
      </c>
      <c r="I35" s="19">
        <f t="shared" si="17"/>
        <v>5092.2479313569502</v>
      </c>
      <c r="J35" s="19">
        <f t="shared" si="17"/>
        <v>4766.0334859716877</v>
      </c>
      <c r="K35" s="19">
        <f t="shared" si="17"/>
        <v>4326.021300958424</v>
      </c>
      <c r="L35" s="19">
        <f t="shared" si="17"/>
        <v>3770.1865282604867</v>
      </c>
      <c r="M35" s="19">
        <f t="shared" si="17"/>
        <v>3081.2555871802233</v>
      </c>
      <c r="N35" s="19">
        <f t="shared" si="17"/>
        <v>2255.4038626293936</v>
      </c>
      <c r="O35" s="19">
        <f t="shared" si="17"/>
        <v>1273.0231990779312</v>
      </c>
      <c r="P35" s="19">
        <f t="shared" si="17"/>
        <v>166.48871233872273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970.43928581352952</v>
      </c>
      <c r="Y35" s="19">
        <f t="shared" si="18"/>
        <v>2014.5758536448188</v>
      </c>
      <c r="Z35" s="19">
        <f t="shared" si="18"/>
        <v>3157.3746423827361</v>
      </c>
      <c r="AA35" s="19">
        <f t="shared" si="18"/>
        <v>4407.808799075734</v>
      </c>
      <c r="AB35" s="19">
        <f t="shared" si="18"/>
        <v>5775.3492912637585</v>
      </c>
      <c r="AC35" s="19">
        <f t="shared" si="18"/>
        <v>7270.4443954200342</v>
      </c>
      <c r="AD35" s="19">
        <f t="shared" si="18"/>
        <v>8904.3476161123308</v>
      </c>
      <c r="AE35" s="19">
        <f t="shared" si="18"/>
        <v>10689.582618743369</v>
      </c>
      <c r="AF35" s="19">
        <f t="shared" si="18"/>
        <v>12639.414188845178</v>
      </c>
    </row>
    <row r="36" spans="1:32">
      <c r="A36" s="21" t="s">
        <v>75</v>
      </c>
      <c r="B36" s="140">
        <f>IF(B33&lt;0,-B33,0)</f>
        <v>862.53904839842517</v>
      </c>
      <c r="C36" s="140">
        <f t="shared" ref="C36:AF36" si="19">IF(C33&lt;0,-C33,0)</f>
        <v>1667.1472330965662</v>
      </c>
      <c r="D36" s="140">
        <f t="shared" si="19"/>
        <v>1267.7076493608256</v>
      </c>
      <c r="E36" s="140">
        <f t="shared" si="19"/>
        <v>897.05358261054948</v>
      </c>
      <c r="F36" s="140">
        <f t="shared" si="19"/>
        <v>547.67778478088383</v>
      </c>
      <c r="G36" s="140">
        <f t="shared" si="19"/>
        <v>78.739296375658924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970.43928581352952</v>
      </c>
      <c r="X36" s="140">
        <f t="shared" si="19"/>
        <v>1044.1365678312893</v>
      </c>
      <c r="Y36" s="140">
        <f t="shared" si="19"/>
        <v>1142.798788737917</v>
      </c>
      <c r="Z36" s="140">
        <f t="shared" si="19"/>
        <v>1250.4341566929982</v>
      </c>
      <c r="AA36" s="140">
        <f t="shared" si="19"/>
        <v>1367.5404921880245</v>
      </c>
      <c r="AB36" s="140">
        <f t="shared" si="19"/>
        <v>1495.0951041562762</v>
      </c>
      <c r="AC36" s="140">
        <f t="shared" si="19"/>
        <v>1633.9032206922973</v>
      </c>
      <c r="AD36" s="140">
        <f t="shared" si="19"/>
        <v>1785.2350026310385</v>
      </c>
      <c r="AE36" s="140">
        <f t="shared" si="19"/>
        <v>1949.8315701018082</v>
      </c>
      <c r="AF36" s="140">
        <f t="shared" si="19"/>
        <v>2154.5661730143756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-228.61666326595903</v>
      </c>
      <c r="I38" s="133">
        <f t="shared" si="21"/>
        <v>-326.21444538526225</v>
      </c>
      <c r="J38" s="133">
        <f t="shared" si="21"/>
        <v>-440.01218501326389</v>
      </c>
      <c r="K38" s="133">
        <f t="shared" si="21"/>
        <v>-555.8347726979373</v>
      </c>
      <c r="L38" s="133">
        <f t="shared" si="21"/>
        <v>-688.93094108026332</v>
      </c>
      <c r="M38" s="133">
        <f t="shared" si="21"/>
        <v>-825.85172455082966</v>
      </c>
      <c r="N38" s="133">
        <f t="shared" si="21"/>
        <v>-982.38066355146236</v>
      </c>
      <c r="O38" s="133">
        <f t="shared" si="21"/>
        <v>-1106.5344867392084</v>
      </c>
      <c r="P38" s="133">
        <f t="shared" si="21"/>
        <v>-166.48871233872273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862.53904839842517</v>
      </c>
      <c r="C39" s="133">
        <f t="shared" si="23"/>
        <v>2529.6862814949914</v>
      </c>
      <c r="D39" s="133">
        <f t="shared" si="23"/>
        <v>3797.393930855817</v>
      </c>
      <c r="E39" s="133">
        <f t="shared" si="23"/>
        <v>4694.4475134663662</v>
      </c>
      <c r="F39" s="133">
        <f t="shared" si="23"/>
        <v>5242.1252982472497</v>
      </c>
      <c r="G39" s="133">
        <f t="shared" si="23"/>
        <v>5320.864594622909</v>
      </c>
      <c r="H39" s="133">
        <f t="shared" si="23"/>
        <v>5092.2479313569502</v>
      </c>
      <c r="I39" s="133">
        <f t="shared" si="23"/>
        <v>4766.0334859716877</v>
      </c>
      <c r="J39" s="133">
        <f t="shared" si="23"/>
        <v>4326.021300958424</v>
      </c>
      <c r="K39" s="133">
        <f t="shared" si="23"/>
        <v>3770.1865282604867</v>
      </c>
      <c r="L39" s="133">
        <f t="shared" si="23"/>
        <v>3081.2555871802233</v>
      </c>
      <c r="M39" s="133">
        <f t="shared" si="23"/>
        <v>2255.4038626293936</v>
      </c>
      <c r="N39" s="133">
        <f t="shared" si="23"/>
        <v>1273.0231990779312</v>
      </c>
      <c r="O39" s="133">
        <f t="shared" si="23"/>
        <v>166.48871233872273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970.43928581352952</v>
      </c>
      <c r="X39" s="133">
        <f t="shared" si="23"/>
        <v>2014.5758536448188</v>
      </c>
      <c r="Y39" s="133">
        <f t="shared" si="23"/>
        <v>3157.3746423827361</v>
      </c>
      <c r="Z39" s="133">
        <f t="shared" si="23"/>
        <v>4407.808799075734</v>
      </c>
      <c r="AA39" s="133">
        <f t="shared" si="23"/>
        <v>5775.3492912637585</v>
      </c>
      <c r="AB39" s="133">
        <f t="shared" si="23"/>
        <v>7270.4443954200342</v>
      </c>
      <c r="AC39" s="133">
        <f t="shared" si="23"/>
        <v>8904.3476161123308</v>
      </c>
      <c r="AD39" s="133">
        <f t="shared" si="23"/>
        <v>10689.582618743369</v>
      </c>
      <c r="AE39" s="133">
        <f t="shared" si="23"/>
        <v>12639.414188845178</v>
      </c>
      <c r="AF39" s="133">
        <f t="shared" si="23"/>
        <v>14793.980361859554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1068.6641907885867</v>
      </c>
      <c r="Q41" s="137">
        <f t="shared" si="24"/>
        <v>2377.8661982335766</v>
      </c>
      <c r="R41" s="137">
        <f t="shared" si="24"/>
        <v>3507.8801663994795</v>
      </c>
      <c r="S41" s="137">
        <f t="shared" si="24"/>
        <v>3514.0477886968492</v>
      </c>
      <c r="T41" s="137">
        <f t="shared" si="24"/>
        <v>3491.9373346855446</v>
      </c>
      <c r="U41" s="137">
        <f t="shared" si="24"/>
        <v>3469.2000293404535</v>
      </c>
      <c r="V41" s="137">
        <f t="shared" si="24"/>
        <v>1168.8885813511311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C1" zoomScale="75" zoomScaleNormal="75" workbookViewId="0">
      <selection activeCell="H34" sqref="H3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357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f>Assumptions!H16</f>
        <v>7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0.12</v>
      </c>
      <c r="D15" s="241">
        <f>D59*Assumptions!H12</f>
        <v>57041.798429326831</v>
      </c>
      <c r="E15" s="242">
        <f t="shared" ref="E15:E33" si="0">C15*$C$6</f>
        <v>3262.68</v>
      </c>
      <c r="F15" s="242">
        <f t="shared" ref="F15:F33" si="1">+E15+D15</f>
        <v>60304.478429326831</v>
      </c>
      <c r="G15" s="242">
        <f>F15+H15</f>
        <v>60304.478429326831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0.12</v>
      </c>
      <c r="D16" s="241">
        <v>0</v>
      </c>
      <c r="E16" s="242">
        <f t="shared" si="0"/>
        <v>3262.68</v>
      </c>
      <c r="F16" s="242">
        <f t="shared" si="1"/>
        <v>3262.68</v>
      </c>
      <c r="G16" s="242">
        <f t="shared" ref="G16:G33" si="3">F16+G15+H16</f>
        <v>63994.31515153456</v>
      </c>
      <c r="H16" s="242">
        <f>IF(A16&gt;$C$7+1,0,G15*(B16-B15)*$D$8)</f>
        <v>427.15672220773178</v>
      </c>
      <c r="I16" s="242">
        <f>IF(A16&lt;=$C$7+1,H16+I15,I15)</f>
        <v>427.15672220773178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0.1</v>
      </c>
      <c r="D17" s="241">
        <v>0</v>
      </c>
      <c r="E17" s="242">
        <f t="shared" si="0"/>
        <v>2718.9</v>
      </c>
      <c r="F17" s="242">
        <f t="shared" si="1"/>
        <v>2718.9</v>
      </c>
      <c r="G17" s="242">
        <f t="shared" si="3"/>
        <v>67181.617986046491</v>
      </c>
      <c r="H17" s="242">
        <f t="shared" ref="H17:H33" si="4">IF(A17&gt;$C$7+1,0,G16*(B17-B16)*$D$8)</f>
        <v>468.40283451192659</v>
      </c>
      <c r="I17" s="242">
        <f t="shared" ref="I17:I33" si="5">IF(A17&lt;=$C$7+1,H17+I16,I16)</f>
        <v>895.5595567196583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0.13</v>
      </c>
      <c r="D18" s="241">
        <v>0</v>
      </c>
      <c r="E18" s="242">
        <f t="shared" si="0"/>
        <v>3534.57</v>
      </c>
      <c r="F18" s="242">
        <f t="shared" si="1"/>
        <v>3534.57</v>
      </c>
      <c r="G18" s="242">
        <f t="shared" si="3"/>
        <v>71192.057780114323</v>
      </c>
      <c r="H18" s="242">
        <f t="shared" si="4"/>
        <v>475.86979406782933</v>
      </c>
      <c r="I18" s="242">
        <f t="shared" si="5"/>
        <v>1371.4293507874877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0.13</v>
      </c>
      <c r="D19" s="241">
        <v>0</v>
      </c>
      <c r="E19" s="242">
        <f t="shared" si="0"/>
        <v>3534.57</v>
      </c>
      <c r="F19" s="242">
        <f t="shared" si="1"/>
        <v>3534.57</v>
      </c>
      <c r="G19" s="242">
        <f t="shared" si="3"/>
        <v>75247.71409192156</v>
      </c>
      <c r="H19" s="242">
        <f t="shared" si="4"/>
        <v>521.08631180722568</v>
      </c>
      <c r="I19" s="242">
        <f t="shared" si="5"/>
        <v>1892.5156625947134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78789.275554788808</v>
      </c>
      <c r="H20" s="242">
        <f t="shared" si="4"/>
        <v>550.77146286725917</v>
      </c>
      <c r="I20" s="242">
        <f t="shared" si="5"/>
        <v>2443.2871254619727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0.14000000000000001</v>
      </c>
      <c r="D21" s="241">
        <v>0</v>
      </c>
      <c r="E21" s="242">
        <f t="shared" si="0"/>
        <v>3806.4600000000005</v>
      </c>
      <c r="F21" s="242">
        <f t="shared" si="1"/>
        <v>3806.4600000000005</v>
      </c>
      <c r="G21" s="242">
        <f t="shared" si="3"/>
        <v>83153.826256635235</v>
      </c>
      <c r="H21" s="242">
        <f t="shared" si="4"/>
        <v>558.09070184642076</v>
      </c>
      <c r="I21" s="242">
        <f t="shared" si="5"/>
        <v>3001.3778273083935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0.15</v>
      </c>
      <c r="D22" s="241">
        <v>0</v>
      </c>
      <c r="E22" s="242">
        <f t="shared" si="0"/>
        <v>4078.35</v>
      </c>
      <c r="F22" s="242">
        <f t="shared" si="1"/>
        <v>4078.35</v>
      </c>
      <c r="G22" s="242">
        <f t="shared" si="3"/>
        <v>87840.816068263666</v>
      </c>
      <c r="H22" s="242">
        <f t="shared" si="4"/>
        <v>608.63981162842742</v>
      </c>
      <c r="I22" s="242">
        <f t="shared" si="5"/>
        <v>3610.0176389368207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</v>
      </c>
      <c r="D23" s="241">
        <v>0</v>
      </c>
      <c r="E23" s="242">
        <f t="shared" si="0"/>
        <v>0</v>
      </c>
      <c r="F23" s="242">
        <f t="shared" si="1"/>
        <v>0</v>
      </c>
      <c r="G23" s="242">
        <f t="shared" si="3"/>
        <v>87840.816068263666</v>
      </c>
      <c r="H23" s="242">
        <f t="shared" si="4"/>
        <v>0</v>
      </c>
      <c r="I23" s="242">
        <f t="shared" si="5"/>
        <v>3610.0176389368207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</v>
      </c>
      <c r="D24" s="241">
        <v>0</v>
      </c>
      <c r="E24" s="242">
        <f t="shared" si="0"/>
        <v>0</v>
      </c>
      <c r="F24" s="242">
        <f t="shared" si="1"/>
        <v>0</v>
      </c>
      <c r="G24" s="242">
        <f t="shared" si="3"/>
        <v>87840.816068263666</v>
      </c>
      <c r="H24" s="242">
        <f t="shared" si="4"/>
        <v>0</v>
      </c>
      <c r="I24" s="242">
        <f t="shared" si="5"/>
        <v>3610.0176389368207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</v>
      </c>
      <c r="D25" s="241">
        <v>0</v>
      </c>
      <c r="E25" s="242">
        <f t="shared" si="0"/>
        <v>0</v>
      </c>
      <c r="F25" s="242">
        <f t="shared" si="1"/>
        <v>0</v>
      </c>
      <c r="G25" s="242">
        <f t="shared" si="3"/>
        <v>87840.816068263666</v>
      </c>
      <c r="H25" s="242">
        <f t="shared" si="4"/>
        <v>0</v>
      </c>
      <c r="I25" s="242">
        <f t="shared" si="5"/>
        <v>3610.0176389368207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</v>
      </c>
      <c r="D26" s="241">
        <v>0</v>
      </c>
      <c r="E26" s="242">
        <f t="shared" si="0"/>
        <v>0</v>
      </c>
      <c r="F26" s="242">
        <f t="shared" si="1"/>
        <v>0</v>
      </c>
      <c r="G26" s="242">
        <f t="shared" si="3"/>
        <v>87840.816068263666</v>
      </c>
      <c r="H26" s="242">
        <f t="shared" si="4"/>
        <v>0</v>
      </c>
      <c r="I26" s="242">
        <f t="shared" si="5"/>
        <v>3610.0176389368207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</v>
      </c>
      <c r="D27" s="241">
        <v>0</v>
      </c>
      <c r="E27" s="242">
        <f t="shared" si="0"/>
        <v>0</v>
      </c>
      <c r="F27" s="242">
        <f t="shared" si="1"/>
        <v>0</v>
      </c>
      <c r="G27" s="242">
        <f t="shared" si="3"/>
        <v>87840.816068263666</v>
      </c>
      <c r="H27" s="242">
        <f t="shared" si="4"/>
        <v>0</v>
      </c>
      <c r="I27" s="242">
        <f t="shared" si="5"/>
        <v>3610.0176389368207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</v>
      </c>
      <c r="D28" s="241">
        <v>0</v>
      </c>
      <c r="E28" s="242">
        <f t="shared" si="0"/>
        <v>0</v>
      </c>
      <c r="F28" s="242">
        <f t="shared" si="1"/>
        <v>0</v>
      </c>
      <c r="G28" s="242">
        <f t="shared" si="3"/>
        <v>87840.816068263666</v>
      </c>
      <c r="H28" s="242">
        <f t="shared" si="4"/>
        <v>0</v>
      </c>
      <c r="I28" s="242">
        <f t="shared" si="5"/>
        <v>3610.0176389368207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87840.816068263666</v>
      </c>
      <c r="H29" s="242">
        <f t="shared" si="4"/>
        <v>0</v>
      </c>
      <c r="I29" s="242">
        <f t="shared" si="5"/>
        <v>3610.0176389368207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87840.816068263666</v>
      </c>
      <c r="H30" s="242">
        <f t="shared" si="4"/>
        <v>0</v>
      </c>
      <c r="I30" s="242">
        <f t="shared" si="5"/>
        <v>3610.0176389368207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87840.816068263666</v>
      </c>
      <c r="H31" s="242">
        <f t="shared" si="4"/>
        <v>0</v>
      </c>
      <c r="I31" s="242">
        <f t="shared" si="5"/>
        <v>3610.0176389368207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87840.816068263666</v>
      </c>
      <c r="H32" s="242">
        <f t="shared" si="4"/>
        <v>0</v>
      </c>
      <c r="I32" s="242">
        <f t="shared" si="5"/>
        <v>3610.0176389368207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87840.816068263666</v>
      </c>
      <c r="H33" s="247">
        <f t="shared" si="4"/>
        <v>0</v>
      </c>
      <c r="I33" s="247">
        <f t="shared" si="5"/>
        <v>3610.0176389368207</v>
      </c>
      <c r="K33" s="447"/>
    </row>
    <row r="34" spans="1:12">
      <c r="C34" s="235">
        <f>SUM(C15:C33)</f>
        <v>1</v>
      </c>
      <c r="D34" s="243">
        <f>SUM(D15:D33)</f>
        <v>57041.798429326831</v>
      </c>
      <c r="E34" s="243">
        <f>SUM(E15:E33)</f>
        <v>27188.999999999996</v>
      </c>
      <c r="F34" s="243">
        <f>SUM(F15:F33)</f>
        <v>84230.798429326853</v>
      </c>
      <c r="G34" s="18"/>
      <c r="H34" s="243">
        <f>SUM(H15:H33)</f>
        <v>3610.0176389368207</v>
      </c>
      <c r="I34" s="243"/>
    </row>
    <row r="38" spans="1:12" ht="18.75">
      <c r="A38" s="61" t="s">
        <v>233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435</v>
      </c>
    </row>
    <row r="40" spans="1:12">
      <c r="F40" s="429"/>
      <c r="G40" s="425" t="s">
        <v>343</v>
      </c>
      <c r="H40" s="425">
        <v>2</v>
      </c>
      <c r="I40" s="425">
        <v>3</v>
      </c>
      <c r="J40" s="548">
        <v>4</v>
      </c>
      <c r="K40" s="425">
        <v>5</v>
      </c>
      <c r="L40" s="426">
        <v>6</v>
      </c>
    </row>
    <row r="41" spans="1:12" ht="13.5" thickBot="1">
      <c r="A41" s="232" t="s">
        <v>344</v>
      </c>
      <c r="B41" s="232" t="s">
        <v>346</v>
      </c>
      <c r="C41" s="232" t="s">
        <v>348</v>
      </c>
      <c r="D41" s="232" t="s">
        <v>232</v>
      </c>
      <c r="F41" s="430" t="s">
        <v>187</v>
      </c>
      <c r="G41" s="427" t="s">
        <v>353</v>
      </c>
      <c r="H41" s="427">
        <v>6</v>
      </c>
      <c r="I41" s="427">
        <v>6.5</v>
      </c>
      <c r="J41" s="549">
        <v>7</v>
      </c>
      <c r="K41" s="427">
        <v>7.5</v>
      </c>
      <c r="L41" s="428">
        <v>8</v>
      </c>
    </row>
    <row r="42" spans="1:12" ht="13.5" thickBot="1">
      <c r="A42" s="232" t="s">
        <v>345</v>
      </c>
      <c r="B42" s="232" t="s">
        <v>347</v>
      </c>
      <c r="C42" s="232" t="s">
        <v>349</v>
      </c>
      <c r="D42" s="232" t="s">
        <v>350</v>
      </c>
      <c r="F42" s="431">
        <v>1</v>
      </c>
      <c r="G42" s="417"/>
      <c r="H42" s="529">
        <v>0.1</v>
      </c>
      <c r="I42" s="529">
        <v>0.1</v>
      </c>
      <c r="J42" s="550">
        <v>0.12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551">
        <v>0.12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551">
        <v>0.1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551">
        <v>0.13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551">
        <v>0.13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551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551">
        <v>0.14000000000000001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551">
        <v>0.15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551">
        <v>0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551">
        <v>0</v>
      </c>
      <c r="K51" s="420">
        <v>0.06</v>
      </c>
      <c r="L51" s="421">
        <v>0.06</v>
      </c>
    </row>
    <row r="52" spans="1:12" ht="13.5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551">
        <v>0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551">
        <v>0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551">
        <v>0</v>
      </c>
      <c r="K54" s="420">
        <v>0.04</v>
      </c>
      <c r="L54" s="421">
        <v>0.04</v>
      </c>
    </row>
    <row r="55" spans="1:12">
      <c r="A55" s="292" t="s">
        <v>351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551">
        <v>0</v>
      </c>
      <c r="K55" s="420">
        <v>0.05</v>
      </c>
      <c r="L55" s="421">
        <v>0.04</v>
      </c>
    </row>
    <row r="56" spans="1:12" ht="13.5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552">
        <v>0</v>
      </c>
      <c r="K56" s="423">
        <v>0</v>
      </c>
      <c r="L56" s="424">
        <v>0.05</v>
      </c>
    </row>
    <row r="57" spans="1:12" ht="13.5" thickBot="1">
      <c r="A57" s="41" t="s">
        <v>236</v>
      </c>
      <c r="B57" s="13"/>
      <c r="C57" s="13"/>
      <c r="D57" s="290">
        <v>289.6162739983738</v>
      </c>
      <c r="F57" s="448" t="s">
        <v>354</v>
      </c>
      <c r="G57" s="422"/>
      <c r="H57" s="423">
        <f>SUM(H42:H56)</f>
        <v>1.0000000000000002</v>
      </c>
      <c r="I57" s="423">
        <f>SUM(I42:I56)</f>
        <v>1.0000000000000002</v>
      </c>
      <c r="J57" s="552">
        <f>SUM(J42:J56)</f>
        <v>1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234</v>
      </c>
      <c r="B58" s="42"/>
      <c r="C58" s="42"/>
      <c r="D58" s="291">
        <v>20.833333333333314</v>
      </c>
      <c r="E58" s="66"/>
    </row>
    <row r="59" spans="1:12" ht="13.5" thickBot="1">
      <c r="A59" s="293" t="s">
        <v>352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126</v>
      </c>
    </row>
    <row r="6" spans="1:4" ht="13.5" thickBot="1"/>
    <row r="7" spans="1:4" ht="13.5" thickBot="1">
      <c r="A7" s="527"/>
      <c r="B7" s="483" t="s">
        <v>417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424</v>
      </c>
    </row>
    <row r="9" spans="1:4" ht="13.5" thickBot="1">
      <c r="A9" s="488" t="s">
        <v>125</v>
      </c>
      <c r="B9" s="489">
        <f>'Returns Analysis'!C39</f>
        <v>7.5710698962211595E-2</v>
      </c>
      <c r="C9" s="490">
        <f>Debt!E69</f>
        <v>1.2999999999999987</v>
      </c>
      <c r="D9" s="491">
        <f>Debt!E68</f>
        <v>1.3000000000000005</v>
      </c>
    </row>
    <row r="10" spans="1:4">
      <c r="A10" s="63"/>
      <c r="C10" s="492"/>
      <c r="D10" s="492"/>
    </row>
    <row r="11" spans="1:4" ht="13.5" thickBot="1"/>
    <row r="12" spans="1:4">
      <c r="A12" s="493" t="s">
        <v>382</v>
      </c>
      <c r="B12" s="494">
        <f>B9</f>
        <v>7.5710698962211595E-2</v>
      </c>
      <c r="C12" s="495">
        <f>C9</f>
        <v>1.2999999999999987</v>
      </c>
      <c r="D12" s="496">
        <f>D9</f>
        <v>1.3000000000000005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51" zoomScale="75" zoomScaleNormal="75" workbookViewId="0">
      <selection activeCell="C2" sqref="C2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2" width="12.85546875" style="12" customWidth="1"/>
    <col min="23" max="23" width="16.2851562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436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327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315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321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330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322</v>
      </c>
      <c r="X10" s="208" t="s">
        <v>260</v>
      </c>
      <c r="Y10" s="208" t="s">
        <v>336</v>
      </c>
      <c r="Z10" s="208" t="s">
        <v>270</v>
      </c>
      <c r="AA10" s="208" t="s">
        <v>270</v>
      </c>
      <c r="AB10" s="367" t="s">
        <v>328</v>
      </c>
    </row>
    <row r="11" spans="1:38" ht="15.75">
      <c r="A11" s="99" t="s">
        <v>9</v>
      </c>
      <c r="B11" s="273">
        <f>C11/C14</f>
        <v>0.27027954306491481</v>
      </c>
      <c r="C11" s="197">
        <f>C58-C12</f>
        <v>27966.315167027205</v>
      </c>
      <c r="D11" s="352">
        <f>C11/$H$68</f>
        <v>147.19113245803791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323</v>
      </c>
      <c r="Y11" s="208"/>
      <c r="Z11" s="208"/>
      <c r="AA11" s="208"/>
      <c r="AB11" s="367" t="s">
        <v>329</v>
      </c>
    </row>
    <row r="12" spans="1:38" ht="15.75">
      <c r="A12" s="99" t="s">
        <v>87</v>
      </c>
      <c r="B12" s="152">
        <f>C12/C14</f>
        <v>0.72972045693508525</v>
      </c>
      <c r="C12" s="197">
        <f>Debt!B19</f>
        <v>75505.500901236432</v>
      </c>
      <c r="D12" s="352">
        <f>C12/$H$68</f>
        <v>397.39737316440227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103471.81606826364</v>
      </c>
      <c r="D14" s="458">
        <f>C14/$H$68</f>
        <v>544.58850562244015</v>
      </c>
      <c r="E14" s="13"/>
      <c r="F14" s="117" t="s">
        <v>385</v>
      </c>
      <c r="G14" s="177"/>
      <c r="H14" s="254">
        <v>10100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432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386</v>
      </c>
      <c r="G15" s="177"/>
      <c r="H15" s="254">
        <v>10200</v>
      </c>
      <c r="I15" s="111"/>
      <c r="J15" s="40"/>
      <c r="L15" s="102" t="s">
        <v>206</v>
      </c>
      <c r="M15" s="13"/>
      <c r="N15" s="539">
        <v>153.19999999999999</v>
      </c>
      <c r="O15" s="225"/>
      <c r="P15" s="265">
        <v>0.59</v>
      </c>
    </row>
    <row r="16" spans="1:38" ht="15.75">
      <c r="A16" s="41"/>
      <c r="B16" s="13"/>
      <c r="C16" s="13"/>
      <c r="D16" s="354"/>
      <c r="E16" s="13"/>
      <c r="F16" s="117" t="s">
        <v>198</v>
      </c>
      <c r="G16" s="13"/>
      <c r="H16" s="223">
        <v>7</v>
      </c>
      <c r="I16" s="13"/>
      <c r="J16" s="40"/>
      <c r="L16" s="105" t="s">
        <v>254</v>
      </c>
      <c r="M16" s="13"/>
      <c r="N16" s="540">
        <v>576.9</v>
      </c>
      <c r="O16" s="301"/>
      <c r="P16" s="302">
        <v>1.64</v>
      </c>
      <c r="U16" s="336"/>
      <c r="V16" s="57" t="s">
        <v>275</v>
      </c>
      <c r="W16" s="337" t="s">
        <v>276</v>
      </c>
    </row>
    <row r="17" spans="1:23" ht="15.75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730.09999999999991</v>
      </c>
      <c r="O17" s="226"/>
      <c r="P17" s="303">
        <f>SUM(P15:P16)</f>
        <v>2.23</v>
      </c>
      <c r="U17" s="55" t="s">
        <v>271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555" t="s">
        <v>449</v>
      </c>
      <c r="U18" s="339" t="s">
        <v>272</v>
      </c>
      <c r="V18" s="58">
        <v>12</v>
      </c>
      <c r="W18" s="299">
        <v>22</v>
      </c>
    </row>
    <row r="19" spans="1:23" ht="15.75">
      <c r="A19" s="99" t="s">
        <v>426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75">
      <c r="A20" s="102" t="s">
        <v>427</v>
      </c>
      <c r="B20" s="169">
        <f t="shared" ref="B20:B33" si="1">C20/$C$58</f>
        <v>0.55127860510048987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309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75">
      <c r="A21" s="102" t="s">
        <v>263</v>
      </c>
      <c r="B21" s="169">
        <f t="shared" si="1"/>
        <v>2.3967879314729197E-3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75">
      <c r="A22" s="102" t="s">
        <v>181</v>
      </c>
      <c r="B22" s="169">
        <f t="shared" si="1"/>
        <v>0.26276720592265002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358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111</v>
      </c>
      <c r="B24" s="169">
        <f t="shared" si="1"/>
        <v>1.0969170573474853E-2</v>
      </c>
      <c r="C24" s="252">
        <v>1135</v>
      </c>
      <c r="D24" s="352">
        <f t="shared" si="2"/>
        <v>5.9736842105263159</v>
      </c>
      <c r="E24" s="13"/>
      <c r="F24" s="330" t="s">
        <v>384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4.6389443834959736E-2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75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341</v>
      </c>
      <c r="B28" s="169">
        <f t="shared" si="1"/>
        <v>5.9436474913542158E-3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326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9479.9583487500004</v>
      </c>
      <c r="O29" s="226">
        <f>N29/$H$68</f>
        <v>49.894517624999999</v>
      </c>
      <c r="P29" s="40"/>
      <c r="R29" s="346"/>
    </row>
    <row r="30" spans="1:23" ht="15.75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685.71428571428567</v>
      </c>
      <c r="O30" s="226">
        <f>N30/$H$68</f>
        <v>3.6090225563909772</v>
      </c>
      <c r="P30" s="556">
        <v>0.02</v>
      </c>
      <c r="R30" s="3"/>
    </row>
    <row r="31" spans="1:23" ht="15.75">
      <c r="A31" s="102" t="s">
        <v>183</v>
      </c>
      <c r="B31" s="169">
        <f t="shared" si="1"/>
        <v>9.6644674656166105E-4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433</v>
      </c>
      <c r="B32" s="169">
        <f t="shared" si="1"/>
        <v>3.9247402377869056E-2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75505.500901236432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1.2563807705301595E-2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434</v>
      </c>
      <c r="M33" s="42"/>
      <c r="N33" s="282">
        <f>IS!C26/IS!C6</f>
        <v>0</v>
      </c>
      <c r="O33" s="227">
        <f>N33/$H$68</f>
        <v>0</v>
      </c>
      <c r="P33" s="81"/>
      <c r="R33" s="3"/>
    </row>
    <row r="34" spans="1:18" ht="16.5" thickBot="1">
      <c r="A34" s="102" t="s">
        <v>109</v>
      </c>
      <c r="B34" s="169">
        <f>SUM(B20:B33)</f>
        <v>0.93252251768413397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-1.5995205634039749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387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176</v>
      </c>
      <c r="B38" s="169">
        <f t="shared" si="3"/>
        <v>0</v>
      </c>
      <c r="C38" s="252">
        <v>0</v>
      </c>
      <c r="D38" s="352">
        <f t="shared" si="4"/>
        <v>0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331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0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180</v>
      </c>
      <c r="B42" s="169">
        <f t="shared" si="3"/>
        <v>9.6644674656166107E-3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177</v>
      </c>
      <c r="B45" s="169">
        <f t="shared" si="3"/>
        <v>1.9328934931233223E-4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221</v>
      </c>
      <c r="B46" s="169">
        <f t="shared" si="3"/>
        <v>3.4888898021806995E-2</v>
      </c>
      <c r="C46" s="200">
        <f>IDC!H34</f>
        <v>3610.0176389368207</v>
      </c>
      <c r="D46" s="352">
        <f t="shared" si="4"/>
        <v>19.000092836509584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279</v>
      </c>
      <c r="B48" s="169">
        <f t="shared" si="3"/>
        <v>2.2730827479130269E-2</v>
      </c>
      <c r="C48" s="200">
        <f>SUM(C22:C33)*N55</f>
        <v>2352</v>
      </c>
      <c r="D48" s="352">
        <f t="shared" si="4"/>
        <v>12.378947368421052</v>
      </c>
      <c r="E48" s="64"/>
      <c r="F48" s="104" t="s">
        <v>13</v>
      </c>
      <c r="G48" s="274">
        <f>1-G47</f>
        <v>1</v>
      </c>
      <c r="H48" s="146">
        <f>G48*C11</f>
        <v>27966.315167027205</v>
      </c>
      <c r="I48" s="42"/>
      <c r="J48" s="81"/>
      <c r="L48" s="94" t="s">
        <v>388</v>
      </c>
      <c r="M48" s="115"/>
      <c r="N48" s="284"/>
      <c r="O48" s="285"/>
      <c r="P48" s="369"/>
    </row>
    <row r="49" spans="1:16" ht="16.5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109</v>
      </c>
      <c r="B50" s="169">
        <f>SUM(B37:B49)</f>
        <v>6.7477482315866213E-2</v>
      </c>
      <c r="C50" s="200">
        <f>SUM(C37:C49)</f>
        <v>6982.0176389368207</v>
      </c>
      <c r="D50" s="352">
        <f t="shared" si="4"/>
        <v>36.747461257562215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75">
      <c r="A52" s="99" t="s">
        <v>102</v>
      </c>
      <c r="B52" s="13"/>
      <c r="C52" s="200"/>
      <c r="D52" s="354"/>
      <c r="E52" s="85"/>
      <c r="F52" s="105" t="s">
        <v>310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75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312</v>
      </c>
      <c r="G53" s="13"/>
      <c r="H53" s="256">
        <v>20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75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423</v>
      </c>
      <c r="G54" s="13"/>
      <c r="H54" s="554">
        <v>5.81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0.06</v>
      </c>
      <c r="O55" s="371" t="s">
        <v>239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313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312</v>
      </c>
      <c r="G57" s="13"/>
      <c r="H57" s="279">
        <f>H19-H53</f>
        <v>0</v>
      </c>
      <c r="I57" s="111"/>
      <c r="J57" s="40"/>
    </row>
    <row r="58" spans="1:16" ht="16.5" thickBot="1">
      <c r="A58" s="188" t="s">
        <v>104</v>
      </c>
      <c r="B58" s="184">
        <f>B56+B50+B34</f>
        <v>1.0000000000000002</v>
      </c>
      <c r="C58" s="201">
        <f>C56+C50+C34</f>
        <v>103471.81606826364</v>
      </c>
      <c r="D58" s="356">
        <f>C58/$H$68</f>
        <v>544.58850562244015</v>
      </c>
      <c r="E58" s="13"/>
      <c r="F58" s="102" t="s">
        <v>423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431</v>
      </c>
      <c r="G60" s="98"/>
      <c r="H60" s="155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277</v>
      </c>
      <c r="B62" s="348"/>
      <c r="C62" s="349">
        <f>D58</f>
        <v>544.58850562244015</v>
      </c>
      <c r="D62" s="40"/>
      <c r="E62" s="13"/>
      <c r="F62" s="104" t="s">
        <v>448</v>
      </c>
      <c r="G62" s="42"/>
      <c r="H62" s="281">
        <f>H68*H72</f>
        <v>285000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1.3000000000000005</v>
      </c>
      <c r="D65" s="357">
        <f>Debt!E69</f>
        <v>1.2999999999999987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75">
      <c r="A67" s="105" t="s">
        <v>342</v>
      </c>
      <c r="B67" s="13"/>
      <c r="C67" s="13"/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75">
      <c r="A68" s="102" t="s">
        <v>383</v>
      </c>
      <c r="B68" s="98"/>
      <c r="C68" s="147">
        <f>'Returns Analysis'!C39</f>
        <v>7.5710698962211595E-2</v>
      </c>
      <c r="D68" s="40"/>
      <c r="E68" s="13"/>
      <c r="F68" s="119" t="s">
        <v>316</v>
      </c>
      <c r="G68" s="43"/>
      <c r="H68" s="364">
        <f>SUM(H66:H67)</f>
        <v>190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5.7818046212196356E-2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553">
        <f>'Returns Analysis'!C53</f>
        <v>8.9868888258934021E-2</v>
      </c>
      <c r="D70" s="103"/>
      <c r="E70" s="13"/>
      <c r="F70" s="102" t="s">
        <v>359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9.8751252889633212E-2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178</v>
      </c>
      <c r="G72" s="42"/>
      <c r="H72" s="263">
        <v>1500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IS!C32</f>
        <v>6659.9666666666617</v>
      </c>
      <c r="C74" s="112">
        <f>IS!D32</f>
        <v>11660.479999999998</v>
      </c>
      <c r="D74" s="167">
        <f>IS!E32</f>
        <v>11616.9704</v>
      </c>
      <c r="E74" s="98"/>
    </row>
    <row r="75" spans="1:10" ht="15.75">
      <c r="A75" s="102" t="s">
        <v>100</v>
      </c>
      <c r="B75" s="112">
        <f>IS!C45</f>
        <v>476.85785498298725</v>
      </c>
      <c r="C75" s="112">
        <f>IS!D45</f>
        <v>1053.7705874140368</v>
      </c>
      <c r="D75" s="167">
        <f>IS!E45</f>
        <v>1168.8115925973161</v>
      </c>
      <c r="E75" s="98"/>
    </row>
    <row r="76" spans="1:10" ht="15.75">
      <c r="A76" s="102" t="s">
        <v>101</v>
      </c>
      <c r="B76" s="112">
        <f>'Returns Analysis'!C13</f>
        <v>4516.2512817362804</v>
      </c>
      <c r="C76" s="112">
        <f>'Returns Analysis'!D13</f>
        <v>5366.0051414325262</v>
      </c>
      <c r="D76" s="167">
        <f>'Returns Analysis'!E13</f>
        <v>5549.9343547299895</v>
      </c>
      <c r="E76" s="13"/>
    </row>
    <row r="77" spans="1:10" ht="16.5" thickBot="1">
      <c r="A77" s="104" t="s">
        <v>372</v>
      </c>
      <c r="B77" s="113">
        <f>'Returns Analysis'!C21</f>
        <v>3725.6368243649995</v>
      </c>
      <c r="C77" s="113">
        <f>'Returns Analysis'!D21</f>
        <v>2738.4149986065731</v>
      </c>
      <c r="D77" s="194">
        <f>'Returns Analysis'!E21</f>
        <v>2672.4950162276027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J21" sqref="J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409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422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311</v>
      </c>
      <c r="C12" s="13"/>
      <c r="D12" s="499">
        <f>Assumptions!$H$54</f>
        <v>5.81</v>
      </c>
      <c r="E12" s="499">
        <f>Assumptions!$H$54</f>
        <v>5.81</v>
      </c>
      <c r="F12" s="499">
        <f>Assumptions!$H$54</f>
        <v>5.81</v>
      </c>
      <c r="G12" s="499">
        <f>Assumptions!$H$54</f>
        <v>5.81</v>
      </c>
      <c r="H12" s="499">
        <f>Assumptions!$H$54</f>
        <v>5.81</v>
      </c>
      <c r="I12" s="499">
        <f>Assumptions!$H$54</f>
        <v>5.81</v>
      </c>
      <c r="J12" s="499">
        <f>Assumptions!$H$54</f>
        <v>5.81</v>
      </c>
      <c r="K12" s="499">
        <f>Assumptions!$H$54</f>
        <v>5.81</v>
      </c>
      <c r="L12" s="499">
        <f>Assumptions!$H$54</f>
        <v>5.81</v>
      </c>
      <c r="M12" s="499">
        <f>Assumptions!$H$54</f>
        <v>5.81</v>
      </c>
      <c r="N12" s="499">
        <f>Assumptions!$H$54</f>
        <v>5.81</v>
      </c>
      <c r="O12" s="499">
        <f>Assumptions!$H$54</f>
        <v>5.81</v>
      </c>
      <c r="P12" s="499">
        <f>Assumptions!$H$54</f>
        <v>5.81</v>
      </c>
      <c r="Q12" s="499">
        <f>Assumptions!$H$54</f>
        <v>5.81</v>
      </c>
      <c r="R12" s="499">
        <f>Assumptions!$H$54</f>
        <v>5.81</v>
      </c>
      <c r="S12" s="499">
        <f>Assumptions!$H$54</f>
        <v>5.81</v>
      </c>
      <c r="T12" s="499">
        <f>Assumptions!$H$54</f>
        <v>5.81</v>
      </c>
      <c r="U12" s="499">
        <f>Assumptions!$H$54</f>
        <v>5.81</v>
      </c>
      <c r="V12" s="499">
        <f>Assumptions!$H$54</f>
        <v>5.81</v>
      </c>
      <c r="W12" s="499">
        <f>Assumptions!$H$54</f>
        <v>5.81</v>
      </c>
      <c r="X12" s="499">
        <f>Assumptions!$H$54</f>
        <v>5.81</v>
      </c>
      <c r="Y12" s="499">
        <f>Assumptions!$H$54</f>
        <v>5.81</v>
      </c>
      <c r="Z12" s="499">
        <f>Assumptions!$H$54</f>
        <v>5.81</v>
      </c>
      <c r="AA12" s="499">
        <f>Assumptions!$H$54</f>
        <v>5.81</v>
      </c>
      <c r="AB12" s="499">
        <f>Assumptions!$H$54</f>
        <v>5.81</v>
      </c>
      <c r="AC12" s="499">
        <f>Assumptions!$H$54</f>
        <v>5.81</v>
      </c>
      <c r="AD12" s="499">
        <f>Assumptions!$H$54</f>
        <v>5.81</v>
      </c>
      <c r="AE12" s="499">
        <f>Assumptions!$H$54</f>
        <v>5.81</v>
      </c>
      <c r="AF12" s="499">
        <f>Assumptions!$H$54</f>
        <v>5.81</v>
      </c>
      <c r="AG12" s="499">
        <f>Assumptions!$H$54</f>
        <v>5.81</v>
      </c>
      <c r="AH12" s="499">
        <f>Assumptions!$H$54</f>
        <v>5.81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320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314</v>
      </c>
      <c r="C21" s="505"/>
      <c r="D21" s="510">
        <f>IF(AND(C7&lt;$D$7+Assumptions!$H$53,D7&lt;$D$7+Assumptions!$H$53),D12,IF(AND(C7&lt;$D$7+Assumptions!$H$53,D7&gt;$D$7+Assumptions!$H$53),D12*(1-$D$7)+D19*$D$7,D19))</f>
        <v>5.81</v>
      </c>
      <c r="E21" s="511">
        <f>IF(AND(D7&lt;$D$7+Assumptions!$H$53,E7&lt;$D$7+Assumptions!$H$53),E12,IF(AND(D7&lt;$D$7+Assumptions!$H$53,E7&gt;=$D$7+Assumptions!$H$53),E12*(1-$D$7)+E19*$D$7,E19))</f>
        <v>5.81</v>
      </c>
      <c r="F21" s="511">
        <f>IF(AND(E7&lt;$D$7+Assumptions!$H$53,F7&lt;$D$7+Assumptions!$H$53),F12,IF(AND(E7&lt;$D$7+Assumptions!$H$53,F7&gt;=$D$7+Assumptions!$H$53),F12*(1-$D$7)+F19*$D$7,F19))</f>
        <v>5.81</v>
      </c>
      <c r="G21" s="511">
        <f>IF(AND(F7&lt;$D$7+Assumptions!$H$53,G7&lt;$D$7+Assumptions!$H$53),G12,IF(AND(F7&lt;$D$7+Assumptions!$H$53,G7&gt;=$D$7+Assumptions!$H$53),G12*(1-$D$7)+G19*$D$7,G19))</f>
        <v>5.81</v>
      </c>
      <c r="H21" s="511">
        <f>IF(AND(G7&lt;$D$7+Assumptions!$H$53,H7&lt;$D$7+Assumptions!$H$53),H12,IF(AND(G7&lt;$D$7+Assumptions!$H$53,H7&gt;=$D$7+Assumptions!$H$53),H12*(1-$D$7)+H19*$D$7,H19))</f>
        <v>5.81</v>
      </c>
      <c r="I21" s="511">
        <f>IF(AND(H7&lt;$D$7+Assumptions!$H$53,I7&lt;$D$7+Assumptions!$H$53),I12,IF(AND(H7&lt;$D$7+Assumptions!$H$53,I7&gt;=$D$7+Assumptions!$H$53),I12*(1-$D$7)+I19*$D$7,I19))</f>
        <v>5.81</v>
      </c>
      <c r="J21" s="511">
        <f>IF(AND(I7&lt;$D$7+Assumptions!$H$53,J7&lt;$D$7+Assumptions!$H$53),J12,IF(AND(I7&lt;$D$7+Assumptions!$H$53,J7&gt;=$D$7+Assumptions!$H$53),J12*(1-$D$7)+J19*$D$7,J19))</f>
        <v>5.81</v>
      </c>
      <c r="K21" s="511">
        <f>IF(AND(J7&lt;$D$7+Assumptions!$H$53,K7&lt;$D$7+Assumptions!$H$53),K12,IF(AND(J7&lt;$D$7+Assumptions!$H$53,K7&gt;=$D$7+Assumptions!$H$53),K12*(1-$D$7)+K19*$D$7,K19))</f>
        <v>5.81</v>
      </c>
      <c r="L21" s="511">
        <f>IF(AND(K7&lt;$D$7+Assumptions!$H$53,L7&lt;$D$7+Assumptions!$H$53),L12,IF(AND(K7&lt;$D$7+Assumptions!$H$53,L7&gt;=$D$7+Assumptions!$H$53),L12*(1-$D$7)+L19*$D$7,L19))</f>
        <v>5.81</v>
      </c>
      <c r="M21" s="511">
        <f>IF(AND(L7&lt;$D$7+Assumptions!$H$53,M7&lt;$D$7+Assumptions!$H$53),M12,IF(AND(L7&lt;$D$7+Assumptions!$H$53,M7&gt;=$D$7+Assumptions!$H$53),M12*(1-$D$7)+M19*$D$7,M19))</f>
        <v>5.81</v>
      </c>
      <c r="N21" s="511">
        <f>IF(AND(M7&lt;$D$7+Assumptions!$H$53,N7&lt;$D$7+Assumptions!$H$53),N12,IF(AND(M7&lt;$D$7+Assumptions!$H$53,N7&gt;=$D$7+Assumptions!$H$53),N12*(1-$D$7)+N19*$D$7,N19))</f>
        <v>5.81</v>
      </c>
      <c r="O21" s="511">
        <f>IF(AND(N7&lt;$D$7+Assumptions!$H$53,O7&lt;$D$7+Assumptions!$H$53),O12,IF(AND(N7&lt;$D$7+Assumptions!$H$53,O7&gt;=$D$7+Assumptions!$H$53),O12*(1-$D$7)+O19*$D$7,O19))</f>
        <v>5.81</v>
      </c>
      <c r="P21" s="511">
        <f>IF(AND(O7&lt;$D$7+Assumptions!$H$53,P7&lt;$D$7+Assumptions!$H$53),P12,IF(AND(O7&lt;$D$7+Assumptions!$H$53,P7&gt;=$D$7+Assumptions!$H$53),P12*(1-$D$7)+P19*$D$7,P19))</f>
        <v>5.81</v>
      </c>
      <c r="Q21" s="511">
        <f>IF(AND(P7&lt;$D$7+Assumptions!$H$53,Q7&lt;$D$7+Assumptions!$H$53),Q12,IF(AND(P7&lt;$D$7+Assumptions!$H$53,Q7&gt;=$D$7+Assumptions!$H$53),Q12*(1-$D$7)+Q19*$D$7,Q19))</f>
        <v>5.81</v>
      </c>
      <c r="R21" s="512">
        <f>IF(AND(Q7&lt;$D$7+Assumptions!$H$53,R7&lt;$D$7+Assumptions!$H$53),R12,IF(AND(Q7&lt;$D$7+Assumptions!$H$53,R7&gt;=$D$7+Assumptions!$H$53),R12*(1-$D$7)+R19*$D$7,R19))</f>
        <v>5.81</v>
      </c>
      <c r="S21" s="510">
        <f>IF(AND(R7&lt;$D$7+Assumptions!$H$53,S7&lt;$D$7+Assumptions!$H$53),S12,IF(AND(R7&lt;$D$7+Assumptions!$H$53,S7&gt;=$D$7+Assumptions!$H$53),S12*(1-$D$7)+S19*$D$7,S19))</f>
        <v>5.81</v>
      </c>
      <c r="T21" s="511">
        <f>IF(AND(S7&lt;$D$7+Assumptions!$H$53,T7&lt;$D$7+Assumptions!$H$53),T12,IF(AND(S7&lt;$D$7+Assumptions!$H$53,T7&gt;=$D$7+Assumptions!$H$53),T12*(1-$D$7)+T19*$D$7,T19))</f>
        <v>5.81</v>
      </c>
      <c r="U21" s="511">
        <f>IF(AND(T7&lt;$D$7+Assumptions!$H$53,U7&lt;$D$7+Assumptions!$H$53),U12,IF(AND(T7&lt;$D$7+Assumptions!$H$53,U7&gt;=$D$7+Assumptions!$H$53),U12*(1-$D$7)+U19*$D$7,U19))</f>
        <v>5.81</v>
      </c>
      <c r="V21" s="511">
        <f>IF(AND(U7&lt;$D$7+Assumptions!$H$53,V7&lt;$D$7+Assumptions!$H$53),V12,IF(AND(U7&lt;$D$7+Assumptions!$H$53,V7&gt;=$D$7+Assumptions!$H$53),V12*(1-$D$7)+V19*$D$7,V19))</f>
        <v>5.81</v>
      </c>
      <c r="W21" s="511">
        <f>IF(AND(V7&lt;$D$7+Assumptions!$H$53,W7&lt;$D$7+Assumptions!$H$53),W12,IF(AND(V7&lt;$D$7+Assumptions!$H$53,W7&gt;=$D$7+Assumptions!$H$53),W12*(1-$D$7)+W19*$D$7,W19))</f>
        <v>5.81</v>
      </c>
      <c r="X21" s="511">
        <f>IF(AND(W7&lt;$D$7+Assumptions!$H$53,X7&lt;$D$7+Assumptions!$H$53),X12,IF(AND(W7&lt;$D$7+Assumptions!$H$53,X7&gt;=$D$7+Assumptions!$H$53),X12*(1-$D$7)+X19*$D$7,X19))</f>
        <v>6.5806586950726214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400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33.263011749999997</v>
      </c>
      <c r="E34" s="502">
        <f>E44*'Price_Technical Assumption'!E30/1000</f>
        <v>32.817021000000011</v>
      </c>
      <c r="F34" s="502">
        <f>F44*'Price_Technical Assumption'!F30/1000</f>
        <v>32.932489249999996</v>
      </c>
      <c r="G34" s="502">
        <f>G44*'Price_Technical Assumption'!G30/1000</f>
        <v>33.439004250000004</v>
      </c>
      <c r="H34" s="502">
        <f>H44*'Price_Technical Assumption'!H30/1000</f>
        <v>34.048539249999997</v>
      </c>
      <c r="I34" s="502">
        <f>I44*'Price_Technical Assumption'!I30/1000</f>
        <v>34.696706750000004</v>
      </c>
      <c r="J34" s="502">
        <f>J44*'Price_Technical Assumption'!J30/1000</f>
        <v>35.366336750000002</v>
      </c>
      <c r="K34" s="502">
        <f>K44*'Price_Technical Assumption'!K30/1000</f>
        <v>36.08747675</v>
      </c>
      <c r="L34" s="502">
        <f>L44*'Price_Technical Assumption'!L30/1000</f>
        <v>36.860126750000006</v>
      </c>
      <c r="M34" s="502">
        <f>M44*'Price_Technical Assumption'!M30/1000</f>
        <v>37.684286749999998</v>
      </c>
      <c r="N34" s="502">
        <f>N44*'Price_Technical Assumption'!N30/1000</f>
        <v>38.559956750000005</v>
      </c>
      <c r="O34" s="502">
        <f>O44*'Price_Technical Assumption'!O30/1000</f>
        <v>39.487136749999998</v>
      </c>
      <c r="P34" s="502">
        <f>P44*'Price_Technical Assumption'!P30/1000</f>
        <v>40.465826749999991</v>
      </c>
      <c r="Q34" s="502">
        <f>Q44*'Price_Technical Assumption'!Q30/1000</f>
        <v>41.496026749999999</v>
      </c>
      <c r="R34" s="502">
        <f>R44*'Price_Technical Assumption'!R30/1000</f>
        <v>42.577736750000007</v>
      </c>
      <c r="S34" s="502">
        <f>S44*'Price_Technical Assumption'!S30/1000</f>
        <v>43.710956749999994</v>
      </c>
      <c r="T34" s="502">
        <f>T44*'Price_Technical Assumption'!T30/1000</f>
        <v>44.895686750000003</v>
      </c>
      <c r="U34" s="502">
        <f>U44*'Price_Technical Assumption'!U30/1000</f>
        <v>46.131926749999998</v>
      </c>
      <c r="V34" s="502">
        <f>V44*'Price_Technical Assumption'!V30/1000</f>
        <v>47.419676750000001</v>
      </c>
      <c r="W34" s="502">
        <f>W44*'Price_Technical Assumption'!W30/1000</f>
        <v>48.605168668750004</v>
      </c>
      <c r="X34" s="502">
        <f>X44*'Price_Technical Assumption'!X30/1000</f>
        <v>49.820297885468747</v>
      </c>
      <c r="Y34" s="502">
        <f>Y44*'Price_Technical Assumption'!Y30/1000</f>
        <v>22.664400000000001</v>
      </c>
      <c r="Z34" s="502">
        <f>Z44*'Price_Technical Assumption'!Z30/1000</f>
        <v>22.664400000000001</v>
      </c>
      <c r="AA34" s="502">
        <f>AA44*'Price_Technical Assumption'!AA30/1000</f>
        <v>22.664400000000001</v>
      </c>
      <c r="AB34" s="502">
        <f>AB44*'Price_Technical Assumption'!AB30/1000</f>
        <v>22.664400000000001</v>
      </c>
      <c r="AC34" s="502">
        <f>AC44*'Price_Technical Assumption'!AC30/1000</f>
        <v>22.664400000000001</v>
      </c>
      <c r="AD34" s="502">
        <f>AD44*'Price_Technical Assumption'!AD30/1000</f>
        <v>22.664400000000001</v>
      </c>
      <c r="AE34" s="502">
        <f>AE44*'Price_Technical Assumption'!AE30/1000</f>
        <v>22.664400000000001</v>
      </c>
      <c r="AF34" s="502">
        <f>AF44*'Price_Technical Assumption'!AF30/1000</f>
        <v>22.664400000000001</v>
      </c>
      <c r="AG34" s="502">
        <f>AG44*'Price_Technical Assumption'!AG30/1000</f>
        <v>22.664400000000001</v>
      </c>
      <c r="AH34" s="502">
        <f>AH44*'Price_Technical Assumption'!AH30/1000</f>
        <v>22.664400000000001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419</v>
      </c>
      <c r="C35" s="482"/>
      <c r="D35" s="519">
        <f>Assumptions!$H$60*(1+Assumptions!$N$11)^(D7)</f>
        <v>2.2687844877166952</v>
      </c>
      <c r="E35" s="519">
        <f>Assumptions!$H$60*(1+Assumptions!$N$11)^(E7)</f>
        <v>2.3368480223481964</v>
      </c>
      <c r="F35" s="519">
        <f>Assumptions!$H$60*(1+Assumptions!$N$11)^(F7)</f>
        <v>2.4069534630186422</v>
      </c>
      <c r="G35" s="519">
        <f>Assumptions!$H$60*(1+Assumptions!$N$11)^(G7)</f>
        <v>2.4791620669092014</v>
      </c>
      <c r="H35" s="519">
        <f>Assumptions!$H$60*(1+Assumptions!$N$11)^(H7)</f>
        <v>2.5535369289164778</v>
      </c>
      <c r="I35" s="519">
        <f>Assumptions!$H$60*(1+Assumptions!$N$11)^(I7)</f>
        <v>2.6301430367839718</v>
      </c>
      <c r="J35" s="519">
        <f>Assumptions!$H$60*(1+Assumptions!$N$11)^(J7)</f>
        <v>2.7090473278874914</v>
      </c>
      <c r="K35" s="519">
        <f>Assumptions!$H$60*(1+Assumptions!$N$11)^(K7)</f>
        <v>2.790318747724116</v>
      </c>
      <c r="L35" s="519">
        <f>Assumptions!$H$60*(1+Assumptions!$N$11)^(L7)</f>
        <v>2.8740283101558397</v>
      </c>
      <c r="M35" s="519">
        <f>Assumptions!$H$60*(1+Assumptions!$N$11)^(M7)</f>
        <v>2.9602491594605151</v>
      </c>
      <c r="N35" s="519">
        <f>Assumptions!$H$60*(1+Assumptions!$N$11)^(N7)</f>
        <v>3.0490566342443306</v>
      </c>
      <c r="O35" s="519">
        <f>Assumptions!$H$60*(1+Assumptions!$N$11)^(O7)</f>
        <v>3.1405283332716607</v>
      </c>
      <c r="P35" s="519">
        <f>Assumptions!$H$60*(1+Assumptions!$N$11)^(P7)</f>
        <v>3.2347441832698105</v>
      </c>
      <c r="Q35" s="519">
        <f>Assumptions!$H$60*(1+Assumptions!$N$11)^(Q7)</f>
        <v>3.3317865087679044</v>
      </c>
      <c r="R35" s="519">
        <f>Assumptions!$H$60*(1+Assumptions!$N$11)^(R7)</f>
        <v>3.4317401040309417</v>
      </c>
      <c r="S35" s="519">
        <f>Assumptions!$H$60*(1+Assumptions!$N$11)^(S7)</f>
        <v>3.5346923071518703</v>
      </c>
      <c r="T35" s="519">
        <f>Assumptions!$H$60*(1+Assumptions!$N$11)^(T7)</f>
        <v>3.6407330763664265</v>
      </c>
      <c r="U35" s="519">
        <f>Assumptions!$H$60*(1+Assumptions!$N$11)^(U7)</f>
        <v>3.7499550686574197</v>
      </c>
      <c r="V35" s="519">
        <f>Assumptions!$H$60*(1+Assumptions!$N$11)^(V7)</f>
        <v>3.8624537207171423</v>
      </c>
      <c r="W35" s="519">
        <f>Assumptions!$H$60*(1+Assumptions!$N$11)^(W7)</f>
        <v>3.9783273323386568</v>
      </c>
      <c r="X35" s="519">
        <f>Assumptions!$H$60*(1+Assumptions!$N$11)^(X7)</f>
        <v>4.0976771523088162</v>
      </c>
      <c r="Y35" s="519">
        <f>Assumptions!$H$60*(1+Assumptions!$N$11)^(Y7)</f>
        <v>4.2206074668780813</v>
      </c>
      <c r="Z35" s="519">
        <f>Assumptions!$H$60*(1+Assumptions!$N$11)^(Z7)</f>
        <v>4.3472256908844233</v>
      </c>
      <c r="AA35" s="519">
        <f>Assumptions!$H$60*(1+Assumptions!$N$11)^(AA7)</f>
        <v>4.4776424616109569</v>
      </c>
      <c r="AB35" s="519">
        <f>Assumptions!$H$60*(1+Assumptions!$N$11)^(AB7)</f>
        <v>4.6119717354592851</v>
      </c>
      <c r="AC35" s="519">
        <f>Assumptions!$H$60*(1+Assumptions!$N$11)^(AC7)</f>
        <v>4.7503308875230639</v>
      </c>
      <c r="AD35" s="519">
        <f>Assumptions!$H$60*(1+Assumptions!$N$11)^(AD7)</f>
        <v>4.892840814148756</v>
      </c>
      <c r="AE35" s="519">
        <f>Assumptions!$H$60*(1+Assumptions!$N$11)^(AE7)</f>
        <v>5.0396260385732186</v>
      </c>
      <c r="AF35" s="519">
        <f>Assumptions!$H$60*(1+Assumptions!$N$11)^(AF7)</f>
        <v>5.1908148197304156</v>
      </c>
      <c r="AG35" s="519">
        <f>Assumptions!$H$60*(1+Assumptions!$N$11)^(AG7)</f>
        <v>5.3465392643223284</v>
      </c>
      <c r="AH35" s="519">
        <f>Assumptions!$H$60*(1+Assumptions!$N$11)^(AH7)</f>
        <v>5.506935442251998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428</v>
      </c>
      <c r="C36" s="12"/>
      <c r="D36" s="499">
        <f>SUM(D34:D35)</f>
        <v>35.531796237716691</v>
      </c>
      <c r="E36" s="499">
        <f t="shared" ref="E36:AH36" si="5">SUM(E34:E35)</f>
        <v>35.153869022348211</v>
      </c>
      <c r="F36" s="499">
        <f t="shared" si="5"/>
        <v>35.339442713018641</v>
      </c>
      <c r="G36" s="499">
        <f t="shared" si="5"/>
        <v>35.918166316909208</v>
      </c>
      <c r="H36" s="499">
        <f t="shared" si="5"/>
        <v>36.602076178916477</v>
      </c>
      <c r="I36" s="499">
        <f t="shared" si="5"/>
        <v>37.326849786783974</v>
      </c>
      <c r="J36" s="499">
        <f t="shared" si="5"/>
        <v>38.075384077887492</v>
      </c>
      <c r="K36" s="499">
        <f t="shared" si="5"/>
        <v>38.877795497724115</v>
      </c>
      <c r="L36" s="499">
        <f t="shared" si="5"/>
        <v>39.734155060155842</v>
      </c>
      <c r="M36" s="499">
        <f t="shared" si="5"/>
        <v>40.644535909460515</v>
      </c>
      <c r="N36" s="499">
        <f t="shared" si="5"/>
        <v>41.609013384244335</v>
      </c>
      <c r="O36" s="499">
        <f t="shared" si="5"/>
        <v>42.627665083271658</v>
      </c>
      <c r="P36" s="499">
        <f t="shared" si="5"/>
        <v>43.700570933269802</v>
      </c>
      <c r="Q36" s="499">
        <f t="shared" si="5"/>
        <v>44.827813258767904</v>
      </c>
      <c r="R36" s="499">
        <f t="shared" si="5"/>
        <v>46.00947685403095</v>
      </c>
      <c r="S36" s="499">
        <f t="shared" si="5"/>
        <v>47.245649057151866</v>
      </c>
      <c r="T36" s="499">
        <f t="shared" si="5"/>
        <v>48.536419826366426</v>
      </c>
      <c r="U36" s="499">
        <f t="shared" si="5"/>
        <v>49.881881818657419</v>
      </c>
      <c r="V36" s="499">
        <f t="shared" si="5"/>
        <v>51.282130470717142</v>
      </c>
      <c r="W36" s="499">
        <f t="shared" si="5"/>
        <v>52.583496001088662</v>
      </c>
      <c r="X36" s="499">
        <f t="shared" si="5"/>
        <v>53.917975037777566</v>
      </c>
      <c r="Y36" s="499">
        <f t="shared" si="5"/>
        <v>26.885007466878083</v>
      </c>
      <c r="Z36" s="499">
        <f t="shared" si="5"/>
        <v>27.011625690884422</v>
      </c>
      <c r="AA36" s="499">
        <f t="shared" si="5"/>
        <v>27.142042461610956</v>
      </c>
      <c r="AB36" s="499">
        <f t="shared" si="5"/>
        <v>27.276371735459286</v>
      </c>
      <c r="AC36" s="499">
        <f t="shared" si="5"/>
        <v>27.414730887523064</v>
      </c>
      <c r="AD36" s="499">
        <f t="shared" si="5"/>
        <v>27.557240814148756</v>
      </c>
      <c r="AE36" s="499">
        <f t="shared" si="5"/>
        <v>27.704026038573218</v>
      </c>
      <c r="AF36" s="499">
        <f t="shared" si="5"/>
        <v>27.855214819730417</v>
      </c>
      <c r="AG36" s="499">
        <f t="shared" si="5"/>
        <v>28.010939264322328</v>
      </c>
      <c r="AH36" s="499">
        <f t="shared" si="5"/>
        <v>28.171335442251998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35.531796237716691</v>
      </c>
      <c r="E38" s="517">
        <f t="shared" ref="E38:AH38" si="6">IF($A$38="Pass-through",E36,E34)</f>
        <v>35.153869022348211</v>
      </c>
      <c r="F38" s="517">
        <f t="shared" si="6"/>
        <v>35.339442713018641</v>
      </c>
      <c r="G38" s="517">
        <f t="shared" si="6"/>
        <v>35.918166316909208</v>
      </c>
      <c r="H38" s="517">
        <f t="shared" si="6"/>
        <v>36.602076178916477</v>
      </c>
      <c r="I38" s="517">
        <f t="shared" si="6"/>
        <v>37.326849786783974</v>
      </c>
      <c r="J38" s="517">
        <f t="shared" si="6"/>
        <v>38.075384077887492</v>
      </c>
      <c r="K38" s="517">
        <f t="shared" si="6"/>
        <v>38.877795497724115</v>
      </c>
      <c r="L38" s="517">
        <f t="shared" si="6"/>
        <v>39.734155060155842</v>
      </c>
      <c r="M38" s="517">
        <f t="shared" si="6"/>
        <v>40.644535909460515</v>
      </c>
      <c r="N38" s="517">
        <f t="shared" si="6"/>
        <v>41.609013384244335</v>
      </c>
      <c r="O38" s="517">
        <f t="shared" si="6"/>
        <v>42.627665083271658</v>
      </c>
      <c r="P38" s="517">
        <f t="shared" si="6"/>
        <v>43.700570933269802</v>
      </c>
      <c r="Q38" s="517">
        <f t="shared" si="6"/>
        <v>44.827813258767904</v>
      </c>
      <c r="R38" s="518">
        <f t="shared" si="6"/>
        <v>46.00947685403095</v>
      </c>
      <c r="S38" s="516">
        <f t="shared" si="6"/>
        <v>47.245649057151866</v>
      </c>
      <c r="T38" s="517">
        <f t="shared" si="6"/>
        <v>48.536419826366426</v>
      </c>
      <c r="U38" s="517">
        <f t="shared" si="6"/>
        <v>49.881881818657419</v>
      </c>
      <c r="V38" s="517">
        <f t="shared" si="6"/>
        <v>51.282130470717142</v>
      </c>
      <c r="W38" s="517">
        <f t="shared" si="6"/>
        <v>52.583496001088662</v>
      </c>
      <c r="X38" s="517">
        <f t="shared" si="6"/>
        <v>53.917975037777566</v>
      </c>
      <c r="Y38" s="517">
        <f t="shared" si="6"/>
        <v>26.885007466878083</v>
      </c>
      <c r="Z38" s="517">
        <f t="shared" si="6"/>
        <v>27.011625690884422</v>
      </c>
      <c r="AA38" s="517">
        <f t="shared" si="6"/>
        <v>27.142042461610956</v>
      </c>
      <c r="AB38" s="517">
        <f t="shared" si="6"/>
        <v>27.276371735459286</v>
      </c>
      <c r="AC38" s="517">
        <f t="shared" si="6"/>
        <v>27.414730887523064</v>
      </c>
      <c r="AD38" s="517">
        <f t="shared" si="6"/>
        <v>27.557240814148756</v>
      </c>
      <c r="AE38" s="517">
        <f t="shared" si="6"/>
        <v>27.704026038573218</v>
      </c>
      <c r="AF38" s="517">
        <f t="shared" si="6"/>
        <v>27.855214819730417</v>
      </c>
      <c r="AG38" s="517">
        <f t="shared" si="6"/>
        <v>28.010939264322328</v>
      </c>
      <c r="AH38" s="518">
        <f t="shared" si="6"/>
        <v>28.171335442251998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410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411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413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412</v>
      </c>
      <c r="C44" s="12"/>
      <c r="D44" s="521">
        <f>D42*(1+D43)</f>
        <v>10302</v>
      </c>
      <c r="E44" s="522">
        <f t="shared" ref="E44:AH44" si="7">E42*(1+E43)</f>
        <v>10302</v>
      </c>
      <c r="F44" s="522">
        <f t="shared" si="7"/>
        <v>10302</v>
      </c>
      <c r="G44" s="522">
        <f t="shared" si="7"/>
        <v>10302</v>
      </c>
      <c r="H44" s="522">
        <f t="shared" si="7"/>
        <v>10302</v>
      </c>
      <c r="I44" s="522">
        <f t="shared" si="7"/>
        <v>10302</v>
      </c>
      <c r="J44" s="522">
        <f t="shared" si="7"/>
        <v>10302</v>
      </c>
      <c r="K44" s="522">
        <f t="shared" si="7"/>
        <v>10302</v>
      </c>
      <c r="L44" s="522">
        <f t="shared" si="7"/>
        <v>10302</v>
      </c>
      <c r="M44" s="522">
        <f t="shared" si="7"/>
        <v>10302</v>
      </c>
      <c r="N44" s="522">
        <f t="shared" si="7"/>
        <v>10302</v>
      </c>
      <c r="O44" s="522">
        <f t="shared" si="7"/>
        <v>10302</v>
      </c>
      <c r="P44" s="522">
        <f t="shared" si="7"/>
        <v>10302</v>
      </c>
      <c r="Q44" s="522">
        <f t="shared" si="7"/>
        <v>10302</v>
      </c>
      <c r="R44" s="523">
        <f t="shared" si="7"/>
        <v>10302</v>
      </c>
      <c r="S44" s="521">
        <f t="shared" si="7"/>
        <v>10302</v>
      </c>
      <c r="T44" s="522">
        <f t="shared" si="7"/>
        <v>10302</v>
      </c>
      <c r="U44" s="522">
        <f t="shared" si="7"/>
        <v>10302</v>
      </c>
      <c r="V44" s="522">
        <f t="shared" si="7"/>
        <v>10302</v>
      </c>
      <c r="W44" s="522">
        <f t="shared" si="7"/>
        <v>10302</v>
      </c>
      <c r="X44" s="522">
        <f t="shared" si="7"/>
        <v>10302</v>
      </c>
      <c r="Y44" s="522">
        <f t="shared" si="7"/>
        <v>10302</v>
      </c>
      <c r="Z44" s="522">
        <f t="shared" si="7"/>
        <v>10302</v>
      </c>
      <c r="AA44" s="522">
        <f t="shared" si="7"/>
        <v>10302</v>
      </c>
      <c r="AB44" s="522">
        <f t="shared" si="7"/>
        <v>10302</v>
      </c>
      <c r="AC44" s="522">
        <f t="shared" si="7"/>
        <v>10302</v>
      </c>
      <c r="AD44" s="522">
        <f t="shared" si="7"/>
        <v>10302</v>
      </c>
      <c r="AE44" s="522">
        <f t="shared" si="7"/>
        <v>10302</v>
      </c>
      <c r="AF44" s="522">
        <f t="shared" si="7"/>
        <v>10302</v>
      </c>
      <c r="AG44" s="522">
        <f t="shared" si="7"/>
        <v>10302</v>
      </c>
      <c r="AH44" s="523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5"/>
      <c r="D3" s="535" t="s">
        <v>437</v>
      </c>
    </row>
    <row r="4" spans="3:9">
      <c r="C4" s="535" t="s">
        <v>187</v>
      </c>
      <c r="D4" s="535" t="s">
        <v>438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439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26" sqref="C2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7727.2999999999993</v>
      </c>
      <c r="D10" s="74">
        <f>IF(D6&lt;Assumptions!$H$19,12*'Price_Technical Assumption'!E21*Assumptions!$H$68,IF(AND(C6&lt;Assumptions!$H$19,D6&gt;Assumptions!$H$19),(1-$C$6)*12*'Price_Technical Assumption'!E21*Assumptions!$H$68,0))</f>
        <v>13246.8</v>
      </c>
      <c r="E10" s="74">
        <f>IF(E6&lt;Assumptions!$H$19,12*'Price_Technical Assumption'!F21*Assumptions!$H$68,IF(AND(D6&lt;Assumptions!$H$19,E6&gt;Assumptions!$H$19),(1-$C$6)*12*'Price_Technical Assumption'!F21*Assumptions!$H$68,0))</f>
        <v>13246.8</v>
      </c>
      <c r="F10" s="74">
        <f>IF(F6&lt;Assumptions!$H$19,12*'Price_Technical Assumption'!G21*Assumptions!$H$68,IF(AND(E6&lt;Assumptions!$H$19,F6&gt;Assumptions!$H$19),(1-$C$6)*12*'Price_Technical Assumption'!G21*Assumptions!$H$68,0))</f>
        <v>13246.8</v>
      </c>
      <c r="G10" s="74">
        <f>IF(G6&lt;Assumptions!$H$19,12*'Price_Technical Assumption'!H21*Assumptions!$H$68,IF(AND(F6&lt;Assumptions!$H$19,G6&gt;Assumptions!$H$19),(1-$C$6)*12*'Price_Technical Assumption'!H21*Assumptions!$H$68,0))</f>
        <v>13246.8</v>
      </c>
      <c r="H10" s="74">
        <f>IF(H6&lt;Assumptions!$H$19,12*'Price_Technical Assumption'!I21*Assumptions!$H$68,IF(AND(G6&lt;Assumptions!$H$19,H6&gt;Assumptions!$H$19),(1-$C$6)*12*'Price_Technical Assumption'!I21*Assumptions!$H$68,0))</f>
        <v>13246.8</v>
      </c>
      <c r="I10" s="74">
        <f>IF(I6&lt;Assumptions!$H$19,12*'Price_Technical Assumption'!J21*Assumptions!$H$68,IF(AND(H6&lt;Assumptions!$H$19,I6&gt;Assumptions!$H$19),(1-$C$6)*12*'Price_Technical Assumption'!J21*Assumptions!$H$68,0))</f>
        <v>13246.8</v>
      </c>
      <c r="J10" s="74">
        <f>IF(J6&lt;Assumptions!$H$19,12*'Price_Technical Assumption'!K21*Assumptions!$H$68,IF(AND(I6&lt;Assumptions!$H$19,J6&gt;Assumptions!$H$19),(1-$C$6)*12*'Price_Technical Assumption'!K21*Assumptions!$H$68,0))</f>
        <v>13246.8</v>
      </c>
      <c r="K10" s="74">
        <f>IF(K6&lt;Assumptions!$H$19,12*'Price_Technical Assumption'!L21*Assumptions!$H$68,IF(AND(J6&lt;Assumptions!$H$19,K6&gt;Assumptions!$H$19),(1-$C$6)*12*'Price_Technical Assumption'!L21*Assumptions!$H$68,0))</f>
        <v>13246.8</v>
      </c>
      <c r="L10" s="74">
        <f>IF(L6&lt;Assumptions!$H$19,12*'Price_Technical Assumption'!M21*Assumptions!$H$68,IF(AND(K6&lt;Assumptions!$H$19,L6&gt;Assumptions!$H$19),(1-$C$6)*12*'Price_Technical Assumption'!M21*Assumptions!$H$68,0))</f>
        <v>13246.8</v>
      </c>
      <c r="M10" s="74">
        <f>IF(M6&lt;Assumptions!$H$19,12*'Price_Technical Assumption'!N21*Assumptions!$H$68,IF(AND(L6&lt;Assumptions!$H$19,M6&gt;Assumptions!$H$19),(1-$C$6)*12*'Price_Technical Assumption'!N21*Assumptions!$H$68,0))</f>
        <v>13246.8</v>
      </c>
      <c r="N10" s="74">
        <f>IF(N6&lt;Assumptions!$H$19,12*'Price_Technical Assumption'!O21*Assumptions!$H$68,IF(AND(M6&lt;Assumptions!$H$19,N6&gt;Assumptions!$H$19),(1-$C$6)*12*'Price_Technical Assumption'!O21*Assumptions!$H$68,0))</f>
        <v>13246.8</v>
      </c>
      <c r="O10" s="74">
        <f>IF(O6&lt;Assumptions!$H$19,12*'Price_Technical Assumption'!P21*Assumptions!$H$68,IF(AND(N6&lt;Assumptions!$H$19,O6&gt;Assumptions!$H$19),(1-$C$6)*12*'Price_Technical Assumption'!P21*Assumptions!$H$68,0))</f>
        <v>13246.8</v>
      </c>
      <c r="P10" s="74">
        <f>IF(P6&lt;Assumptions!$H$19,12*'Price_Technical Assumption'!Q21*Assumptions!$H$68,IF(AND(O6&lt;Assumptions!$H$19,P6&gt;Assumptions!$H$19),(1-$C$6)*12*'Price_Technical Assumption'!Q21*Assumptions!$H$68,0))</f>
        <v>13246.8</v>
      </c>
      <c r="Q10" s="74">
        <f>IF(Q6&lt;Assumptions!$H$19,12*'Price_Technical Assumption'!R21*Assumptions!$H$68,IF(AND(P6&lt;Assumptions!$H$19,Q6&gt;Assumptions!$H$19),(1-$C$6)*12*'Price_Technical Assumption'!R21*Assumptions!$H$68,0))</f>
        <v>13246.8</v>
      </c>
      <c r="R10" s="74">
        <f>IF(R6&lt;Assumptions!$H$19,12*'Price_Technical Assumption'!S21*Assumptions!$H$68,IF(AND(Q6&lt;Assumptions!$H$19,R6&gt;Assumptions!$H$19),(1-$C$6)*12*'Price_Technical Assumption'!S21*Assumptions!$H$68,0))</f>
        <v>13246.8</v>
      </c>
      <c r="S10" s="74">
        <f>IF(S6&lt;Assumptions!$H$19,12*'Price_Technical Assumption'!T21*Assumptions!$H$68,IF(AND(R6&lt;Assumptions!$H$19,S6&gt;Assumptions!$H$19),(1-$C$6)*12*'Price_Technical Assumption'!T21*Assumptions!$H$68,0))</f>
        <v>13246.8</v>
      </c>
      <c r="T10" s="74">
        <f>IF(T6&lt;Assumptions!$H$19,12*'Price_Technical Assumption'!U21*Assumptions!$H$68,IF(AND(S6&lt;Assumptions!$H$19,T6&gt;Assumptions!$H$19),(1-$C$6)*12*'Price_Technical Assumption'!U21*Assumptions!$H$68,0))</f>
        <v>13246.8</v>
      </c>
      <c r="U10" s="74">
        <f>IF(U6&lt;Assumptions!$H$19,12*'Price_Technical Assumption'!V21*Assumptions!$H$68,IF(AND(T6&lt;Assumptions!$H$19,U6&gt;Assumptions!$H$19),(1-$C$6)*12*'Price_Technical Assumption'!V21*Assumptions!$H$68,0))</f>
        <v>13246.8</v>
      </c>
      <c r="V10" s="74">
        <f>IF(V6&lt;Assumptions!$H$19,12*'Price_Technical Assumption'!W21*Assumptions!$H$68,IF(AND(U6&lt;Assumptions!$H$19,V6&gt;Assumptions!$H$19),(1-$C$6)*12*'Price_Technical Assumption'!W21*Assumptions!$H$68,0))</f>
        <v>13246.8</v>
      </c>
      <c r="W10" s="74">
        <f>IF(W6&lt;Assumptions!$H$19,12*'Price_Technical Assumption'!X21*Assumptions!$H$68,IF(AND(V6&lt;Assumptions!$H$19,W6&gt;Assumptions!$H$19),(1-$C$6)*12*'Price_Technical Assumption'!X21*Assumptions!$H$68,0))</f>
        <v>6251.6257603189906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10126.561927749257</v>
      </c>
      <c r="D11" s="74">
        <f>'Price_Technical Assumption'!E38*Assumptions!$H$62/1000</f>
        <v>10018.852671369239</v>
      </c>
      <c r="E11" s="74">
        <f>'Price_Technical Assumption'!F38*Assumptions!$H$62/1000</f>
        <v>10071.741173210314</v>
      </c>
      <c r="F11" s="74">
        <f>'Price_Technical Assumption'!G38*Assumptions!$H$62/1000</f>
        <v>10236.677400319124</v>
      </c>
      <c r="G11" s="74">
        <f>'Price_Technical Assumption'!H38*Assumptions!$H$62/1000</f>
        <v>10431.591710991197</v>
      </c>
      <c r="H11" s="74">
        <f>'Price_Technical Assumption'!I38*Assumptions!$H$62/1000</f>
        <v>10638.152189233433</v>
      </c>
      <c r="I11" s="74">
        <f>'Price_Technical Assumption'!J38*Assumptions!$H$62/1000</f>
        <v>10851.484462197935</v>
      </c>
      <c r="J11" s="74">
        <f>'Price_Technical Assumption'!K38*Assumptions!$H$62/1000</f>
        <v>11080.171716851371</v>
      </c>
      <c r="K11" s="74">
        <f>'Price_Technical Assumption'!L38*Assumptions!$H$62/1000</f>
        <v>11324.234192144415</v>
      </c>
      <c r="L11" s="74">
        <f>'Price_Technical Assumption'!M38*Assumptions!$H$62/1000</f>
        <v>11583.692734196247</v>
      </c>
      <c r="M11" s="74">
        <f>'Price_Technical Assumption'!N38*Assumptions!$H$62/1000</f>
        <v>11858.568814509636</v>
      </c>
      <c r="N11" s="74">
        <f>'Price_Technical Assumption'!O38*Assumptions!$H$62/1000</f>
        <v>12148.884548732422</v>
      </c>
      <c r="O11" s="74">
        <f>'Price_Technical Assumption'!P38*Assumptions!$H$62/1000</f>
        <v>12454.662715981893</v>
      </c>
      <c r="P11" s="74">
        <f>'Price_Technical Assumption'!Q38*Assumptions!$H$62/1000</f>
        <v>12775.926778748853</v>
      </c>
      <c r="Q11" s="74">
        <f>'Price_Technical Assumption'!R38*Assumptions!$H$62/1000</f>
        <v>13112.700903398822</v>
      </c>
      <c r="R11" s="74">
        <f>'Price_Technical Assumption'!S38*Assumptions!$H$62/1000</f>
        <v>13465.009981288282</v>
      </c>
      <c r="S11" s="74">
        <f>'Price_Technical Assumption'!T38*Assumptions!$H$62/1000</f>
        <v>13832.879650514431</v>
      </c>
      <c r="T11" s="74">
        <f>'Price_Technical Assumption'!U38*Assumptions!$H$62/1000</f>
        <v>14216.336318317364</v>
      </c>
      <c r="U11" s="74">
        <f>'Price_Technical Assumption'!V38*Assumptions!$H$62/1000</f>
        <v>14615.407184154386</v>
      </c>
      <c r="V11" s="74">
        <f>'Price_Technical Assumption'!W38*Assumptions!$H$62/1000</f>
        <v>14986.296360310269</v>
      </c>
      <c r="W11" s="74">
        <f>'Price_Technical Assumption'!X38*Assumptions!$H$62/1000</f>
        <v>15366.622885766606</v>
      </c>
      <c r="X11" s="74">
        <f>'Price_Technical Assumption'!Y38*Assumptions!$H$62/1000</f>
        <v>7662.2271280602536</v>
      </c>
      <c r="Y11" s="74">
        <f>'Price_Technical Assumption'!Z38*Assumptions!$H$62/1000</f>
        <v>7698.3133219020601</v>
      </c>
      <c r="Z11" s="74">
        <f>'Price_Technical Assumption'!AA38*Assumptions!$H$62/1000</f>
        <v>7735.4821015591224</v>
      </c>
      <c r="AA11" s="74">
        <f>'Price_Technical Assumption'!AB38*Assumptions!$H$62/1000</f>
        <v>7773.765944605896</v>
      </c>
      <c r="AB11" s="74">
        <f>'Price_Technical Assumption'!AC38*Assumptions!$H$62/1000</f>
        <v>7813.1983029440735</v>
      </c>
      <c r="AC11" s="74">
        <f>'Price_Technical Assumption'!AD38*Assumptions!$H$62/1000</f>
        <v>7853.8136320323956</v>
      </c>
      <c r="AD11" s="74">
        <f>'Price_Technical Assumption'!AE38*Assumptions!$H$62/1000</f>
        <v>7895.6474209933676</v>
      </c>
      <c r="AE11" s="74">
        <f>'Price_Technical Assumption'!AF38*Assumptions!$H$62/1000</f>
        <v>7938.7362236231684</v>
      </c>
      <c r="AF11" s="74">
        <f>'Price_Technical Assumption'!AG38*Assumptions!$H$62/1000</f>
        <v>7983.1176903318628</v>
      </c>
      <c r="AG11" s="74">
        <f>'Price_Technical Assumption'!AH38*Assumptions!$H$62/1000</f>
        <v>8028.8306010418191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17853.861927749254</v>
      </c>
      <c r="D13" s="65">
        <f t="shared" si="0"/>
        <v>23265.652671369236</v>
      </c>
      <c r="E13" s="65">
        <f t="shared" si="0"/>
        <v>23318.541173210313</v>
      </c>
      <c r="F13" s="65">
        <f t="shared" si="0"/>
        <v>23483.477400319123</v>
      </c>
      <c r="G13" s="65">
        <f t="shared" si="0"/>
        <v>23678.391710991196</v>
      </c>
      <c r="H13" s="65">
        <f t="shared" si="0"/>
        <v>23884.952189233431</v>
      </c>
      <c r="I13" s="65">
        <f t="shared" si="0"/>
        <v>24098.284462197935</v>
      </c>
      <c r="J13" s="65">
        <f t="shared" si="0"/>
        <v>24326.971716851371</v>
      </c>
      <c r="K13" s="65">
        <f t="shared" si="0"/>
        <v>24571.034192144412</v>
      </c>
      <c r="L13" s="65">
        <f t="shared" si="0"/>
        <v>24830.492734196247</v>
      </c>
      <c r="M13" s="65">
        <f t="shared" si="0"/>
        <v>25105.368814509635</v>
      </c>
      <c r="N13" s="65">
        <f t="shared" si="0"/>
        <v>25395.684548732421</v>
      </c>
      <c r="O13" s="65">
        <f t="shared" si="0"/>
        <v>25701.462715981892</v>
      </c>
      <c r="P13" s="65">
        <f t="shared" si="0"/>
        <v>26022.726778748853</v>
      </c>
      <c r="Q13" s="65">
        <f t="shared" si="0"/>
        <v>26359.500903398821</v>
      </c>
      <c r="R13" s="65">
        <f t="shared" si="0"/>
        <v>26711.809981288279</v>
      </c>
      <c r="S13" s="65">
        <f t="shared" si="0"/>
        <v>27079.67965051443</v>
      </c>
      <c r="T13" s="65">
        <f t="shared" si="0"/>
        <v>27463.136318317363</v>
      </c>
      <c r="U13" s="65">
        <f t="shared" si="0"/>
        <v>27862.207184154388</v>
      </c>
      <c r="V13" s="65">
        <f t="shared" si="0"/>
        <v>28233.096360310268</v>
      </c>
      <c r="W13" s="65">
        <f t="shared" si="0"/>
        <v>21618.248646085598</v>
      </c>
      <c r="X13" s="65">
        <f t="shared" si="0"/>
        <v>7662.2271280602536</v>
      </c>
      <c r="Y13" s="65">
        <f t="shared" si="0"/>
        <v>7698.3133219020601</v>
      </c>
      <c r="Z13" s="65">
        <f t="shared" si="0"/>
        <v>7735.4821015591224</v>
      </c>
      <c r="AA13" s="65">
        <f t="shared" si="0"/>
        <v>7773.765944605896</v>
      </c>
      <c r="AB13" s="65">
        <f t="shared" si="0"/>
        <v>7813.1983029440735</v>
      </c>
      <c r="AC13" s="65">
        <f t="shared" si="0"/>
        <v>7853.8136320323956</v>
      </c>
      <c r="AD13" s="65">
        <f t="shared" si="0"/>
        <v>7895.6474209933676</v>
      </c>
      <c r="AE13" s="65">
        <f t="shared" si="0"/>
        <v>7938.7362236231684</v>
      </c>
      <c r="AF13" s="65">
        <f t="shared" si="0"/>
        <v>7983.1176903318628</v>
      </c>
      <c r="AG13" s="65">
        <f t="shared" si="0"/>
        <v>8028.8306010418191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9479.9583487500004</v>
      </c>
      <c r="D16" s="221">
        <f>Assumptions!$H$62*'Price_Technical Assumption'!E30*'Price_Technical Assumption'!E44/1000000</f>
        <v>9352.8509850000028</v>
      </c>
      <c r="E16" s="221">
        <f>Assumptions!$H$62*'Price_Technical Assumption'!F30*'Price_Technical Assumption'!F44/1000000</f>
        <v>9385.7594362500004</v>
      </c>
      <c r="F16" s="221">
        <f>Assumptions!$H$62*'Price_Technical Assumption'!G30*'Price_Technical Assumption'!G44/1000000</f>
        <v>9530.1162112500024</v>
      </c>
      <c r="G16" s="221">
        <f>Assumptions!$H$62*'Price_Technical Assumption'!H30*'Price_Technical Assumption'!H44/1000000</f>
        <v>9703.8336862499982</v>
      </c>
      <c r="H16" s="221">
        <f>Assumptions!$H$62*'Price_Technical Assumption'!I30*'Price_Technical Assumption'!I44/1000000</f>
        <v>9888.5614237500013</v>
      </c>
      <c r="I16" s="221">
        <f>Assumptions!$H$62*'Price_Technical Assumption'!J30*'Price_Technical Assumption'!J44/1000000</f>
        <v>10079.405973750001</v>
      </c>
      <c r="J16" s="221">
        <f>Assumptions!$H$62*'Price_Technical Assumption'!K30*'Price_Technical Assumption'!K44/1000000</f>
        <v>10284.93087375</v>
      </c>
      <c r="K16" s="221">
        <f>Assumptions!$H$62*'Price_Technical Assumption'!L30*'Price_Technical Assumption'!L44/1000000</f>
        <v>10505.136123750002</v>
      </c>
      <c r="L16" s="221">
        <f>Assumptions!$H$62*'Price_Technical Assumption'!M30*'Price_Technical Assumption'!M44/1000000</f>
        <v>10740.02172375</v>
      </c>
      <c r="M16" s="221">
        <f>Assumptions!$H$62*'Price_Technical Assumption'!N30*'Price_Technical Assumption'!N44/1000000</f>
        <v>10989.58767375</v>
      </c>
      <c r="N16" s="221">
        <f>Assumptions!$H$62*'Price_Technical Assumption'!O30*'Price_Technical Assumption'!O44/1000000</f>
        <v>11253.833973749999</v>
      </c>
      <c r="O16" s="221">
        <f>Assumptions!$H$62*'Price_Technical Assumption'!P30*'Price_Technical Assumption'!P44/1000000</f>
        <v>11532.760623749999</v>
      </c>
      <c r="P16" s="221">
        <f>Assumptions!$H$62*'Price_Technical Assumption'!Q30*'Price_Technical Assumption'!Q44/1000000</f>
        <v>11826.36762375</v>
      </c>
      <c r="Q16" s="221">
        <f>Assumptions!$H$62*'Price_Technical Assumption'!R30*'Price_Technical Assumption'!R44/1000000</f>
        <v>12134.654973750001</v>
      </c>
      <c r="R16" s="221">
        <f>Assumptions!$H$62*'Price_Technical Assumption'!S30*'Price_Technical Assumption'!S44/1000000</f>
        <v>12457.62267375</v>
      </c>
      <c r="S16" s="221">
        <f>Assumptions!$H$62*'Price_Technical Assumption'!T30*'Price_Technical Assumption'!T44/1000000</f>
        <v>12795.27072375</v>
      </c>
      <c r="T16" s="221">
        <f>Assumptions!$H$62*'Price_Technical Assumption'!U30*'Price_Technical Assumption'!U44/1000000</f>
        <v>13147.59912375</v>
      </c>
      <c r="U16" s="221">
        <f>Assumptions!$H$62*'Price_Technical Assumption'!V30*'Price_Technical Assumption'!V44/1000000</f>
        <v>13514.607873749999</v>
      </c>
      <c r="V16" s="221">
        <f>Assumptions!$H$62*'Price_Technical Assumption'!W30*'Price_Technical Assumption'!W44/1000000</f>
        <v>13852.473070593751</v>
      </c>
      <c r="W16" s="221">
        <f>Assumptions!$H$62*'Price_Technical Assumption'!X30*'Price_Technical Assumption'!X44/1000000</f>
        <v>14198.784897358593</v>
      </c>
      <c r="X16" s="221">
        <f>Assumptions!$H$62*'Price_Technical Assumption'!Y30*'Price_Technical Assumption'!Y44/1000000</f>
        <v>6459.3540000000003</v>
      </c>
      <c r="Y16" s="221">
        <f>Assumptions!$H$62*'Price_Technical Assumption'!Z30*'Price_Technical Assumption'!Z44/1000000</f>
        <v>6459.3540000000003</v>
      </c>
      <c r="Z16" s="221">
        <f>Assumptions!$H$62*'Price_Technical Assumption'!AA30*'Price_Technical Assumption'!AA44/1000000</f>
        <v>6459.3540000000003</v>
      </c>
      <c r="AA16" s="221">
        <f>Assumptions!$H$62*'Price_Technical Assumption'!AB30*'Price_Technical Assumption'!AB44/1000000</f>
        <v>6459.3540000000003</v>
      </c>
      <c r="AB16" s="221">
        <f>Assumptions!$H$62*'Price_Technical Assumption'!AC30*'Price_Technical Assumption'!AC44/1000000</f>
        <v>6459.3540000000003</v>
      </c>
      <c r="AC16" s="221">
        <f>Assumptions!$H$62*'Price_Technical Assumption'!AD30*'Price_Technical Assumption'!AD44/1000000</f>
        <v>6459.3540000000003</v>
      </c>
      <c r="AD16" s="221">
        <f>Assumptions!$H$62*'Price_Technical Assumption'!AE30*'Price_Technical Assumption'!AE44/1000000</f>
        <v>6459.3540000000003</v>
      </c>
      <c r="AE16" s="221">
        <f>Assumptions!$H$62*'Price_Technical Assumption'!AF30*'Price_Technical Assumption'!AF44/1000000</f>
        <v>6459.3540000000003</v>
      </c>
      <c r="AF16" s="221">
        <f>Assumptions!$H$62*'Price_Technical Assumption'!AG30*'Price_Technical Assumption'!AG44/1000000</f>
        <v>6459.3540000000003</v>
      </c>
      <c r="AG16" s="221">
        <f>Assumptions!$H$62*'Price_Technical Assumption'!AH30*'Price_Technical Assumption'!AH44/1000000</f>
        <v>6459.3540000000003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171.07448951101449</v>
      </c>
      <c r="D18" s="74">
        <f>C18*(1+Assumptions!$N$11)</f>
        <v>176.20672419634494</v>
      </c>
      <c r="E18" s="74">
        <f>D18*(1+Assumptions!$N$11)</f>
        <v>181.49292592223529</v>
      </c>
      <c r="F18" s="74">
        <f>E18*(1+Assumptions!$N$11)</f>
        <v>186.93771369990236</v>
      </c>
      <c r="G18" s="74">
        <f>F18*(1+Assumptions!$N$11)</f>
        <v>192.54584511089945</v>
      </c>
      <c r="H18" s="74">
        <f>G18*(1+Assumptions!$N$11)</f>
        <v>198.32222046422643</v>
      </c>
      <c r="I18" s="74">
        <f>H18*(1+Assumptions!$N$11)</f>
        <v>204.27188707815324</v>
      </c>
      <c r="J18" s="74">
        <f>I18*(1+Assumptions!$N$11)</f>
        <v>210.40004369049785</v>
      </c>
      <c r="K18" s="74">
        <f>J18*(1+Assumptions!$N$11)</f>
        <v>216.7120450012128</v>
      </c>
      <c r="L18" s="74">
        <f>K18*(1+Assumptions!$N$11)</f>
        <v>223.21340635124918</v>
      </c>
      <c r="M18" s="74">
        <f>L18*(1+Assumptions!$N$11)</f>
        <v>229.90980854178665</v>
      </c>
      <c r="N18" s="74">
        <f>M18*(1+Assumptions!$N$11)</f>
        <v>236.80710279804026</v>
      </c>
      <c r="O18" s="74">
        <f>N18*(1+Assumptions!$N$11)</f>
        <v>243.91131588198147</v>
      </c>
      <c r="P18" s="74">
        <f>O18*(1+Assumptions!$N$11)</f>
        <v>251.2286553584409</v>
      </c>
      <c r="Q18" s="74">
        <f>P18*(1+Assumptions!$N$11)</f>
        <v>258.76551501919414</v>
      </c>
      <c r="R18" s="74">
        <f>Q18*(1+Assumptions!$N$11)</f>
        <v>266.52848046976999</v>
      </c>
      <c r="S18" s="74">
        <f>R18*(1+Assumptions!$N$11)</f>
        <v>274.52433488386311</v>
      </c>
      <c r="T18" s="74">
        <f>S18*(1+Assumptions!$N$11)</f>
        <v>282.76006493037903</v>
      </c>
      <c r="U18" s="74">
        <f>T18*(1+Assumptions!$N$11)</f>
        <v>291.24286687829039</v>
      </c>
      <c r="V18" s="74">
        <f>U18*(1+Assumptions!$N$11)</f>
        <v>299.9801528846391</v>
      </c>
      <c r="W18" s="74">
        <f>V18*(1+Assumptions!$N$11)</f>
        <v>308.97955747117828</v>
      </c>
      <c r="X18" s="74">
        <f>W18*(1+Assumptions!$N$11)</f>
        <v>318.24894419531364</v>
      </c>
      <c r="Y18" s="74">
        <f>X18*(1+Assumptions!$N$11)</f>
        <v>327.79641252117307</v>
      </c>
      <c r="Z18" s="74">
        <f>Y18*(1+Assumptions!$N$11)</f>
        <v>337.63030489680824</v>
      </c>
      <c r="AA18" s="74">
        <f>Z18*(1+Assumptions!$N$11)</f>
        <v>347.75921404371252</v>
      </c>
      <c r="AB18" s="74">
        <f>AA18*(1+Assumptions!$N$11)</f>
        <v>358.19199046502388</v>
      </c>
      <c r="AC18" s="74">
        <f>AB18*(1+Assumptions!$N$11)</f>
        <v>368.93775017897462</v>
      </c>
      <c r="AD18" s="74">
        <f>AC18*(1+Assumptions!$N$11)</f>
        <v>380.00588268434387</v>
      </c>
      <c r="AE18" s="74">
        <f>AD18*(1+Assumptions!$N$11)</f>
        <v>391.40605916487419</v>
      </c>
      <c r="AF18" s="74">
        <f>AE18*(1+Assumptions!$N$11)</f>
        <v>403.14824093982043</v>
      </c>
      <c r="AG18" s="74">
        <f>AF18*(1+Assumptions!$N$11)</f>
        <v>415.24268816801504</v>
      </c>
    </row>
    <row r="19" spans="1:47">
      <c r="A19" s="3" t="s">
        <v>254</v>
      </c>
      <c r="C19" s="74">
        <f>Assumptions!$P$16*Assumptions!$H$62/1000*(1+Assumptions!$N$11)^IS!C6</f>
        <v>475.52908948824364</v>
      </c>
      <c r="D19" s="74">
        <f>C19*(1+Assumptions!$N$11)</f>
        <v>489.79496217289096</v>
      </c>
      <c r="E19" s="74">
        <f>D19*(1+Assumptions!$N$11)</f>
        <v>504.4888110380777</v>
      </c>
      <c r="F19" s="74">
        <f>E19*(1+Assumptions!$N$11)</f>
        <v>519.62347536922005</v>
      </c>
      <c r="G19" s="74">
        <f>F19*(1+Assumptions!$N$11)</f>
        <v>535.21217963029665</v>
      </c>
      <c r="H19" s="74">
        <f>G19*(1+Assumptions!$N$11)</f>
        <v>551.26854501920559</v>
      </c>
      <c r="I19" s="74">
        <f>H19*(1+Assumptions!$N$11)</f>
        <v>567.80660136978179</v>
      </c>
      <c r="J19" s="74">
        <f>I19*(1+Assumptions!$N$11)</f>
        <v>584.84079941087521</v>
      </c>
      <c r="K19" s="74">
        <f>J19*(1+Assumptions!$N$11)</f>
        <v>602.38602339320153</v>
      </c>
      <c r="L19" s="74">
        <f>K19*(1+Assumptions!$N$11)</f>
        <v>620.45760409499758</v>
      </c>
      <c r="M19" s="74">
        <f>L19*(1+Assumptions!$N$11)</f>
        <v>639.0713322178475</v>
      </c>
      <c r="N19" s="74">
        <f>M19*(1+Assumptions!$N$11)</f>
        <v>658.24347218438299</v>
      </c>
      <c r="O19" s="74">
        <f>N19*(1+Assumptions!$N$11)</f>
        <v>677.99077634991454</v>
      </c>
      <c r="P19" s="74">
        <f>O19*(1+Assumptions!$N$11)</f>
        <v>698.33049964041197</v>
      </c>
      <c r="Q19" s="74">
        <f>P19*(1+Assumptions!$N$11)</f>
        <v>719.28041462962437</v>
      </c>
      <c r="R19" s="74">
        <f>Q19*(1+Assumptions!$N$11)</f>
        <v>740.85882706851316</v>
      </c>
      <c r="S19" s="74">
        <f>R19*(1+Assumptions!$N$11)</f>
        <v>763.08459188056861</v>
      </c>
      <c r="T19" s="74">
        <f>S19*(1+Assumptions!$N$11)</f>
        <v>785.97712963698564</v>
      </c>
      <c r="U19" s="74">
        <f>T19*(1+Assumptions!$N$11)</f>
        <v>809.55644352609522</v>
      </c>
      <c r="V19" s="74">
        <f>U19*(1+Assumptions!$N$11)</f>
        <v>833.84313683187816</v>
      </c>
      <c r="W19" s="74">
        <f>V19*(1+Assumptions!$N$11)</f>
        <v>858.85843093683457</v>
      </c>
      <c r="X19" s="74">
        <f>W19*(1+Assumptions!$N$11)</f>
        <v>884.6241838649396</v>
      </c>
      <c r="Y19" s="74">
        <f>X19*(1+Assumptions!$N$11)</f>
        <v>911.16290938088775</v>
      </c>
      <c r="Z19" s="74">
        <f>Y19*(1+Assumptions!$N$11)</f>
        <v>938.49779666231439</v>
      </c>
      <c r="AA19" s="74">
        <f>Z19*(1+Assumptions!$N$11)</f>
        <v>966.65273056218382</v>
      </c>
      <c r="AB19" s="74">
        <f>AA19*(1+Assumptions!$N$11)</f>
        <v>995.65231247904933</v>
      </c>
      <c r="AC19" s="74">
        <f>AB19*(1+Assumptions!$N$11)</f>
        <v>1025.5218818534208</v>
      </c>
      <c r="AD19" s="74">
        <f>AC19*(1+Assumptions!$N$11)</f>
        <v>1056.2875383090236</v>
      </c>
      <c r="AE19" s="74">
        <f>AD19*(1+Assumptions!$N$11)</f>
        <v>1087.9761644582943</v>
      </c>
      <c r="AF19" s="74">
        <f>AE19*(1+Assumptions!$N$11)</f>
        <v>1120.6154493920433</v>
      </c>
      <c r="AG19" s="74">
        <f>AF19*(1+Assumptions!$N$11)</f>
        <v>1154.2339128738047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358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400</v>
      </c>
      <c r="D23" s="195">
        <f>C23*(1+Assumptions!$P$30)</f>
        <v>408</v>
      </c>
      <c r="E23" s="195">
        <f>D23*(1+Assumptions!$P$30)</f>
        <v>416.16</v>
      </c>
      <c r="F23" s="195">
        <f>E23*(1+Assumptions!$P$30)</f>
        <v>424.48320000000001</v>
      </c>
      <c r="G23" s="195">
        <f>F23*(1+Assumptions!$P$30)</f>
        <v>432.97286400000002</v>
      </c>
      <c r="H23" s="195">
        <f>G23*(1+Assumptions!$P$30)</f>
        <v>441.63232128000004</v>
      </c>
      <c r="I23" s="195">
        <f>H23*(1+Assumptions!$P$30)</f>
        <v>450.46496770560003</v>
      </c>
      <c r="J23" s="195">
        <f>I23*(1+Assumptions!$P$30)</f>
        <v>459.47426705971202</v>
      </c>
      <c r="K23" s="195">
        <f>J23*(1+Assumptions!$P$30)</f>
        <v>468.66375240090628</v>
      </c>
      <c r="L23" s="195">
        <f>K23*(1+Assumptions!$P$30)</f>
        <v>478.03702744892439</v>
      </c>
      <c r="M23" s="195">
        <f>L23*(1+Assumptions!$P$30)</f>
        <v>487.59776799790291</v>
      </c>
      <c r="N23" s="195">
        <f>M23*(1+Assumptions!$P$30)</f>
        <v>497.34972335786097</v>
      </c>
      <c r="O23" s="195">
        <f>N23*(1+Assumptions!$P$30)</f>
        <v>507.29671782501822</v>
      </c>
      <c r="P23" s="195">
        <f>O23*(1+Assumptions!$P$30)</f>
        <v>517.44265218151861</v>
      </c>
      <c r="Q23" s="195">
        <f>P23*(1+Assumptions!$P$30)</f>
        <v>527.79150522514897</v>
      </c>
      <c r="R23" s="195">
        <f>Q23*(1+Assumptions!$P$30)</f>
        <v>538.34733532965197</v>
      </c>
      <c r="S23" s="195">
        <f>R23*(1+Assumptions!$P$30)</f>
        <v>549.11428203624507</v>
      </c>
      <c r="T23" s="195">
        <f>S23*(1+Assumptions!$P$30)</f>
        <v>560.09656767697004</v>
      </c>
      <c r="U23" s="195">
        <f>T23*(1+Assumptions!$P$30)</f>
        <v>571.29849903050945</v>
      </c>
      <c r="V23" s="195">
        <f>U23*(1+Assumptions!$P$30)</f>
        <v>582.7244690111196</v>
      </c>
      <c r="W23" s="195">
        <f>V23*(1+Assumptions!$P$30)</f>
        <v>594.37895839134205</v>
      </c>
      <c r="X23" s="195">
        <f>W23*(1+Assumptions!$P$30)</f>
        <v>606.26653755916891</v>
      </c>
      <c r="Y23" s="195">
        <f>X23*(1+Assumptions!$P$30)</f>
        <v>618.39186831035227</v>
      </c>
      <c r="Z23" s="195">
        <f>Y23*(1+Assumptions!$P$30)</f>
        <v>630.75970567655929</v>
      </c>
      <c r="AA23" s="195">
        <f>Z23*(1+Assumptions!$P$30)</f>
        <v>643.37489979009047</v>
      </c>
      <c r="AB23" s="195">
        <f>AA23*(1+Assumptions!$P$30)</f>
        <v>656.24239778589231</v>
      </c>
      <c r="AC23" s="195">
        <f>AB23*(1+Assumptions!$P$30)</f>
        <v>669.36724574161019</v>
      </c>
      <c r="AD23" s="195">
        <f>AC23*(1+Assumptions!$P$30)</f>
        <v>682.75459065644236</v>
      </c>
      <c r="AE23" s="195">
        <f>AD23*(1+Assumptions!$P$30)</f>
        <v>696.40968246957118</v>
      </c>
      <c r="AF23" s="195">
        <f>AE23*(1+Assumptions!$P$30)</f>
        <v>710.33787611896264</v>
      </c>
      <c r="AG23" s="195">
        <f>AF23*(1+Assumptions!$P$30)</f>
        <v>724.54463364134187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11193.895261082593</v>
      </c>
      <c r="D30" s="65">
        <f t="shared" si="1"/>
        <v>11605.172671369239</v>
      </c>
      <c r="E30" s="65">
        <f t="shared" si="1"/>
        <v>11701.570773210313</v>
      </c>
      <c r="F30" s="65">
        <f t="shared" si="1"/>
        <v>11911.240288319128</v>
      </c>
      <c r="G30" s="65">
        <f t="shared" si="1"/>
        <v>12152.146653631193</v>
      </c>
      <c r="H30" s="65">
        <f t="shared" si="1"/>
        <v>12405.994051512633</v>
      </c>
      <c r="I30" s="65">
        <f t="shared" si="1"/>
        <v>12667.945257132713</v>
      </c>
      <c r="J30" s="65">
        <f t="shared" si="1"/>
        <v>12946.621685957134</v>
      </c>
      <c r="K30" s="65">
        <f t="shared" si="1"/>
        <v>13242.082917652755</v>
      </c>
      <c r="L30" s="65">
        <f t="shared" si="1"/>
        <v>13554.39028394583</v>
      </c>
      <c r="M30" s="65">
        <f t="shared" si="1"/>
        <v>13883.606920477212</v>
      </c>
      <c r="N30" s="65">
        <f t="shared" si="1"/>
        <v>14229.79782019905</v>
      </c>
      <c r="O30" s="65">
        <f t="shared" si="1"/>
        <v>14593.029888358942</v>
      </c>
      <c r="P30" s="65">
        <f t="shared" si="1"/>
        <v>14973.371999118963</v>
      </c>
      <c r="Q30" s="65">
        <f t="shared" si="1"/>
        <v>15370.895053858218</v>
      </c>
      <c r="R30" s="65">
        <f t="shared" si="1"/>
        <v>15785.672041209211</v>
      </c>
      <c r="S30" s="65">
        <f t="shared" si="1"/>
        <v>16217.778098879691</v>
      </c>
      <c r="T30" s="65">
        <f t="shared" si="1"/>
        <v>16667.290577313219</v>
      </c>
      <c r="U30" s="65">
        <f t="shared" si="1"/>
        <v>17134.289105243344</v>
      </c>
      <c r="V30" s="65">
        <f t="shared" si="1"/>
        <v>17575.031754041593</v>
      </c>
      <c r="W30" s="65">
        <f t="shared" si="1"/>
        <v>18027.193096619758</v>
      </c>
      <c r="X30" s="65">
        <f t="shared" si="1"/>
        <v>10396.670655655089</v>
      </c>
      <c r="Y30" s="65">
        <f t="shared" ref="Y30:AG30" si="2">SUM(Y16:Y29)</f>
        <v>10508.727489949148</v>
      </c>
      <c r="Z30" s="65">
        <f t="shared" si="2"/>
        <v>10624.024775964519</v>
      </c>
      <c r="AA30" s="65">
        <f t="shared" si="2"/>
        <v>10742.657302186688</v>
      </c>
      <c r="AB30" s="65">
        <f t="shared" si="2"/>
        <v>10864.72265225439</v>
      </c>
      <c r="AC30" s="65">
        <f t="shared" si="2"/>
        <v>10990.321287844163</v>
      </c>
      <c r="AD30" s="65">
        <f t="shared" si="2"/>
        <v>11119.556634022072</v>
      </c>
      <c r="AE30" s="65">
        <f t="shared" si="2"/>
        <v>11252.53516713617</v>
      </c>
      <c r="AF30" s="65">
        <f t="shared" si="2"/>
        <v>11389.366505325559</v>
      </c>
      <c r="AG30" s="65">
        <f t="shared" si="2"/>
        <v>11530.163501724135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6659.9666666666617</v>
      </c>
      <c r="D32" s="124">
        <f t="shared" si="3"/>
        <v>11660.479999999998</v>
      </c>
      <c r="E32" s="124">
        <f t="shared" si="3"/>
        <v>11616.9704</v>
      </c>
      <c r="F32" s="124">
        <f t="shared" si="3"/>
        <v>11572.237111999995</v>
      </c>
      <c r="G32" s="124">
        <f t="shared" si="3"/>
        <v>11526.245057360004</v>
      </c>
      <c r="H32" s="124">
        <f t="shared" si="3"/>
        <v>11478.958137720798</v>
      </c>
      <c r="I32" s="124">
        <f t="shared" si="3"/>
        <v>11430.339205065222</v>
      </c>
      <c r="J32" s="124">
        <f t="shared" si="3"/>
        <v>11380.350030894237</v>
      </c>
      <c r="K32" s="124">
        <f t="shared" si="3"/>
        <v>11328.951274491657</v>
      </c>
      <c r="L32" s="124">
        <f t="shared" si="3"/>
        <v>11276.102450250417</v>
      </c>
      <c r="M32" s="124">
        <f t="shared" si="3"/>
        <v>11221.761894032423</v>
      </c>
      <c r="N32" s="124">
        <f t="shared" si="3"/>
        <v>11165.886728533371</v>
      </c>
      <c r="O32" s="124">
        <f t="shared" si="3"/>
        <v>11108.43282762295</v>
      </c>
      <c r="P32" s="124">
        <f t="shared" si="3"/>
        <v>11049.35477962989</v>
      </c>
      <c r="Q32" s="124">
        <f t="shared" si="3"/>
        <v>10988.605849540603</v>
      </c>
      <c r="R32" s="124">
        <f t="shared" si="3"/>
        <v>10926.137940079068</v>
      </c>
      <c r="S32" s="124">
        <f t="shared" si="3"/>
        <v>10861.901551634739</v>
      </c>
      <c r="T32" s="124">
        <f t="shared" si="3"/>
        <v>10795.845741004145</v>
      </c>
      <c r="U32" s="124">
        <f t="shared" si="3"/>
        <v>10727.918078911043</v>
      </c>
      <c r="V32" s="124">
        <f t="shared" si="3"/>
        <v>10658.064606268676</v>
      </c>
      <c r="W32" s="124">
        <f t="shared" si="3"/>
        <v>3591.0555494658402</v>
      </c>
      <c r="X32" s="124">
        <f t="shared" si="3"/>
        <v>-2734.4435275948354</v>
      </c>
      <c r="Y32" s="124">
        <f t="shared" ref="Y32:AG32" si="4">Y13-Y30</f>
        <v>-2810.4141680470875</v>
      </c>
      <c r="Z32" s="124">
        <f t="shared" si="4"/>
        <v>-2888.5426744053966</v>
      </c>
      <c r="AA32" s="124">
        <f t="shared" si="4"/>
        <v>-2968.8913575807919</v>
      </c>
      <c r="AB32" s="124">
        <f t="shared" si="4"/>
        <v>-3051.5243493103162</v>
      </c>
      <c r="AC32" s="124">
        <f t="shared" si="4"/>
        <v>-3136.5076558117671</v>
      </c>
      <c r="AD32" s="124">
        <f t="shared" si="4"/>
        <v>-3223.9092130287045</v>
      </c>
      <c r="AE32" s="124">
        <f t="shared" si="4"/>
        <v>-3313.7989435130012</v>
      </c>
      <c r="AF32" s="124">
        <f t="shared" si="4"/>
        <v>-3406.2488149936962</v>
      </c>
      <c r="AG32" s="124">
        <f t="shared" si="4"/>
        <v>-3501.332900682316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2145.1467811946136</v>
      </c>
      <c r="D34" s="65">
        <f>Depreciation!E48</f>
        <v>3677.3944820479092</v>
      </c>
      <c r="E34" s="65">
        <f>Depreciation!F48</f>
        <v>3677.3944820479092</v>
      </c>
      <c r="F34" s="65">
        <f>Depreciation!G48</f>
        <v>3677.3944820479092</v>
      </c>
      <c r="G34" s="65">
        <f>Depreciation!H48</f>
        <v>3677.3944820479092</v>
      </c>
      <c r="H34" s="65">
        <f>Depreciation!I48</f>
        <v>3283.9944820479091</v>
      </c>
      <c r="I34" s="65">
        <f>Depreciation!J48</f>
        <v>3002.9944820479091</v>
      </c>
      <c r="J34" s="65">
        <f>Depreciation!K48</f>
        <v>3002.9944820479091</v>
      </c>
      <c r="K34" s="65">
        <f>Depreciation!L48</f>
        <v>3002.9944820479091</v>
      </c>
      <c r="L34" s="65">
        <f>Depreciation!M48</f>
        <v>3002.9944820479091</v>
      </c>
      <c r="M34" s="65">
        <f>Depreciation!N48</f>
        <v>3002.9944820479091</v>
      </c>
      <c r="N34" s="65">
        <f>Depreciation!O48</f>
        <v>3002.9944820479091</v>
      </c>
      <c r="O34" s="65">
        <f>Depreciation!P48</f>
        <v>3002.9944820479091</v>
      </c>
      <c r="P34" s="65">
        <f>Depreciation!Q48</f>
        <v>3002.9944820479091</v>
      </c>
      <c r="Q34" s="65">
        <f>Depreciation!R48</f>
        <v>3002.9944820479091</v>
      </c>
      <c r="R34" s="65">
        <f>Depreciation!S48</f>
        <v>3002.9944820479091</v>
      </c>
      <c r="S34" s="65">
        <f>Depreciation!T48</f>
        <v>3002.9944820479091</v>
      </c>
      <c r="T34" s="65">
        <f>Depreciation!U48</f>
        <v>3002.9944820479091</v>
      </c>
      <c r="U34" s="65">
        <f>Depreciation!V48</f>
        <v>3002.9944820479091</v>
      </c>
      <c r="V34" s="65">
        <f>Depreciation!W48</f>
        <v>3002.9944820479091</v>
      </c>
      <c r="W34" s="65">
        <f>Depreciation!X48</f>
        <v>3002.9944820479091</v>
      </c>
      <c r="X34" s="65">
        <f>Depreciation!Y48</f>
        <v>3002.9944820479091</v>
      </c>
      <c r="Y34" s="65">
        <f>Depreciation!Z48</f>
        <v>3002.9944820479091</v>
      </c>
      <c r="Z34" s="65">
        <f>Depreciation!AA48</f>
        <v>3002.9944820479091</v>
      </c>
      <c r="AA34" s="65">
        <f>Depreciation!AB48</f>
        <v>3002.9944820479091</v>
      </c>
      <c r="AB34" s="65">
        <f>Depreciation!AC48</f>
        <v>3002.9944820479091</v>
      </c>
      <c r="AC34" s="65">
        <f>Depreciation!AD48</f>
        <v>3002.9944820479091</v>
      </c>
      <c r="AD34" s="65">
        <f>Depreciation!AE48</f>
        <v>3002.9944820479091</v>
      </c>
      <c r="AE34" s="65">
        <f>Depreciation!AF48</f>
        <v>3002.9944820479091</v>
      </c>
      <c r="AF34" s="65">
        <f>Depreciation!AG48</f>
        <v>3002.9944820479091</v>
      </c>
      <c r="AG34" s="65">
        <f>Depreciation!AH48</f>
        <v>1251.2477008532951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4514.8198854720486</v>
      </c>
      <c r="D36" s="124">
        <f t="shared" ref="D36:X36" si="5">D32-D34</f>
        <v>7983.0855179520886</v>
      </c>
      <c r="E36" s="124">
        <f t="shared" si="5"/>
        <v>7939.575917952091</v>
      </c>
      <c r="F36" s="124">
        <f t="shared" si="5"/>
        <v>7894.8426299520861</v>
      </c>
      <c r="G36" s="124">
        <f t="shared" si="5"/>
        <v>7848.8505753120944</v>
      </c>
      <c r="H36" s="124">
        <f t="shared" si="5"/>
        <v>8194.9636556728892</v>
      </c>
      <c r="I36" s="124">
        <f t="shared" si="5"/>
        <v>8427.3447230173133</v>
      </c>
      <c r="J36" s="124">
        <f t="shared" si="5"/>
        <v>8377.355548846328</v>
      </c>
      <c r="K36" s="124">
        <f t="shared" si="5"/>
        <v>8325.9567924437488</v>
      </c>
      <c r="L36" s="124">
        <f t="shared" si="5"/>
        <v>8273.1079682025083</v>
      </c>
      <c r="M36" s="124">
        <f t="shared" si="5"/>
        <v>8218.7674119845142</v>
      </c>
      <c r="N36" s="124">
        <f t="shared" si="5"/>
        <v>8162.8922464854622</v>
      </c>
      <c r="O36" s="124">
        <f t="shared" si="5"/>
        <v>8105.4383455750412</v>
      </c>
      <c r="P36" s="124">
        <f t="shared" si="5"/>
        <v>8046.3602975819813</v>
      </c>
      <c r="Q36" s="124">
        <f t="shared" si="5"/>
        <v>7985.6113674926946</v>
      </c>
      <c r="R36" s="124">
        <f t="shared" si="5"/>
        <v>7923.1434580311598</v>
      </c>
      <c r="S36" s="124">
        <f t="shared" si="5"/>
        <v>7858.9070695868304</v>
      </c>
      <c r="T36" s="124">
        <f t="shared" si="5"/>
        <v>7792.8512589562361</v>
      </c>
      <c r="U36" s="124">
        <f t="shared" si="5"/>
        <v>7724.9235968631347</v>
      </c>
      <c r="V36" s="124">
        <f t="shared" si="5"/>
        <v>7655.070124220767</v>
      </c>
      <c r="W36" s="124">
        <f t="shared" si="5"/>
        <v>588.0610674179311</v>
      </c>
      <c r="X36" s="124">
        <f t="shared" si="5"/>
        <v>-5737.4380096427449</v>
      </c>
      <c r="Y36" s="124">
        <f t="shared" ref="Y36:AG36" si="6">Y32-Y34</f>
        <v>-5813.4086500949961</v>
      </c>
      <c r="Z36" s="124">
        <f t="shared" si="6"/>
        <v>-5891.5371564533052</v>
      </c>
      <c r="AA36" s="124">
        <f t="shared" si="6"/>
        <v>-5971.8858396287014</v>
      </c>
      <c r="AB36" s="124">
        <f t="shared" si="6"/>
        <v>-6054.5188313582257</v>
      </c>
      <c r="AC36" s="124">
        <f t="shared" si="6"/>
        <v>-6139.5021378596757</v>
      </c>
      <c r="AD36" s="124">
        <f t="shared" si="6"/>
        <v>-6226.9036950766131</v>
      </c>
      <c r="AE36" s="124">
        <f t="shared" si="6"/>
        <v>-6316.7934255609107</v>
      </c>
      <c r="AF36" s="124">
        <f t="shared" si="6"/>
        <v>-6409.2432970416048</v>
      </c>
      <c r="AG36" s="124">
        <f t="shared" si="6"/>
        <v>-4752.5806015356111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Debt!B57</f>
        <v>3725.9731443918381</v>
      </c>
      <c r="D38" s="65">
        <f>Debt!C57</f>
        <v>6239.8752823622845</v>
      </c>
      <c r="E38" s="65">
        <f>Debt!D57</f>
        <v>6006.057981480104</v>
      </c>
      <c r="F38" s="65">
        <f>Debt!E57</f>
        <v>5753.1615107738371</v>
      </c>
      <c r="G38" s="65">
        <f>Debt!F57</f>
        <v>5479.7214746318596</v>
      </c>
      <c r="H38" s="65">
        <f>Debt!G57</f>
        <v>5186.7090148841426</v>
      </c>
      <c r="I38" s="65">
        <f>Debt!H57</f>
        <v>4871.2595905634989</v>
      </c>
      <c r="J38" s="65">
        <f>Debt!I57</f>
        <v>4532.4096287305356</v>
      </c>
      <c r="K38" s="65">
        <f>Debt!J57</f>
        <v>4165.8844549976347</v>
      </c>
      <c r="L38" s="65">
        <f>Debt!K57</f>
        <v>3772.1039700505016</v>
      </c>
      <c r="M38" s="65">
        <f>Debt!L57</f>
        <v>3347.498628632688</v>
      </c>
      <c r="N38" s="65">
        <f>Debt!M57</f>
        <v>2890.4112430394757</v>
      </c>
      <c r="O38" s="65">
        <f>Debt!N57</f>
        <v>2395.7417837340745</v>
      </c>
      <c r="P38" s="65">
        <f>Debt!O57</f>
        <v>1863.1510768342216</v>
      </c>
      <c r="Q38" s="65">
        <f>Debt!P57</f>
        <v>1288.0841266211605</v>
      </c>
      <c r="R38" s="65">
        <f>Debt!Q57</f>
        <v>667.92086765184501</v>
      </c>
      <c r="S38" s="65">
        <f>Debt!R57</f>
        <v>85.003959009609432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38.240146158105645</v>
      </c>
      <c r="Y38" s="65">
        <f>Debt!X57</f>
        <v>172.83316861373979</v>
      </c>
      <c r="Z38" s="65">
        <f>Debt!Y57</f>
        <v>376.59672198865286</v>
      </c>
      <c r="AA38" s="65">
        <f>Debt!Z57</f>
        <v>603.77766154205949</v>
      </c>
      <c r="AB38" s="65">
        <f>Debt!AA57</f>
        <v>855.73419979832511</v>
      </c>
      <c r="AC38" s="65">
        <f>Debt!AB57</f>
        <v>1135.192641777594</v>
      </c>
      <c r="AD38" s="65">
        <f>Debt!AC57</f>
        <v>1444.3857032350031</v>
      </c>
      <c r="AE38" s="65">
        <f>Debt!AD57</f>
        <v>1786.8724925756803</v>
      </c>
      <c r="AF38" s="65">
        <f>Debt!AE57</f>
        <v>2164.6985281543275</v>
      </c>
      <c r="AG38" s="65">
        <f>Debt!AF57</f>
        <v>2654.5704507873297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788.84674108021045</v>
      </c>
      <c r="D40" s="124">
        <f t="shared" ref="D40:X40" si="7">D36-D38</f>
        <v>1743.2102355898041</v>
      </c>
      <c r="E40" s="124">
        <f t="shared" si="7"/>
        <v>1933.517936471987</v>
      </c>
      <c r="F40" s="124">
        <f t="shared" si="7"/>
        <v>2141.681119178249</v>
      </c>
      <c r="G40" s="124">
        <f t="shared" si="7"/>
        <v>2369.1291006802348</v>
      </c>
      <c r="H40" s="124">
        <f t="shared" si="7"/>
        <v>3008.2546407887467</v>
      </c>
      <c r="I40" s="124">
        <f t="shared" si="7"/>
        <v>3556.0851324538144</v>
      </c>
      <c r="J40" s="124">
        <f t="shared" si="7"/>
        <v>3844.9459201157924</v>
      </c>
      <c r="K40" s="124">
        <f t="shared" si="7"/>
        <v>4160.072337446114</v>
      </c>
      <c r="L40" s="124">
        <f t="shared" si="7"/>
        <v>4501.0039981520067</v>
      </c>
      <c r="M40" s="124">
        <f t="shared" si="7"/>
        <v>4871.2687833518266</v>
      </c>
      <c r="N40" s="124">
        <f t="shared" si="7"/>
        <v>5272.4810034459861</v>
      </c>
      <c r="O40" s="124">
        <f t="shared" si="7"/>
        <v>5709.6965618409668</v>
      </c>
      <c r="P40" s="124">
        <f t="shared" si="7"/>
        <v>6183.2092207477599</v>
      </c>
      <c r="Q40" s="124">
        <f t="shared" si="7"/>
        <v>6697.5272408715336</v>
      </c>
      <c r="R40" s="124">
        <f t="shared" si="7"/>
        <v>7255.2225903793151</v>
      </c>
      <c r="S40" s="124">
        <f t="shared" si="7"/>
        <v>7773.903110577221</v>
      </c>
      <c r="T40" s="124">
        <f t="shared" si="7"/>
        <v>7792.8512589562361</v>
      </c>
      <c r="U40" s="124">
        <f t="shared" si="7"/>
        <v>7724.9235968631347</v>
      </c>
      <c r="V40" s="124">
        <f t="shared" si="7"/>
        <v>7655.070124220767</v>
      </c>
      <c r="W40" s="124">
        <f t="shared" si="7"/>
        <v>588.0610674179311</v>
      </c>
      <c r="X40" s="124">
        <f t="shared" si="7"/>
        <v>-5775.6781558008506</v>
      </c>
      <c r="Y40" s="124">
        <f t="shared" ref="Y40:AG40" si="8">Y36-Y38</f>
        <v>-5986.241818708736</v>
      </c>
      <c r="Z40" s="124">
        <f t="shared" si="8"/>
        <v>-6268.1338784419577</v>
      </c>
      <c r="AA40" s="124">
        <f t="shared" si="8"/>
        <v>-6575.6635011707613</v>
      </c>
      <c r="AB40" s="124">
        <f t="shared" si="8"/>
        <v>-6910.2530311565506</v>
      </c>
      <c r="AC40" s="124">
        <f t="shared" si="8"/>
        <v>-7274.6947796372697</v>
      </c>
      <c r="AD40" s="124">
        <f t="shared" si="8"/>
        <v>-7671.2893983116164</v>
      </c>
      <c r="AE40" s="124">
        <f t="shared" si="8"/>
        <v>-8103.6659181365912</v>
      </c>
      <c r="AF40" s="124">
        <f t="shared" si="8"/>
        <v>-8573.9418251959323</v>
      </c>
      <c r="AG40" s="124">
        <f t="shared" si="8"/>
        <v>-7407.1510523229408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-55.219271875614737</v>
      </c>
      <c r="D42" s="74">
        <f t="shared" ref="D42:AG42" si="9">-D40*$B$42</f>
        <v>-122.0247164912863</v>
      </c>
      <c r="E42" s="74">
        <f t="shared" si="9"/>
        <v>-135.3462555530391</v>
      </c>
      <c r="F42" s="74">
        <f t="shared" si="9"/>
        <v>-149.91767834247744</v>
      </c>
      <c r="G42" s="74">
        <f t="shared" si="9"/>
        <v>-165.83903704761644</v>
      </c>
      <c r="H42" s="74">
        <f t="shared" si="9"/>
        <v>-210.5778248552123</v>
      </c>
      <c r="I42" s="74">
        <f t="shared" si="9"/>
        <v>-248.92595927176703</v>
      </c>
      <c r="J42" s="74">
        <f t="shared" si="9"/>
        <v>-269.14621440810549</v>
      </c>
      <c r="K42" s="74">
        <f t="shared" si="9"/>
        <v>-291.20506362122802</v>
      </c>
      <c r="L42" s="74">
        <f t="shared" si="9"/>
        <v>-315.07027987064049</v>
      </c>
      <c r="M42" s="74">
        <f t="shared" si="9"/>
        <v>-340.98881483462787</v>
      </c>
      <c r="N42" s="74">
        <f t="shared" si="9"/>
        <v>-369.07367024121908</v>
      </c>
      <c r="O42" s="74">
        <f t="shared" si="9"/>
        <v>-399.67875932886773</v>
      </c>
      <c r="P42" s="74">
        <f t="shared" si="9"/>
        <v>-432.82464545234325</v>
      </c>
      <c r="Q42" s="74">
        <f t="shared" si="9"/>
        <v>-468.82690686100739</v>
      </c>
      <c r="R42" s="74">
        <f t="shared" si="9"/>
        <v>-507.8655813265521</v>
      </c>
      <c r="S42" s="74">
        <f t="shared" si="9"/>
        <v>-544.17321774040556</v>
      </c>
      <c r="T42" s="74">
        <f t="shared" si="9"/>
        <v>-545.4995881269366</v>
      </c>
      <c r="U42" s="74">
        <f t="shared" si="9"/>
        <v>-540.74465178041953</v>
      </c>
      <c r="V42" s="74">
        <f t="shared" si="9"/>
        <v>-535.85490869545379</v>
      </c>
      <c r="W42" s="74">
        <f t="shared" si="9"/>
        <v>-41.164274719255182</v>
      </c>
      <c r="X42" s="74">
        <f t="shared" si="9"/>
        <v>404.29747090605957</v>
      </c>
      <c r="Y42" s="74">
        <f t="shared" si="9"/>
        <v>419.03692730961154</v>
      </c>
      <c r="Z42" s="74">
        <f t="shared" si="9"/>
        <v>438.76937149093709</v>
      </c>
      <c r="AA42" s="74">
        <f t="shared" si="9"/>
        <v>460.29644508195332</v>
      </c>
      <c r="AB42" s="74">
        <f t="shared" si="9"/>
        <v>483.71771218095859</v>
      </c>
      <c r="AC42" s="74">
        <f t="shared" si="9"/>
        <v>509.22863457460892</v>
      </c>
      <c r="AD42" s="74">
        <f t="shared" si="9"/>
        <v>536.99025788181325</v>
      </c>
      <c r="AE42" s="74">
        <f t="shared" si="9"/>
        <v>567.2566142695614</v>
      </c>
      <c r="AF42" s="74">
        <f t="shared" si="9"/>
        <v>600.17592776371532</v>
      </c>
      <c r="AG42" s="74">
        <f t="shared" si="9"/>
        <v>518.50057366260592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-256.76961422160849</v>
      </c>
      <c r="D43" s="74">
        <f t="shared" si="10"/>
        <v>-567.41493168448119</v>
      </c>
      <c r="E43" s="74">
        <f t="shared" si="10"/>
        <v>-629.36008832163168</v>
      </c>
      <c r="F43" s="74">
        <f t="shared" si="10"/>
        <v>-697.11720429252</v>
      </c>
      <c r="G43" s="74">
        <f t="shared" si="10"/>
        <v>-771.15152227141641</v>
      </c>
      <c r="H43" s="74">
        <f t="shared" si="10"/>
        <v>-979.18688557673693</v>
      </c>
      <c r="I43" s="74">
        <f t="shared" si="10"/>
        <v>-1157.5057106137165</v>
      </c>
      <c r="J43" s="74">
        <f t="shared" si="10"/>
        <v>-1251.5298969976902</v>
      </c>
      <c r="K43" s="74">
        <f t="shared" si="10"/>
        <v>-1354.10354583871</v>
      </c>
      <c r="L43" s="74">
        <f t="shared" si="10"/>
        <v>-1465.076801398478</v>
      </c>
      <c r="M43" s="74">
        <f t="shared" si="10"/>
        <v>-1585.5979889810194</v>
      </c>
      <c r="N43" s="74">
        <f t="shared" si="10"/>
        <v>-1716.1925666216684</v>
      </c>
      <c r="O43" s="74">
        <f t="shared" si="10"/>
        <v>-1858.5062308792344</v>
      </c>
      <c r="P43" s="74">
        <f t="shared" si="10"/>
        <v>-2012.6346013533957</v>
      </c>
      <c r="Q43" s="74">
        <f t="shared" si="10"/>
        <v>-2180.0451169036842</v>
      </c>
      <c r="R43" s="74">
        <f t="shared" si="10"/>
        <v>-2361.5749531684669</v>
      </c>
      <c r="S43" s="74">
        <f t="shared" si="10"/>
        <v>-2530.4054624928854</v>
      </c>
      <c r="T43" s="74">
        <f t="shared" si="10"/>
        <v>-2536.5730847902546</v>
      </c>
      <c r="U43" s="74">
        <f t="shared" si="10"/>
        <v>-2514.4626307789504</v>
      </c>
      <c r="V43" s="74">
        <f t="shared" si="10"/>
        <v>-2491.7253254338593</v>
      </c>
      <c r="W43" s="74">
        <f t="shared" si="10"/>
        <v>-191.41387744453655</v>
      </c>
      <c r="X43" s="74">
        <f t="shared" si="10"/>
        <v>1879.9832397131765</v>
      </c>
      <c r="Y43" s="74">
        <f t="shared" si="10"/>
        <v>1948.5217119896936</v>
      </c>
      <c r="Z43" s="74">
        <f t="shared" si="10"/>
        <v>2040.277577432857</v>
      </c>
      <c r="AA43" s="74">
        <f t="shared" si="10"/>
        <v>2140.3784696310827</v>
      </c>
      <c r="AB43" s="74">
        <f t="shared" si="10"/>
        <v>2249.2873616414572</v>
      </c>
      <c r="AC43" s="74">
        <f t="shared" si="10"/>
        <v>2367.9131507719312</v>
      </c>
      <c r="AD43" s="74">
        <f t="shared" si="10"/>
        <v>2497.004699150431</v>
      </c>
      <c r="AE43" s="74">
        <f t="shared" si="10"/>
        <v>2637.7432563534603</v>
      </c>
      <c r="AF43" s="74">
        <f t="shared" si="10"/>
        <v>2790.8180641012755</v>
      </c>
      <c r="AG43" s="74">
        <f t="shared" si="10"/>
        <v>2411.027667531117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5">
        <f t="shared" ref="C45:AG45" si="11">C40+C42+C43</f>
        <v>476.85785498298725</v>
      </c>
      <c r="D45" s="375">
        <f t="shared" si="11"/>
        <v>1053.7705874140368</v>
      </c>
      <c r="E45" s="375">
        <f t="shared" si="11"/>
        <v>1168.8115925973161</v>
      </c>
      <c r="F45" s="375">
        <f t="shared" si="11"/>
        <v>1294.6462365432515</v>
      </c>
      <c r="G45" s="375">
        <f t="shared" si="11"/>
        <v>1432.138541361202</v>
      </c>
      <c r="H45" s="375">
        <f t="shared" si="11"/>
        <v>1818.4899303567972</v>
      </c>
      <c r="I45" s="375">
        <f t="shared" si="11"/>
        <v>2149.6534625683307</v>
      </c>
      <c r="J45" s="375">
        <f t="shared" si="11"/>
        <v>2324.2698087099966</v>
      </c>
      <c r="K45" s="375">
        <f t="shared" si="11"/>
        <v>2514.763727986176</v>
      </c>
      <c r="L45" s="375">
        <f t="shared" si="11"/>
        <v>2720.8569168828881</v>
      </c>
      <c r="M45" s="375">
        <f t="shared" si="11"/>
        <v>2944.6819795361789</v>
      </c>
      <c r="N45" s="375">
        <f t="shared" si="11"/>
        <v>3187.2147665830989</v>
      </c>
      <c r="O45" s="375">
        <f t="shared" si="11"/>
        <v>3451.5115716328642</v>
      </c>
      <c r="P45" s="375">
        <f t="shared" si="11"/>
        <v>3737.7499739420209</v>
      </c>
      <c r="Q45" s="375">
        <f t="shared" si="11"/>
        <v>4048.6552171068424</v>
      </c>
      <c r="R45" s="375">
        <f t="shared" si="11"/>
        <v>4385.7820558842959</v>
      </c>
      <c r="S45" s="375">
        <f t="shared" si="11"/>
        <v>4699.3244303439296</v>
      </c>
      <c r="T45" s="375">
        <f t="shared" si="11"/>
        <v>4710.778586039045</v>
      </c>
      <c r="U45" s="375">
        <f t="shared" si="11"/>
        <v>4669.7163143037651</v>
      </c>
      <c r="V45" s="375">
        <f t="shared" si="11"/>
        <v>4627.4898900914541</v>
      </c>
      <c r="W45" s="375">
        <f t="shared" si="11"/>
        <v>355.48291525413936</v>
      </c>
      <c r="X45" s="375">
        <f t="shared" si="11"/>
        <v>-3491.3974451816139</v>
      </c>
      <c r="Y45" s="375">
        <f t="shared" si="11"/>
        <v>-3618.6831794094314</v>
      </c>
      <c r="Z45" s="375">
        <f t="shared" si="11"/>
        <v>-3789.0869295181633</v>
      </c>
      <c r="AA45" s="375">
        <f t="shared" si="11"/>
        <v>-3974.988586457725</v>
      </c>
      <c r="AB45" s="375">
        <f t="shared" si="11"/>
        <v>-4177.2479573341352</v>
      </c>
      <c r="AC45" s="375">
        <f t="shared" si="11"/>
        <v>-4397.5529942907297</v>
      </c>
      <c r="AD45" s="375">
        <f t="shared" si="11"/>
        <v>-4637.2944412793713</v>
      </c>
      <c r="AE45" s="375">
        <f t="shared" si="11"/>
        <v>-4898.6660475135695</v>
      </c>
      <c r="AF45" s="375">
        <f t="shared" si="11"/>
        <v>-5182.9478333309416</v>
      </c>
      <c r="AG45" s="375">
        <f t="shared" si="11"/>
        <v>-4477.6228111292176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103471.81606826364</v>
      </c>
      <c r="D18" s="18">
        <f>Depreciation!$B$48</f>
        <v>103471.81606826364</v>
      </c>
      <c r="E18" s="18">
        <f>Depreciation!$B$48</f>
        <v>103471.81606826364</v>
      </c>
      <c r="F18" s="18">
        <f>Depreciation!$B$48</f>
        <v>103471.81606826364</v>
      </c>
      <c r="G18" s="18">
        <f>Depreciation!$B$48</f>
        <v>103471.81606826364</v>
      </c>
      <c r="H18" s="18">
        <f>Depreciation!$B$48</f>
        <v>103471.81606826364</v>
      </c>
      <c r="I18" s="18">
        <f>Depreciation!$B$48</f>
        <v>103471.81606826364</v>
      </c>
      <c r="J18" s="18">
        <f>Depreciation!$B$48</f>
        <v>103471.81606826364</v>
      </c>
      <c r="K18" s="18">
        <f>Depreciation!$B$48</f>
        <v>103471.81606826364</v>
      </c>
      <c r="L18" s="18">
        <f>Depreciation!$B$48</f>
        <v>103471.81606826364</v>
      </c>
      <c r="M18" s="18">
        <f>Depreciation!$B$48</f>
        <v>103471.81606826364</v>
      </c>
      <c r="N18" s="18">
        <f>Depreciation!$B$48</f>
        <v>103471.81606826364</v>
      </c>
      <c r="O18" s="18">
        <f>Depreciation!$B$48</f>
        <v>103471.81606826364</v>
      </c>
      <c r="P18" s="18">
        <f>Depreciation!$B$48</f>
        <v>103471.81606826364</v>
      </c>
      <c r="Q18" s="18">
        <f>Depreciation!$B$48</f>
        <v>103471.81606826364</v>
      </c>
      <c r="R18" s="18">
        <f>Depreciation!$B$48</f>
        <v>103471.81606826364</v>
      </c>
      <c r="S18" s="18">
        <f>Depreciation!$B$48</f>
        <v>103471.81606826364</v>
      </c>
      <c r="T18" s="18">
        <f>Depreciation!$B$48</f>
        <v>103471.81606826364</v>
      </c>
      <c r="U18" s="18">
        <f>Depreciation!$B$48</f>
        <v>103471.81606826364</v>
      </c>
      <c r="V18" s="18">
        <f>Depreciation!$B$48</f>
        <v>103471.81606826364</v>
      </c>
      <c r="W18" s="18">
        <f>Depreciation!$B$48</f>
        <v>103471.81606826364</v>
      </c>
      <c r="X18" s="18">
        <f>Depreciation!$B$48</f>
        <v>103471.81606826364</v>
      </c>
      <c r="Y18" s="18">
        <f>Depreciation!$B$48</f>
        <v>103471.81606826364</v>
      </c>
      <c r="Z18" s="18">
        <f>Depreciation!$B$48</f>
        <v>103471.81606826364</v>
      </c>
      <c r="AA18" s="18">
        <f>Depreciation!$B$48</f>
        <v>103471.81606826364</v>
      </c>
      <c r="AB18" s="18">
        <f>Depreciation!$B$48</f>
        <v>103471.81606826364</v>
      </c>
      <c r="AC18" s="18">
        <f>Depreciation!$B$48</f>
        <v>103471.81606826364</v>
      </c>
      <c r="AD18" s="18">
        <f>Depreciation!$B$48</f>
        <v>103471.81606826364</v>
      </c>
      <c r="AE18" s="18">
        <f>Depreciation!$B$48</f>
        <v>103471.81606826364</v>
      </c>
      <c r="AF18" s="18">
        <f>Depreciation!$B$48</f>
        <v>103471.81606826364</v>
      </c>
      <c r="AG18" s="18">
        <f>Depreciation!$B$48</f>
        <v>103471.81606826364</v>
      </c>
      <c r="AH18" s="18">
        <f>Depreciation!$B$48</f>
        <v>103471.81606826364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2145.1467811946136</v>
      </c>
      <c r="E19" s="314">
        <f>SUM(Depreciation!$D$48:E48)</f>
        <v>5822.5412632425232</v>
      </c>
      <c r="F19" s="314">
        <f>SUM(Depreciation!$D$48:F48)</f>
        <v>9499.9357452904333</v>
      </c>
      <c r="G19" s="314">
        <f>SUM(Depreciation!$D$48:G48)</f>
        <v>13177.330227338342</v>
      </c>
      <c r="H19" s="314">
        <f>SUM(Depreciation!$D$48:H48)</f>
        <v>16854.72470938625</v>
      </c>
      <c r="I19" s="314">
        <f>SUM(Depreciation!$D$48:I48)</f>
        <v>20138.71919143416</v>
      </c>
      <c r="J19" s="314">
        <f>SUM(Depreciation!$D$48:J48)</f>
        <v>23141.713673482071</v>
      </c>
      <c r="K19" s="314">
        <f>SUM(Depreciation!$D$48:K48)</f>
        <v>26144.708155529981</v>
      </c>
      <c r="L19" s="314">
        <f>SUM(Depreciation!$D$48:L48)</f>
        <v>29147.702637577891</v>
      </c>
      <c r="M19" s="314">
        <f>SUM(Depreciation!$D$48:M48)</f>
        <v>32150.697119625802</v>
      </c>
      <c r="N19" s="314">
        <f>SUM(Depreciation!$D$48:N48)</f>
        <v>35153.691601673709</v>
      </c>
      <c r="O19" s="314">
        <f>SUM(Depreciation!$D$48:O48)</f>
        <v>38156.686083721615</v>
      </c>
      <c r="P19" s="314">
        <f>SUM(Depreciation!$D$48:P48)</f>
        <v>41159.680565769522</v>
      </c>
      <c r="Q19" s="314">
        <f>SUM(Depreciation!$D$48:Q48)</f>
        <v>44162.675047817429</v>
      </c>
      <c r="R19" s="314">
        <f>SUM(Depreciation!$D$48:R48)</f>
        <v>47165.669529865336</v>
      </c>
      <c r="S19" s="314">
        <f>SUM(Depreciation!$D$48:S48)</f>
        <v>50168.664011913243</v>
      </c>
      <c r="T19" s="314">
        <f>SUM(Depreciation!$D$48:T48)</f>
        <v>53171.658493961149</v>
      </c>
      <c r="U19" s="314">
        <f>SUM(Depreciation!$D$48:U48)</f>
        <v>56174.652976009056</v>
      </c>
      <c r="V19" s="314">
        <f>SUM(Depreciation!$D$48:V48)</f>
        <v>59177.647458056963</v>
      </c>
      <c r="W19" s="314">
        <f>SUM(Depreciation!$D$48:W48)</f>
        <v>62180.64194010487</v>
      </c>
      <c r="X19" s="314">
        <f>SUM(Depreciation!$D$48:X48)</f>
        <v>65183.636422152777</v>
      </c>
      <c r="Y19" s="314">
        <f>SUM(Depreciation!$D$48:Y48)</f>
        <v>68186.630904200691</v>
      </c>
      <c r="Z19" s="314">
        <f>SUM(Depreciation!$D$48:Z48)</f>
        <v>71189.625386248605</v>
      </c>
      <c r="AA19" s="314">
        <f>SUM(Depreciation!$D$48:AA48)</f>
        <v>74192.619868296519</v>
      </c>
      <c r="AB19" s="314">
        <f>SUM(Depreciation!$D$48:AB48)</f>
        <v>77195.614350344433</v>
      </c>
      <c r="AC19" s="314">
        <f>SUM(Depreciation!$D$48:AC48)</f>
        <v>80198.608832392347</v>
      </c>
      <c r="AD19" s="314">
        <f>SUM(Depreciation!$D$48:AD48)</f>
        <v>83201.603314440261</v>
      </c>
      <c r="AE19" s="314">
        <f>SUM(Depreciation!$D$48:AE48)</f>
        <v>86204.597796488175</v>
      </c>
      <c r="AF19" s="314">
        <f>SUM(Depreciation!$D$48:AF48)</f>
        <v>89207.592278536089</v>
      </c>
      <c r="AG19" s="314">
        <f>SUM(Depreciation!$D$48:AG48)</f>
        <v>92210.586760584003</v>
      </c>
      <c r="AH19" s="314">
        <f>SUM(Depreciation!$D$48:AH48)</f>
        <v>93461.834461437305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103471.81606826364</v>
      </c>
      <c r="D20" s="23">
        <f>D18-D19</f>
        <v>101326.66928706902</v>
      </c>
      <c r="E20" s="23">
        <f t="shared" ref="E20:AH20" si="2">E18-E19</f>
        <v>97649.274805021108</v>
      </c>
      <c r="F20" s="23">
        <f t="shared" si="2"/>
        <v>93971.8803229732</v>
      </c>
      <c r="G20" s="23">
        <f t="shared" si="2"/>
        <v>90294.485840925292</v>
      </c>
      <c r="H20" s="23">
        <f t="shared" si="2"/>
        <v>86617.091358877384</v>
      </c>
      <c r="I20" s="23">
        <f t="shared" si="2"/>
        <v>83333.096876829484</v>
      </c>
      <c r="J20" s="23">
        <f t="shared" si="2"/>
        <v>80330.10239478157</v>
      </c>
      <c r="K20" s="23">
        <f t="shared" si="2"/>
        <v>77327.107912733656</v>
      </c>
      <c r="L20" s="23">
        <f t="shared" si="2"/>
        <v>74324.113430685742</v>
      </c>
      <c r="M20" s="23">
        <f t="shared" si="2"/>
        <v>71321.118948637828</v>
      </c>
      <c r="N20" s="23">
        <f t="shared" si="2"/>
        <v>68318.124466589928</v>
      </c>
      <c r="O20" s="23">
        <f t="shared" si="2"/>
        <v>65315.129984542022</v>
      </c>
      <c r="P20" s="23">
        <f t="shared" si="2"/>
        <v>62312.135502494115</v>
      </c>
      <c r="Q20" s="23">
        <f t="shared" si="2"/>
        <v>59309.141020446208</v>
      </c>
      <c r="R20" s="23">
        <f t="shared" si="2"/>
        <v>56306.146538398301</v>
      </c>
      <c r="S20" s="23">
        <f t="shared" si="2"/>
        <v>53303.152056350395</v>
      </c>
      <c r="T20" s="23">
        <f t="shared" si="2"/>
        <v>50300.157574302488</v>
      </c>
      <c r="U20" s="23">
        <f t="shared" si="2"/>
        <v>47297.163092254581</v>
      </c>
      <c r="V20" s="23">
        <f t="shared" si="2"/>
        <v>44294.168610206674</v>
      </c>
      <c r="W20" s="23">
        <f t="shared" si="2"/>
        <v>41291.174128158767</v>
      </c>
      <c r="X20" s="23">
        <f t="shared" si="2"/>
        <v>38288.179646110861</v>
      </c>
      <c r="Y20" s="23">
        <f t="shared" si="2"/>
        <v>35285.185164062947</v>
      </c>
      <c r="Z20" s="23">
        <f t="shared" si="2"/>
        <v>32282.190682015033</v>
      </c>
      <c r="AA20" s="23">
        <f t="shared" si="2"/>
        <v>29279.196199967118</v>
      </c>
      <c r="AB20" s="23">
        <f t="shared" si="2"/>
        <v>26276.201717919204</v>
      </c>
      <c r="AC20" s="23">
        <f t="shared" si="2"/>
        <v>23273.20723587129</v>
      </c>
      <c r="AD20" s="23">
        <f t="shared" si="2"/>
        <v>20270.212753823376</v>
      </c>
      <c r="AE20" s="23">
        <f t="shared" si="2"/>
        <v>17267.218271775462</v>
      </c>
      <c r="AF20" s="23">
        <f t="shared" si="2"/>
        <v>14264.223789727548</v>
      </c>
      <c r="AG20" s="23">
        <f t="shared" si="2"/>
        <v>11261.229307679634</v>
      </c>
      <c r="AH20" s="23">
        <f t="shared" si="2"/>
        <v>10009.981606826332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103471.81606826364</v>
      </c>
      <c r="D25" s="23">
        <f>SUM(D16,D20,D22,D23)</f>
        <v>101326.66928706902</v>
      </c>
      <c r="E25" s="23">
        <f t="shared" ref="E25:AH25" si="3">SUM(E16,E20,E22,E23)</f>
        <v>97649.274805021108</v>
      </c>
      <c r="F25" s="23">
        <f t="shared" si="3"/>
        <v>93971.8803229732</v>
      </c>
      <c r="G25" s="23">
        <f t="shared" si="3"/>
        <v>90294.485840925292</v>
      </c>
      <c r="H25" s="23">
        <f t="shared" si="3"/>
        <v>86617.091358877384</v>
      </c>
      <c r="I25" s="23">
        <f t="shared" si="3"/>
        <v>83333.096876829484</v>
      </c>
      <c r="J25" s="23">
        <f t="shared" si="3"/>
        <v>80330.10239478157</v>
      </c>
      <c r="K25" s="23">
        <f t="shared" si="3"/>
        <v>77327.107912733656</v>
      </c>
      <c r="L25" s="23">
        <f t="shared" si="3"/>
        <v>74324.113430685742</v>
      </c>
      <c r="M25" s="23">
        <f t="shared" si="3"/>
        <v>71321.118948637828</v>
      </c>
      <c r="N25" s="23">
        <f t="shared" si="3"/>
        <v>68318.124466589928</v>
      </c>
      <c r="O25" s="23">
        <f t="shared" si="3"/>
        <v>65315.129984542022</v>
      </c>
      <c r="P25" s="23">
        <f t="shared" si="3"/>
        <v>62312.135502494115</v>
      </c>
      <c r="Q25" s="23">
        <f t="shared" si="3"/>
        <v>59309.141020446208</v>
      </c>
      <c r="R25" s="23">
        <f t="shared" si="3"/>
        <v>56306.146538398301</v>
      </c>
      <c r="S25" s="23">
        <f t="shared" si="3"/>
        <v>53303.152056350395</v>
      </c>
      <c r="T25" s="23">
        <f t="shared" si="3"/>
        <v>50300.157574302488</v>
      </c>
      <c r="U25" s="23">
        <f t="shared" si="3"/>
        <v>47297.163092254581</v>
      </c>
      <c r="V25" s="23">
        <f t="shared" si="3"/>
        <v>44294.168610206674</v>
      </c>
      <c r="W25" s="23">
        <f t="shared" si="3"/>
        <v>41291.174128158767</v>
      </c>
      <c r="X25" s="23">
        <f t="shared" si="3"/>
        <v>38288.179646110861</v>
      </c>
      <c r="Y25" s="23">
        <f t="shared" si="3"/>
        <v>35285.185164062947</v>
      </c>
      <c r="Z25" s="23">
        <f t="shared" si="3"/>
        <v>32282.190682015033</v>
      </c>
      <c r="AA25" s="23">
        <f t="shared" si="3"/>
        <v>29279.196199967118</v>
      </c>
      <c r="AB25" s="23">
        <f t="shared" si="3"/>
        <v>26276.201717919204</v>
      </c>
      <c r="AC25" s="23">
        <f t="shared" si="3"/>
        <v>23273.20723587129</v>
      </c>
      <c r="AD25" s="23">
        <f t="shared" si="3"/>
        <v>20270.212753823376</v>
      </c>
      <c r="AE25" s="23">
        <f t="shared" si="3"/>
        <v>17267.218271775462</v>
      </c>
      <c r="AF25" s="23">
        <f t="shared" si="3"/>
        <v>14264.223789727548</v>
      </c>
      <c r="AG25" s="23">
        <f t="shared" si="3"/>
        <v>11261.229307679634</v>
      </c>
      <c r="AH25" s="23">
        <f t="shared" si="3"/>
        <v>10009.981606826332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75505.500901236432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75505.500901236432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27966.315167027205</v>
      </c>
      <c r="D41" s="23">
        <f>Assumptions!$C$11</f>
        <v>27966.315167027205</v>
      </c>
      <c r="E41" s="23">
        <f>Assumptions!$C$11</f>
        <v>27966.315167027205</v>
      </c>
      <c r="F41" s="23">
        <f>Assumptions!$C$11</f>
        <v>27966.315167027205</v>
      </c>
      <c r="G41" s="23">
        <f>Assumptions!$C$11</f>
        <v>27966.315167027205</v>
      </c>
      <c r="H41" s="23">
        <f>Assumptions!$C$11</f>
        <v>27966.315167027205</v>
      </c>
      <c r="I41" s="23">
        <f>Assumptions!$C$11</f>
        <v>27966.315167027205</v>
      </c>
      <c r="J41" s="23">
        <f>Assumptions!$C$11</f>
        <v>27966.315167027205</v>
      </c>
      <c r="K41" s="23">
        <f>Assumptions!$C$11</f>
        <v>27966.315167027205</v>
      </c>
      <c r="L41" s="23">
        <f>Assumptions!$C$11</f>
        <v>27966.315167027205</v>
      </c>
      <c r="M41" s="23">
        <f>Assumptions!$C$11</f>
        <v>27966.315167027205</v>
      </c>
      <c r="N41" s="23">
        <f>Assumptions!$C$11</f>
        <v>27966.315167027205</v>
      </c>
      <c r="O41" s="23">
        <f>Assumptions!$C$11</f>
        <v>27966.315167027205</v>
      </c>
      <c r="P41" s="23">
        <f>Assumptions!$C$11</f>
        <v>27966.315167027205</v>
      </c>
      <c r="Q41" s="23">
        <f>Assumptions!$C$11</f>
        <v>27966.315167027205</v>
      </c>
      <c r="R41" s="23">
        <f>Assumptions!$C$11</f>
        <v>27966.315167027205</v>
      </c>
      <c r="S41" s="23">
        <f>Assumptions!$C$11</f>
        <v>27966.315167027205</v>
      </c>
      <c r="T41" s="23">
        <f>Assumptions!$C$11</f>
        <v>27966.315167027205</v>
      </c>
      <c r="U41" s="23">
        <f>Assumptions!$C$11</f>
        <v>27966.315167027205</v>
      </c>
      <c r="V41" s="23">
        <f>Assumptions!$C$11</f>
        <v>27966.315167027205</v>
      </c>
      <c r="W41" s="23">
        <f>Assumptions!$C$11</f>
        <v>27966.315167027205</v>
      </c>
      <c r="X41" s="23">
        <f>Assumptions!$C$11</f>
        <v>27966.315167027205</v>
      </c>
      <c r="Y41" s="23">
        <f>Assumptions!$C$11</f>
        <v>27966.315167027205</v>
      </c>
      <c r="Z41" s="23">
        <f>Assumptions!$C$11</f>
        <v>27966.315167027205</v>
      </c>
      <c r="AA41" s="23">
        <f>Assumptions!$C$11</f>
        <v>27966.315167027205</v>
      </c>
      <c r="AB41" s="23">
        <f>Assumptions!$C$11</f>
        <v>27966.315167027205</v>
      </c>
      <c r="AC41" s="23">
        <f>Assumptions!$C$11</f>
        <v>27966.315167027205</v>
      </c>
      <c r="AD41" s="23">
        <f>Assumptions!$C$11</f>
        <v>27966.315167027205</v>
      </c>
      <c r="AE41" s="23">
        <f>Assumptions!$C$11</f>
        <v>27966.315167027205</v>
      </c>
      <c r="AF41" s="23">
        <f>Assumptions!$C$11</f>
        <v>27966.315167027205</v>
      </c>
      <c r="AG41" s="23">
        <f>Assumptions!$C$11</f>
        <v>27966.315167027205</v>
      </c>
      <c r="AH41" s="23">
        <f>Assumptions!$C$11</f>
        <v>27966.315167027205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40" zoomScale="75" zoomScaleNormal="75" workbookViewId="0">
      <selection activeCell="C53" sqref="C53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389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6659.9666666666617</v>
      </c>
      <c r="D11" s="18">
        <f>IS!D32</f>
        <v>11660.479999999998</v>
      </c>
      <c r="E11" s="18">
        <f>IS!E32</f>
        <v>11616.9704</v>
      </c>
      <c r="F11" s="18">
        <f>IS!F32</f>
        <v>11572.237111999995</v>
      </c>
      <c r="G11" s="18">
        <f>IS!G32</f>
        <v>11526.245057360004</v>
      </c>
      <c r="H11" s="18">
        <f>IS!H32</f>
        <v>11478.958137720798</v>
      </c>
      <c r="I11" s="18">
        <f>IS!I32</f>
        <v>11430.339205065222</v>
      </c>
      <c r="J11" s="18">
        <f>IS!J32</f>
        <v>11380.350030894237</v>
      </c>
      <c r="K11" s="18">
        <f>IS!K32</f>
        <v>11328.951274491657</v>
      </c>
      <c r="L11" s="18">
        <f>IS!L32</f>
        <v>11276.102450250417</v>
      </c>
      <c r="M11" s="18">
        <f>IS!M32</f>
        <v>11221.761894032423</v>
      </c>
      <c r="N11" s="18">
        <f>IS!N32</f>
        <v>11165.886728533371</v>
      </c>
      <c r="O11" s="18">
        <f>IS!O32</f>
        <v>11108.43282762295</v>
      </c>
      <c r="P11" s="18">
        <f>IS!P32</f>
        <v>11049.35477962989</v>
      </c>
      <c r="Q11" s="18">
        <f>IS!Q32</f>
        <v>10988.605849540603</v>
      </c>
      <c r="R11" s="18">
        <f>IS!R32</f>
        <v>10926.137940079068</v>
      </c>
      <c r="S11" s="18">
        <f>IS!S32</f>
        <v>10861.901551634739</v>
      </c>
      <c r="T11" s="18">
        <f>IS!T32</f>
        <v>10795.845741004145</v>
      </c>
      <c r="U11" s="18">
        <f>IS!U32</f>
        <v>10727.918078911043</v>
      </c>
      <c r="V11" s="18">
        <f>IS!V32</f>
        <v>10658.064606268676</v>
      </c>
      <c r="W11" s="18">
        <f>IS!W32</f>
        <v>3591.0555494658402</v>
      </c>
      <c r="X11" s="18">
        <f>IS!X32</f>
        <v>-2734.4435275948354</v>
      </c>
      <c r="Y11" s="18">
        <f>IS!Y32</f>
        <v>-2810.4141680470875</v>
      </c>
      <c r="Z11" s="18">
        <f>IS!Z32</f>
        <v>-2888.5426744053966</v>
      </c>
      <c r="AA11" s="18">
        <f>IS!AA32</f>
        <v>-2968.8913575807919</v>
      </c>
      <c r="AB11" s="18">
        <f>IS!AB32</f>
        <v>-3051.5243493103162</v>
      </c>
      <c r="AC11" s="18">
        <f>IS!AC32</f>
        <v>-3136.5076558117671</v>
      </c>
      <c r="AD11" s="18">
        <f>IS!AD32</f>
        <v>-3223.9092130287045</v>
      </c>
      <c r="AE11" s="18">
        <f>IS!AE32</f>
        <v>-3313.7989435130012</v>
      </c>
      <c r="AF11" s="18">
        <f>IS!AF32</f>
        <v>-3406.2488149936962</v>
      </c>
      <c r="AG11" s="18">
        <f>IS!AG32</f>
        <v>-3501.332900682316</v>
      </c>
    </row>
    <row r="12" spans="1:35">
      <c r="A12" s="45" t="s">
        <v>81</v>
      </c>
      <c r="B12" s="452">
        <v>0</v>
      </c>
      <c r="C12" s="452">
        <f>-(Debt!B36)</f>
        <v>-2143.7153849303813</v>
      </c>
      <c r="D12" s="452">
        <f>-(Debt!B44+Debt!C27+Debt!C36)</f>
        <v>-6294.4748585674715</v>
      </c>
      <c r="E12" s="452">
        <f>-(Debt!C44+Debt!D27+Debt!D36)</f>
        <v>-6067.0360452700106</v>
      </c>
      <c r="F12" s="452">
        <f>-(Debt!D44+Debt!E27+Debt!E36)</f>
        <v>-5822.5530535309745</v>
      </c>
      <c r="G12" s="452">
        <f>-(Debt!E44+Debt!F27+Debt!F36)</f>
        <v>-5546.3091214488541</v>
      </c>
      <c r="H12" s="452">
        <f>-(Debt!F44+Debt!G27+Debt!G36)</f>
        <v>-5262.5021474632704</v>
      </c>
      <c r="I12" s="452">
        <f>-(Debt!G44+Debt!H27+Debt!H36)</f>
        <v>-4952.8281254761141</v>
      </c>
      <c r="J12" s="452">
        <f>-(Debt!H44+Debt!I27+Debt!I36)</f>
        <v>-4623.245418873621</v>
      </c>
      <c r="K12" s="452">
        <f>-(Debt!I44+Debt!J27+Debt!J36)</f>
        <v>-4257.4555742824214</v>
      </c>
      <c r="L12" s="452">
        <f>-(Debt!J44+Debt!K27+Debt!K36)</f>
        <v>-3874.0369321271792</v>
      </c>
      <c r="M12" s="452">
        <f>-(Debt!K44+Debt!L27+Debt!L36)</f>
        <v>-3457.3814984946994</v>
      </c>
      <c r="N12" s="452">
        <f>-(Debt!L44+Debt!M27+Debt!M36)</f>
        <v>-3010.7825070134631</v>
      </c>
      <c r="O12" s="452">
        <f>-(Debt!M44+Debt!N27+Debt!N36)</f>
        <v>-2521.6900841384363</v>
      </c>
      <c r="P12" s="452">
        <f>-(Debt!N44+Debt!O27+Debt!O36)</f>
        <v>-2001.1038454033041</v>
      </c>
      <c r="Q12" s="452">
        <f>-(Debt!O44+Debt!P27+Debt!P36)</f>
        <v>-1437.0075991852214</v>
      </c>
      <c r="R12" s="452">
        <f>-(Debt!P44+Debt!Q27+Debt!Q36)</f>
        <v>-829.06987541879175</v>
      </c>
      <c r="S12" s="452">
        <f>-(Debt!Q44+Debt!R27+Debt!R36)</f>
        <v>-169.77566676509423</v>
      </c>
      <c r="T12" s="452">
        <f>-(Debt!R44+Debt!S27+Debt!S36)</f>
        <v>0</v>
      </c>
      <c r="U12" s="452">
        <f>-(Debt!S44+Debt!T27+Debt!T36)</f>
        <v>0</v>
      </c>
      <c r="V12" s="452">
        <f>-(Debt!T44+Debt!U27+Debt!U36)</f>
        <v>0</v>
      </c>
      <c r="W12" s="452">
        <f>-(Debt!U44+Debt!V27+Debt!V36)</f>
        <v>0</v>
      </c>
      <c r="X12" s="452">
        <f>-(Debt!V44+Debt!W27+Debt!W36)</f>
        <v>-18.970892619800161</v>
      </c>
      <c r="Y12" s="452">
        <f>-(Debt!W44+Debt!X27+Debt!X36)</f>
        <v>-124.68600739246486</v>
      </c>
      <c r="Z12" s="452">
        <f>-(Debt!X44+Debt!Y27+Debt!Y36)</f>
        <v>-323.27498903992637</v>
      </c>
      <c r="AA12" s="452">
        <f>-(Debt!Y44+Debt!Z27+Debt!Z36)</f>
        <v>-543.88266041344718</v>
      </c>
      <c r="AB12" s="452">
        <f>-(Debt!Z44+Debt!AA27+Debt!AA36)</f>
        <v>-789.59312344011073</v>
      </c>
      <c r="AC12" s="452">
        <f>-(Debt!AA44+Debt!AB27+Debt!AB36)</f>
        <v>-1061.9049996085284</v>
      </c>
      <c r="AD12" s="452">
        <f>-(Debt!AB44+Debt!AC27+Debt!AC36)</f>
        <v>-1364.3345052512714</v>
      </c>
      <c r="AE12" s="452">
        <f>-(Debt!AC44+Debt!AD27+Debt!AD36)</f>
        <v>-1696.2122000681065</v>
      </c>
      <c r="AF12" s="452">
        <f>-(Debt!AD44+Debt!AE27+Debt!AE36)</f>
        <v>-2065.7703857863021</v>
      </c>
      <c r="AG12" s="452">
        <f>-(Debt!AE44+Debt!AF27+Debt!AF36)</f>
        <v>-1393.7398830999325</v>
      </c>
      <c r="AH12" s="13"/>
      <c r="AI12" s="13"/>
    </row>
    <row r="13" spans="1:35">
      <c r="A13" s="45" t="s">
        <v>360</v>
      </c>
      <c r="B13" s="64">
        <f>SUM(B11:B12)</f>
        <v>0</v>
      </c>
      <c r="C13" s="64">
        <f t="shared" ref="C13:AG13" si="0">SUM(C11:C12)</f>
        <v>4516.2512817362804</v>
      </c>
      <c r="D13" s="64">
        <f t="shared" si="0"/>
        <v>5366.0051414325262</v>
      </c>
      <c r="E13" s="64">
        <f t="shared" si="0"/>
        <v>5549.9343547299895</v>
      </c>
      <c r="F13" s="64">
        <f t="shared" si="0"/>
        <v>5749.6840584690208</v>
      </c>
      <c r="G13" s="64">
        <f t="shared" si="0"/>
        <v>5979.9359359111495</v>
      </c>
      <c r="H13" s="64">
        <f t="shared" si="0"/>
        <v>6216.4559902575274</v>
      </c>
      <c r="I13" s="64">
        <f t="shared" si="0"/>
        <v>6477.5110795891078</v>
      </c>
      <c r="J13" s="64">
        <f t="shared" si="0"/>
        <v>6757.1046120206156</v>
      </c>
      <c r="K13" s="64">
        <f t="shared" si="0"/>
        <v>7071.495700209236</v>
      </c>
      <c r="L13" s="64">
        <f t="shared" si="0"/>
        <v>7402.0655181232378</v>
      </c>
      <c r="M13" s="64">
        <f t="shared" si="0"/>
        <v>7764.3803955377234</v>
      </c>
      <c r="N13" s="64">
        <f t="shared" si="0"/>
        <v>8155.1042215199077</v>
      </c>
      <c r="O13" s="64">
        <f t="shared" si="0"/>
        <v>8586.742743484514</v>
      </c>
      <c r="P13" s="64">
        <f t="shared" si="0"/>
        <v>9048.2509342265857</v>
      </c>
      <c r="Q13" s="64">
        <f t="shared" si="0"/>
        <v>9551.5982503553823</v>
      </c>
      <c r="R13" s="64">
        <f t="shared" si="0"/>
        <v>10097.068064660276</v>
      </c>
      <c r="S13" s="64">
        <f t="shared" si="0"/>
        <v>10692.125884869645</v>
      </c>
      <c r="T13" s="64">
        <f t="shared" si="0"/>
        <v>10795.845741004145</v>
      </c>
      <c r="U13" s="64">
        <f t="shared" si="0"/>
        <v>10727.918078911043</v>
      </c>
      <c r="V13" s="64">
        <f t="shared" si="0"/>
        <v>10658.064606268676</v>
      </c>
      <c r="W13" s="64">
        <f t="shared" si="0"/>
        <v>3591.0555494658402</v>
      </c>
      <c r="X13" s="64">
        <f t="shared" si="0"/>
        <v>-2753.4144202146354</v>
      </c>
      <c r="Y13" s="64">
        <f t="shared" si="0"/>
        <v>-2935.1001754395525</v>
      </c>
      <c r="Z13" s="64">
        <f t="shared" si="0"/>
        <v>-3211.817663445323</v>
      </c>
      <c r="AA13" s="64">
        <f t="shared" si="0"/>
        <v>-3512.7740179942393</v>
      </c>
      <c r="AB13" s="64">
        <f t="shared" si="0"/>
        <v>-3841.1174727504267</v>
      </c>
      <c r="AC13" s="64">
        <f t="shared" si="0"/>
        <v>-4198.4126554202958</v>
      </c>
      <c r="AD13" s="64">
        <f t="shared" si="0"/>
        <v>-4588.2437182799758</v>
      </c>
      <c r="AE13" s="64">
        <f t="shared" si="0"/>
        <v>-5010.0111435811077</v>
      </c>
      <c r="AF13" s="64">
        <f t="shared" si="0"/>
        <v>-5472.0192007799978</v>
      </c>
      <c r="AG13" s="64">
        <f t="shared" si="0"/>
        <v>-4895.0727837822487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361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-108.77746819211987</v>
      </c>
      <c r="Q15" s="18">
        <f>-Taxes!P24-Taxes!P41</f>
        <v>-1334.2884710310188</v>
      </c>
      <c r="R15" s="18">
        <f>-Taxes!Q24-Taxes!Q41</f>
        <v>-2889.2352731225178</v>
      </c>
      <c r="S15" s="18">
        <f>-Taxes!R24-Taxes!R41</f>
        <v>-4262.2629978832383</v>
      </c>
      <c r="T15" s="18">
        <f>-Taxes!S24-Taxes!S41</f>
        <v>-4269.7569905671389</v>
      </c>
      <c r="U15" s="18">
        <f>-Taxes!T24-Taxes!T41</f>
        <v>-4242.8916002093174</v>
      </c>
      <c r="V15" s="18">
        <f>-Taxes!U24-Taxes!U41</f>
        <v>-4215.2645517792607</v>
      </c>
      <c r="W15" s="18">
        <f>-Taxes!V24-Taxes!V41</f>
        <v>-1420.2624698137399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-790.61445737128088</v>
      </c>
      <c r="D16" s="23">
        <f>-Debt!C48</f>
        <v>-2627.5901428259531</v>
      </c>
      <c r="E16" s="23">
        <f>-Debt!D48</f>
        <v>-2877.4393385023868</v>
      </c>
      <c r="F16" s="23">
        <f>-Debt!E48</f>
        <v>-3093.8105403550289</v>
      </c>
      <c r="G16" s="23">
        <f>-Debt!F48</f>
        <v>-3322.789872645415</v>
      </c>
      <c r="H16" s="23">
        <f>-Debt!G48</f>
        <v>-3576.5343750978645</v>
      </c>
      <c r="I16" s="23">
        <f>-Debt!H48</f>
        <v>-3849.0646726702835</v>
      </c>
      <c r="J16" s="23">
        <f>-Debt!I48</f>
        <v>-4146.4201590134326</v>
      </c>
      <c r="K16" s="23">
        <f>-Debt!J48</f>
        <v>-4461.0164203237728</v>
      </c>
      <c r="L16" s="23">
        <f>-Debt!K48</f>
        <v>-4810.0234205542802</v>
      </c>
      <c r="M16" s="23">
        <f>-Debt!L48</f>
        <v>-5185.1645119113455</v>
      </c>
      <c r="N16" s="23">
        <f>-Debt!M48</f>
        <v>-5594.927743173288</v>
      </c>
      <c r="O16" s="23">
        <f>-Debt!N48</f>
        <v>-6028.4259734521038</v>
      </c>
      <c r="P16" s="23">
        <f>-Debt!O48</f>
        <v>-6509.7298678364787</v>
      </c>
      <c r="Q16" s="23">
        <f>-Debt!P48</f>
        <v>-7027.416610973778</v>
      </c>
      <c r="R16" s="23">
        <f>-Debt!Q48</f>
        <v>-7593.3569653755776</v>
      </c>
      <c r="S16" s="23">
        <f>-Debt!R48</f>
        <v>-4011.1758291541619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909.27957873063997</v>
      </c>
      <c r="Y16" s="23">
        <f>-Debt!X48</f>
        <v>2271.9733478688236</v>
      </c>
      <c r="Z16" s="23">
        <f>-Debt!Y48</f>
        <v>2531.7609145434353</v>
      </c>
      <c r="AA16" s="23">
        <f>-Debt!Z48</f>
        <v>2810.7223353891613</v>
      </c>
      <c r="AB16" s="23">
        <f>-Debt!AA48</f>
        <v>3121.0721229150931</v>
      </c>
      <c r="AC16" s="23">
        <f>-Debt!AB48</f>
        <v>3458.3050280166681</v>
      </c>
      <c r="AD16" s="23">
        <f>-Debt!AC48</f>
        <v>3829.1920270730498</v>
      </c>
      <c r="AE16" s="23">
        <f>-Debt!AD48</f>
        <v>4226.3598836349702</v>
      </c>
      <c r="AF16" s="23">
        <f>-Debt!AE48</f>
        <v>4668.2316695965346</v>
      </c>
      <c r="AG16" s="23">
        <f>-Debt!AF48</f>
        <v>4740.3260810208412</v>
      </c>
    </row>
    <row r="17" spans="1:33">
      <c r="A17" s="45" t="s">
        <v>362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363</v>
      </c>
      <c r="B18" s="64">
        <f>B13+B17+B16+B15</f>
        <v>0</v>
      </c>
      <c r="C18" s="64">
        <f t="shared" ref="C18:AG18" si="1">C13+C17+C16+C15</f>
        <v>3725.6368243649995</v>
      </c>
      <c r="D18" s="64">
        <f t="shared" si="1"/>
        <v>2738.4149986065731</v>
      </c>
      <c r="E18" s="64">
        <f t="shared" si="1"/>
        <v>2672.4950162276027</v>
      </c>
      <c r="F18" s="64">
        <f t="shared" si="1"/>
        <v>2655.8735181139918</v>
      </c>
      <c r="G18" s="64">
        <f t="shared" si="1"/>
        <v>2657.1460632657345</v>
      </c>
      <c r="H18" s="64">
        <f t="shared" si="1"/>
        <v>2639.9216151596629</v>
      </c>
      <c r="I18" s="64">
        <f t="shared" si="1"/>
        <v>2628.4464069188243</v>
      </c>
      <c r="J18" s="64">
        <f t="shared" si="1"/>
        <v>2610.684453007183</v>
      </c>
      <c r="K18" s="64">
        <f t="shared" si="1"/>
        <v>2610.4792798854633</v>
      </c>
      <c r="L18" s="64">
        <f t="shared" si="1"/>
        <v>2592.0420975689576</v>
      </c>
      <c r="M18" s="64">
        <f t="shared" si="1"/>
        <v>2579.2158836263779</v>
      </c>
      <c r="N18" s="64">
        <f t="shared" si="1"/>
        <v>2560.1764783466197</v>
      </c>
      <c r="O18" s="64">
        <f t="shared" si="1"/>
        <v>2558.3167700324102</v>
      </c>
      <c r="P18" s="64">
        <f t="shared" si="1"/>
        <v>2429.743598197987</v>
      </c>
      <c r="Q18" s="64">
        <f t="shared" si="1"/>
        <v>1189.8931683505855</v>
      </c>
      <c r="R18" s="64">
        <f t="shared" si="1"/>
        <v>-385.52417383781949</v>
      </c>
      <c r="S18" s="64">
        <f t="shared" si="1"/>
        <v>2418.687057832245</v>
      </c>
      <c r="T18" s="64">
        <f t="shared" si="1"/>
        <v>6526.0887504370057</v>
      </c>
      <c r="U18" s="64">
        <f t="shared" si="1"/>
        <v>6485.0264787017259</v>
      </c>
      <c r="V18" s="64">
        <f t="shared" si="1"/>
        <v>6442.8000544894148</v>
      </c>
      <c r="W18" s="64">
        <f t="shared" si="1"/>
        <v>2170.7930796521005</v>
      </c>
      <c r="X18" s="64">
        <f t="shared" si="1"/>
        <v>-1844.1348414839954</v>
      </c>
      <c r="Y18" s="64">
        <f t="shared" si="1"/>
        <v>-663.12682757072889</v>
      </c>
      <c r="Z18" s="64">
        <f t="shared" si="1"/>
        <v>-680.05674890188766</v>
      </c>
      <c r="AA18" s="64">
        <f t="shared" si="1"/>
        <v>-702.05168260507799</v>
      </c>
      <c r="AB18" s="64">
        <f t="shared" si="1"/>
        <v>-720.04534983533358</v>
      </c>
      <c r="AC18" s="64">
        <f t="shared" si="1"/>
        <v>-740.1076274036277</v>
      </c>
      <c r="AD18" s="64">
        <f t="shared" si="1"/>
        <v>-759.05169120692608</v>
      </c>
      <c r="AE18" s="64">
        <f t="shared" si="1"/>
        <v>-783.65125994613754</v>
      </c>
      <c r="AF18" s="64">
        <f t="shared" si="1"/>
        <v>-803.78753118346322</v>
      </c>
      <c r="AG18" s="64">
        <f t="shared" si="1"/>
        <v>-154.74670276140751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414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3725.6368243649995</v>
      </c>
      <c r="D21" s="64">
        <f t="shared" si="2"/>
        <v>2738.4149986065731</v>
      </c>
      <c r="E21" s="64">
        <f t="shared" si="2"/>
        <v>2672.4950162276027</v>
      </c>
      <c r="F21" s="64">
        <f t="shared" si="2"/>
        <v>2655.8735181139918</v>
      </c>
      <c r="G21" s="64">
        <f t="shared" si="2"/>
        <v>2657.1460632657345</v>
      </c>
      <c r="H21" s="64">
        <f t="shared" si="2"/>
        <v>2639.9216151596629</v>
      </c>
      <c r="I21" s="64">
        <f t="shared" si="2"/>
        <v>2628.4464069188243</v>
      </c>
      <c r="J21" s="64">
        <f t="shared" si="2"/>
        <v>2610.684453007183</v>
      </c>
      <c r="K21" s="64">
        <f t="shared" si="2"/>
        <v>2610.4792798854633</v>
      </c>
      <c r="L21" s="64">
        <f t="shared" si="2"/>
        <v>2592.0420975689576</v>
      </c>
      <c r="M21" s="64">
        <f t="shared" si="2"/>
        <v>2579.2158836263779</v>
      </c>
      <c r="N21" s="64">
        <f t="shared" si="2"/>
        <v>2560.1764783466197</v>
      </c>
      <c r="O21" s="64">
        <f t="shared" si="2"/>
        <v>2558.3167700324102</v>
      </c>
      <c r="P21" s="64">
        <f t="shared" si="2"/>
        <v>2429.743598197987</v>
      </c>
      <c r="Q21" s="64">
        <f t="shared" si="2"/>
        <v>1189.8931683505855</v>
      </c>
      <c r="R21" s="64">
        <f t="shared" si="2"/>
        <v>-385.52417383781949</v>
      </c>
      <c r="S21" s="64">
        <f t="shared" si="2"/>
        <v>2418.687057832245</v>
      </c>
      <c r="T21" s="64">
        <f t="shared" si="2"/>
        <v>6526.0887504370057</v>
      </c>
      <c r="U21" s="64">
        <f t="shared" si="2"/>
        <v>6485.0264787017259</v>
      </c>
      <c r="V21" s="64">
        <f t="shared" si="2"/>
        <v>6442.8000544894148</v>
      </c>
      <c r="W21" s="64">
        <f t="shared" si="2"/>
        <v>2170.7930796521005</v>
      </c>
      <c r="X21" s="64">
        <f t="shared" si="2"/>
        <v>-1844.1348414839954</v>
      </c>
      <c r="Y21" s="64">
        <f t="shared" si="2"/>
        <v>-663.12682757072889</v>
      </c>
      <c r="Z21" s="64">
        <f t="shared" si="2"/>
        <v>-680.05674890188766</v>
      </c>
      <c r="AA21" s="64">
        <f t="shared" si="2"/>
        <v>-702.05168260507799</v>
      </c>
      <c r="AB21" s="64">
        <f t="shared" si="2"/>
        <v>-720.04534983533358</v>
      </c>
      <c r="AC21" s="64">
        <f t="shared" si="2"/>
        <v>-740.1076274036277</v>
      </c>
      <c r="AD21" s="64">
        <f t="shared" si="2"/>
        <v>-759.05169120692608</v>
      </c>
      <c r="AE21" s="64">
        <f t="shared" si="2"/>
        <v>-783.65125994613754</v>
      </c>
      <c r="AF21" s="64">
        <f t="shared" si="2"/>
        <v>-803.78753118346322</v>
      </c>
      <c r="AG21" s="64">
        <f t="shared" si="2"/>
        <v>-154.74670276140751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370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-27966.315167027205</v>
      </c>
      <c r="C25" s="18">
        <f t="shared" ref="C25:V25" si="3">+B29</f>
        <v>-27966.315167027205</v>
      </c>
      <c r="D25" s="18">
        <f t="shared" si="3"/>
        <v>-27966.315167027205</v>
      </c>
      <c r="E25" s="18">
        <f t="shared" si="3"/>
        <v>-27966.315167027205</v>
      </c>
      <c r="F25" s="18">
        <f t="shared" si="3"/>
        <v>-27966.315167027205</v>
      </c>
      <c r="G25" s="18">
        <f t="shared" si="3"/>
        <v>-27966.315167027205</v>
      </c>
      <c r="H25" s="18">
        <f t="shared" si="3"/>
        <v>-27966.315167027205</v>
      </c>
      <c r="I25" s="18">
        <f t="shared" si="3"/>
        <v>-27966.315167027205</v>
      </c>
      <c r="J25" s="18">
        <f t="shared" si="3"/>
        <v>-27966.315167027205</v>
      </c>
      <c r="K25" s="18">
        <f t="shared" si="3"/>
        <v>-27966.315167027205</v>
      </c>
      <c r="L25" s="18">
        <f t="shared" si="3"/>
        <v>-27966.315167027205</v>
      </c>
      <c r="M25" s="18">
        <f t="shared" si="3"/>
        <v>-27966.315167027205</v>
      </c>
      <c r="N25" s="18">
        <f t="shared" si="3"/>
        <v>-27966.315167027205</v>
      </c>
      <c r="O25" s="18">
        <f t="shared" si="3"/>
        <v>-27966.315167027205</v>
      </c>
      <c r="P25" s="18">
        <f t="shared" si="3"/>
        <v>-27966.315167027205</v>
      </c>
      <c r="Q25" s="18">
        <f t="shared" si="3"/>
        <v>-27966.315167027205</v>
      </c>
      <c r="R25" s="18">
        <f t="shared" si="3"/>
        <v>-27966.315167027205</v>
      </c>
      <c r="S25" s="18">
        <f t="shared" si="3"/>
        <v>-27966.315167027205</v>
      </c>
      <c r="T25" s="18">
        <f t="shared" si="3"/>
        <v>-27966.315167027205</v>
      </c>
      <c r="U25" s="18">
        <f t="shared" si="3"/>
        <v>-25355.51053997401</v>
      </c>
      <c r="V25" s="18">
        <f t="shared" si="3"/>
        <v>-22420.255536868644</v>
      </c>
      <c r="W25" s="18">
        <f t="shared" ref="W25:AG25" si="4">+V29</f>
        <v>-19116.291257540841</v>
      </c>
      <c r="X25" s="18">
        <f t="shared" si="4"/>
        <v>-19116.291257540841</v>
      </c>
      <c r="Y25" s="18">
        <f t="shared" si="4"/>
        <v>-19116.291257540841</v>
      </c>
      <c r="Z25" s="18">
        <f t="shared" si="4"/>
        <v>-19116.291257540841</v>
      </c>
      <c r="AA25" s="18">
        <f t="shared" si="4"/>
        <v>-19116.291257540841</v>
      </c>
      <c r="AB25" s="18">
        <f t="shared" si="4"/>
        <v>-19116.291257540841</v>
      </c>
      <c r="AC25" s="18">
        <f t="shared" si="4"/>
        <v>-19116.291257540841</v>
      </c>
      <c r="AD25" s="18">
        <f t="shared" si="4"/>
        <v>-19116.291257540841</v>
      </c>
      <c r="AE25" s="18">
        <f t="shared" si="4"/>
        <v>-19116.291257540841</v>
      </c>
      <c r="AF25" s="18">
        <f t="shared" si="4"/>
        <v>-19116.291257540841</v>
      </c>
      <c r="AG25" s="18">
        <f t="shared" si="4"/>
        <v>-19116.291257540841</v>
      </c>
    </row>
    <row r="26" spans="1:33">
      <c r="A26" s="45" t="s">
        <v>369</v>
      </c>
      <c r="B26" s="18">
        <v>0</v>
      </c>
      <c r="C26" s="18">
        <f>+-B25*$B$24</f>
        <v>3915.2841233838089</v>
      </c>
      <c r="D26" s="18">
        <f t="shared" ref="D26:V26" si="5">+-D25*$B$24</f>
        <v>3915.2841233838089</v>
      </c>
      <c r="E26" s="18">
        <f t="shared" si="5"/>
        <v>3915.2841233838089</v>
      </c>
      <c r="F26" s="18">
        <f t="shared" si="5"/>
        <v>3915.2841233838089</v>
      </c>
      <c r="G26" s="18">
        <f t="shared" si="5"/>
        <v>3915.2841233838089</v>
      </c>
      <c r="H26" s="18">
        <f t="shared" si="5"/>
        <v>3915.2841233838089</v>
      </c>
      <c r="I26" s="18">
        <f t="shared" si="5"/>
        <v>3915.2841233838089</v>
      </c>
      <c r="J26" s="18">
        <f t="shared" si="5"/>
        <v>3915.2841233838089</v>
      </c>
      <c r="K26" s="18">
        <f t="shared" si="5"/>
        <v>3915.2841233838089</v>
      </c>
      <c r="L26" s="18">
        <f t="shared" si="5"/>
        <v>3915.2841233838089</v>
      </c>
      <c r="M26" s="18">
        <f t="shared" si="5"/>
        <v>3915.2841233838089</v>
      </c>
      <c r="N26" s="18">
        <f t="shared" si="5"/>
        <v>3915.2841233838089</v>
      </c>
      <c r="O26" s="18">
        <f t="shared" si="5"/>
        <v>3915.2841233838089</v>
      </c>
      <c r="P26" s="18">
        <f t="shared" si="5"/>
        <v>3915.2841233838089</v>
      </c>
      <c r="Q26" s="18">
        <f t="shared" si="5"/>
        <v>3915.2841233838089</v>
      </c>
      <c r="R26" s="18">
        <f t="shared" si="5"/>
        <v>3915.2841233838089</v>
      </c>
      <c r="S26" s="18">
        <f t="shared" si="5"/>
        <v>3915.2841233838089</v>
      </c>
      <c r="T26" s="18">
        <f t="shared" si="5"/>
        <v>3915.2841233838089</v>
      </c>
      <c r="U26" s="18">
        <f t="shared" si="5"/>
        <v>3549.7714755963616</v>
      </c>
      <c r="V26" s="18">
        <f t="shared" si="5"/>
        <v>3138.8357751616104</v>
      </c>
      <c r="W26" s="18">
        <f t="shared" ref="W26:AG26" si="6">+-W25*$B$24</f>
        <v>2676.280776055718</v>
      </c>
      <c r="X26" s="18">
        <f t="shared" si="6"/>
        <v>2676.280776055718</v>
      </c>
      <c r="Y26" s="18">
        <f t="shared" si="6"/>
        <v>2676.280776055718</v>
      </c>
      <c r="Z26" s="18">
        <f t="shared" si="6"/>
        <v>2676.280776055718</v>
      </c>
      <c r="AA26" s="18">
        <f t="shared" si="6"/>
        <v>2676.280776055718</v>
      </c>
      <c r="AB26" s="18">
        <f t="shared" si="6"/>
        <v>2676.280776055718</v>
      </c>
      <c r="AC26" s="18">
        <f t="shared" si="6"/>
        <v>2676.280776055718</v>
      </c>
      <c r="AD26" s="18">
        <f t="shared" si="6"/>
        <v>2676.280776055718</v>
      </c>
      <c r="AE26" s="18">
        <f t="shared" si="6"/>
        <v>2676.280776055718</v>
      </c>
      <c r="AF26" s="18">
        <f t="shared" si="6"/>
        <v>2676.280776055718</v>
      </c>
      <c r="AG26" s="18">
        <f t="shared" si="6"/>
        <v>2676.280776055718</v>
      </c>
    </row>
    <row r="27" spans="1:33">
      <c r="A27" s="45" t="s">
        <v>365</v>
      </c>
      <c r="B27" s="18">
        <f>B21</f>
        <v>0</v>
      </c>
      <c r="C27" s="18">
        <f t="shared" ref="C27:AG27" si="7">C21</f>
        <v>3725.6368243649995</v>
      </c>
      <c r="D27" s="18">
        <f t="shared" si="7"/>
        <v>2738.4149986065731</v>
      </c>
      <c r="E27" s="18">
        <f t="shared" si="7"/>
        <v>2672.4950162276027</v>
      </c>
      <c r="F27" s="18">
        <f t="shared" si="7"/>
        <v>2655.8735181139918</v>
      </c>
      <c r="G27" s="18">
        <f t="shared" si="7"/>
        <v>2657.1460632657345</v>
      </c>
      <c r="H27" s="18">
        <f t="shared" si="7"/>
        <v>2639.9216151596629</v>
      </c>
      <c r="I27" s="18">
        <f t="shared" si="7"/>
        <v>2628.4464069188243</v>
      </c>
      <c r="J27" s="18">
        <f t="shared" si="7"/>
        <v>2610.684453007183</v>
      </c>
      <c r="K27" s="18">
        <f t="shared" si="7"/>
        <v>2610.4792798854633</v>
      </c>
      <c r="L27" s="18">
        <f t="shared" si="7"/>
        <v>2592.0420975689576</v>
      </c>
      <c r="M27" s="18">
        <f t="shared" si="7"/>
        <v>2579.2158836263779</v>
      </c>
      <c r="N27" s="18">
        <f t="shared" si="7"/>
        <v>2560.1764783466197</v>
      </c>
      <c r="O27" s="18">
        <f t="shared" si="7"/>
        <v>2558.3167700324102</v>
      </c>
      <c r="P27" s="18">
        <f t="shared" si="7"/>
        <v>2429.743598197987</v>
      </c>
      <c r="Q27" s="18">
        <f t="shared" si="7"/>
        <v>1189.8931683505855</v>
      </c>
      <c r="R27" s="18">
        <f t="shared" si="7"/>
        <v>-385.52417383781949</v>
      </c>
      <c r="S27" s="18">
        <f t="shared" si="7"/>
        <v>2418.687057832245</v>
      </c>
      <c r="T27" s="18">
        <f t="shared" si="7"/>
        <v>6526.0887504370057</v>
      </c>
      <c r="U27" s="18">
        <f t="shared" si="7"/>
        <v>6485.0264787017259</v>
      </c>
      <c r="V27" s="18">
        <f t="shared" si="7"/>
        <v>6442.8000544894148</v>
      </c>
      <c r="W27" s="18">
        <f t="shared" si="7"/>
        <v>2170.7930796521005</v>
      </c>
      <c r="X27" s="18">
        <f t="shared" si="7"/>
        <v>-1844.1348414839954</v>
      </c>
      <c r="Y27" s="18">
        <f t="shared" si="7"/>
        <v>-663.12682757072889</v>
      </c>
      <c r="Z27" s="18">
        <f t="shared" si="7"/>
        <v>-680.05674890188766</v>
      </c>
      <c r="AA27" s="18">
        <f t="shared" si="7"/>
        <v>-702.05168260507799</v>
      </c>
      <c r="AB27" s="18">
        <f t="shared" si="7"/>
        <v>-720.04534983533358</v>
      </c>
      <c r="AC27" s="18">
        <f t="shared" si="7"/>
        <v>-740.1076274036277</v>
      </c>
      <c r="AD27" s="18">
        <f t="shared" si="7"/>
        <v>-759.05169120692608</v>
      </c>
      <c r="AE27" s="18">
        <f t="shared" si="7"/>
        <v>-783.65125994613754</v>
      </c>
      <c r="AF27" s="18">
        <f t="shared" si="7"/>
        <v>-803.78753118346322</v>
      </c>
      <c r="AG27" s="18">
        <f t="shared" si="7"/>
        <v>-154.74670276140751</v>
      </c>
    </row>
    <row r="28" spans="1:33">
      <c r="A28" s="45" t="s">
        <v>368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2610.8046270531968</v>
      </c>
      <c r="U28" s="315">
        <f t="shared" si="8"/>
        <v>2935.2550031053643</v>
      </c>
      <c r="V28" s="315">
        <f t="shared" si="8"/>
        <v>3303.9642793278044</v>
      </c>
      <c r="W28" s="315">
        <f t="shared" ref="W28:AG28" si="9">+IF(W27&gt;W26,W27-W26,0)</f>
        <v>0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-27966.315167027205</v>
      </c>
      <c r="C29" s="18">
        <f t="shared" si="10"/>
        <v>-27966.315167027205</v>
      </c>
      <c r="D29" s="18">
        <f t="shared" si="10"/>
        <v>-27966.315167027205</v>
      </c>
      <c r="E29" s="18">
        <f t="shared" si="10"/>
        <v>-27966.315167027205</v>
      </c>
      <c r="F29" s="18">
        <f t="shared" si="10"/>
        <v>-27966.315167027205</v>
      </c>
      <c r="G29" s="18">
        <f t="shared" si="10"/>
        <v>-27966.315167027205</v>
      </c>
      <c r="H29" s="18">
        <f t="shared" si="10"/>
        <v>-27966.315167027205</v>
      </c>
      <c r="I29" s="18">
        <f t="shared" si="10"/>
        <v>-27966.315167027205</v>
      </c>
      <c r="J29" s="18">
        <f t="shared" si="10"/>
        <v>-27966.315167027205</v>
      </c>
      <c r="K29" s="18">
        <f t="shared" si="10"/>
        <v>-27966.315167027205</v>
      </c>
      <c r="L29" s="18">
        <f t="shared" si="10"/>
        <v>-27966.315167027205</v>
      </c>
      <c r="M29" s="18">
        <f t="shared" si="10"/>
        <v>-27966.315167027205</v>
      </c>
      <c r="N29" s="18">
        <f t="shared" si="10"/>
        <v>-27966.315167027205</v>
      </c>
      <c r="O29" s="18">
        <f t="shared" si="10"/>
        <v>-27966.315167027205</v>
      </c>
      <c r="P29" s="18">
        <f t="shared" si="10"/>
        <v>-27966.315167027205</v>
      </c>
      <c r="Q29" s="18">
        <f t="shared" si="10"/>
        <v>-27966.315167027205</v>
      </c>
      <c r="R29" s="18">
        <f t="shared" si="10"/>
        <v>-27966.315167027205</v>
      </c>
      <c r="S29" s="18">
        <f t="shared" si="10"/>
        <v>-27966.315167027205</v>
      </c>
      <c r="T29" s="18">
        <f t="shared" si="10"/>
        <v>-25355.51053997401</v>
      </c>
      <c r="U29" s="18">
        <f t="shared" si="10"/>
        <v>-22420.255536868644</v>
      </c>
      <c r="V29" s="18">
        <f t="shared" si="10"/>
        <v>-19116.291257540841</v>
      </c>
      <c r="W29" s="18">
        <f t="shared" ref="W29:AG29" si="11">+W25+W28</f>
        <v>-19116.291257540841</v>
      </c>
      <c r="X29" s="18">
        <f t="shared" si="11"/>
        <v>-19116.291257540841</v>
      </c>
      <c r="Y29" s="18">
        <f t="shared" si="11"/>
        <v>-19116.291257540841</v>
      </c>
      <c r="Z29" s="18">
        <f t="shared" si="11"/>
        <v>-19116.291257540841</v>
      </c>
      <c r="AA29" s="18">
        <f t="shared" si="11"/>
        <v>-19116.291257540841</v>
      </c>
      <c r="AB29" s="18">
        <f t="shared" si="11"/>
        <v>-19116.291257540841</v>
      </c>
      <c r="AC29" s="18">
        <f t="shared" si="11"/>
        <v>-19116.291257540841</v>
      </c>
      <c r="AD29" s="18">
        <f t="shared" si="11"/>
        <v>-19116.291257540841</v>
      </c>
      <c r="AE29" s="18">
        <f t="shared" si="11"/>
        <v>-19116.291257540841</v>
      </c>
      <c r="AF29" s="18">
        <f t="shared" si="11"/>
        <v>-19116.291257540841</v>
      </c>
      <c r="AG29" s="18">
        <f t="shared" si="11"/>
        <v>-19116.291257540841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401</v>
      </c>
    </row>
    <row r="34" spans="1:33">
      <c r="A34" s="455"/>
    </row>
    <row r="35" spans="1:33">
      <c r="A35" s="454" t="s">
        <v>367</v>
      </c>
    </row>
    <row r="36" spans="1:33" s="18" customFormat="1">
      <c r="A36" s="45" t="s">
        <v>366</v>
      </c>
      <c r="B36" s="18">
        <f>-Assumptions!C11*Assumptions!$G$48</f>
        <v>-27966.315167027205</v>
      </c>
    </row>
    <row r="37" spans="1:33" s="18" customFormat="1">
      <c r="A37" s="45" t="s">
        <v>365</v>
      </c>
      <c r="B37" s="462">
        <f>B21*Assumptions!$G$48</f>
        <v>0</v>
      </c>
      <c r="C37" s="462">
        <f>C21*Assumptions!$G$48</f>
        <v>3725.6368243649995</v>
      </c>
      <c r="D37" s="462">
        <f>D21*Assumptions!$G$48</f>
        <v>2738.4149986065731</v>
      </c>
      <c r="E37" s="462">
        <f>E21*Assumptions!$G$48</f>
        <v>2672.4950162276027</v>
      </c>
      <c r="F37" s="462">
        <f>F21*Assumptions!$G$48</f>
        <v>2655.8735181139918</v>
      </c>
      <c r="G37" s="462">
        <f>G21*Assumptions!$G$48</f>
        <v>2657.1460632657345</v>
      </c>
      <c r="H37" s="462">
        <f>H21*Assumptions!$G$48</f>
        <v>2639.9216151596629</v>
      </c>
      <c r="I37" s="462">
        <f>I21*Assumptions!$G$48</f>
        <v>2628.4464069188243</v>
      </c>
      <c r="J37" s="462">
        <f>J21*Assumptions!$G$48</f>
        <v>2610.684453007183</v>
      </c>
      <c r="K37" s="462">
        <f>K21*Assumptions!$G$48</f>
        <v>2610.4792798854633</v>
      </c>
      <c r="L37" s="462">
        <f>L21*Assumptions!$G$48</f>
        <v>2592.0420975689576</v>
      </c>
      <c r="M37" s="462">
        <f>M21*Assumptions!$G$48</f>
        <v>2579.2158836263779</v>
      </c>
      <c r="N37" s="462">
        <f>N21*Assumptions!$G$48</f>
        <v>2560.1764783466197</v>
      </c>
      <c r="O37" s="462">
        <f>O21*Assumptions!$G$48</f>
        <v>2558.3167700324102</v>
      </c>
      <c r="P37" s="462">
        <f>P21*Assumptions!$G$48</f>
        <v>2429.743598197987</v>
      </c>
      <c r="Q37" s="462">
        <f>Q21*Assumptions!$G$48</f>
        <v>1189.8931683505855</v>
      </c>
      <c r="R37" s="462">
        <f>R21*Assumptions!$G$48</f>
        <v>-385.52417383781949</v>
      </c>
      <c r="S37" s="462">
        <f>S21*Assumptions!$G$48</f>
        <v>2418.687057832245</v>
      </c>
      <c r="T37" s="462">
        <f>T21*Assumptions!$G$48</f>
        <v>6526.0887504370057</v>
      </c>
      <c r="U37" s="462">
        <f>U21*Assumptions!$G$48</f>
        <v>6485.0264787017259</v>
      </c>
      <c r="V37" s="462">
        <f>V21*Assumptions!$G$48</f>
        <v>6442.8000544894148</v>
      </c>
      <c r="W37" s="462">
        <f>W21*Assumptions!$G$48</f>
        <v>2170.7930796521005</v>
      </c>
      <c r="X37" s="462">
        <f>X21*Assumptions!$G$48</f>
        <v>-1844.1348414839954</v>
      </c>
      <c r="Y37" s="462">
        <f>Y21*Assumptions!$G$48</f>
        <v>-663.12682757072889</v>
      </c>
      <c r="Z37" s="462">
        <f>Z21*Assumptions!$G$48</f>
        <v>-680.05674890188766</v>
      </c>
      <c r="AA37" s="462">
        <f>AA21*Assumptions!$G$48</f>
        <v>-702.05168260507799</v>
      </c>
      <c r="AB37" s="462">
        <f>AB21*Assumptions!$G$48</f>
        <v>-720.04534983533358</v>
      </c>
      <c r="AC37" s="462">
        <f>AC21*Assumptions!$G$48</f>
        <v>-740.1076274036277</v>
      </c>
      <c r="AD37" s="462">
        <f>AD21*Assumptions!$G$48</f>
        <v>-759.05169120692608</v>
      </c>
      <c r="AE37" s="462">
        <f>AE21*Assumptions!$G$48</f>
        <v>-783.65125994613754</v>
      </c>
      <c r="AF37" s="462">
        <f>AF21*Assumptions!$G$48</f>
        <v>-803.78753118346322</v>
      </c>
      <c r="AG37" s="462">
        <f>AG21*Assumptions!$G$48</f>
        <v>-154.74670276140751</v>
      </c>
    </row>
    <row r="38" spans="1:33" s="18" customFormat="1">
      <c r="A38" s="45" t="s">
        <v>364</v>
      </c>
      <c r="B38" s="18">
        <f t="shared" ref="B38:AG38" si="12">SUM(B36:B37)</f>
        <v>-27966.315167027205</v>
      </c>
      <c r="C38" s="18">
        <f t="shared" si="12"/>
        <v>3725.6368243649995</v>
      </c>
      <c r="D38" s="18">
        <f t="shared" si="12"/>
        <v>2738.4149986065731</v>
      </c>
      <c r="E38" s="18">
        <f t="shared" si="12"/>
        <v>2672.4950162276027</v>
      </c>
      <c r="F38" s="18">
        <f t="shared" si="12"/>
        <v>2655.8735181139918</v>
      </c>
      <c r="G38" s="18">
        <f t="shared" si="12"/>
        <v>2657.1460632657345</v>
      </c>
      <c r="H38" s="18">
        <f t="shared" si="12"/>
        <v>2639.9216151596629</v>
      </c>
      <c r="I38" s="18">
        <f t="shared" si="12"/>
        <v>2628.4464069188243</v>
      </c>
      <c r="J38" s="18">
        <f t="shared" si="12"/>
        <v>2610.684453007183</v>
      </c>
      <c r="K38" s="18">
        <f t="shared" si="12"/>
        <v>2610.4792798854633</v>
      </c>
      <c r="L38" s="18">
        <f t="shared" si="12"/>
        <v>2592.0420975689576</v>
      </c>
      <c r="M38" s="18">
        <f t="shared" si="12"/>
        <v>2579.2158836263779</v>
      </c>
      <c r="N38" s="18">
        <f t="shared" si="12"/>
        <v>2560.1764783466197</v>
      </c>
      <c r="O38" s="18">
        <f t="shared" si="12"/>
        <v>2558.3167700324102</v>
      </c>
      <c r="P38" s="18">
        <f t="shared" si="12"/>
        <v>2429.743598197987</v>
      </c>
      <c r="Q38" s="18">
        <f t="shared" si="12"/>
        <v>1189.8931683505855</v>
      </c>
      <c r="R38" s="18">
        <f t="shared" si="12"/>
        <v>-385.52417383781949</v>
      </c>
      <c r="S38" s="18">
        <f t="shared" si="12"/>
        <v>2418.687057832245</v>
      </c>
      <c r="T38" s="18">
        <f t="shared" si="12"/>
        <v>6526.0887504370057</v>
      </c>
      <c r="U38" s="18">
        <f t="shared" si="12"/>
        <v>6485.0264787017259</v>
      </c>
      <c r="V38" s="18">
        <f t="shared" si="12"/>
        <v>6442.8000544894148</v>
      </c>
      <c r="W38" s="18">
        <f t="shared" si="12"/>
        <v>2170.7930796521005</v>
      </c>
      <c r="X38" s="18">
        <f t="shared" si="12"/>
        <v>-1844.1348414839954</v>
      </c>
      <c r="Y38" s="18">
        <f t="shared" si="12"/>
        <v>-663.12682757072889</v>
      </c>
      <c r="Z38" s="18">
        <f t="shared" si="12"/>
        <v>-680.05674890188766</v>
      </c>
      <c r="AA38" s="18">
        <f t="shared" si="12"/>
        <v>-702.05168260507799</v>
      </c>
      <c r="AB38" s="18">
        <f t="shared" si="12"/>
        <v>-720.04534983533358</v>
      </c>
      <c r="AC38" s="18">
        <f t="shared" si="12"/>
        <v>-740.1076274036277</v>
      </c>
      <c r="AD38" s="18">
        <f t="shared" si="12"/>
        <v>-759.05169120692608</v>
      </c>
      <c r="AE38" s="18">
        <f t="shared" si="12"/>
        <v>-783.65125994613754</v>
      </c>
      <c r="AF38" s="18">
        <f t="shared" si="12"/>
        <v>-803.78753118346322</v>
      </c>
      <c r="AG38" s="18">
        <f t="shared" si="12"/>
        <v>-154.74670276140751</v>
      </c>
    </row>
    <row r="39" spans="1:33">
      <c r="B39" s="454" t="s">
        <v>1</v>
      </c>
      <c r="C39" s="460">
        <f>XIRR(B38:W38,B8:W8)</f>
        <v>7.5710698962211595E-2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366</v>
      </c>
      <c r="B42" s="18">
        <f>-Assumptions!C11*Assumptions!$G$48</f>
        <v>-27966.315167027205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365</v>
      </c>
      <c r="B43" s="457">
        <f>B21*Assumptions!$G$48</f>
        <v>0</v>
      </c>
      <c r="C43" s="457">
        <f>C21*Assumptions!$G$48</f>
        <v>3725.6368243649995</v>
      </c>
      <c r="D43" s="457">
        <f>D21*Assumptions!$G$48</f>
        <v>2738.4149986065731</v>
      </c>
      <c r="E43" s="457">
        <f>E21*Assumptions!$G$48</f>
        <v>2672.4950162276027</v>
      </c>
      <c r="F43" s="457">
        <f>F21*Assumptions!$G$48</f>
        <v>2655.8735181139918</v>
      </c>
      <c r="G43" s="457">
        <f>G21*Assumptions!$G$48</f>
        <v>2657.1460632657345</v>
      </c>
      <c r="H43" s="457">
        <f>H21*Assumptions!$G$48</f>
        <v>2639.9216151596629</v>
      </c>
      <c r="I43" s="457">
        <f>I21*Assumptions!$G$48</f>
        <v>2628.4464069188243</v>
      </c>
      <c r="J43" s="457">
        <f>J21*Assumptions!$G$48</f>
        <v>2610.684453007183</v>
      </c>
      <c r="K43" s="457">
        <f>K21*Assumptions!$G$48</f>
        <v>2610.4792798854633</v>
      </c>
      <c r="L43" s="457">
        <f>L21*Assumptions!$G$48</f>
        <v>2592.0420975689576</v>
      </c>
      <c r="M43" s="457">
        <f>M21*Assumptions!$G$48</f>
        <v>2579.2158836263779</v>
      </c>
      <c r="N43" s="457">
        <f>N21*Assumptions!$G$48</f>
        <v>2560.1764783466197</v>
      </c>
      <c r="O43" s="457">
        <f>O21*Assumptions!$G$48</f>
        <v>2558.3167700324102</v>
      </c>
      <c r="P43" s="457">
        <f>P21*Assumptions!$G$48</f>
        <v>2429.743598197987</v>
      </c>
      <c r="Q43" s="457">
        <f>Q21*Assumptions!$G$48</f>
        <v>1189.8931683505855</v>
      </c>
      <c r="R43" s="457">
        <f>R21*Assumptions!$G$48</f>
        <v>-385.52417383781949</v>
      </c>
      <c r="S43" s="457">
        <f>S21*Assumptions!$G$48</f>
        <v>2418.687057832245</v>
      </c>
      <c r="T43" s="457">
        <f>T21*Assumptions!$G$48</f>
        <v>6526.0887504370057</v>
      </c>
      <c r="U43" s="457">
        <f>U21*Assumptions!$G$48</f>
        <v>6485.0264787017259</v>
      </c>
      <c r="V43" s="457">
        <f>V21*Assumptions!$G$48</f>
        <v>6442.8000544894148</v>
      </c>
      <c r="W43" s="457">
        <f>W21*Assumptions!$G$48</f>
        <v>2170.7930796521005</v>
      </c>
      <c r="X43" s="457">
        <f>X21*Assumptions!$G$48</f>
        <v>-1844.1348414839954</v>
      </c>
      <c r="Y43" s="457">
        <f>Y21*Assumptions!$G$48</f>
        <v>-663.12682757072889</v>
      </c>
      <c r="Z43" s="457">
        <f>Z21*Assumptions!$G$48</f>
        <v>-680.05674890188766</v>
      </c>
      <c r="AA43" s="457">
        <f>AA21*Assumptions!$G$48</f>
        <v>-702.05168260507799</v>
      </c>
      <c r="AB43" s="457">
        <f>AB21*Assumptions!$G$48</f>
        <v>-720.04534983533358</v>
      </c>
      <c r="AC43" s="457">
        <f>AC21*Assumptions!$G$48</f>
        <v>-740.1076274036277</v>
      </c>
      <c r="AD43" s="457">
        <f>AD21*Assumptions!$G$48</f>
        <v>-759.05169120692608</v>
      </c>
      <c r="AE43" s="457">
        <f>AE21*Assumptions!$G$48</f>
        <v>-783.65125994613754</v>
      </c>
      <c r="AF43" s="457">
        <f>AF21*Assumptions!$G$48</f>
        <v>-803.78753118346322</v>
      </c>
      <c r="AG43" s="457">
        <f>AG21*Assumptions!$G$48</f>
        <v>-154.74670276140751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f>AG44</f>
        <v>-17031.244074968483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-17031.244074968483</v>
      </c>
    </row>
    <row r="45" spans="1:33">
      <c r="A45" s="56" t="s">
        <v>364</v>
      </c>
      <c r="B45" s="18">
        <f t="shared" ref="B45:AG45" si="13">SUM(B42:B44)</f>
        <v>-27966.315167027205</v>
      </c>
      <c r="C45" s="18">
        <f t="shared" si="13"/>
        <v>3725.6368243649995</v>
      </c>
      <c r="D45" s="18">
        <f t="shared" si="13"/>
        <v>2738.4149986065731</v>
      </c>
      <c r="E45" s="18">
        <f t="shared" si="13"/>
        <v>2672.4950162276027</v>
      </c>
      <c r="F45" s="18">
        <f t="shared" si="13"/>
        <v>2655.8735181139918</v>
      </c>
      <c r="G45" s="18">
        <f t="shared" si="13"/>
        <v>2657.1460632657345</v>
      </c>
      <c r="H45" s="18">
        <f t="shared" si="13"/>
        <v>2639.9216151596629</v>
      </c>
      <c r="I45" s="18">
        <f t="shared" si="13"/>
        <v>2628.4464069188243</v>
      </c>
      <c r="J45" s="18">
        <f t="shared" si="13"/>
        <v>2610.684453007183</v>
      </c>
      <c r="K45" s="18">
        <f t="shared" si="13"/>
        <v>2610.4792798854633</v>
      </c>
      <c r="L45" s="18">
        <f t="shared" si="13"/>
        <v>2592.0420975689576</v>
      </c>
      <c r="M45" s="18">
        <f t="shared" si="13"/>
        <v>2579.2158836263779</v>
      </c>
      <c r="N45" s="18">
        <f t="shared" si="13"/>
        <v>2560.1764783466197</v>
      </c>
      <c r="O45" s="18">
        <f t="shared" si="13"/>
        <v>2558.3167700324102</v>
      </c>
      <c r="P45" s="18">
        <f t="shared" si="13"/>
        <v>2429.743598197987</v>
      </c>
      <c r="Q45" s="18">
        <f t="shared" si="13"/>
        <v>1189.8931683505855</v>
      </c>
      <c r="R45" s="18">
        <f t="shared" si="13"/>
        <v>-385.52417383781949</v>
      </c>
      <c r="S45" s="18">
        <f t="shared" si="13"/>
        <v>2418.687057832245</v>
      </c>
      <c r="T45" s="18">
        <f t="shared" si="13"/>
        <v>6526.0887504370057</v>
      </c>
      <c r="U45" s="18">
        <f t="shared" si="13"/>
        <v>6485.0264787017259</v>
      </c>
      <c r="V45" s="18">
        <f t="shared" si="13"/>
        <v>6442.8000544894148</v>
      </c>
      <c r="W45" s="18">
        <f t="shared" si="13"/>
        <v>-14860.450995316383</v>
      </c>
      <c r="X45" s="18">
        <f t="shared" si="13"/>
        <v>-1844.1348414839954</v>
      </c>
      <c r="Y45" s="18">
        <f t="shared" si="13"/>
        <v>-663.12682757072889</v>
      </c>
      <c r="Z45" s="18">
        <f t="shared" si="13"/>
        <v>-680.05674890188766</v>
      </c>
      <c r="AA45" s="18">
        <f t="shared" si="13"/>
        <v>-702.05168260507799</v>
      </c>
      <c r="AB45" s="18">
        <f t="shared" si="13"/>
        <v>-720.04534983533358</v>
      </c>
      <c r="AC45" s="18">
        <f t="shared" si="13"/>
        <v>-740.1076274036277</v>
      </c>
      <c r="AD45" s="18">
        <f t="shared" si="13"/>
        <v>-759.05169120692608</v>
      </c>
      <c r="AE45" s="18">
        <f t="shared" si="13"/>
        <v>-783.65125994613754</v>
      </c>
      <c r="AF45" s="18">
        <f t="shared" si="13"/>
        <v>-803.78753118346322</v>
      </c>
      <c r="AG45" s="18">
        <f t="shared" si="13"/>
        <v>-17185.99077772989</v>
      </c>
    </row>
    <row r="46" spans="1:33">
      <c r="A46" s="13"/>
      <c r="B46" s="454" t="s">
        <v>1</v>
      </c>
      <c r="C46" s="460">
        <f>XIRR(B45:W45,B8:W8)</f>
        <v>5.7818046212196356E-2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366</v>
      </c>
      <c r="B49" s="18">
        <f>-Assumptions!C11*Assumptions!G48</f>
        <v>-27966.315167027205</v>
      </c>
    </row>
    <row r="50" spans="1:33" s="18" customFormat="1">
      <c r="A50" s="56" t="s">
        <v>365</v>
      </c>
      <c r="B50" s="18">
        <f>+B21*Assumptions!$G$48</f>
        <v>0</v>
      </c>
      <c r="C50" s="18">
        <f>+C21*Assumptions!$G$48</f>
        <v>3725.6368243649995</v>
      </c>
      <c r="D50" s="18">
        <f>+D21*Assumptions!$G$48</f>
        <v>2738.4149986065731</v>
      </c>
      <c r="E50" s="18">
        <f>+E21*Assumptions!$G$48</f>
        <v>2672.4950162276027</v>
      </c>
      <c r="F50" s="18">
        <f>+F21*Assumptions!$G$48</f>
        <v>2655.8735181139918</v>
      </c>
      <c r="G50" s="18">
        <f>+G21*Assumptions!$G$48</f>
        <v>2657.1460632657345</v>
      </c>
      <c r="H50" s="18">
        <f>+H21*Assumptions!$G$48</f>
        <v>2639.9216151596629</v>
      </c>
      <c r="I50" s="18">
        <f>+I21*Assumptions!$G$48</f>
        <v>2628.4464069188243</v>
      </c>
      <c r="J50" s="18">
        <f>+J21*Assumptions!$G$48</f>
        <v>2610.684453007183</v>
      </c>
      <c r="K50" s="18">
        <f>+K21*Assumptions!$G$48</f>
        <v>2610.4792798854633</v>
      </c>
      <c r="L50" s="18">
        <f>+L21*Assumptions!$G$48</f>
        <v>2592.0420975689576</v>
      </c>
      <c r="M50" s="18">
        <f>+M21*Assumptions!$G$48</f>
        <v>2579.2158836263779</v>
      </c>
      <c r="N50" s="18">
        <f>+N21*Assumptions!$G$48</f>
        <v>2560.1764783466197</v>
      </c>
      <c r="O50" s="18">
        <f>+O21*Assumptions!$G$48</f>
        <v>2558.3167700324102</v>
      </c>
      <c r="P50" s="18">
        <f>+P21*Assumptions!$G$48</f>
        <v>2429.743598197987</v>
      </c>
      <c r="Q50" s="18">
        <f>+Q21*Assumptions!$G$48</f>
        <v>1189.8931683505855</v>
      </c>
      <c r="R50" s="18">
        <f>+R21*Assumptions!$G$48</f>
        <v>-385.52417383781949</v>
      </c>
      <c r="S50" s="18">
        <f>+S21*Assumptions!$G$48</f>
        <v>2418.687057832245</v>
      </c>
      <c r="T50" s="18">
        <f>+T21*Assumptions!$G$48</f>
        <v>6526.0887504370057</v>
      </c>
      <c r="U50" s="18">
        <f>+U21*Assumptions!$G$48</f>
        <v>6485.0264787017259</v>
      </c>
      <c r="V50" s="18">
        <f>+V21*Assumptions!$G$48</f>
        <v>6442.8000544894148</v>
      </c>
      <c r="W50" s="18">
        <f>+W21*Assumptions!$G$48</f>
        <v>2170.7930796521005</v>
      </c>
      <c r="X50" s="18">
        <f>+X21*Assumptions!$G$48</f>
        <v>-1844.1348414839954</v>
      </c>
      <c r="Y50" s="18">
        <f>+Y21*Assumptions!$G$48</f>
        <v>-663.12682757072889</v>
      </c>
      <c r="Z50" s="18">
        <f>+Z21*Assumptions!$G$48</f>
        <v>-680.05674890188766</v>
      </c>
      <c r="AA50" s="18">
        <f>+AA21*Assumptions!$G$48</f>
        <v>-702.05168260507799</v>
      </c>
      <c r="AB50" s="18">
        <f>+AB21*Assumptions!$G$48</f>
        <v>-720.04534983533358</v>
      </c>
      <c r="AC50" s="18">
        <f>+AC21*Assumptions!$G$48</f>
        <v>-740.1076274036277</v>
      </c>
      <c r="AD50" s="18">
        <f>+AD21*Assumptions!$G$48</f>
        <v>-759.05169120692608</v>
      </c>
      <c r="AE50" s="18">
        <f>+AE21*Assumptions!$G$48</f>
        <v>-783.65125994613754</v>
      </c>
      <c r="AF50" s="18">
        <f>+AF21*Assumptions!$G$48</f>
        <v>-803.78753118346322</v>
      </c>
      <c r="AG50" s="18">
        <f>+AG21*Assumptions!$G$48</f>
        <v>-154.74670276140751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f>AG51</f>
        <v>20694.36321365273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20694.36321365273</v>
      </c>
    </row>
    <row r="52" spans="1:33" s="18" customFormat="1">
      <c r="A52" s="56" t="s">
        <v>364</v>
      </c>
      <c r="B52" s="18">
        <f>SUM(B49:B51)</f>
        <v>-27966.315167027205</v>
      </c>
      <c r="C52" s="18">
        <f t="shared" ref="C52:AG52" si="14">SUM(C49:C51)</f>
        <v>3725.6368243649995</v>
      </c>
      <c r="D52" s="18">
        <f t="shared" si="14"/>
        <v>2738.4149986065731</v>
      </c>
      <c r="E52" s="18">
        <f t="shared" si="14"/>
        <v>2672.4950162276027</v>
      </c>
      <c r="F52" s="18">
        <f t="shared" si="14"/>
        <v>2655.8735181139918</v>
      </c>
      <c r="G52" s="18">
        <f t="shared" si="14"/>
        <v>2657.1460632657345</v>
      </c>
      <c r="H52" s="18">
        <f t="shared" si="14"/>
        <v>2639.9216151596629</v>
      </c>
      <c r="I52" s="18">
        <f t="shared" si="14"/>
        <v>2628.4464069188243</v>
      </c>
      <c r="J52" s="18">
        <f t="shared" si="14"/>
        <v>2610.684453007183</v>
      </c>
      <c r="K52" s="18">
        <f t="shared" si="14"/>
        <v>2610.4792798854633</v>
      </c>
      <c r="L52" s="18">
        <f t="shared" si="14"/>
        <v>2592.0420975689576</v>
      </c>
      <c r="M52" s="18">
        <f t="shared" si="14"/>
        <v>2579.2158836263779</v>
      </c>
      <c r="N52" s="18">
        <f t="shared" si="14"/>
        <v>2560.1764783466197</v>
      </c>
      <c r="O52" s="18">
        <f t="shared" si="14"/>
        <v>2558.3167700324102</v>
      </c>
      <c r="P52" s="18">
        <f t="shared" si="14"/>
        <v>2429.743598197987</v>
      </c>
      <c r="Q52" s="18">
        <f t="shared" si="14"/>
        <v>1189.8931683505855</v>
      </c>
      <c r="R52" s="18">
        <f t="shared" si="14"/>
        <v>-385.52417383781949</v>
      </c>
      <c r="S52" s="18">
        <f t="shared" si="14"/>
        <v>2418.687057832245</v>
      </c>
      <c r="T52" s="18">
        <f t="shared" si="14"/>
        <v>6526.0887504370057</v>
      </c>
      <c r="U52" s="18">
        <f t="shared" si="14"/>
        <v>6485.0264787017259</v>
      </c>
      <c r="V52" s="18">
        <f t="shared" si="14"/>
        <v>6442.8000544894148</v>
      </c>
      <c r="W52" s="18">
        <f t="shared" si="14"/>
        <v>22865.15629330483</v>
      </c>
      <c r="X52" s="18">
        <f t="shared" si="14"/>
        <v>-1844.1348414839954</v>
      </c>
      <c r="Y52" s="18">
        <f t="shared" si="14"/>
        <v>-663.12682757072889</v>
      </c>
      <c r="Z52" s="18">
        <f t="shared" si="14"/>
        <v>-680.05674890188766</v>
      </c>
      <c r="AA52" s="18">
        <f t="shared" si="14"/>
        <v>-702.05168260507799</v>
      </c>
      <c r="AB52" s="18">
        <f t="shared" si="14"/>
        <v>-720.04534983533358</v>
      </c>
      <c r="AC52" s="18">
        <f t="shared" si="14"/>
        <v>-740.1076274036277</v>
      </c>
      <c r="AD52" s="18">
        <f t="shared" si="14"/>
        <v>-759.05169120692608</v>
      </c>
      <c r="AE52" s="18">
        <f t="shared" si="14"/>
        <v>-783.65125994613754</v>
      </c>
      <c r="AF52" s="18">
        <f t="shared" si="14"/>
        <v>-803.78753118346322</v>
      </c>
      <c r="AG52" s="18">
        <f t="shared" si="14"/>
        <v>20539.616510891323</v>
      </c>
    </row>
    <row r="53" spans="1:33">
      <c r="A53" s="13"/>
      <c r="B53" s="454" t="s">
        <v>1</v>
      </c>
      <c r="C53" s="460">
        <f>XIRR(B52:W52,B8:W8)</f>
        <v>8.9868888258934021E-2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366</v>
      </c>
      <c r="B56" s="18">
        <f>-Assumptions!C11*Assumptions!G48</f>
        <v>-27966.315167027205</v>
      </c>
    </row>
    <row r="57" spans="1:33" s="18" customFormat="1">
      <c r="A57" s="56" t="s">
        <v>365</v>
      </c>
      <c r="B57" s="457">
        <f>B21*Assumptions!$G$48</f>
        <v>0</v>
      </c>
      <c r="C57" s="457">
        <f>C21*Assumptions!$G$48</f>
        <v>3725.6368243649995</v>
      </c>
      <c r="D57" s="457">
        <f>D21*Assumptions!$G$48</f>
        <v>2738.4149986065731</v>
      </c>
      <c r="E57" s="457">
        <f>E21*Assumptions!$G$48</f>
        <v>2672.4950162276027</v>
      </c>
      <c r="F57" s="457">
        <f>F21*Assumptions!$G$48</f>
        <v>2655.8735181139918</v>
      </c>
      <c r="G57" s="457">
        <f>G21*Assumptions!$G$48</f>
        <v>2657.1460632657345</v>
      </c>
      <c r="H57" s="457">
        <f>H21*Assumptions!$G$48</f>
        <v>2639.9216151596629</v>
      </c>
      <c r="I57" s="457">
        <f>I21*Assumptions!$G$48</f>
        <v>2628.4464069188243</v>
      </c>
      <c r="J57" s="457">
        <f>J21*Assumptions!$G$48</f>
        <v>2610.684453007183</v>
      </c>
      <c r="K57" s="457">
        <f>K21*Assumptions!$G$48</f>
        <v>2610.4792798854633</v>
      </c>
      <c r="L57" s="457">
        <f>L21*Assumptions!$G$48</f>
        <v>2592.0420975689576</v>
      </c>
      <c r="M57" s="457">
        <f>M21*Assumptions!$G$48</f>
        <v>2579.2158836263779</v>
      </c>
      <c r="N57" s="457">
        <f>N21*Assumptions!$G$48</f>
        <v>2560.1764783466197</v>
      </c>
      <c r="O57" s="457">
        <f>O21*Assumptions!$G$48</f>
        <v>2558.3167700324102</v>
      </c>
      <c r="P57" s="457">
        <f>P21*Assumptions!$G$48</f>
        <v>2429.743598197987</v>
      </c>
      <c r="Q57" s="457">
        <f>Q21*Assumptions!$G$48</f>
        <v>1189.8931683505855</v>
      </c>
      <c r="R57" s="457">
        <f>R21*Assumptions!$G$48</f>
        <v>-385.52417383781949</v>
      </c>
      <c r="S57" s="457">
        <f>S21*Assumptions!$G$48</f>
        <v>2418.687057832245</v>
      </c>
      <c r="T57" s="457">
        <f>T21*Assumptions!$G$48</f>
        <v>6526.0887504370057</v>
      </c>
      <c r="U57" s="457">
        <f>U21*Assumptions!$G$48</f>
        <v>6485.0264787017259</v>
      </c>
      <c r="V57" s="457">
        <f>V21*Assumptions!$G$48</f>
        <v>6442.8000544894148</v>
      </c>
      <c r="W57" s="457">
        <f>W21*Assumptions!$G$48</f>
        <v>2170.7930796521005</v>
      </c>
      <c r="X57" s="457">
        <f>X21*Assumptions!$G$48</f>
        <v>-1844.1348414839954</v>
      </c>
      <c r="Y57" s="457">
        <f>Y21*Assumptions!$G$48</f>
        <v>-663.12682757072889</v>
      </c>
      <c r="Z57" s="457">
        <f>Z21*Assumptions!$G$48</f>
        <v>-680.05674890188766</v>
      </c>
      <c r="AA57" s="457">
        <f>AA21*Assumptions!$G$48</f>
        <v>-702.05168260507799</v>
      </c>
      <c r="AB57" s="457">
        <f>AB21*Assumptions!$G$48</f>
        <v>-720.04534983533358</v>
      </c>
      <c r="AC57" s="457">
        <f>AC21*Assumptions!$G$48</f>
        <v>-740.1076274036277</v>
      </c>
      <c r="AD57" s="457">
        <f>AD21*Assumptions!$G$48</f>
        <v>-759.05169120692608</v>
      </c>
      <c r="AE57" s="457">
        <f>AE21*Assumptions!$G$48</f>
        <v>-783.65125994613754</v>
      </c>
      <c r="AF57" s="457">
        <f>AF21*Assumptions!$G$48</f>
        <v>-803.78753118346322</v>
      </c>
      <c r="AG57" s="457">
        <f>AG21*Assumptions!$G$48</f>
        <v>-154.74670276140751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f>AG58</f>
        <v>38000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364</v>
      </c>
      <c r="B59" s="18">
        <f>SUM(B56:B58)</f>
        <v>-27966.315167027205</v>
      </c>
      <c r="C59" s="18">
        <f t="shared" ref="C59:AG59" si="15">SUM(C56:C58)</f>
        <v>3725.6368243649995</v>
      </c>
      <c r="D59" s="18">
        <f t="shared" si="15"/>
        <v>2738.4149986065731</v>
      </c>
      <c r="E59" s="18">
        <f t="shared" si="15"/>
        <v>2672.4950162276027</v>
      </c>
      <c r="F59" s="18">
        <f t="shared" si="15"/>
        <v>2655.8735181139918</v>
      </c>
      <c r="G59" s="18">
        <f t="shared" si="15"/>
        <v>2657.1460632657345</v>
      </c>
      <c r="H59" s="18">
        <f t="shared" si="15"/>
        <v>2639.9216151596629</v>
      </c>
      <c r="I59" s="18">
        <f t="shared" si="15"/>
        <v>2628.4464069188243</v>
      </c>
      <c r="J59" s="18">
        <f t="shared" si="15"/>
        <v>2610.684453007183</v>
      </c>
      <c r="K59" s="18">
        <f t="shared" si="15"/>
        <v>2610.4792798854633</v>
      </c>
      <c r="L59" s="18">
        <f t="shared" si="15"/>
        <v>2592.0420975689576</v>
      </c>
      <c r="M59" s="18">
        <f t="shared" si="15"/>
        <v>2579.2158836263779</v>
      </c>
      <c r="N59" s="18">
        <f t="shared" si="15"/>
        <v>2560.1764783466197</v>
      </c>
      <c r="O59" s="18">
        <f t="shared" si="15"/>
        <v>2558.3167700324102</v>
      </c>
      <c r="P59" s="18">
        <f t="shared" si="15"/>
        <v>2429.743598197987</v>
      </c>
      <c r="Q59" s="18">
        <f t="shared" si="15"/>
        <v>1189.8931683505855</v>
      </c>
      <c r="R59" s="18">
        <f t="shared" si="15"/>
        <v>-385.52417383781949</v>
      </c>
      <c r="S59" s="18">
        <f t="shared" si="15"/>
        <v>2418.687057832245</v>
      </c>
      <c r="T59" s="18">
        <f t="shared" si="15"/>
        <v>6526.0887504370057</v>
      </c>
      <c r="U59" s="18">
        <f t="shared" si="15"/>
        <v>6485.0264787017259</v>
      </c>
      <c r="V59" s="18">
        <f t="shared" si="15"/>
        <v>6442.8000544894148</v>
      </c>
      <c r="W59" s="18">
        <f t="shared" si="15"/>
        <v>40170.793079652103</v>
      </c>
      <c r="X59" s="18">
        <f t="shared" si="15"/>
        <v>-1844.1348414839954</v>
      </c>
      <c r="Y59" s="18">
        <f t="shared" si="15"/>
        <v>-663.12682757072889</v>
      </c>
      <c r="Z59" s="18">
        <f t="shared" si="15"/>
        <v>-680.05674890188766</v>
      </c>
      <c r="AA59" s="18">
        <f t="shared" si="15"/>
        <v>-702.05168260507799</v>
      </c>
      <c r="AB59" s="18">
        <f t="shared" si="15"/>
        <v>-720.04534983533358</v>
      </c>
      <c r="AC59" s="18">
        <f t="shared" si="15"/>
        <v>-740.1076274036277</v>
      </c>
      <c r="AD59" s="18">
        <f t="shared" si="15"/>
        <v>-759.05169120692608</v>
      </c>
      <c r="AE59" s="18">
        <f t="shared" si="15"/>
        <v>-783.65125994613754</v>
      </c>
      <c r="AF59" s="18">
        <f t="shared" si="15"/>
        <v>-803.78753118346322</v>
      </c>
      <c r="AG59" s="18">
        <f t="shared" si="15"/>
        <v>37845.253297238596</v>
      </c>
    </row>
    <row r="60" spans="1:33">
      <c r="A60" s="13"/>
      <c r="B60" s="454" t="s">
        <v>1</v>
      </c>
      <c r="C60" s="460">
        <f>XIRR(B59:W59,B8:W8)</f>
        <v>9.8751252889633212E-2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2.75"/>
  <cols>
    <col min="1" max="1" width="30.7109375" customWidth="1"/>
    <col min="2" max="2" width="14.28515625" customWidth="1"/>
    <col min="3" max="4" width="10.14062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441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442</v>
      </c>
      <c r="B4" s="542">
        <v>7.0000000000000007E-2</v>
      </c>
    </row>
    <row r="5" spans="1:22">
      <c r="A5" t="s">
        <v>443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444</v>
      </c>
      <c r="B7" s="545">
        <f>Assumptions!C34</f>
        <v>96489.798429326824</v>
      </c>
    </row>
    <row r="8" spans="1:22">
      <c r="A8" t="s">
        <v>445</v>
      </c>
      <c r="B8" s="546">
        <f>Assumptions!C20+Assumptions!C21</f>
        <v>57289.798429326831</v>
      </c>
    </row>
    <row r="10" spans="1:22">
      <c r="A10" t="s">
        <v>446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447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2000-03-01T18:13:28Z</cp:lastPrinted>
  <dcterms:created xsi:type="dcterms:W3CDTF">1999-04-02T01:38:38Z</dcterms:created>
  <dcterms:modified xsi:type="dcterms:W3CDTF">2014-09-03T11:32:13Z</dcterms:modified>
</cp:coreProperties>
</file>