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095" windowWidth="15330" windowHeight="4155" tabRatio="900" firstSheet="1" activeTab="2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GCurve" sheetId="26" r:id="rId5"/>
    <sheet name="IS" sheetId="4" r:id="rId6"/>
    <sheet name="BS" sheetId="19" state="hidden" r:id="rId7"/>
    <sheet name="Returns Analysis" sheetId="25" r:id="rId8"/>
    <sheet name="IDC-Project" sheetId="27" r:id="rId9"/>
    <sheet name="Debt" sheetId="6" r:id="rId10"/>
    <sheet name="Depreciation" sheetId="7" r:id="rId11"/>
    <sheet name="Taxes" sheetId="8" r:id="rId12"/>
    <sheet name="IDC" sheetId="18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AnnualHours" localSheetId="8">[6]Assumptions!#REF!</definedName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 localSheetId="8">[6]Assumptions!#REF!</definedName>
    <definedName name="Maint_Accrual">Assumptions!#REF!</definedName>
    <definedName name="OpHours">[5]Assumptions!#REF!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Assumptions!$A$3:$P$78</definedName>
    <definedName name="_xlnm.Print_Area" localSheetId="6">BS!$A$2:$AH$9</definedName>
    <definedName name="_xlnm.Print_Area" localSheetId="9">Debt!$A$2:$AF$69</definedName>
    <definedName name="_xlnm.Print_Area" localSheetId="10">Depreciation!$A$2:$AH$50</definedName>
    <definedName name="_xlnm.Print_Area" localSheetId="12">IDC!$A$2:$L$59</definedName>
    <definedName name="_xlnm.Print_Area" localSheetId="5">IS!$A$2:$AG$45</definedName>
    <definedName name="_xlnm.Print_Area" localSheetId="11">Taxes!$A$2:$AF$41</definedName>
    <definedName name="_xlnm.Print_Titles" localSheetId="6">BS!$A:$A</definedName>
    <definedName name="_xlnm.Print_Titles" localSheetId="9">Debt!$A:$A</definedName>
    <definedName name="_xlnm.Print_Titles" localSheetId="10">Depreciation!$A:$A</definedName>
    <definedName name="_xlnm.Print_Titles" localSheetId="5">IS!$A:$A</definedName>
    <definedName name="_xlnm.Print_Titles" localSheetId="3">'Price_Technical Assumption'!$A:$B</definedName>
    <definedName name="_xlnm.Print_Titles" localSheetId="7">'Returns Analysis'!$A:$A</definedName>
    <definedName name="_xlnm.Print_Titles" localSheetId="11">Taxes!$A:$A</definedName>
    <definedName name="StartMWh">'[2]Project Assumptions'!#REF!</definedName>
    <definedName name="Variable" localSheetId="8">[6]Assumptions!#REF!</definedName>
    <definedName name="Variable">Assumptions!#REF!</definedName>
    <definedName name="WaterTreatmentVar" localSheetId="8">[6]Assumptions!#REF!</definedName>
    <definedName name="WaterTreatmentVar">Assumptions!#REF!</definedName>
    <definedName name="wrn.test1." localSheetId="8" hidden="1">{"Income Statement",#N/A,FALSE,"CFMODEL";"Balance Sheet",#N/A,FALSE,"CFMODEL"}</definedName>
    <definedName name="wrn.test1." hidden="1">{"Income Statement",#N/A,FALSE,"CFMODEL";"Balance Sheet",#N/A,FALSE,"CFMODEL"}</definedName>
    <definedName name="wrn.test2." localSheetId="8" hidden="1">{"SourcesUses",#N/A,TRUE,"CFMODEL";"TransOverview",#N/A,TRUE,"CFMODEL"}</definedName>
    <definedName name="wrn.test2." hidden="1">{"SourcesUses",#N/A,TRUE,"CFMODEL";"TransOverview",#N/A,TRUE,"CFMODEL"}</definedName>
    <definedName name="wrn.test3." localSheetId="8" hidden="1">{"SourcesUses",#N/A,TRUE,#N/A;"TransOverview",#N/A,TRUE,"CFMODEL"}</definedName>
    <definedName name="wrn.test3." hidden="1">{"SourcesUses",#N/A,TRUE,#N/A;"TransOverview",#N/A,TRUE,"CFMODEL"}</definedName>
    <definedName name="wrn.test4." localSheetId="8" hidden="1">{"SourcesUses",#N/A,TRUE,"FundsFlow";"TransOverview",#N/A,TRUE,"FundsFlow"}</definedName>
    <definedName name="wrn.test4." hidden="1">{"SourcesUses",#N/A,TRUE,"FundsFlow";"TransOverview",#N/A,TRUE,"FundsFlow"}</definedName>
  </definedNames>
  <calcPr calcId="152511" fullCalcOnLoad="1"/>
</workbook>
</file>

<file path=xl/calcChain.xml><?xml version="1.0" encoding="utf-8"?>
<calcChain xmlns="http://schemas.openxmlformats.org/spreadsheetml/2006/main">
  <c r="C12" i="2" l="1"/>
  <c r="AA13" i="2"/>
  <c r="AA14" i="2" s="1"/>
  <c r="U14" i="2"/>
  <c r="V14" i="2"/>
  <c r="W14" i="2"/>
  <c r="X14" i="2"/>
  <c r="Y14" i="2"/>
  <c r="Z14" i="2"/>
  <c r="AB14" i="2"/>
  <c r="N17" i="2"/>
  <c r="P17" i="2"/>
  <c r="H60" i="2" s="1"/>
  <c r="H18" i="2"/>
  <c r="C20" i="2"/>
  <c r="C21" i="2"/>
  <c r="D21" i="2" s="1"/>
  <c r="N26" i="2"/>
  <c r="G32" i="2"/>
  <c r="H35" i="2"/>
  <c r="H39" i="2"/>
  <c r="C48" i="2"/>
  <c r="G48" i="2"/>
  <c r="C56" i="2"/>
  <c r="H57" i="2"/>
  <c r="H66" i="2"/>
  <c r="H68" i="2"/>
  <c r="A70" i="2"/>
  <c r="A71" i="2"/>
  <c r="A72" i="2"/>
  <c r="A2" i="19"/>
  <c r="D8" i="19"/>
  <c r="E8" i="19" s="1"/>
  <c r="F8" i="19" s="1"/>
  <c r="G8" i="19" s="1"/>
  <c r="H8" i="19" s="1"/>
  <c r="I8" i="19" s="1"/>
  <c r="J8" i="19" s="1"/>
  <c r="K8" i="19" s="1"/>
  <c r="L8" i="19" s="1"/>
  <c r="M8" i="19" s="1"/>
  <c r="N8" i="19" s="1"/>
  <c r="O8" i="19" s="1"/>
  <c r="P8" i="19" s="1"/>
  <c r="Q8" i="19" s="1"/>
  <c r="R8" i="19" s="1"/>
  <c r="S8" i="19" s="1"/>
  <c r="T8" i="19" s="1"/>
  <c r="U8" i="19" s="1"/>
  <c r="V8" i="19" s="1"/>
  <c r="W8" i="19"/>
  <c r="X8" i="19"/>
  <c r="Y8" i="19" s="1"/>
  <c r="Z8" i="19" s="1"/>
  <c r="AA8" i="19" s="1"/>
  <c r="AB8" i="19" s="1"/>
  <c r="AC8" i="19" s="1"/>
  <c r="AD8" i="19" s="1"/>
  <c r="AE8" i="19" s="1"/>
  <c r="AF8" i="19" s="1"/>
  <c r="AG8" i="19" s="1"/>
  <c r="AH8" i="19" s="1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C42" i="19"/>
  <c r="A2" i="6"/>
  <c r="B8" i="6"/>
  <c r="C8" i="6"/>
  <c r="D8" i="6"/>
  <c r="E8" i="6"/>
  <c r="E41" i="6" s="1"/>
  <c r="F8" i="6"/>
  <c r="G8" i="6"/>
  <c r="G41" i="6" s="1"/>
  <c r="H8" i="6"/>
  <c r="I8" i="6"/>
  <c r="J8" i="6"/>
  <c r="K8" i="6"/>
  <c r="L8" i="6"/>
  <c r="M8" i="6"/>
  <c r="N8" i="6"/>
  <c r="O8" i="6"/>
  <c r="O41" i="6" s="1"/>
  <c r="P8" i="6"/>
  <c r="Q8" i="6"/>
  <c r="R8" i="6"/>
  <c r="S8" i="6"/>
  <c r="T8" i="6"/>
  <c r="U8" i="6"/>
  <c r="U41" i="6" s="1"/>
  <c r="V8" i="6"/>
  <c r="W8" i="6"/>
  <c r="W41" i="6" s="1"/>
  <c r="X8" i="6"/>
  <c r="Y8" i="6"/>
  <c r="Z8" i="6"/>
  <c r="AA8" i="6"/>
  <c r="AB8" i="6"/>
  <c r="AC8" i="6"/>
  <c r="AD8" i="6"/>
  <c r="AE8" i="6"/>
  <c r="AE41" i="6" s="1"/>
  <c r="AF8" i="6"/>
  <c r="AN11" i="6"/>
  <c r="AN12" i="6" s="1"/>
  <c r="B33" i="6"/>
  <c r="B41" i="6"/>
  <c r="C41" i="6"/>
  <c r="D41" i="6"/>
  <c r="F41" i="6"/>
  <c r="H41" i="6"/>
  <c r="I41" i="6"/>
  <c r="J41" i="6"/>
  <c r="K41" i="6"/>
  <c r="L41" i="6"/>
  <c r="M41" i="6"/>
  <c r="N41" i="6"/>
  <c r="P41" i="6"/>
  <c r="Q41" i="6"/>
  <c r="R41" i="6"/>
  <c r="S41" i="6"/>
  <c r="T41" i="6"/>
  <c r="V41" i="6"/>
  <c r="X41" i="6"/>
  <c r="Y41" i="6"/>
  <c r="Z41" i="6"/>
  <c r="AA41" i="6"/>
  <c r="AB41" i="6"/>
  <c r="AC41" i="6"/>
  <c r="AD41" i="6"/>
  <c r="AF41" i="6"/>
  <c r="E62" i="6"/>
  <c r="E63" i="6"/>
  <c r="E64" i="6" s="1"/>
  <c r="G39" i="2" s="1"/>
  <c r="E65" i="6"/>
  <c r="E67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2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H13" i="7"/>
  <c r="B14" i="7"/>
  <c r="B18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B33" i="7"/>
  <c r="B41" i="7"/>
  <c r="C41" i="7"/>
  <c r="B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B47" i="7"/>
  <c r="I9" i="26"/>
  <c r="I10" i="26"/>
  <c r="I11" i="26"/>
  <c r="I13" i="26"/>
  <c r="I14" i="26"/>
  <c r="I16" i="26"/>
  <c r="I17" i="26"/>
  <c r="I18" i="26"/>
  <c r="I19" i="26"/>
  <c r="I20" i="26"/>
  <c r="P25" i="3" s="1"/>
  <c r="I22" i="26"/>
  <c r="I25" i="26"/>
  <c r="E26" i="26"/>
  <c r="I8" i="26" s="1"/>
  <c r="I26" i="26"/>
  <c r="I27" i="26"/>
  <c r="I28" i="26" s="1"/>
  <c r="X25" i="3" s="1"/>
  <c r="E38" i="26"/>
  <c r="E50" i="26"/>
  <c r="E62" i="26"/>
  <c r="E74" i="26"/>
  <c r="I12" i="26" s="1"/>
  <c r="H25" i="3" s="1"/>
  <c r="E86" i="26"/>
  <c r="E98" i="26"/>
  <c r="E110" i="26"/>
  <c r="I15" i="26" s="1"/>
  <c r="E122" i="26"/>
  <c r="E134" i="26"/>
  <c r="E146" i="26"/>
  <c r="E158" i="26"/>
  <c r="E170" i="26"/>
  <c r="E182" i="26"/>
  <c r="I21" i="26" s="1"/>
  <c r="E194" i="26"/>
  <c r="E206" i="26"/>
  <c r="I23" i="26" s="1"/>
  <c r="E218" i="26"/>
  <c r="I24" i="26" s="1"/>
  <c r="E230" i="26"/>
  <c r="E242" i="26"/>
  <c r="A2" i="18"/>
  <c r="C6" i="18"/>
  <c r="C7" i="18"/>
  <c r="C8" i="18"/>
  <c r="D8" i="18"/>
  <c r="C15" i="18"/>
  <c r="A16" i="18"/>
  <c r="C16" i="18"/>
  <c r="C17" i="18"/>
  <c r="C18" i="18"/>
  <c r="E18" i="18"/>
  <c r="F18" i="18" s="1"/>
  <c r="C19" i="18"/>
  <c r="C20" i="18"/>
  <c r="E20" i="18"/>
  <c r="F20" i="18" s="1"/>
  <c r="C21" i="18"/>
  <c r="E21" i="18" s="1"/>
  <c r="F21" i="18" s="1"/>
  <c r="C22" i="18"/>
  <c r="C23" i="18"/>
  <c r="C24" i="18"/>
  <c r="C25" i="18"/>
  <c r="C26" i="18"/>
  <c r="E26" i="18"/>
  <c r="F26" i="18" s="1"/>
  <c r="C27" i="18"/>
  <c r="E27" i="18" s="1"/>
  <c r="F27" i="18" s="1"/>
  <c r="C28" i="18"/>
  <c r="C29" i="18"/>
  <c r="E29" i="18"/>
  <c r="F29" i="18" s="1"/>
  <c r="D34" i="18"/>
  <c r="H57" i="18"/>
  <c r="I57" i="18"/>
  <c r="J57" i="18"/>
  <c r="K57" i="18"/>
  <c r="L57" i="18"/>
  <c r="D59" i="18"/>
  <c r="D15" i="18" s="1"/>
  <c r="C5" i="27"/>
  <c r="A2" i="4"/>
  <c r="D17" i="4"/>
  <c r="E17" i="4" s="1"/>
  <c r="F17" i="4" s="1"/>
  <c r="G17" i="4" s="1"/>
  <c r="H17" i="4" s="1"/>
  <c r="I17" i="4" s="1"/>
  <c r="J17" i="4" s="1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C20" i="4"/>
  <c r="D20" i="4"/>
  <c r="E20" i="4" s="1"/>
  <c r="F20" i="4" s="1"/>
  <c r="G20" i="4" s="1"/>
  <c r="H20" i="4" s="1"/>
  <c r="I20" i="4" s="1"/>
  <c r="J20" i="4" s="1"/>
  <c r="K20" i="4" s="1"/>
  <c r="L20" i="4" s="1"/>
  <c r="M20" i="4" s="1"/>
  <c r="N20" i="4" s="1"/>
  <c r="O20" i="4" s="1"/>
  <c r="P20" i="4" s="1"/>
  <c r="Q20" i="4" s="1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AB20" i="4" s="1"/>
  <c r="AC20" i="4" s="1"/>
  <c r="AD20" i="4" s="1"/>
  <c r="AE20" i="4" s="1"/>
  <c r="AF20" i="4" s="1"/>
  <c r="AG20" i="4" s="1"/>
  <c r="C21" i="4"/>
  <c r="D21" i="4"/>
  <c r="E21" i="4"/>
  <c r="F21" i="4"/>
  <c r="G21" i="4" s="1"/>
  <c r="H21" i="4" s="1"/>
  <c r="I21" i="4" s="1"/>
  <c r="J21" i="4" s="1"/>
  <c r="K21" i="4" s="1"/>
  <c r="L21" i="4" s="1"/>
  <c r="M21" i="4" s="1"/>
  <c r="N21" i="4" s="1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AG21" i="4" s="1"/>
  <c r="C22" i="4"/>
  <c r="D22" i="4"/>
  <c r="E22" i="4" s="1"/>
  <c r="F22" i="4" s="1"/>
  <c r="G22" i="4" s="1"/>
  <c r="H22" i="4"/>
  <c r="I22" i="4" s="1"/>
  <c r="J22" i="4" s="1"/>
  <c r="K22" i="4" s="1"/>
  <c r="L22" i="4" s="1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AD22" i="4" s="1"/>
  <c r="AE22" i="4" s="1"/>
  <c r="AF22" i="4" s="1"/>
  <c r="AG22" i="4" s="1"/>
  <c r="D23" i="4"/>
  <c r="E23" i="4"/>
  <c r="F23" i="4" s="1"/>
  <c r="G23" i="4" s="1"/>
  <c r="H23" i="4" s="1"/>
  <c r="I23" i="4" s="1"/>
  <c r="J23" i="4" s="1"/>
  <c r="K23" i="4" s="1"/>
  <c r="L23" i="4" s="1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AG23" i="4" s="1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8" i="4"/>
  <c r="D28" i="4"/>
  <c r="E28" i="4" s="1"/>
  <c r="F28" i="4"/>
  <c r="G28" i="4" s="1"/>
  <c r="H28" i="4" s="1"/>
  <c r="I28" i="4" s="1"/>
  <c r="J28" i="4" s="1"/>
  <c r="K28" i="4" s="1"/>
  <c r="L28" i="4" s="1"/>
  <c r="M28" i="4" s="1"/>
  <c r="N28" i="4" s="1"/>
  <c r="O28" i="4" s="1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C29" i="4"/>
  <c r="D29" i="4"/>
  <c r="E29" i="4"/>
  <c r="F29" i="4" s="1"/>
  <c r="G29" i="4" s="1"/>
  <c r="H29" i="4" s="1"/>
  <c r="I29" i="4" s="1"/>
  <c r="J29" i="4" s="1"/>
  <c r="K29" i="4" s="1"/>
  <c r="L29" i="4" s="1"/>
  <c r="M29" i="4" s="1"/>
  <c r="N29" i="4" s="1"/>
  <c r="O29" i="4" s="1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B42" i="4"/>
  <c r="B43" i="4"/>
  <c r="B2" i="3"/>
  <c r="D7" i="3"/>
  <c r="E7" i="3"/>
  <c r="F7" i="3" s="1"/>
  <c r="D8" i="3"/>
  <c r="D12" i="3"/>
  <c r="D21" i="3" s="1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19" i="3"/>
  <c r="D19" i="3"/>
  <c r="E19" i="3"/>
  <c r="G19" i="3"/>
  <c r="H19" i="3"/>
  <c r="I19" i="3"/>
  <c r="J19" i="3"/>
  <c r="K19" i="3"/>
  <c r="L19" i="3"/>
  <c r="M19" i="3"/>
  <c r="O19" i="3"/>
  <c r="P19" i="3"/>
  <c r="Q19" i="3"/>
  <c r="R19" i="3"/>
  <c r="S19" i="3"/>
  <c r="T19" i="3"/>
  <c r="U19" i="3"/>
  <c r="W19" i="3"/>
  <c r="X19" i="3"/>
  <c r="Y19" i="3"/>
  <c r="Z19" i="3"/>
  <c r="AA19" i="3"/>
  <c r="AB19" i="3"/>
  <c r="AC19" i="3"/>
  <c r="AE19" i="3"/>
  <c r="AF19" i="3"/>
  <c r="AG19" i="3"/>
  <c r="AH19" i="3"/>
  <c r="F21" i="3"/>
  <c r="D25" i="3"/>
  <c r="D30" i="3" s="1"/>
  <c r="E25" i="3"/>
  <c r="F25" i="3"/>
  <c r="F30" i="3" s="1"/>
  <c r="G25" i="3"/>
  <c r="I25" i="3"/>
  <c r="J25" i="3"/>
  <c r="K25" i="3"/>
  <c r="K30" i="3" s="1"/>
  <c r="L25" i="3"/>
  <c r="L30" i="3" s="1"/>
  <c r="M25" i="3"/>
  <c r="N25" i="3"/>
  <c r="O25" i="3"/>
  <c r="O30" i="3" s="1"/>
  <c r="Q25" i="3"/>
  <c r="Q30" i="3" s="1"/>
  <c r="Q34" i="3" s="1"/>
  <c r="R25" i="3"/>
  <c r="S25" i="3"/>
  <c r="S30" i="3" s="1"/>
  <c r="T25" i="3"/>
  <c r="U25" i="3"/>
  <c r="U30" i="3" s="1"/>
  <c r="V25" i="3"/>
  <c r="W25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E30" i="3"/>
  <c r="G30" i="3"/>
  <c r="H30" i="3"/>
  <c r="I30" i="3"/>
  <c r="J30" i="3"/>
  <c r="M30" i="3"/>
  <c r="N30" i="3"/>
  <c r="P30" i="3"/>
  <c r="R30" i="3"/>
  <c r="T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E34" i="3"/>
  <c r="F34" i="3"/>
  <c r="N34" i="3"/>
  <c r="O34" i="3"/>
  <c r="W34" i="3"/>
  <c r="AG34" i="3"/>
  <c r="D35" i="3"/>
  <c r="A38" i="3"/>
  <c r="D42" i="3"/>
  <c r="D44" i="3" s="1"/>
  <c r="E42" i="3"/>
  <c r="F42" i="3"/>
  <c r="G42" i="3"/>
  <c r="H42" i="3"/>
  <c r="H44" i="3" s="1"/>
  <c r="H34" i="3" s="1"/>
  <c r="I42" i="3"/>
  <c r="J42" i="3"/>
  <c r="J44" i="3" s="1"/>
  <c r="J34" i="3" s="1"/>
  <c r="K42" i="3"/>
  <c r="K44" i="3" s="1"/>
  <c r="K34" i="3" s="1"/>
  <c r="L42" i="3"/>
  <c r="M42" i="3"/>
  <c r="M44" i="3" s="1"/>
  <c r="M34" i="3" s="1"/>
  <c r="N42" i="3"/>
  <c r="O42" i="3"/>
  <c r="P42" i="3"/>
  <c r="P44" i="3" s="1"/>
  <c r="P34" i="3" s="1"/>
  <c r="Q42" i="3"/>
  <c r="R42" i="3"/>
  <c r="R44" i="3" s="1"/>
  <c r="R34" i="3" s="1"/>
  <c r="S42" i="3"/>
  <c r="T42" i="3"/>
  <c r="T44" i="3" s="1"/>
  <c r="T34" i="3" s="1"/>
  <c r="U42" i="3"/>
  <c r="V42" i="3"/>
  <c r="W42" i="3"/>
  <c r="X42" i="3"/>
  <c r="X44" i="3" s="1"/>
  <c r="X34" i="3" s="1"/>
  <c r="Y42" i="3"/>
  <c r="Z42" i="3"/>
  <c r="Z44" i="3" s="1"/>
  <c r="Z34" i="3" s="1"/>
  <c r="AA42" i="3"/>
  <c r="AB42" i="3"/>
  <c r="AC42" i="3"/>
  <c r="AC44" i="3" s="1"/>
  <c r="AC34" i="3" s="1"/>
  <c r="AD42" i="3"/>
  <c r="AE42" i="3"/>
  <c r="AF42" i="3"/>
  <c r="AF44" i="3" s="1"/>
  <c r="AF34" i="3" s="1"/>
  <c r="AG42" i="3"/>
  <c r="AH42" i="3"/>
  <c r="AH44" i="3" s="1"/>
  <c r="AH34" i="3" s="1"/>
  <c r="E44" i="3"/>
  <c r="F44" i="3"/>
  <c r="G44" i="3"/>
  <c r="G34" i="3" s="1"/>
  <c r="I44" i="3"/>
  <c r="I34" i="3" s="1"/>
  <c r="L44" i="3"/>
  <c r="L34" i="3" s="1"/>
  <c r="N44" i="3"/>
  <c r="O44" i="3"/>
  <c r="Q44" i="3"/>
  <c r="S44" i="3"/>
  <c r="S34" i="3" s="1"/>
  <c r="U44" i="3"/>
  <c r="U34" i="3" s="1"/>
  <c r="V44" i="3"/>
  <c r="W44" i="3"/>
  <c r="Y44" i="3"/>
  <c r="Y34" i="3" s="1"/>
  <c r="AA44" i="3"/>
  <c r="AA34" i="3" s="1"/>
  <c r="AB44" i="3"/>
  <c r="AB34" i="3" s="1"/>
  <c r="AD44" i="3"/>
  <c r="AE44" i="3"/>
  <c r="AE34" i="3" s="1"/>
  <c r="AG44" i="3"/>
  <c r="A2" i="25"/>
  <c r="C6" i="25"/>
  <c r="D6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B21" i="25"/>
  <c r="B27" i="25"/>
  <c r="B37" i="25"/>
  <c r="A41" i="25"/>
  <c r="B43" i="25"/>
  <c r="A48" i="25"/>
  <c r="B50" i="25"/>
  <c r="A55" i="25"/>
  <c r="B57" i="25"/>
  <c r="W58" i="25"/>
  <c r="AG58" i="25"/>
  <c r="A2" i="8"/>
  <c r="B6" i="8"/>
  <c r="C6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2" i="16"/>
  <c r="F6" i="19" l="1"/>
  <c r="F6" i="7"/>
  <c r="F35" i="3"/>
  <c r="E6" i="4"/>
  <c r="E10" i="4" s="1"/>
  <c r="G7" i="3"/>
  <c r="E6" i="25"/>
  <c r="D6" i="8"/>
  <c r="D7" i="19"/>
  <c r="D7" i="7"/>
  <c r="C7" i="4"/>
  <c r="E8" i="3"/>
  <c r="B7" i="8"/>
  <c r="V34" i="3"/>
  <c r="AD34" i="3"/>
  <c r="D34" i="3"/>
  <c r="D36" i="3" s="1"/>
  <c r="D38" i="3" s="1"/>
  <c r="C11" i="4" s="1"/>
  <c r="C7" i="25"/>
  <c r="F36" i="3"/>
  <c r="F38" i="3" s="1"/>
  <c r="E11" i="4" s="1"/>
  <c r="D20" i="2"/>
  <c r="C34" i="2"/>
  <c r="B8" i="27"/>
  <c r="F19" i="3"/>
  <c r="N19" i="3"/>
  <c r="V19" i="3"/>
  <c r="AD19" i="3"/>
  <c r="E21" i="3"/>
  <c r="E32" i="18"/>
  <c r="F32" i="18" s="1"/>
  <c r="E31" i="18"/>
  <c r="F31" i="18" s="1"/>
  <c r="E22" i="18"/>
  <c r="F22" i="18" s="1"/>
  <c r="E25" i="18"/>
  <c r="F25" i="18" s="1"/>
  <c r="E33" i="18"/>
  <c r="F33" i="18" s="1"/>
  <c r="E17" i="18"/>
  <c r="F17" i="18" s="1"/>
  <c r="E30" i="18"/>
  <c r="F30" i="18" s="1"/>
  <c r="E23" i="18"/>
  <c r="F23" i="18" s="1"/>
  <c r="E6" i="19"/>
  <c r="E6" i="7"/>
  <c r="D6" i="4"/>
  <c r="D10" i="4" s="1"/>
  <c r="E35" i="3"/>
  <c r="E36" i="3" s="1"/>
  <c r="E38" i="3" s="1"/>
  <c r="D11" i="4" s="1"/>
  <c r="H27" i="7"/>
  <c r="H42" i="7"/>
  <c r="E28" i="18"/>
  <c r="F28" i="18" s="1"/>
  <c r="E19" i="18"/>
  <c r="F19" i="18" s="1"/>
  <c r="A17" i="18"/>
  <c r="F13" i="7"/>
  <c r="D13" i="7"/>
  <c r="I13" i="7" s="1"/>
  <c r="E13" i="7"/>
  <c r="G13" i="7"/>
  <c r="D6" i="19"/>
  <c r="D6" i="7"/>
  <c r="E16" i="18"/>
  <c r="F16" i="18" s="1"/>
  <c r="E24" i="18"/>
  <c r="F24" i="18" s="1"/>
  <c r="E15" i="18"/>
  <c r="C34" i="18"/>
  <c r="C6" i="4"/>
  <c r="B36" i="6"/>
  <c r="O22" i="2"/>
  <c r="D25" i="2"/>
  <c r="O20" i="2"/>
  <c r="O25" i="2"/>
  <c r="D28" i="2"/>
  <c r="D39" i="2"/>
  <c r="D42" i="2"/>
  <c r="D53" i="2"/>
  <c r="O24" i="2"/>
  <c r="D24" i="2"/>
  <c r="D29" i="2"/>
  <c r="D32" i="2"/>
  <c r="D41" i="2"/>
  <c r="D47" i="2"/>
  <c r="D37" i="2"/>
  <c r="D43" i="2"/>
  <c r="D54" i="2"/>
  <c r="O21" i="2"/>
  <c r="D26" i="2"/>
  <c r="D30" i="2"/>
  <c r="D38" i="2"/>
  <c r="H62" i="2"/>
  <c r="O19" i="2"/>
  <c r="O23" i="2"/>
  <c r="D27" i="2"/>
  <c r="D49" i="2"/>
  <c r="D33" i="2"/>
  <c r="D45" i="2"/>
  <c r="D22" i="2"/>
  <c r="D40" i="2"/>
  <c r="D31" i="2"/>
  <c r="D55" i="2"/>
  <c r="D23" i="2"/>
  <c r="D44" i="2"/>
  <c r="D56" i="2"/>
  <c r="D48" i="2"/>
  <c r="C46" i="2"/>
  <c r="D12" i="2"/>
  <c r="I27" i="7" l="1"/>
  <c r="I42" i="7"/>
  <c r="G6" i="19"/>
  <c r="G6" i="7"/>
  <c r="G35" i="3"/>
  <c r="G36" i="3" s="1"/>
  <c r="G38" i="3" s="1"/>
  <c r="F11" i="4" s="1"/>
  <c r="F6" i="4"/>
  <c r="E6" i="8"/>
  <c r="F6" i="25"/>
  <c r="H7" i="3"/>
  <c r="H21" i="3"/>
  <c r="D13" i="4"/>
  <c r="B74" i="2"/>
  <c r="B7" i="6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E13" i="4"/>
  <c r="D14" i="7"/>
  <c r="D43" i="7"/>
  <c r="D47" i="7" s="1"/>
  <c r="D41" i="7"/>
  <c r="E41" i="7"/>
  <c r="E14" i="7"/>
  <c r="E43" i="7"/>
  <c r="E47" i="7" s="1"/>
  <c r="F42" i="7"/>
  <c r="F27" i="7"/>
  <c r="E7" i="19"/>
  <c r="E7" i="7"/>
  <c r="D7" i="4"/>
  <c r="C74" i="2" s="1"/>
  <c r="D7" i="25"/>
  <c r="C7" i="8"/>
  <c r="F8" i="3"/>
  <c r="O26" i="2"/>
  <c r="G27" i="7"/>
  <c r="G42" i="7"/>
  <c r="F41" i="7"/>
  <c r="F43" i="7"/>
  <c r="F47" i="7" s="1"/>
  <c r="F14" i="7"/>
  <c r="G21" i="3"/>
  <c r="G16" i="4"/>
  <c r="O16" i="4"/>
  <c r="W16" i="4"/>
  <c r="AE16" i="4"/>
  <c r="I16" i="4"/>
  <c r="R16" i="4"/>
  <c r="AA16" i="4"/>
  <c r="J16" i="4"/>
  <c r="S16" i="4"/>
  <c r="AB16" i="4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N18" i="4" s="1"/>
  <c r="O18" i="4" s="1"/>
  <c r="P18" i="4" s="1"/>
  <c r="Q18" i="4" s="1"/>
  <c r="R18" i="4" s="1"/>
  <c r="S18" i="4" s="1"/>
  <c r="T18" i="4" s="1"/>
  <c r="U18" i="4" s="1"/>
  <c r="V18" i="4" s="1"/>
  <c r="W18" i="4" s="1"/>
  <c r="X18" i="4" s="1"/>
  <c r="Y18" i="4" s="1"/>
  <c r="Z18" i="4" s="1"/>
  <c r="AA18" i="4" s="1"/>
  <c r="AB18" i="4" s="1"/>
  <c r="AC18" i="4" s="1"/>
  <c r="AD18" i="4" s="1"/>
  <c r="AE18" i="4" s="1"/>
  <c r="AF18" i="4" s="1"/>
  <c r="AG18" i="4" s="1"/>
  <c r="K16" i="4"/>
  <c r="T16" i="4"/>
  <c r="AC16" i="4"/>
  <c r="C16" i="4"/>
  <c r="L16" i="4"/>
  <c r="U16" i="4"/>
  <c r="AD16" i="4"/>
  <c r="F16" i="4"/>
  <c r="P16" i="4"/>
  <c r="Y16" i="4"/>
  <c r="X16" i="4"/>
  <c r="D16" i="4"/>
  <c r="Z16" i="4"/>
  <c r="E16" i="4"/>
  <c r="AF16" i="4"/>
  <c r="H16" i="4"/>
  <c r="AG16" i="4"/>
  <c r="Q16" i="4"/>
  <c r="V16" i="4"/>
  <c r="C19" i="4"/>
  <c r="D19" i="4" s="1"/>
  <c r="E19" i="4" s="1"/>
  <c r="F19" i="4" s="1"/>
  <c r="G19" i="4" s="1"/>
  <c r="H19" i="4" s="1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M16" i="4"/>
  <c r="N16" i="4"/>
  <c r="E34" i="18"/>
  <c r="F15" i="18"/>
  <c r="B16" i="7"/>
  <c r="B7" i="27"/>
  <c r="B10" i="27" s="1"/>
  <c r="N30" i="2"/>
  <c r="O30" i="2" s="1"/>
  <c r="N32" i="2"/>
  <c r="O32" i="2" s="1"/>
  <c r="C26" i="4"/>
  <c r="N33" i="2" s="1"/>
  <c r="O33" i="2" s="1"/>
  <c r="S26" i="4"/>
  <c r="C10" i="4"/>
  <c r="C13" i="4" s="1"/>
  <c r="C17" i="4"/>
  <c r="D27" i="4"/>
  <c r="L27" i="4"/>
  <c r="T27" i="4"/>
  <c r="AB27" i="4"/>
  <c r="F27" i="4"/>
  <c r="N27" i="4"/>
  <c r="V27" i="4"/>
  <c r="AD27" i="4"/>
  <c r="G27" i="4"/>
  <c r="O27" i="4"/>
  <c r="W27" i="4"/>
  <c r="AE27" i="4"/>
  <c r="J27" i="4"/>
  <c r="R27" i="4"/>
  <c r="Z27" i="4"/>
  <c r="P27" i="4"/>
  <c r="AF27" i="4"/>
  <c r="Q27" i="4"/>
  <c r="AG27" i="4"/>
  <c r="C27" i="4"/>
  <c r="S27" i="4"/>
  <c r="E27" i="4"/>
  <c r="U27" i="4"/>
  <c r="K27" i="4"/>
  <c r="AA27" i="4"/>
  <c r="X27" i="4"/>
  <c r="Y27" i="4"/>
  <c r="AC27" i="4"/>
  <c r="I27" i="4"/>
  <c r="M27" i="4"/>
  <c r="H27" i="4"/>
  <c r="B49" i="6"/>
  <c r="E27" i="7"/>
  <c r="E42" i="7"/>
  <c r="D34" i="2"/>
  <c r="A18" i="18"/>
  <c r="C50" i="2"/>
  <c r="D46" i="2"/>
  <c r="D27" i="7"/>
  <c r="D42" i="7"/>
  <c r="G16" i="7" l="1"/>
  <c r="O16" i="7"/>
  <c r="W16" i="7"/>
  <c r="AE16" i="7"/>
  <c r="I16" i="7"/>
  <c r="R16" i="7"/>
  <c r="AA16" i="7"/>
  <c r="K16" i="7"/>
  <c r="T16" i="7"/>
  <c r="AC16" i="7"/>
  <c r="L16" i="7"/>
  <c r="U16" i="7"/>
  <c r="AD16" i="7"/>
  <c r="F16" i="7"/>
  <c r="P16" i="7"/>
  <c r="Y16" i="7"/>
  <c r="AH16" i="7"/>
  <c r="H16" i="7"/>
  <c r="Z16" i="7"/>
  <c r="J16" i="7"/>
  <c r="AB16" i="7"/>
  <c r="B19" i="7"/>
  <c r="M16" i="7"/>
  <c r="AF16" i="7"/>
  <c r="N16" i="7"/>
  <c r="AG16" i="7"/>
  <c r="B31" i="7"/>
  <c r="D16" i="7"/>
  <c r="V16" i="7"/>
  <c r="B45" i="7"/>
  <c r="S16" i="7"/>
  <c r="X16" i="7"/>
  <c r="Q16" i="7"/>
  <c r="E16" i="7"/>
  <c r="D18" i="7"/>
  <c r="D28" i="7"/>
  <c r="D33" i="7" s="1"/>
  <c r="F28" i="7"/>
  <c r="F33" i="7" s="1"/>
  <c r="F18" i="7"/>
  <c r="F7" i="19"/>
  <c r="F7" i="7"/>
  <c r="E7" i="4"/>
  <c r="D74" i="2" s="1"/>
  <c r="E7" i="25"/>
  <c r="G8" i="3"/>
  <c r="D7" i="8"/>
  <c r="F10" i="4"/>
  <c r="F13" i="4" s="1"/>
  <c r="F45" i="7"/>
  <c r="E28" i="7"/>
  <c r="E33" i="7" s="1"/>
  <c r="E18" i="7"/>
  <c r="G14" i="7"/>
  <c r="G43" i="7"/>
  <c r="G47" i="7" s="1"/>
  <c r="G41" i="7"/>
  <c r="G45" i="7" s="1"/>
  <c r="D50" i="2"/>
  <c r="B17" i="7"/>
  <c r="C58" i="2"/>
  <c r="G15" i="18"/>
  <c r="F34" i="18"/>
  <c r="E45" i="7"/>
  <c r="A19" i="18"/>
  <c r="D45" i="7"/>
  <c r="K10" i="27"/>
  <c r="F10" i="27"/>
  <c r="E10" i="27"/>
  <c r="G10" i="27"/>
  <c r="J10" i="27"/>
  <c r="I10" i="27"/>
  <c r="L10" i="27"/>
  <c r="H10" i="27"/>
  <c r="N29" i="2"/>
  <c r="O29" i="2" s="1"/>
  <c r="H6" i="19"/>
  <c r="H6" i="7"/>
  <c r="G6" i="4"/>
  <c r="G10" i="4" s="1"/>
  <c r="G6" i="25"/>
  <c r="H35" i="3"/>
  <c r="H36" i="3" s="1"/>
  <c r="H38" i="3" s="1"/>
  <c r="G11" i="4" s="1"/>
  <c r="F6" i="8"/>
  <c r="I7" i="3"/>
  <c r="I6" i="19" l="1"/>
  <c r="I6" i="7"/>
  <c r="H6" i="4"/>
  <c r="H10" i="4" s="1"/>
  <c r="H13" i="4" s="1"/>
  <c r="H6" i="25"/>
  <c r="I35" i="3"/>
  <c r="I36" i="3" s="1"/>
  <c r="I38" i="3" s="1"/>
  <c r="H11" i="4" s="1"/>
  <c r="J7" i="3"/>
  <c r="G6" i="8"/>
  <c r="J21" i="3"/>
  <c r="I21" i="3"/>
  <c r="G7" i="19"/>
  <c r="G7" i="7"/>
  <c r="F7" i="4"/>
  <c r="F7" i="25"/>
  <c r="E7" i="8"/>
  <c r="H8" i="3"/>
  <c r="B48" i="7"/>
  <c r="B21" i="7"/>
  <c r="F19" i="7"/>
  <c r="B12" i="27"/>
  <c r="H16" i="18"/>
  <c r="G16" i="18" s="1"/>
  <c r="G28" i="7"/>
  <c r="G33" i="7" s="1"/>
  <c r="G18" i="7"/>
  <c r="G19" i="7" s="1"/>
  <c r="B28" i="2"/>
  <c r="B39" i="2"/>
  <c r="B42" i="2"/>
  <c r="B53" i="2"/>
  <c r="B56" i="2" s="1"/>
  <c r="C11" i="2"/>
  <c r="B23" i="2"/>
  <c r="B22" i="2"/>
  <c r="B27" i="2"/>
  <c r="B30" i="2"/>
  <c r="B32" i="2"/>
  <c r="B38" i="2"/>
  <c r="B41" i="2"/>
  <c r="B45" i="2"/>
  <c r="B21" i="2"/>
  <c r="B25" i="2"/>
  <c r="B37" i="2"/>
  <c r="B43" i="2"/>
  <c r="B54" i="2"/>
  <c r="D58" i="2"/>
  <c r="C62" i="2" s="1"/>
  <c r="B26" i="2"/>
  <c r="B33" i="2"/>
  <c r="B44" i="2"/>
  <c r="B55" i="2"/>
  <c r="B40" i="2"/>
  <c r="B24" i="2"/>
  <c r="B47" i="2"/>
  <c r="B29" i="2"/>
  <c r="B31" i="2"/>
  <c r="B49" i="2"/>
  <c r="C18" i="19"/>
  <c r="C20" i="19" s="1"/>
  <c r="C25" i="19" s="1"/>
  <c r="AG51" i="25"/>
  <c r="W51" i="25" s="1"/>
  <c r="B48" i="2"/>
  <c r="B20" i="2"/>
  <c r="B46" i="2"/>
  <c r="G13" i="4"/>
  <c r="G17" i="7"/>
  <c r="O17" i="7"/>
  <c r="W17" i="7"/>
  <c r="AE17" i="7"/>
  <c r="D17" i="7"/>
  <c r="D19" i="7" s="1"/>
  <c r="D21" i="7" s="1"/>
  <c r="E21" i="7" s="1"/>
  <c r="F21" i="7" s="1"/>
  <c r="G21" i="7" s="1"/>
  <c r="M17" i="7"/>
  <c r="V17" i="7"/>
  <c r="AF17" i="7"/>
  <c r="F17" i="7"/>
  <c r="P17" i="7"/>
  <c r="Y17" i="7"/>
  <c r="AH17" i="7"/>
  <c r="H17" i="7"/>
  <c r="Q17" i="7"/>
  <c r="Z17" i="7"/>
  <c r="K17" i="7"/>
  <c r="T17" i="7"/>
  <c r="AC17" i="7"/>
  <c r="B32" i="7"/>
  <c r="L17" i="7"/>
  <c r="AD17" i="7"/>
  <c r="N17" i="7"/>
  <c r="AG17" i="7"/>
  <c r="R17" i="7"/>
  <c r="B46" i="7"/>
  <c r="S17" i="7"/>
  <c r="I17" i="7"/>
  <c r="AA17" i="7"/>
  <c r="E17" i="7"/>
  <c r="J17" i="7"/>
  <c r="U17" i="7"/>
  <c r="AB17" i="7"/>
  <c r="X17" i="7"/>
  <c r="G31" i="7"/>
  <c r="O31" i="7"/>
  <c r="W31" i="7"/>
  <c r="AE31" i="7"/>
  <c r="D31" i="7"/>
  <c r="H31" i="7"/>
  <c r="Q31" i="7"/>
  <c r="Z31" i="7"/>
  <c r="B34" i="7"/>
  <c r="K31" i="7"/>
  <c r="U31" i="7"/>
  <c r="AF31" i="7"/>
  <c r="L31" i="7"/>
  <c r="V31" i="7"/>
  <c r="AG31" i="7"/>
  <c r="M31" i="7"/>
  <c r="X31" i="7"/>
  <c r="AH31" i="7"/>
  <c r="N31" i="7"/>
  <c r="Y31" i="7"/>
  <c r="I31" i="7"/>
  <c r="S31" i="7"/>
  <c r="AC31" i="7"/>
  <c r="P31" i="7"/>
  <c r="R31" i="7"/>
  <c r="T31" i="7"/>
  <c r="AA31" i="7"/>
  <c r="F31" i="7"/>
  <c r="AB31" i="7"/>
  <c r="AD31" i="7"/>
  <c r="E31" i="7"/>
  <c r="J31" i="7"/>
  <c r="E19" i="7"/>
  <c r="A20" i="18"/>
  <c r="H14" i="7"/>
  <c r="H43" i="7"/>
  <c r="H47" i="7" s="1"/>
  <c r="H41" i="7"/>
  <c r="H45" i="7" s="1"/>
  <c r="H17" i="18" l="1"/>
  <c r="G17" i="18" s="1"/>
  <c r="H28" i="7"/>
  <c r="H33" i="7" s="1"/>
  <c r="H18" i="7"/>
  <c r="H19" i="7" s="1"/>
  <c r="H21" i="7" s="1"/>
  <c r="A21" i="18"/>
  <c r="O32" i="7"/>
  <c r="W32" i="7"/>
  <c r="AE32" i="7"/>
  <c r="T32" i="7"/>
  <c r="AF32" i="7"/>
  <c r="K32" i="7"/>
  <c r="V32" i="7"/>
  <c r="AG32" i="7"/>
  <c r="X32" i="7"/>
  <c r="Y32" i="7"/>
  <c r="AB32" i="7"/>
  <c r="P32" i="7"/>
  <c r="Q32" i="7"/>
  <c r="S32" i="7"/>
  <c r="AA32" i="7"/>
  <c r="AC32" i="7"/>
  <c r="U32" i="7"/>
  <c r="AH32" i="7"/>
  <c r="N32" i="7"/>
  <c r="L32" i="7"/>
  <c r="M32" i="7"/>
  <c r="R32" i="7"/>
  <c r="AD32" i="7"/>
  <c r="J32" i="7"/>
  <c r="Z32" i="7"/>
  <c r="H32" i="7"/>
  <c r="E32" i="7"/>
  <c r="E34" i="7" s="1"/>
  <c r="C12" i="8" s="1"/>
  <c r="D32" i="7"/>
  <c r="G32" i="7"/>
  <c r="F32" i="7"/>
  <c r="F34" i="7" s="1"/>
  <c r="D12" i="8" s="1"/>
  <c r="I32" i="7"/>
  <c r="J6" i="19"/>
  <c r="J6" i="7"/>
  <c r="I6" i="25"/>
  <c r="I6" i="4"/>
  <c r="I10" i="4" s="1"/>
  <c r="K7" i="3"/>
  <c r="H6" i="8"/>
  <c r="J35" i="3"/>
  <c r="J36" i="3" s="1"/>
  <c r="J38" i="3" s="1"/>
  <c r="I11" i="4" s="1"/>
  <c r="B36" i="7"/>
  <c r="D36" i="7"/>
  <c r="G34" i="7"/>
  <c r="E12" i="8" s="1"/>
  <c r="B34" i="2"/>
  <c r="D18" i="19"/>
  <c r="L18" i="19"/>
  <c r="T18" i="19"/>
  <c r="AB18" i="19"/>
  <c r="J18" i="19"/>
  <c r="R18" i="19"/>
  <c r="Z18" i="19"/>
  <c r="AH18" i="19"/>
  <c r="H18" i="19"/>
  <c r="S18" i="19"/>
  <c r="AD18" i="19"/>
  <c r="I18" i="19"/>
  <c r="U18" i="19"/>
  <c r="AE18" i="19"/>
  <c r="K18" i="19"/>
  <c r="V18" i="19"/>
  <c r="AF18" i="19"/>
  <c r="M18" i="19"/>
  <c r="W18" i="19"/>
  <c r="AG18" i="19"/>
  <c r="F18" i="19"/>
  <c r="P18" i="19"/>
  <c r="AA18" i="19"/>
  <c r="E18" i="19"/>
  <c r="G18" i="19"/>
  <c r="N18" i="19"/>
  <c r="O18" i="19"/>
  <c r="Y18" i="19"/>
  <c r="X18" i="19"/>
  <c r="AC18" i="19"/>
  <c r="Q18" i="19"/>
  <c r="B50" i="7"/>
  <c r="D50" i="7"/>
  <c r="AB46" i="7"/>
  <c r="T46" i="7"/>
  <c r="L46" i="7"/>
  <c r="AD46" i="7"/>
  <c r="V46" i="7"/>
  <c r="AE46" i="7"/>
  <c r="N46" i="7"/>
  <c r="O46" i="7"/>
  <c r="Q46" i="7"/>
  <c r="W46" i="7"/>
  <c r="AF46" i="7"/>
  <c r="X46" i="7"/>
  <c r="AA46" i="7"/>
  <c r="AG46" i="7"/>
  <c r="Y46" i="7"/>
  <c r="AH46" i="7"/>
  <c r="S46" i="7"/>
  <c r="Z46" i="7"/>
  <c r="AC46" i="7"/>
  <c r="M46" i="7"/>
  <c r="P46" i="7"/>
  <c r="K46" i="7"/>
  <c r="R46" i="7"/>
  <c r="J46" i="7"/>
  <c r="U46" i="7"/>
  <c r="H46" i="7"/>
  <c r="D46" i="7"/>
  <c r="D48" i="7" s="1"/>
  <c r="E46" i="7"/>
  <c r="E48" i="7" s="1"/>
  <c r="D34" i="4" s="1"/>
  <c r="C11" i="8" s="1"/>
  <c r="G46" i="7"/>
  <c r="G48" i="7" s="1"/>
  <c r="F34" i="4" s="1"/>
  <c r="E11" i="8" s="1"/>
  <c r="I46" i="7"/>
  <c r="F46" i="7"/>
  <c r="F48" i="7" s="1"/>
  <c r="E34" i="4" s="1"/>
  <c r="D11" i="8" s="1"/>
  <c r="B50" i="2"/>
  <c r="B58" i="2" s="1"/>
  <c r="H7" i="19"/>
  <c r="H7" i="7"/>
  <c r="I8" i="3"/>
  <c r="G7" i="4"/>
  <c r="G7" i="25"/>
  <c r="F7" i="8"/>
  <c r="H34" i="7"/>
  <c r="F12" i="8" s="1"/>
  <c r="I16" i="18"/>
  <c r="C47" i="19"/>
  <c r="I43" i="7"/>
  <c r="I47" i="7" s="1"/>
  <c r="I14" i="7"/>
  <c r="I41" i="7"/>
  <c r="I45" i="7" s="1"/>
  <c r="H48" i="7"/>
  <c r="G34" i="4" s="1"/>
  <c r="F11" i="8" s="1"/>
  <c r="D34" i="7"/>
  <c r="B12" i="8" s="1"/>
  <c r="C14" i="2"/>
  <c r="G41" i="19"/>
  <c r="O41" i="19"/>
  <c r="W41" i="19"/>
  <c r="AE41" i="19"/>
  <c r="D11" i="2"/>
  <c r="E41" i="19"/>
  <c r="M41" i="19"/>
  <c r="U41" i="19"/>
  <c r="AC41" i="19"/>
  <c r="K41" i="19"/>
  <c r="V41" i="19"/>
  <c r="AG41" i="19"/>
  <c r="H47" i="2"/>
  <c r="L41" i="19"/>
  <c r="X41" i="19"/>
  <c r="AH41" i="19"/>
  <c r="C41" i="19"/>
  <c r="C43" i="19" s="1"/>
  <c r="C45" i="19" s="1"/>
  <c r="N41" i="19"/>
  <c r="Y41" i="19"/>
  <c r="D41" i="19"/>
  <c r="P41" i="19"/>
  <c r="Z41" i="19"/>
  <c r="I41" i="19"/>
  <c r="S41" i="19"/>
  <c r="AD41" i="19"/>
  <c r="Q41" i="19"/>
  <c r="R41" i="19"/>
  <c r="T41" i="19"/>
  <c r="AA41" i="19"/>
  <c r="H41" i="19"/>
  <c r="H48" i="2"/>
  <c r="F41" i="19"/>
  <c r="J41" i="19"/>
  <c r="AB41" i="19"/>
  <c r="AF41" i="19"/>
  <c r="B36" i="25"/>
  <c r="B38" i="25" s="1"/>
  <c r="B49" i="25"/>
  <c r="B52" i="25" s="1"/>
  <c r="B25" i="25"/>
  <c r="B56" i="25"/>
  <c r="B59" i="25" s="1"/>
  <c r="B42" i="25"/>
  <c r="B45" i="25" s="1"/>
  <c r="G18" i="18" l="1"/>
  <c r="H18" i="18"/>
  <c r="E36" i="7"/>
  <c r="F36" i="7" s="1"/>
  <c r="G36" i="7" s="1"/>
  <c r="H36" i="7" s="1"/>
  <c r="J6" i="4"/>
  <c r="K6" i="7"/>
  <c r="L7" i="3"/>
  <c r="L21" i="3"/>
  <c r="J6" i="25"/>
  <c r="K6" i="19"/>
  <c r="K35" i="3"/>
  <c r="K36" i="3" s="1"/>
  <c r="K38" i="3" s="1"/>
  <c r="J11" i="4" s="1"/>
  <c r="I6" i="8"/>
  <c r="I13" i="4"/>
  <c r="A22" i="18"/>
  <c r="K21" i="3"/>
  <c r="D14" i="2"/>
  <c r="B12" i="2"/>
  <c r="B14" i="2"/>
  <c r="I48" i="7"/>
  <c r="H34" i="4" s="1"/>
  <c r="G11" i="8" s="1"/>
  <c r="E50" i="7"/>
  <c r="C24" i="4"/>
  <c r="J43" i="7"/>
  <c r="J47" i="7" s="1"/>
  <c r="J14" i="7"/>
  <c r="J41" i="7"/>
  <c r="J45" i="7" s="1"/>
  <c r="J48" i="7" s="1"/>
  <c r="I34" i="4" s="1"/>
  <c r="H11" i="8" s="1"/>
  <c r="B11" i="2"/>
  <c r="I18" i="7"/>
  <c r="I19" i="7" s="1"/>
  <c r="I21" i="7" s="1"/>
  <c r="I28" i="7"/>
  <c r="I33" i="7" s="1"/>
  <c r="I34" i="7" s="1"/>
  <c r="G12" i="8" s="1"/>
  <c r="I7" i="19"/>
  <c r="I7" i="7"/>
  <c r="H7" i="4"/>
  <c r="H7" i="25"/>
  <c r="J8" i="3"/>
  <c r="G7" i="8"/>
  <c r="E19" i="19"/>
  <c r="J19" i="19"/>
  <c r="J20" i="19" s="1"/>
  <c r="J25" i="19" s="1"/>
  <c r="G19" i="19"/>
  <c r="G20" i="19" s="1"/>
  <c r="G25" i="19" s="1"/>
  <c r="D19" i="19"/>
  <c r="D20" i="19" s="1"/>
  <c r="D25" i="19" s="1"/>
  <c r="F19" i="19"/>
  <c r="F20" i="19" s="1"/>
  <c r="F25" i="19" s="1"/>
  <c r="H19" i="19"/>
  <c r="H20" i="19" s="1"/>
  <c r="H25" i="19" s="1"/>
  <c r="C34" i="4"/>
  <c r="B11" i="8" s="1"/>
  <c r="E20" i="19"/>
  <c r="E25" i="19" s="1"/>
  <c r="B29" i="25"/>
  <c r="C25" i="25" s="1"/>
  <c r="C26" i="25"/>
  <c r="I17" i="18"/>
  <c r="J28" i="7" l="1"/>
  <c r="J33" i="7" s="1"/>
  <c r="J34" i="7" s="1"/>
  <c r="H12" i="8" s="1"/>
  <c r="J18" i="7"/>
  <c r="J19" i="7" s="1"/>
  <c r="J21" i="7" s="1"/>
  <c r="K14" i="7"/>
  <c r="K41" i="7"/>
  <c r="K45" i="7" s="1"/>
  <c r="K48" i="7" s="1"/>
  <c r="K43" i="7"/>
  <c r="K47" i="7" s="1"/>
  <c r="I19" i="19"/>
  <c r="I20" i="19" s="1"/>
  <c r="I25" i="19" s="1"/>
  <c r="J10" i="4"/>
  <c r="J13" i="4" s="1"/>
  <c r="J7" i="19"/>
  <c r="J7" i="7"/>
  <c r="I7" i="4"/>
  <c r="K8" i="3"/>
  <c r="H7" i="8"/>
  <c r="I7" i="25"/>
  <c r="I18" i="18"/>
  <c r="I36" i="7"/>
  <c r="J36" i="7" s="1"/>
  <c r="G19" i="18"/>
  <c r="H19" i="18"/>
  <c r="K19" i="19"/>
  <c r="K20" i="19" s="1"/>
  <c r="K25" i="19" s="1"/>
  <c r="A23" i="18"/>
  <c r="N31" i="2"/>
  <c r="O31" i="2" s="1"/>
  <c r="C30" i="4"/>
  <c r="C32" i="4" s="1"/>
  <c r="D24" i="4"/>
  <c r="D30" i="4" s="1"/>
  <c r="D32" i="4" s="1"/>
  <c r="F50" i="7"/>
  <c r="L6" i="19"/>
  <c r="L6" i="7"/>
  <c r="K6" i="4"/>
  <c r="K10" i="4" s="1"/>
  <c r="M7" i="3"/>
  <c r="M21" i="3"/>
  <c r="K6" i="25"/>
  <c r="J6" i="8"/>
  <c r="L35" i="3"/>
  <c r="L36" i="3" s="1"/>
  <c r="L38" i="3" s="1"/>
  <c r="K11" i="4" s="1"/>
  <c r="K21" i="7" l="1"/>
  <c r="G50" i="7"/>
  <c r="E24" i="4"/>
  <c r="E30" i="4" s="1"/>
  <c r="E32" i="4" s="1"/>
  <c r="G20" i="18"/>
  <c r="H20" i="18"/>
  <c r="C75" i="2"/>
  <c r="D11" i="25"/>
  <c r="D13" i="25" s="1"/>
  <c r="D36" i="4"/>
  <c r="D40" i="4" s="1"/>
  <c r="C29" i="6"/>
  <c r="C11" i="6" s="1"/>
  <c r="C13" i="6" s="1"/>
  <c r="C38" i="6"/>
  <c r="K7" i="19"/>
  <c r="K7" i="7"/>
  <c r="L8" i="3"/>
  <c r="J7" i="25"/>
  <c r="I7" i="8"/>
  <c r="J7" i="4"/>
  <c r="M6" i="19"/>
  <c r="M6" i="7"/>
  <c r="L6" i="4"/>
  <c r="L10" i="4" s="1"/>
  <c r="M35" i="3"/>
  <c r="M36" i="3" s="1"/>
  <c r="M38" i="3" s="1"/>
  <c r="L11" i="4" s="1"/>
  <c r="N7" i="3"/>
  <c r="N21" i="3"/>
  <c r="L6" i="25"/>
  <c r="K6" i="8"/>
  <c r="A24" i="18"/>
  <c r="K36" i="7"/>
  <c r="B75" i="2"/>
  <c r="C11" i="25"/>
  <c r="C13" i="25" s="1"/>
  <c r="C36" i="4"/>
  <c r="C40" i="4" s="1"/>
  <c r="B38" i="6"/>
  <c r="K13" i="4"/>
  <c r="J34" i="4"/>
  <c r="I11" i="8" s="1"/>
  <c r="L41" i="7"/>
  <c r="L45" i="7" s="1"/>
  <c r="L43" i="7"/>
  <c r="L47" i="7" s="1"/>
  <c r="L14" i="7"/>
  <c r="K18" i="7"/>
  <c r="K19" i="7" s="1"/>
  <c r="K28" i="7"/>
  <c r="K33" i="7" s="1"/>
  <c r="K34" i="7" s="1"/>
  <c r="I12" i="8" s="1"/>
  <c r="I19" i="18"/>
  <c r="C42" i="4" l="1"/>
  <c r="B10" i="8"/>
  <c r="B13" i="8" s="1"/>
  <c r="B77" i="2"/>
  <c r="D42" i="4"/>
  <c r="D43" i="4" s="1"/>
  <c r="D45" i="4" s="1"/>
  <c r="C10" i="8"/>
  <c r="C13" i="8" s="1"/>
  <c r="N6" i="19"/>
  <c r="N6" i="7"/>
  <c r="M6" i="4"/>
  <c r="M10" i="4" s="1"/>
  <c r="O7" i="3"/>
  <c r="O21" i="3" s="1"/>
  <c r="M6" i="25"/>
  <c r="L6" i="8"/>
  <c r="N35" i="3"/>
  <c r="N36" i="3" s="1"/>
  <c r="N38" i="3" s="1"/>
  <c r="M11" i="4" s="1"/>
  <c r="L7" i="19"/>
  <c r="L7" i="7"/>
  <c r="K7" i="4"/>
  <c r="M8" i="3"/>
  <c r="K7" i="25"/>
  <c r="J7" i="8"/>
  <c r="C77" i="2"/>
  <c r="A25" i="18"/>
  <c r="H24" i="18"/>
  <c r="L13" i="4"/>
  <c r="I20" i="18"/>
  <c r="L18" i="7"/>
  <c r="L19" i="7" s="1"/>
  <c r="L28" i="7"/>
  <c r="L33" i="7" s="1"/>
  <c r="L34" i="7" s="1"/>
  <c r="J12" i="8" s="1"/>
  <c r="L48" i="7"/>
  <c r="M14" i="7"/>
  <c r="M41" i="7"/>
  <c r="M45" i="7" s="1"/>
  <c r="M43" i="7"/>
  <c r="M47" i="7" s="1"/>
  <c r="H21" i="18"/>
  <c r="G21" i="18" s="1"/>
  <c r="B11" i="6"/>
  <c r="B13" i="6" s="1"/>
  <c r="B37" i="6" s="1"/>
  <c r="D75" i="2"/>
  <c r="D38" i="6"/>
  <c r="E36" i="4"/>
  <c r="E40" i="4" s="1"/>
  <c r="E11" i="25"/>
  <c r="E13" i="25" s="1"/>
  <c r="D29" i="6"/>
  <c r="D11" i="6" s="1"/>
  <c r="D13" i="6" s="1"/>
  <c r="H50" i="7"/>
  <c r="F24" i="4"/>
  <c r="F30" i="4" s="1"/>
  <c r="F32" i="4" s="1"/>
  <c r="L21" i="7"/>
  <c r="E42" i="19" l="1"/>
  <c r="E43" i="19" s="1"/>
  <c r="C76" i="2"/>
  <c r="G22" i="18"/>
  <c r="H22" i="18"/>
  <c r="M7" i="19"/>
  <c r="M7" i="7"/>
  <c r="L7" i="4"/>
  <c r="K7" i="8"/>
  <c r="N8" i="3"/>
  <c r="L7" i="25"/>
  <c r="E43" i="4"/>
  <c r="E45" i="4"/>
  <c r="E42" i="4"/>
  <c r="D10" i="8"/>
  <c r="D13" i="8" s="1"/>
  <c r="M48" i="7"/>
  <c r="L34" i="4" s="1"/>
  <c r="K11" i="8" s="1"/>
  <c r="M13" i="4"/>
  <c r="I50" i="7"/>
  <c r="G24" i="4"/>
  <c r="G30" i="4" s="1"/>
  <c r="G32" i="4" s="1"/>
  <c r="O6" i="19"/>
  <c r="O6" i="7"/>
  <c r="N6" i="4"/>
  <c r="N10" i="4" s="1"/>
  <c r="O35" i="3"/>
  <c r="O36" i="3" s="1"/>
  <c r="O38" i="3" s="1"/>
  <c r="N11" i="4" s="1"/>
  <c r="P7" i="3"/>
  <c r="N6" i="25"/>
  <c r="M6" i="8"/>
  <c r="D77" i="2"/>
  <c r="M18" i="7"/>
  <c r="M19" i="7" s="1"/>
  <c r="M28" i="7"/>
  <c r="M33" i="7" s="1"/>
  <c r="M34" i="7" s="1"/>
  <c r="K12" i="8" s="1"/>
  <c r="H25" i="18"/>
  <c r="A26" i="18"/>
  <c r="N41" i="7"/>
  <c r="N45" i="7" s="1"/>
  <c r="N43" i="7"/>
  <c r="N47" i="7" s="1"/>
  <c r="N14" i="7"/>
  <c r="K34" i="4"/>
  <c r="J11" i="8" s="1"/>
  <c r="L19" i="19"/>
  <c r="L20" i="19" s="1"/>
  <c r="L25" i="19" s="1"/>
  <c r="M19" i="19"/>
  <c r="M20" i="19" s="1"/>
  <c r="M25" i="19" s="1"/>
  <c r="B28" i="8"/>
  <c r="B16" i="8"/>
  <c r="L36" i="7"/>
  <c r="M36" i="7" s="1"/>
  <c r="F36" i="4"/>
  <c r="F40" i="4" s="1"/>
  <c r="F11" i="25"/>
  <c r="F13" i="25" s="1"/>
  <c r="E38" i="6"/>
  <c r="E29" i="6"/>
  <c r="E11" i="6" s="1"/>
  <c r="E13" i="6" s="1"/>
  <c r="B42" i="6"/>
  <c r="B35" i="6"/>
  <c r="C28" i="8"/>
  <c r="C16" i="8"/>
  <c r="C43" i="4"/>
  <c r="C45" i="4" s="1"/>
  <c r="M21" i="7"/>
  <c r="I21" i="18"/>
  <c r="D42" i="19" l="1"/>
  <c r="D43" i="19" s="1"/>
  <c r="B76" i="2"/>
  <c r="H26" i="18"/>
  <c r="A27" i="18"/>
  <c r="N7" i="19"/>
  <c r="N7" i="7"/>
  <c r="M7" i="4"/>
  <c r="M7" i="25"/>
  <c r="O8" i="3"/>
  <c r="L7" i="8"/>
  <c r="G23" i="18"/>
  <c r="G24" i="18" s="1"/>
  <c r="G25" i="18" s="1"/>
  <c r="G26" i="18" s="1"/>
  <c r="H23" i="18"/>
  <c r="B56" i="6"/>
  <c r="B48" i="6"/>
  <c r="B50" i="6" s="1"/>
  <c r="B52" i="6" s="1"/>
  <c r="B19" i="8"/>
  <c r="B21" i="8"/>
  <c r="B24" i="8" s="1"/>
  <c r="P6" i="19"/>
  <c r="O6" i="4"/>
  <c r="O6" i="25"/>
  <c r="P35" i="3"/>
  <c r="P36" i="3" s="1"/>
  <c r="P38" i="3" s="1"/>
  <c r="O11" i="4" s="1"/>
  <c r="Q7" i="3"/>
  <c r="Q21" i="3" s="1"/>
  <c r="P6" i="7"/>
  <c r="N6" i="8"/>
  <c r="B39" i="6"/>
  <c r="D28" i="8"/>
  <c r="D16" i="8"/>
  <c r="B45" i="6"/>
  <c r="C24" i="6" s="1"/>
  <c r="B44" i="6"/>
  <c r="B57" i="6" s="1"/>
  <c r="N13" i="4"/>
  <c r="N18" i="7"/>
  <c r="N19" i="7" s="1"/>
  <c r="N21" i="7" s="1"/>
  <c r="N28" i="7"/>
  <c r="N33" i="7" s="1"/>
  <c r="N34" i="7" s="1"/>
  <c r="L12" i="8" s="1"/>
  <c r="O14" i="7"/>
  <c r="O43" i="7"/>
  <c r="O47" i="7" s="1"/>
  <c r="O41" i="7"/>
  <c r="O45" i="7" s="1"/>
  <c r="O48" i="7" s="1"/>
  <c r="N34" i="4" s="1"/>
  <c r="M11" i="8" s="1"/>
  <c r="D76" i="2"/>
  <c r="F42" i="19"/>
  <c r="F43" i="19" s="1"/>
  <c r="C19" i="8"/>
  <c r="N48" i="7"/>
  <c r="P21" i="3"/>
  <c r="F38" i="6"/>
  <c r="G36" i="4"/>
  <c r="G40" i="4" s="1"/>
  <c r="G11" i="25"/>
  <c r="G13" i="25" s="1"/>
  <c r="F29" i="6"/>
  <c r="F11" i="6" s="1"/>
  <c r="F13" i="6" s="1"/>
  <c r="I22" i="18"/>
  <c r="E10" i="8"/>
  <c r="E13" i="8" s="1"/>
  <c r="F42" i="4"/>
  <c r="F43" i="4" s="1"/>
  <c r="J50" i="7"/>
  <c r="H24" i="4"/>
  <c r="H30" i="4" s="1"/>
  <c r="H32" i="4" s="1"/>
  <c r="K50" i="7" l="1"/>
  <c r="I24" i="4"/>
  <c r="I30" i="4" s="1"/>
  <c r="I32" i="4" s="1"/>
  <c r="F10" i="8"/>
  <c r="F13" i="8" s="1"/>
  <c r="G42" i="4"/>
  <c r="G43" i="4" s="1"/>
  <c r="G45" i="4" s="1"/>
  <c r="H42" i="19" s="1"/>
  <c r="H43" i="19" s="1"/>
  <c r="N36" i="7"/>
  <c r="C28" i="6"/>
  <c r="C26" i="6"/>
  <c r="C27" i="6"/>
  <c r="E16" i="8"/>
  <c r="E28" i="8"/>
  <c r="H36" i="4"/>
  <c r="H40" i="4" s="1"/>
  <c r="G29" i="6"/>
  <c r="H11" i="25"/>
  <c r="H13" i="25" s="1"/>
  <c r="G38" i="6"/>
  <c r="F45" i="4"/>
  <c r="G42" i="19" s="1"/>
  <c r="G43" i="19" s="1"/>
  <c r="O28" i="7"/>
  <c r="O33" i="7" s="1"/>
  <c r="O34" i="7" s="1"/>
  <c r="M12" i="8" s="1"/>
  <c r="O18" i="7"/>
  <c r="O19" i="7" s="1"/>
  <c r="O21" i="7" s="1"/>
  <c r="O10" i="4"/>
  <c r="O13" i="4" s="1"/>
  <c r="I23" i="18"/>
  <c r="I24" i="18" s="1"/>
  <c r="I25" i="18" s="1"/>
  <c r="I26" i="18" s="1"/>
  <c r="I27" i="18" s="1"/>
  <c r="H27" i="18"/>
  <c r="G27" i="18" s="1"/>
  <c r="A28" i="18"/>
  <c r="M34" i="4"/>
  <c r="L11" i="8" s="1"/>
  <c r="D19" i="8"/>
  <c r="P14" i="7"/>
  <c r="P41" i="7"/>
  <c r="P45" i="7" s="1"/>
  <c r="P48" i="7" s="1"/>
  <c r="P43" i="7"/>
  <c r="P47" i="7" s="1"/>
  <c r="B22" i="8"/>
  <c r="C18" i="8" s="1"/>
  <c r="O7" i="19"/>
  <c r="O7" i="7"/>
  <c r="N7" i="4"/>
  <c r="N7" i="25"/>
  <c r="P8" i="3"/>
  <c r="M7" i="8"/>
  <c r="N19" i="19"/>
  <c r="N20" i="19" s="1"/>
  <c r="N25" i="19" s="1"/>
  <c r="B29" i="8"/>
  <c r="B30" i="8" s="1"/>
  <c r="O19" i="19"/>
  <c r="O20" i="19" s="1"/>
  <c r="O25" i="19" s="1"/>
  <c r="Q6" i="19"/>
  <c r="Q6" i="7"/>
  <c r="Q35" i="3"/>
  <c r="Q36" i="3" s="1"/>
  <c r="Q38" i="3" s="1"/>
  <c r="P11" i="4" s="1"/>
  <c r="O6" i="8"/>
  <c r="P6" i="4"/>
  <c r="P10" i="4" s="1"/>
  <c r="P13" i="4" s="1"/>
  <c r="R7" i="3"/>
  <c r="R21" i="3" s="1"/>
  <c r="P6" i="25"/>
  <c r="B58" i="6"/>
  <c r="P21" i="7" l="1"/>
  <c r="Q14" i="7"/>
  <c r="Q43" i="7"/>
  <c r="Q47" i="7" s="1"/>
  <c r="Q41" i="7"/>
  <c r="Q45" i="7" s="1"/>
  <c r="P7" i="19"/>
  <c r="P7" i="7"/>
  <c r="O7" i="4"/>
  <c r="O7" i="25"/>
  <c r="N7" i="8"/>
  <c r="Q8" i="3"/>
  <c r="P28" i="7"/>
  <c r="P33" i="7" s="1"/>
  <c r="P34" i="7" s="1"/>
  <c r="N12" i="8" s="1"/>
  <c r="P18" i="7"/>
  <c r="P19" i="7" s="1"/>
  <c r="E19" i="8"/>
  <c r="F28" i="8"/>
  <c r="F16" i="8"/>
  <c r="O34" i="4"/>
  <c r="N11" i="8" s="1"/>
  <c r="I28" i="18"/>
  <c r="H28" i="18"/>
  <c r="G28" i="18" s="1"/>
  <c r="A29" i="18"/>
  <c r="C21" i="8"/>
  <c r="G11" i="6"/>
  <c r="G13" i="6" s="1"/>
  <c r="O36" i="7"/>
  <c r="L50" i="7"/>
  <c r="J24" i="4"/>
  <c r="J30" i="4" s="1"/>
  <c r="J32" i="4" s="1"/>
  <c r="I11" i="25"/>
  <c r="I13" i="25" s="1"/>
  <c r="I36" i="4"/>
  <c r="I40" i="4" s="1"/>
  <c r="H38" i="6"/>
  <c r="H29" i="6"/>
  <c r="H11" i="6" s="1"/>
  <c r="H13" i="6" s="1"/>
  <c r="R6" i="19"/>
  <c r="R6" i="7"/>
  <c r="Q6" i="25"/>
  <c r="R35" i="3"/>
  <c r="R36" i="3" s="1"/>
  <c r="R38" i="3" s="1"/>
  <c r="Q11" i="4" s="1"/>
  <c r="S7" i="3"/>
  <c r="P6" i="8"/>
  <c r="Q6" i="4"/>
  <c r="Q10" i="4" s="1"/>
  <c r="H42" i="4"/>
  <c r="G10" i="8"/>
  <c r="G13" i="8" s="1"/>
  <c r="C33" i="6"/>
  <c r="C30" i="6"/>
  <c r="B33" i="8"/>
  <c r="P19" i="19"/>
  <c r="P20" i="19" s="1"/>
  <c r="P25" i="19" s="1"/>
  <c r="S6" i="19" l="1"/>
  <c r="S6" i="7"/>
  <c r="R6" i="4"/>
  <c r="R10" i="4" s="1"/>
  <c r="R13" i="4" s="1"/>
  <c r="T7" i="3"/>
  <c r="R6" i="25"/>
  <c r="S35" i="3"/>
  <c r="S36" i="3" s="1"/>
  <c r="S38" i="3" s="1"/>
  <c r="R11" i="4" s="1"/>
  <c r="Q6" i="8"/>
  <c r="G16" i="8"/>
  <c r="G28" i="8"/>
  <c r="Q13" i="4"/>
  <c r="H43" i="4"/>
  <c r="H45" i="4" s="1"/>
  <c r="I42" i="19" s="1"/>
  <c r="I43" i="19" s="1"/>
  <c r="S21" i="3"/>
  <c r="C24" i="8"/>
  <c r="I42" i="4"/>
  <c r="H10" i="8"/>
  <c r="H13" i="8" s="1"/>
  <c r="C22" i="8"/>
  <c r="D18" i="8" s="1"/>
  <c r="Q48" i="7"/>
  <c r="B36" i="8"/>
  <c r="B38" i="8"/>
  <c r="B41" i="8" s="1"/>
  <c r="C15" i="25" s="1"/>
  <c r="I38" i="6"/>
  <c r="J11" i="25"/>
  <c r="J13" i="25" s="1"/>
  <c r="J36" i="4"/>
  <c r="J40" i="4" s="1"/>
  <c r="I29" i="6"/>
  <c r="Q7" i="19"/>
  <c r="P7" i="4"/>
  <c r="Q7" i="7"/>
  <c r="P7" i="25"/>
  <c r="R8" i="3"/>
  <c r="O7" i="8"/>
  <c r="M50" i="7"/>
  <c r="K24" i="4"/>
  <c r="K30" i="4" s="1"/>
  <c r="K32" i="4" s="1"/>
  <c r="Q18" i="7"/>
  <c r="Q19" i="7" s="1"/>
  <c r="Q28" i="7"/>
  <c r="Q33" i="7" s="1"/>
  <c r="Q34" i="7" s="1"/>
  <c r="O12" i="8" s="1"/>
  <c r="A30" i="18"/>
  <c r="H29" i="18"/>
  <c r="G29" i="18" s="1"/>
  <c r="I29" i="18"/>
  <c r="F19" i="8"/>
  <c r="R43" i="7"/>
  <c r="R47" i="7" s="1"/>
  <c r="R41" i="7"/>
  <c r="R45" i="7" s="1"/>
  <c r="R14" i="7"/>
  <c r="P36" i="7"/>
  <c r="Q36" i="7" s="1"/>
  <c r="C36" i="6"/>
  <c r="Q21" i="7"/>
  <c r="T6" i="19" l="1"/>
  <c r="T6" i="7"/>
  <c r="S6" i="4"/>
  <c r="S10" i="4" s="1"/>
  <c r="S13" i="4" s="1"/>
  <c r="S6" i="25"/>
  <c r="R6" i="8"/>
  <c r="T35" i="3"/>
  <c r="T36" i="3" s="1"/>
  <c r="T38" i="3" s="1"/>
  <c r="S11" i="4" s="1"/>
  <c r="U7" i="3"/>
  <c r="U21" i="3" s="1"/>
  <c r="C49" i="6"/>
  <c r="K11" i="25"/>
  <c r="K13" i="25" s="1"/>
  <c r="K36" i="4"/>
  <c r="K40" i="4" s="1"/>
  <c r="J29" i="6"/>
  <c r="J11" i="6" s="1"/>
  <c r="J13" i="6" s="1"/>
  <c r="J38" i="6"/>
  <c r="I11" i="6"/>
  <c r="I13" i="6" s="1"/>
  <c r="H16" i="8"/>
  <c r="H28" i="8"/>
  <c r="N50" i="7"/>
  <c r="L24" i="4"/>
  <c r="L30" i="4" s="1"/>
  <c r="L32" i="4" s="1"/>
  <c r="J42" i="4"/>
  <c r="J43" i="4" s="1"/>
  <c r="I10" i="8"/>
  <c r="I13" i="8" s="1"/>
  <c r="I43" i="4"/>
  <c r="I45" i="4" s="1"/>
  <c r="J42" i="19" s="1"/>
  <c r="J43" i="19" s="1"/>
  <c r="C37" i="6"/>
  <c r="T21" i="3"/>
  <c r="R36" i="7"/>
  <c r="R18" i="7"/>
  <c r="R19" i="7" s="1"/>
  <c r="R28" i="7"/>
  <c r="R33" i="7" s="1"/>
  <c r="R34" i="7" s="1"/>
  <c r="P12" i="8" s="1"/>
  <c r="S43" i="7"/>
  <c r="S47" i="7" s="1"/>
  <c r="S41" i="7"/>
  <c r="S45" i="7" s="1"/>
  <c r="S48" i="7" s="1"/>
  <c r="S14" i="7"/>
  <c r="B39" i="8"/>
  <c r="C35" i="8" s="1"/>
  <c r="R21" i="7"/>
  <c r="R48" i="7"/>
  <c r="P34" i="4"/>
  <c r="O11" i="8" s="1"/>
  <c r="Q19" i="19"/>
  <c r="Q20" i="19" s="1"/>
  <c r="Q25" i="19" s="1"/>
  <c r="G19" i="8"/>
  <c r="R7" i="19"/>
  <c r="R7" i="7"/>
  <c r="S8" i="3"/>
  <c r="Q7" i="25"/>
  <c r="P7" i="8"/>
  <c r="Q7" i="4"/>
  <c r="D32" i="19"/>
  <c r="C18" i="25"/>
  <c r="C21" i="25" s="1"/>
  <c r="D21" i="8"/>
  <c r="C29" i="8"/>
  <c r="C30" i="8" s="1"/>
  <c r="I30" i="18"/>
  <c r="H30" i="18"/>
  <c r="G30" i="18" s="1"/>
  <c r="A31" i="18"/>
  <c r="G31" i="18" l="1"/>
  <c r="H31" i="18"/>
  <c r="I31" i="18"/>
  <c r="A32" i="18"/>
  <c r="D37" i="19"/>
  <c r="D45" i="19" s="1"/>
  <c r="D47" i="19" s="1"/>
  <c r="O50" i="7"/>
  <c r="M24" i="4"/>
  <c r="M30" i="4" s="1"/>
  <c r="M32" i="4" s="1"/>
  <c r="S28" i="7"/>
  <c r="S33" i="7" s="1"/>
  <c r="S34" i="7" s="1"/>
  <c r="Q12" i="8" s="1"/>
  <c r="S18" i="7"/>
  <c r="S19" i="7" s="1"/>
  <c r="C42" i="6"/>
  <c r="C35" i="6"/>
  <c r="C39" i="6" s="1"/>
  <c r="S7" i="19"/>
  <c r="S7" i="7"/>
  <c r="T8" i="3"/>
  <c r="R7" i="4"/>
  <c r="Q7" i="8"/>
  <c r="R7" i="25"/>
  <c r="I28" i="8"/>
  <c r="I16" i="8"/>
  <c r="D24" i="8"/>
  <c r="Q34" i="4"/>
  <c r="P11" i="8" s="1"/>
  <c r="R19" i="19"/>
  <c r="R20" i="19" s="1"/>
  <c r="R25" i="19" s="1"/>
  <c r="J45" i="4"/>
  <c r="K42" i="19" s="1"/>
  <c r="K43" i="19" s="1"/>
  <c r="R34" i="4"/>
  <c r="Q11" i="8" s="1"/>
  <c r="S19" i="19"/>
  <c r="S20" i="19" s="1"/>
  <c r="S25" i="19" s="1"/>
  <c r="T14" i="7"/>
  <c r="T41" i="7"/>
  <c r="T45" i="7" s="1"/>
  <c r="T43" i="7"/>
  <c r="T47" i="7" s="1"/>
  <c r="D22" i="8"/>
  <c r="E18" i="8" s="1"/>
  <c r="S21" i="7"/>
  <c r="U6" i="19"/>
  <c r="U6" i="7"/>
  <c r="U35" i="3"/>
  <c r="U36" i="3" s="1"/>
  <c r="U38" i="3" s="1"/>
  <c r="T11" i="4" s="1"/>
  <c r="V7" i="3"/>
  <c r="V21" i="3" s="1"/>
  <c r="T6" i="25"/>
  <c r="T6" i="4"/>
  <c r="T10" i="4" s="1"/>
  <c r="T13" i="4" s="1"/>
  <c r="S6" i="8"/>
  <c r="C33" i="8"/>
  <c r="B78" i="2"/>
  <c r="C57" i="25"/>
  <c r="C59" i="25" s="1"/>
  <c r="C27" i="25"/>
  <c r="C28" i="25" s="1"/>
  <c r="C29" i="25" s="1"/>
  <c r="D25" i="25" s="1"/>
  <c r="C37" i="25"/>
  <c r="C38" i="25" s="1"/>
  <c r="C50" i="25"/>
  <c r="C52" i="25" s="1"/>
  <c r="C43" i="25"/>
  <c r="C45" i="25" s="1"/>
  <c r="H19" i="8"/>
  <c r="L11" i="25"/>
  <c r="L13" i="25" s="1"/>
  <c r="L36" i="4"/>
  <c r="L40" i="4" s="1"/>
  <c r="K29" i="6"/>
  <c r="K38" i="6"/>
  <c r="K42" i="4"/>
  <c r="K45" i="4" s="1"/>
  <c r="L42" i="19" s="1"/>
  <c r="L43" i="19" s="1"/>
  <c r="K43" i="4"/>
  <c r="J10" i="8"/>
  <c r="J13" i="8" s="1"/>
  <c r="K11" i="6" l="1"/>
  <c r="K13" i="6" s="1"/>
  <c r="L42" i="4"/>
  <c r="L43" i="4" s="1"/>
  <c r="L45" i="4" s="1"/>
  <c r="M42" i="19" s="1"/>
  <c r="M43" i="19" s="1"/>
  <c r="K10" i="8"/>
  <c r="K13" i="8" s="1"/>
  <c r="C44" i="6"/>
  <c r="C57" i="6" s="1"/>
  <c r="C45" i="6"/>
  <c r="D24" i="6" s="1"/>
  <c r="D26" i="25"/>
  <c r="T48" i="7"/>
  <c r="V6" i="19"/>
  <c r="V6" i="7"/>
  <c r="U6" i="4"/>
  <c r="U10" i="4" s="1"/>
  <c r="W7" i="3"/>
  <c r="V35" i="3"/>
  <c r="V36" i="3" s="1"/>
  <c r="V38" i="3" s="1"/>
  <c r="U11" i="4" s="1"/>
  <c r="T6" i="8"/>
  <c r="U6" i="25"/>
  <c r="D29" i="8"/>
  <c r="D30" i="8" s="1"/>
  <c r="J16" i="8"/>
  <c r="J28" i="8"/>
  <c r="T18" i="7"/>
  <c r="T19" i="7" s="1"/>
  <c r="T21" i="7" s="1"/>
  <c r="T28" i="7"/>
  <c r="T33" i="7" s="1"/>
  <c r="T34" i="7" s="1"/>
  <c r="R12" i="8" s="1"/>
  <c r="T7" i="19"/>
  <c r="T7" i="7"/>
  <c r="S7" i="4"/>
  <c r="U8" i="3"/>
  <c r="R7" i="8"/>
  <c r="S7" i="25"/>
  <c r="H32" i="18"/>
  <c r="G32" i="18" s="1"/>
  <c r="A33" i="18"/>
  <c r="I32" i="18"/>
  <c r="S36" i="7"/>
  <c r="T36" i="7" s="1"/>
  <c r="U14" i="7"/>
  <c r="U43" i="7"/>
  <c r="U47" i="7" s="1"/>
  <c r="U41" i="7"/>
  <c r="U45" i="7" s="1"/>
  <c r="U48" i="7" s="1"/>
  <c r="C38" i="8"/>
  <c r="C36" i="8"/>
  <c r="I19" i="8"/>
  <c r="M11" i="25"/>
  <c r="M13" i="25" s="1"/>
  <c r="M36" i="4"/>
  <c r="M40" i="4" s="1"/>
  <c r="L29" i="6"/>
  <c r="L38" i="6"/>
  <c r="P50" i="7"/>
  <c r="N24" i="4"/>
  <c r="N30" i="4" s="1"/>
  <c r="N32" i="4" s="1"/>
  <c r="E22" i="8"/>
  <c r="F18" i="8" s="1"/>
  <c r="E21" i="8"/>
  <c r="C48" i="6"/>
  <c r="C50" i="6" s="1"/>
  <c r="C52" i="6" s="1"/>
  <c r="C56" i="6"/>
  <c r="C58" i="6" s="1"/>
  <c r="H33" i="18" l="1"/>
  <c r="H34" i="18" s="1"/>
  <c r="I33" i="18"/>
  <c r="E24" i="8"/>
  <c r="C39" i="8"/>
  <c r="D35" i="8" s="1"/>
  <c r="K28" i="8"/>
  <c r="K16" i="8"/>
  <c r="T34" i="4"/>
  <c r="S11" i="8" s="1"/>
  <c r="U19" i="19"/>
  <c r="U20" i="19" s="1"/>
  <c r="U25" i="19" s="1"/>
  <c r="L11" i="6"/>
  <c r="L13" i="6" s="1"/>
  <c r="L10" i="8"/>
  <c r="L13" i="8" s="1"/>
  <c r="M42" i="4"/>
  <c r="M43" i="4" s="1"/>
  <c r="W6" i="19"/>
  <c r="W6" i="7"/>
  <c r="V6" i="4"/>
  <c r="X7" i="3"/>
  <c r="X21" i="3"/>
  <c r="U6" i="8"/>
  <c r="W35" i="3"/>
  <c r="W36" i="3" s="1"/>
  <c r="W38" i="3" s="1"/>
  <c r="V11" i="4" s="1"/>
  <c r="V6" i="25"/>
  <c r="N36" i="4"/>
  <c r="N40" i="4" s="1"/>
  <c r="N11" i="25"/>
  <c r="N13" i="25" s="1"/>
  <c r="M29" i="6"/>
  <c r="M11" i="6" s="1"/>
  <c r="M13" i="6" s="1"/>
  <c r="M38" i="6"/>
  <c r="U18" i="7"/>
  <c r="U19" i="7" s="1"/>
  <c r="U21" i="7" s="1"/>
  <c r="U28" i="7"/>
  <c r="U33" i="7" s="1"/>
  <c r="U34" i="7" s="1"/>
  <c r="S12" i="8" s="1"/>
  <c r="U7" i="19"/>
  <c r="U7" i="7"/>
  <c r="T7" i="4"/>
  <c r="V8" i="3"/>
  <c r="S7" i="8"/>
  <c r="T7" i="25"/>
  <c r="W21" i="3"/>
  <c r="F21" i="8"/>
  <c r="Q50" i="7"/>
  <c r="O24" i="4"/>
  <c r="O30" i="4" s="1"/>
  <c r="O32" i="4" s="1"/>
  <c r="J19" i="8"/>
  <c r="U13" i="4"/>
  <c r="D27" i="6"/>
  <c r="D28" i="6"/>
  <c r="D26" i="6"/>
  <c r="C41" i="8"/>
  <c r="D15" i="25" s="1"/>
  <c r="S34" i="4"/>
  <c r="R11" i="8" s="1"/>
  <c r="T19" i="19"/>
  <c r="T20" i="19" s="1"/>
  <c r="T25" i="19" s="1"/>
  <c r="D33" i="8"/>
  <c r="V41" i="7"/>
  <c r="V45" i="7" s="1"/>
  <c r="V48" i="7" s="1"/>
  <c r="V43" i="7"/>
  <c r="V47" i="7" s="1"/>
  <c r="V14" i="7"/>
  <c r="U34" i="4" l="1"/>
  <c r="T11" i="8" s="1"/>
  <c r="V19" i="19"/>
  <c r="V20" i="19" s="1"/>
  <c r="V25" i="19" s="1"/>
  <c r="R50" i="7"/>
  <c r="P24" i="4"/>
  <c r="P30" i="4" s="1"/>
  <c r="P32" i="4" s="1"/>
  <c r="W14" i="7"/>
  <c r="W41" i="7"/>
  <c r="W45" i="7" s="1"/>
  <c r="W48" i="7" s="1"/>
  <c r="W43" i="7"/>
  <c r="W47" i="7" s="1"/>
  <c r="M10" i="8"/>
  <c r="M13" i="8" s="1"/>
  <c r="N42" i="4"/>
  <c r="N43" i="4" s="1"/>
  <c r="D36" i="8"/>
  <c r="D38" i="8"/>
  <c r="F22" i="8"/>
  <c r="G18" i="8" s="1"/>
  <c r="E29" i="8"/>
  <c r="E30" i="8" s="1"/>
  <c r="M45" i="4"/>
  <c r="N42" i="19" s="1"/>
  <c r="N43" i="19" s="1"/>
  <c r="D33" i="6"/>
  <c r="D30" i="6"/>
  <c r="K19" i="8"/>
  <c r="V28" i="7"/>
  <c r="V33" i="7" s="1"/>
  <c r="V34" i="7" s="1"/>
  <c r="T12" i="8" s="1"/>
  <c r="V18" i="7"/>
  <c r="V19" i="7" s="1"/>
  <c r="V21" i="7" s="1"/>
  <c r="D18" i="25"/>
  <c r="D21" i="25" s="1"/>
  <c r="E32" i="19"/>
  <c r="U36" i="7"/>
  <c r="V36" i="7" s="1"/>
  <c r="X6" i="19"/>
  <c r="X6" i="7"/>
  <c r="W6" i="4"/>
  <c r="W10" i="4" s="1"/>
  <c r="W6" i="25"/>
  <c r="X35" i="3"/>
  <c r="X36" i="3" s="1"/>
  <c r="X38" i="3" s="1"/>
  <c r="W11" i="4" s="1"/>
  <c r="Y7" i="3"/>
  <c r="Y21" i="3"/>
  <c r="V6" i="8"/>
  <c r="F24" i="8"/>
  <c r="L28" i="8"/>
  <c r="L16" i="8"/>
  <c r="O11" i="25"/>
  <c r="O13" i="25" s="1"/>
  <c r="O36" i="4"/>
  <c r="O40" i="4" s="1"/>
  <c r="N29" i="6"/>
  <c r="N38" i="6"/>
  <c r="V7" i="19"/>
  <c r="V7" i="7"/>
  <c r="U7" i="4"/>
  <c r="U7" i="25"/>
  <c r="T7" i="8"/>
  <c r="W8" i="3"/>
  <c r="V10" i="4"/>
  <c r="V13" i="4" s="1"/>
  <c r="G33" i="18"/>
  <c r="E37" i="19" l="1"/>
  <c r="E45" i="19" s="1"/>
  <c r="E47" i="19" s="1"/>
  <c r="D37" i="6"/>
  <c r="D36" i="6"/>
  <c r="D41" i="8"/>
  <c r="E15" i="25" s="1"/>
  <c r="E18" i="25" s="1"/>
  <c r="E21" i="25" s="1"/>
  <c r="V34" i="4"/>
  <c r="U11" i="8" s="1"/>
  <c r="W19" i="19"/>
  <c r="W20" i="19" s="1"/>
  <c r="W25" i="19" s="1"/>
  <c r="Y6" i="19"/>
  <c r="Y6" i="7"/>
  <c r="X6" i="4"/>
  <c r="X10" i="4" s="1"/>
  <c r="X13" i="4" s="1"/>
  <c r="Y35" i="3"/>
  <c r="Y36" i="3" s="1"/>
  <c r="Y38" i="3" s="1"/>
  <c r="X11" i="4" s="1"/>
  <c r="X6" i="25"/>
  <c r="Z7" i="3"/>
  <c r="Z21" i="3" s="1"/>
  <c r="W6" i="8"/>
  <c r="C78" i="2"/>
  <c r="D57" i="25"/>
  <c r="D59" i="25" s="1"/>
  <c r="D37" i="25"/>
  <c r="D38" i="25" s="1"/>
  <c r="D27" i="25"/>
  <c r="D28" i="25" s="1"/>
  <c r="D29" i="25" s="1"/>
  <c r="E25" i="25" s="1"/>
  <c r="D43" i="25"/>
  <c r="D45" i="25" s="1"/>
  <c r="D50" i="25"/>
  <c r="D52" i="25" s="1"/>
  <c r="W28" i="7"/>
  <c r="W33" i="7" s="1"/>
  <c r="W34" i="7" s="1"/>
  <c r="U12" i="8" s="1"/>
  <c r="W18" i="7"/>
  <c r="W19" i="7" s="1"/>
  <c r="W21" i="7" s="1"/>
  <c r="W13" i="4"/>
  <c r="E33" i="8"/>
  <c r="N45" i="4"/>
  <c r="O42" i="19" s="1"/>
  <c r="O43" i="19" s="1"/>
  <c r="L19" i="8"/>
  <c r="Q24" i="4"/>
  <c r="Q30" i="4" s="1"/>
  <c r="Q32" i="4" s="1"/>
  <c r="S50" i="7"/>
  <c r="W7" i="19"/>
  <c r="W7" i="7"/>
  <c r="V7" i="4"/>
  <c r="V7" i="25"/>
  <c r="U7" i="8"/>
  <c r="X8" i="3"/>
  <c r="O43" i="4"/>
  <c r="O45" i="4" s="1"/>
  <c r="P42" i="19" s="1"/>
  <c r="P43" i="19" s="1"/>
  <c r="O42" i="4"/>
  <c r="N10" i="8"/>
  <c r="N13" i="8" s="1"/>
  <c r="F29" i="8"/>
  <c r="F30" i="8" s="1"/>
  <c r="X14" i="7"/>
  <c r="X41" i="7"/>
  <c r="X45" i="7" s="1"/>
  <c r="X43" i="7"/>
  <c r="X47" i="7" s="1"/>
  <c r="M16" i="8"/>
  <c r="M28" i="8"/>
  <c r="P36" i="4"/>
  <c r="P40" i="4" s="1"/>
  <c r="P11" i="25"/>
  <c r="P13" i="25" s="1"/>
  <c r="O38" i="6"/>
  <c r="O29" i="6"/>
  <c r="O11" i="6" s="1"/>
  <c r="O13" i="6" s="1"/>
  <c r="N11" i="6"/>
  <c r="N13" i="6" s="1"/>
  <c r="D39" i="8"/>
  <c r="E35" i="8" s="1"/>
  <c r="G21" i="8"/>
  <c r="W36" i="7"/>
  <c r="X21" i="7" l="1"/>
  <c r="X48" i="7"/>
  <c r="X7" i="19"/>
  <c r="X7" i="7"/>
  <c r="W7" i="4"/>
  <c r="W7" i="25"/>
  <c r="Y8" i="3"/>
  <c r="V7" i="8"/>
  <c r="Q11" i="25"/>
  <c r="Q13" i="25" s="1"/>
  <c r="Q36" i="4"/>
  <c r="Q40" i="4" s="1"/>
  <c r="P29" i="6"/>
  <c r="P38" i="6"/>
  <c r="Y14" i="7"/>
  <c r="Y43" i="7"/>
  <c r="Y47" i="7" s="1"/>
  <c r="Y41" i="7"/>
  <c r="Y45" i="7" s="1"/>
  <c r="Y48" i="7" s="1"/>
  <c r="D49" i="6"/>
  <c r="X28" i="7"/>
  <c r="X33" i="7" s="1"/>
  <c r="X34" i="7" s="1"/>
  <c r="V12" i="8" s="1"/>
  <c r="X18" i="7"/>
  <c r="X19" i="7" s="1"/>
  <c r="G24" i="8"/>
  <c r="P42" i="4"/>
  <c r="P43" i="4"/>
  <c r="O10" i="8"/>
  <c r="O13" i="8" s="1"/>
  <c r="P45" i="4"/>
  <c r="Q42" i="19" s="1"/>
  <c r="Q43" i="19" s="1"/>
  <c r="F33" i="8"/>
  <c r="D42" i="6"/>
  <c r="G22" i="8"/>
  <c r="H18" i="8" s="1"/>
  <c r="D35" i="6"/>
  <c r="N28" i="8"/>
  <c r="N16" i="8"/>
  <c r="Z6" i="19"/>
  <c r="Z6" i="7"/>
  <c r="Y6" i="4"/>
  <c r="Y10" i="4" s="1"/>
  <c r="Z35" i="3"/>
  <c r="Z36" i="3" s="1"/>
  <c r="Z38" i="3" s="1"/>
  <c r="Y11" i="4" s="1"/>
  <c r="AA21" i="3"/>
  <c r="Y6" i="25"/>
  <c r="X6" i="8"/>
  <c r="AA7" i="3"/>
  <c r="D78" i="2"/>
  <c r="E43" i="25"/>
  <c r="E45" i="25" s="1"/>
  <c r="E50" i="25"/>
  <c r="E52" i="25" s="1"/>
  <c r="E37" i="25"/>
  <c r="E38" i="25" s="1"/>
  <c r="E57" i="25"/>
  <c r="E59" i="25" s="1"/>
  <c r="E27" i="25"/>
  <c r="F32" i="19"/>
  <c r="R24" i="4"/>
  <c r="R30" i="4" s="1"/>
  <c r="R32" i="4" s="1"/>
  <c r="T50" i="7"/>
  <c r="E39" i="8"/>
  <c r="F35" i="8" s="1"/>
  <c r="M19" i="8"/>
  <c r="E36" i="8"/>
  <c r="E38" i="8"/>
  <c r="E26" i="25"/>
  <c r="F36" i="8" l="1"/>
  <c r="F38" i="8"/>
  <c r="F41" i="8" s="1"/>
  <c r="G15" i="25" s="1"/>
  <c r="G18" i="25" s="1"/>
  <c r="G21" i="25" s="1"/>
  <c r="D48" i="6"/>
  <c r="D50" i="6" s="1"/>
  <c r="D52" i="6" s="1"/>
  <c r="D56" i="6"/>
  <c r="Y13" i="4"/>
  <c r="G32" i="19"/>
  <c r="F37" i="19"/>
  <c r="F45" i="19" s="1"/>
  <c r="F47" i="19" s="1"/>
  <c r="E41" i="8"/>
  <c r="F15" i="25" s="1"/>
  <c r="F18" i="25" s="1"/>
  <c r="F21" i="25" s="1"/>
  <c r="E28" i="25"/>
  <c r="E29" i="25" s="1"/>
  <c r="F25" i="25" s="1"/>
  <c r="AA6" i="19"/>
  <c r="Z6" i="4"/>
  <c r="Z10" i="4" s="1"/>
  <c r="Z13" i="4" s="1"/>
  <c r="AB7" i="3"/>
  <c r="Z6" i="25"/>
  <c r="AA35" i="3"/>
  <c r="AA36" i="3" s="1"/>
  <c r="AA38" i="3" s="1"/>
  <c r="Z11" i="4" s="1"/>
  <c r="AA6" i="7"/>
  <c r="Y6" i="8"/>
  <c r="AB21" i="3"/>
  <c r="D44" i="6"/>
  <c r="D57" i="6" s="1"/>
  <c r="D45" i="6"/>
  <c r="E24" i="6" s="1"/>
  <c r="N19" i="8"/>
  <c r="D39" i="6"/>
  <c r="X36" i="7"/>
  <c r="Y36" i="7" s="1"/>
  <c r="Q42" i="4"/>
  <c r="Q43" i="4" s="1"/>
  <c r="Q45" i="4" s="1"/>
  <c r="R42" i="19" s="1"/>
  <c r="R43" i="19" s="1"/>
  <c r="P10" i="8"/>
  <c r="P13" i="8" s="1"/>
  <c r="X34" i="4"/>
  <c r="W11" i="8" s="1"/>
  <c r="Y19" i="19"/>
  <c r="Y20" i="19" s="1"/>
  <c r="Y25" i="19" s="1"/>
  <c r="P11" i="6"/>
  <c r="P13" i="6" s="1"/>
  <c r="W34" i="4"/>
  <c r="V11" i="8" s="1"/>
  <c r="X19" i="19"/>
  <c r="X20" i="19" s="1"/>
  <c r="X25" i="19" s="1"/>
  <c r="U50" i="7"/>
  <c r="S24" i="4"/>
  <c r="S30" i="4" s="1"/>
  <c r="S32" i="4" s="1"/>
  <c r="G29" i="8"/>
  <c r="G30" i="8" s="1"/>
  <c r="R36" i="4"/>
  <c r="R40" i="4" s="1"/>
  <c r="R11" i="25"/>
  <c r="R13" i="25" s="1"/>
  <c r="Q29" i="6"/>
  <c r="Q38" i="6"/>
  <c r="Z14" i="7"/>
  <c r="Z43" i="7"/>
  <c r="Z47" i="7" s="1"/>
  <c r="Z41" i="7"/>
  <c r="Z45" i="7" s="1"/>
  <c r="Z48" i="7" s="1"/>
  <c r="O16" i="8"/>
  <c r="O28" i="8"/>
  <c r="F39" i="8"/>
  <c r="G35" i="8" s="1"/>
  <c r="H22" i="8"/>
  <c r="I18" i="8" s="1"/>
  <c r="H21" i="8"/>
  <c r="Y28" i="7"/>
  <c r="Y33" i="7" s="1"/>
  <c r="Y34" i="7" s="1"/>
  <c r="W12" i="8" s="1"/>
  <c r="Y18" i="7"/>
  <c r="Y19" i="7" s="1"/>
  <c r="Y7" i="19"/>
  <c r="Y7" i="7"/>
  <c r="X7" i="4"/>
  <c r="X7" i="25"/>
  <c r="Z8" i="3"/>
  <c r="W7" i="8"/>
  <c r="Y21" i="7"/>
  <c r="Q11" i="6" l="1"/>
  <c r="Q13" i="6" s="1"/>
  <c r="F26" i="25"/>
  <c r="Z36" i="7"/>
  <c r="D58" i="6"/>
  <c r="O19" i="8"/>
  <c r="AA41" i="7"/>
  <c r="AA45" i="7" s="1"/>
  <c r="AA14" i="7"/>
  <c r="AA43" i="7"/>
  <c r="AA47" i="7" s="1"/>
  <c r="Z21" i="7"/>
  <c r="G33" i="8"/>
  <c r="F43" i="25"/>
  <c r="F45" i="25" s="1"/>
  <c r="F57" i="25"/>
  <c r="F59" i="25" s="1"/>
  <c r="F27" i="25"/>
  <c r="F37" i="25"/>
  <c r="F38" i="25" s="1"/>
  <c r="F50" i="25"/>
  <c r="F52" i="25" s="1"/>
  <c r="G50" i="25"/>
  <c r="G52" i="25" s="1"/>
  <c r="G37" i="25"/>
  <c r="G38" i="25" s="1"/>
  <c r="G57" i="25"/>
  <c r="G59" i="25" s="1"/>
  <c r="G27" i="25"/>
  <c r="G43" i="25"/>
  <c r="G45" i="25" s="1"/>
  <c r="E27" i="6"/>
  <c r="E28" i="6" s="1"/>
  <c r="R42" i="4"/>
  <c r="R43" i="4"/>
  <c r="R45" i="4"/>
  <c r="S42" i="19" s="1"/>
  <c r="S43" i="19" s="1"/>
  <c r="Q10" i="8"/>
  <c r="Q13" i="8" s="1"/>
  <c r="Y34" i="4"/>
  <c r="X11" i="8" s="1"/>
  <c r="Z19" i="19"/>
  <c r="Z20" i="19" s="1"/>
  <c r="Z25" i="19" s="1"/>
  <c r="H24" i="8"/>
  <c r="R38" i="6"/>
  <c r="R29" i="6"/>
  <c r="R11" i="6" s="1"/>
  <c r="R13" i="6" s="1"/>
  <c r="S11" i="25"/>
  <c r="S13" i="25" s="1"/>
  <c r="S36" i="4"/>
  <c r="S40" i="4" s="1"/>
  <c r="G37" i="19"/>
  <c r="G45" i="19" s="1"/>
  <c r="G47" i="19" s="1"/>
  <c r="H32" i="19"/>
  <c r="Z7" i="19"/>
  <c r="Z7" i="7"/>
  <c r="Y7" i="4"/>
  <c r="AA8" i="3"/>
  <c r="Y7" i="25"/>
  <c r="X7" i="8"/>
  <c r="I21" i="8"/>
  <c r="Z18" i="7"/>
  <c r="Z19" i="7" s="1"/>
  <c r="Z28" i="7"/>
  <c r="Z33" i="7" s="1"/>
  <c r="Z34" i="7" s="1"/>
  <c r="X12" i="8" s="1"/>
  <c r="V50" i="7"/>
  <c r="T24" i="4"/>
  <c r="T30" i="4" s="1"/>
  <c r="T32" i="4" s="1"/>
  <c r="P16" i="8"/>
  <c r="P28" i="8"/>
  <c r="AB6" i="19"/>
  <c r="AB6" i="7"/>
  <c r="AA6" i="25"/>
  <c r="Z6" i="8"/>
  <c r="AC7" i="3"/>
  <c r="AC21" i="3" s="1"/>
  <c r="AA6" i="4"/>
  <c r="AA10" i="4" s="1"/>
  <c r="AB35" i="3"/>
  <c r="AB36" i="3" s="1"/>
  <c r="AB38" i="3" s="1"/>
  <c r="AA11" i="4" s="1"/>
  <c r="E33" i="6" l="1"/>
  <c r="E30" i="6"/>
  <c r="E26" i="6"/>
  <c r="I24" i="8"/>
  <c r="J20" i="8"/>
  <c r="Q16" i="8"/>
  <c r="Q28" i="8"/>
  <c r="I22" i="8"/>
  <c r="J18" i="8" s="1"/>
  <c r="W50" i="7"/>
  <c r="U24" i="4"/>
  <c r="U30" i="4" s="1"/>
  <c r="U32" i="4" s="1"/>
  <c r="S42" i="4"/>
  <c r="S45" i="4" s="1"/>
  <c r="T42" i="19" s="1"/>
  <c r="T43" i="19" s="1"/>
  <c r="S43" i="4"/>
  <c r="R10" i="8"/>
  <c r="R13" i="8" s="1"/>
  <c r="AB43" i="7"/>
  <c r="AB47" i="7" s="1"/>
  <c r="AB41" i="7"/>
  <c r="AB45" i="7" s="1"/>
  <c r="AB48" i="7" s="1"/>
  <c r="AB14" i="7"/>
  <c r="F28" i="25"/>
  <c r="F29" i="25" s="1"/>
  <c r="G25" i="25" s="1"/>
  <c r="AA18" i="7"/>
  <c r="AA19" i="7" s="1"/>
  <c r="AA21" i="7" s="1"/>
  <c r="AA28" i="7"/>
  <c r="AA33" i="7" s="1"/>
  <c r="AA34" i="7" s="1"/>
  <c r="Y12" i="8" s="1"/>
  <c r="H37" i="19"/>
  <c r="H45" i="19" s="1"/>
  <c r="H47" i="19" s="1"/>
  <c r="AA48" i="7"/>
  <c r="AC6" i="19"/>
  <c r="AC6" i="7"/>
  <c r="AC35" i="3"/>
  <c r="AC36" i="3" s="1"/>
  <c r="AC38" i="3" s="1"/>
  <c r="AB11" i="4" s="1"/>
  <c r="AB6" i="4"/>
  <c r="AB10" i="4" s="1"/>
  <c r="AB6" i="25"/>
  <c r="AA6" i="8"/>
  <c r="AD7" i="3"/>
  <c r="P19" i="8"/>
  <c r="G38" i="8"/>
  <c r="G36" i="8"/>
  <c r="T11" i="25"/>
  <c r="T13" i="25" s="1"/>
  <c r="T36" i="4"/>
  <c r="T40" i="4" s="1"/>
  <c r="S29" i="6"/>
  <c r="S38" i="6"/>
  <c r="AA7" i="19"/>
  <c r="AA7" i="7"/>
  <c r="Z7" i="4"/>
  <c r="AB8" i="3"/>
  <c r="Z7" i="25"/>
  <c r="Y7" i="8"/>
  <c r="AA13" i="4"/>
  <c r="H29" i="8"/>
  <c r="H30" i="8" s="1"/>
  <c r="AC14" i="7" l="1"/>
  <c r="AC41" i="7"/>
  <c r="AC45" i="7" s="1"/>
  <c r="AC43" i="7"/>
  <c r="AC47" i="7" s="1"/>
  <c r="G26" i="25"/>
  <c r="G28" i="25" s="1"/>
  <c r="G29" i="25" s="1"/>
  <c r="H25" i="25" s="1"/>
  <c r="Q19" i="8"/>
  <c r="AD6" i="19"/>
  <c r="AD6" i="7"/>
  <c r="AC6" i="4"/>
  <c r="AC10" i="4" s="1"/>
  <c r="AC13" i="4" s="1"/>
  <c r="AE7" i="3"/>
  <c r="AC6" i="25"/>
  <c r="AB6" i="8"/>
  <c r="AD35" i="3"/>
  <c r="AD36" i="3" s="1"/>
  <c r="AD38" i="3" s="1"/>
  <c r="AC11" i="4" s="1"/>
  <c r="U11" i="25"/>
  <c r="U13" i="25" s="1"/>
  <c r="U36" i="4"/>
  <c r="U40" i="4" s="1"/>
  <c r="T29" i="6"/>
  <c r="T38" i="6"/>
  <c r="Z34" i="4"/>
  <c r="Y11" i="8" s="1"/>
  <c r="AA19" i="19"/>
  <c r="AA20" i="19" s="1"/>
  <c r="AA25" i="19" s="1"/>
  <c r="AA34" i="4"/>
  <c r="Z11" i="8" s="1"/>
  <c r="AB19" i="19"/>
  <c r="AB20" i="19" s="1"/>
  <c r="AB25" i="19" s="1"/>
  <c r="V24" i="4"/>
  <c r="V30" i="4" s="1"/>
  <c r="V32" i="4" s="1"/>
  <c r="X50" i="7"/>
  <c r="I29" i="8"/>
  <c r="I30" i="8" s="1"/>
  <c r="T42" i="4"/>
  <c r="S10" i="8"/>
  <c r="S13" i="8" s="1"/>
  <c r="AB7" i="19"/>
  <c r="AB7" i="7"/>
  <c r="AA7" i="4"/>
  <c r="AC8" i="3"/>
  <c r="Z7" i="8"/>
  <c r="AA7" i="25"/>
  <c r="G39" i="8"/>
  <c r="H35" i="8" s="1"/>
  <c r="AD21" i="3"/>
  <c r="J21" i="8"/>
  <c r="J22" i="8" s="1"/>
  <c r="K18" i="8" s="1"/>
  <c r="S11" i="6"/>
  <c r="S13" i="6" s="1"/>
  <c r="AB18" i="7"/>
  <c r="AB19" i="7" s="1"/>
  <c r="AB21" i="7" s="1"/>
  <c r="AB28" i="7"/>
  <c r="AB33" i="7" s="1"/>
  <c r="AB34" i="7" s="1"/>
  <c r="Z12" i="8" s="1"/>
  <c r="H33" i="8"/>
  <c r="G41" i="8"/>
  <c r="H15" i="25" s="1"/>
  <c r="AB13" i="4"/>
  <c r="AA36" i="7"/>
  <c r="AB36" i="7" s="1"/>
  <c r="R28" i="8"/>
  <c r="R16" i="8"/>
  <c r="E36" i="6"/>
  <c r="E37" i="6" s="1"/>
  <c r="E42" i="6" l="1"/>
  <c r="E35" i="6"/>
  <c r="E39" i="6" s="1"/>
  <c r="H26" i="25"/>
  <c r="K21" i="8"/>
  <c r="I33" i="8"/>
  <c r="Y50" i="7"/>
  <c r="W24" i="4"/>
  <c r="W30" i="4" s="1"/>
  <c r="W32" i="4" s="1"/>
  <c r="AC48" i="7"/>
  <c r="H36" i="8"/>
  <c r="H38" i="8"/>
  <c r="V11" i="25"/>
  <c r="V13" i="25" s="1"/>
  <c r="V36" i="4"/>
  <c r="V40" i="4" s="1"/>
  <c r="U29" i="6"/>
  <c r="U38" i="6"/>
  <c r="U43" i="4"/>
  <c r="U45" i="4" s="1"/>
  <c r="V42" i="19" s="1"/>
  <c r="V43" i="19" s="1"/>
  <c r="U42" i="4"/>
  <c r="T10" i="8"/>
  <c r="T13" i="8" s="1"/>
  <c r="AD41" i="7"/>
  <c r="AD45" i="7" s="1"/>
  <c r="AD43" i="7"/>
  <c r="AD47" i="7" s="1"/>
  <c r="AD14" i="7"/>
  <c r="S28" i="8"/>
  <c r="S16" i="8"/>
  <c r="AC7" i="19"/>
  <c r="AC7" i="7"/>
  <c r="AB7" i="4"/>
  <c r="AD8" i="3"/>
  <c r="AA7" i="8"/>
  <c r="AB7" i="25"/>
  <c r="AE6" i="19"/>
  <c r="AE6" i="7"/>
  <c r="AD6" i="4"/>
  <c r="AD10" i="4" s="1"/>
  <c r="AF7" i="3"/>
  <c r="AF21" i="3"/>
  <c r="AE35" i="3"/>
  <c r="AE36" i="3" s="1"/>
  <c r="AE38" i="3" s="1"/>
  <c r="AD11" i="4" s="1"/>
  <c r="AC6" i="8"/>
  <c r="AD6" i="25"/>
  <c r="T11" i="6"/>
  <c r="T13" i="6" s="1"/>
  <c r="AC36" i="7"/>
  <c r="H39" i="8"/>
  <c r="I35" i="8" s="1"/>
  <c r="T43" i="4"/>
  <c r="T45" i="4" s="1"/>
  <c r="U42" i="19" s="1"/>
  <c r="U43" i="19" s="1"/>
  <c r="AC18" i="7"/>
  <c r="AC19" i="7" s="1"/>
  <c r="AC21" i="7" s="1"/>
  <c r="AC28" i="7"/>
  <c r="AC33" i="7" s="1"/>
  <c r="AC34" i="7" s="1"/>
  <c r="AA12" i="8" s="1"/>
  <c r="J24" i="8"/>
  <c r="K20" i="8"/>
  <c r="K22" i="8" s="1"/>
  <c r="L18" i="8" s="1"/>
  <c r="R19" i="8"/>
  <c r="AE21" i="3"/>
  <c r="E49" i="6"/>
  <c r="H18" i="25"/>
  <c r="H21" i="25" s="1"/>
  <c r="I32" i="19"/>
  <c r="L21" i="8" l="1"/>
  <c r="AD21" i="7"/>
  <c r="AD7" i="19"/>
  <c r="AD7" i="7"/>
  <c r="AC7" i="4"/>
  <c r="AE8" i="3"/>
  <c r="AC7" i="25"/>
  <c r="AB7" i="8"/>
  <c r="Z50" i="7"/>
  <c r="X24" i="4"/>
  <c r="X30" i="4" s="1"/>
  <c r="X32" i="4" s="1"/>
  <c r="U11" i="6"/>
  <c r="U13" i="6" s="1"/>
  <c r="E44" i="6"/>
  <c r="E57" i="6" s="1"/>
  <c r="E45" i="6"/>
  <c r="F24" i="6" s="1"/>
  <c r="AD13" i="4"/>
  <c r="U10" i="8"/>
  <c r="U13" i="8" s="1"/>
  <c r="V42" i="4"/>
  <c r="V43" i="4" s="1"/>
  <c r="V45" i="4" s="1"/>
  <c r="W42" i="19" s="1"/>
  <c r="W43" i="19" s="1"/>
  <c r="J29" i="8"/>
  <c r="J30" i="8" s="1"/>
  <c r="S19" i="8"/>
  <c r="AB34" i="4"/>
  <c r="AA11" i="8" s="1"/>
  <c r="AC19" i="19"/>
  <c r="AC20" i="19" s="1"/>
  <c r="AC25" i="19" s="1"/>
  <c r="E48" i="6"/>
  <c r="E50" i="6" s="1"/>
  <c r="E52" i="6" s="1"/>
  <c r="E56" i="6"/>
  <c r="E58" i="6" s="1"/>
  <c r="AF6" i="7"/>
  <c r="AE6" i="4"/>
  <c r="AE10" i="4" s="1"/>
  <c r="AF6" i="19"/>
  <c r="AE6" i="25"/>
  <c r="AG7" i="3"/>
  <c r="AG21" i="3" s="1"/>
  <c r="AD6" i="8"/>
  <c r="AF35" i="3"/>
  <c r="AF36" i="3" s="1"/>
  <c r="AF38" i="3" s="1"/>
  <c r="AE11" i="4" s="1"/>
  <c r="I37" i="19"/>
  <c r="I45" i="19" s="1"/>
  <c r="I47" i="19" s="1"/>
  <c r="H27" i="25"/>
  <c r="H28" i="25" s="1"/>
  <c r="H29" i="25" s="1"/>
  <c r="I25" i="25" s="1"/>
  <c r="H37" i="25"/>
  <c r="H38" i="25" s="1"/>
  <c r="H50" i="25"/>
  <c r="H52" i="25" s="1"/>
  <c r="H43" i="25"/>
  <c r="H45" i="25" s="1"/>
  <c r="H57" i="25"/>
  <c r="H59" i="25" s="1"/>
  <c r="AE14" i="7"/>
  <c r="AE41" i="7"/>
  <c r="AE45" i="7" s="1"/>
  <c r="AE43" i="7"/>
  <c r="AE47" i="7" s="1"/>
  <c r="AD48" i="7"/>
  <c r="W36" i="4"/>
  <c r="W40" i="4" s="1"/>
  <c r="W11" i="25"/>
  <c r="W13" i="25" s="1"/>
  <c r="W44" i="25"/>
  <c r="V29" i="6"/>
  <c r="V11" i="6" s="1"/>
  <c r="V13" i="6" s="1"/>
  <c r="V38" i="6"/>
  <c r="AD18" i="7"/>
  <c r="AD19" i="7" s="1"/>
  <c r="AD28" i="7"/>
  <c r="AD33" i="7" s="1"/>
  <c r="AD34" i="7" s="1"/>
  <c r="AB12" i="8" s="1"/>
  <c r="AD36" i="7"/>
  <c r="I36" i="8"/>
  <c r="I38" i="8"/>
  <c r="I41" i="8" s="1"/>
  <c r="J15" i="25" s="1"/>
  <c r="J18" i="25" s="1"/>
  <c r="J21" i="25" s="1"/>
  <c r="T28" i="8"/>
  <c r="T16" i="8"/>
  <c r="H41" i="8"/>
  <c r="I15" i="25" s="1"/>
  <c r="I18" i="25" s="1"/>
  <c r="I21" i="25" s="1"/>
  <c r="K24" i="8"/>
  <c r="L20" i="8"/>
  <c r="L22" i="8" s="1"/>
  <c r="M18" i="8" s="1"/>
  <c r="M21" i="8" l="1"/>
  <c r="AE28" i="7"/>
  <c r="AE33" i="7" s="1"/>
  <c r="AE34" i="7" s="1"/>
  <c r="AC12" i="8" s="1"/>
  <c r="AE18" i="7"/>
  <c r="AE19" i="7" s="1"/>
  <c r="AE21" i="7" s="1"/>
  <c r="J27" i="25"/>
  <c r="J37" i="25"/>
  <c r="J38" i="25" s="1"/>
  <c r="J50" i="25"/>
  <c r="J52" i="25" s="1"/>
  <c r="J43" i="25"/>
  <c r="J45" i="25" s="1"/>
  <c r="J57" i="25"/>
  <c r="J59" i="25" s="1"/>
  <c r="J33" i="8"/>
  <c r="I27" i="25"/>
  <c r="I37" i="25"/>
  <c r="I38" i="25" s="1"/>
  <c r="I50" i="25"/>
  <c r="I52" i="25" s="1"/>
  <c r="I57" i="25"/>
  <c r="I59" i="25" s="1"/>
  <c r="I43" i="25"/>
  <c r="I45" i="25" s="1"/>
  <c r="X36" i="4"/>
  <c r="X40" i="4" s="1"/>
  <c r="X11" i="25"/>
  <c r="X13" i="25" s="1"/>
  <c r="W38" i="6"/>
  <c r="W29" i="6"/>
  <c r="AC34" i="4"/>
  <c r="AB11" i="8" s="1"/>
  <c r="AD19" i="19"/>
  <c r="AD20" i="19" s="1"/>
  <c r="AD25" i="19" s="1"/>
  <c r="I26" i="25"/>
  <c r="U16" i="8"/>
  <c r="U28" i="8"/>
  <c r="AA50" i="7"/>
  <c r="Y24" i="4"/>
  <c r="Y30" i="4" s="1"/>
  <c r="Y32" i="4" s="1"/>
  <c r="L24" i="8"/>
  <c r="M20" i="8"/>
  <c r="M22" i="8" s="1"/>
  <c r="N18" i="8" s="1"/>
  <c r="AE36" i="7"/>
  <c r="AG6" i="19"/>
  <c r="AG6" i="7"/>
  <c r="AF6" i="4"/>
  <c r="AF10" i="4" s="1"/>
  <c r="AF13" i="4" s="1"/>
  <c r="AG35" i="3"/>
  <c r="AG36" i="3" s="1"/>
  <c r="AG38" i="3" s="1"/>
  <c r="AF11" i="4" s="1"/>
  <c r="AH7" i="3"/>
  <c r="AF6" i="25"/>
  <c r="AE6" i="8"/>
  <c r="T21" i="8"/>
  <c r="T24" i="8" s="1"/>
  <c r="T19" i="8"/>
  <c r="AE13" i="4"/>
  <c r="W43" i="4"/>
  <c r="W42" i="4"/>
  <c r="W45" i="4" s="1"/>
  <c r="X42" i="19" s="1"/>
  <c r="X43" i="19" s="1"/>
  <c r="V10" i="8"/>
  <c r="V13" i="8" s="1"/>
  <c r="I39" i="8"/>
  <c r="J35" i="8" s="1"/>
  <c r="K29" i="8"/>
  <c r="K30" i="8" s="1"/>
  <c r="AE48" i="7"/>
  <c r="J32" i="19"/>
  <c r="AF14" i="7"/>
  <c r="AF43" i="7"/>
  <c r="AF47" i="7" s="1"/>
  <c r="AF41" i="7"/>
  <c r="AF45" i="7" s="1"/>
  <c r="AF48" i="7" s="1"/>
  <c r="F27" i="6"/>
  <c r="F28" i="6" s="1"/>
  <c r="AE7" i="19"/>
  <c r="AE7" i="7"/>
  <c r="AD7" i="4"/>
  <c r="AF8" i="3"/>
  <c r="AC7" i="8"/>
  <c r="AD7" i="25"/>
  <c r="F33" i="6" l="1"/>
  <c r="F26" i="6"/>
  <c r="F30" i="6" s="1"/>
  <c r="N21" i="8"/>
  <c r="AD34" i="4"/>
  <c r="AC11" i="8" s="1"/>
  <c r="AE19" i="19"/>
  <c r="AE20" i="19" s="1"/>
  <c r="AE25" i="19" s="1"/>
  <c r="AH6" i="19"/>
  <c r="AG6" i="4"/>
  <c r="AG10" i="4" s="1"/>
  <c r="AH35" i="3"/>
  <c r="AH36" i="3" s="1"/>
  <c r="AH38" i="3" s="1"/>
  <c r="AG11" i="4" s="1"/>
  <c r="AG6" i="25"/>
  <c r="AH6" i="7"/>
  <c r="AF6" i="8"/>
  <c r="K33" i="8"/>
  <c r="X42" i="4"/>
  <c r="X43" i="4" s="1"/>
  <c r="X45" i="4" s="1"/>
  <c r="Y42" i="19" s="1"/>
  <c r="Y43" i="19" s="1"/>
  <c r="W10" i="8"/>
  <c r="W13" i="8" s="1"/>
  <c r="K32" i="19"/>
  <c r="J37" i="19"/>
  <c r="J45" i="19" s="1"/>
  <c r="J47" i="19" s="1"/>
  <c r="U19" i="8"/>
  <c r="AF7" i="19"/>
  <c r="AF7" i="7"/>
  <c r="AE7" i="25"/>
  <c r="AE7" i="4"/>
  <c r="AD7" i="8"/>
  <c r="AG8" i="3"/>
  <c r="L29" i="8"/>
  <c r="L30" i="8" s="1"/>
  <c r="T29" i="8"/>
  <c r="T30" i="8" s="1"/>
  <c r="AG43" i="7"/>
  <c r="AG47" i="7" s="1"/>
  <c r="AG14" i="7"/>
  <c r="AG41" i="7"/>
  <c r="AG45" i="7" s="1"/>
  <c r="AG48" i="7" s="1"/>
  <c r="AE34" i="4"/>
  <c r="AD11" i="8" s="1"/>
  <c r="AF19" i="19"/>
  <c r="AF20" i="19" s="1"/>
  <c r="AF25" i="19" s="1"/>
  <c r="AB50" i="7"/>
  <c r="Z24" i="4"/>
  <c r="Z30" i="4" s="1"/>
  <c r="Z32" i="4" s="1"/>
  <c r="J39" i="8"/>
  <c r="K35" i="8" s="1"/>
  <c r="Y11" i="25"/>
  <c r="Y13" i="25" s="1"/>
  <c r="Y36" i="4"/>
  <c r="Y40" i="4" s="1"/>
  <c r="X29" i="6"/>
  <c r="X38" i="6"/>
  <c r="V28" i="8"/>
  <c r="V16" i="8"/>
  <c r="AH21" i="3"/>
  <c r="J38" i="8"/>
  <c r="J36" i="8"/>
  <c r="M24" i="8"/>
  <c r="N20" i="8"/>
  <c r="N22" i="8" s="1"/>
  <c r="O18" i="8" s="1"/>
  <c r="AF28" i="7"/>
  <c r="AF33" i="7" s="1"/>
  <c r="AF34" i="7" s="1"/>
  <c r="AD12" i="8" s="1"/>
  <c r="AF18" i="7"/>
  <c r="AF19" i="7" s="1"/>
  <c r="AF21" i="7" s="1"/>
  <c r="W11" i="6"/>
  <c r="W13" i="6" s="1"/>
  <c r="I28" i="25"/>
  <c r="I29" i="25" s="1"/>
  <c r="J25" i="25" s="1"/>
  <c r="O22" i="8" l="1"/>
  <c r="P18" i="8" s="1"/>
  <c r="O21" i="8"/>
  <c r="F36" i="6"/>
  <c r="V19" i="8"/>
  <c r="K37" i="19"/>
  <c r="K45" i="19" s="1"/>
  <c r="K47" i="19" s="1"/>
  <c r="J26" i="25"/>
  <c r="J28" i="25" s="1"/>
  <c r="J29" i="25" s="1"/>
  <c r="K25" i="25" s="1"/>
  <c r="M29" i="8"/>
  <c r="M30" i="8" s="1"/>
  <c r="T33" i="8"/>
  <c r="W24" i="8"/>
  <c r="W16" i="8"/>
  <c r="W28" i="8"/>
  <c r="AF34" i="4"/>
  <c r="AE11" i="8" s="1"/>
  <c r="AG19" i="19"/>
  <c r="AG20" i="19" s="1"/>
  <c r="AG25" i="19" s="1"/>
  <c r="AG18" i="7"/>
  <c r="AG19" i="7" s="1"/>
  <c r="AG21" i="7" s="1"/>
  <c r="AG28" i="7"/>
  <c r="AG33" i="7" s="1"/>
  <c r="AG34" i="7" s="1"/>
  <c r="AE12" i="8" s="1"/>
  <c r="Z36" i="4"/>
  <c r="Z40" i="4" s="1"/>
  <c r="Y38" i="6"/>
  <c r="Z11" i="25"/>
  <c r="Z13" i="25" s="1"/>
  <c r="Y29" i="6"/>
  <c r="Y11" i="6" s="1"/>
  <c r="Y13" i="6" s="1"/>
  <c r="AH14" i="7"/>
  <c r="AH43" i="7"/>
  <c r="AH47" i="7" s="1"/>
  <c r="AH41" i="7"/>
  <c r="AH45" i="7" s="1"/>
  <c r="AH48" i="7" s="1"/>
  <c r="X11" i="6"/>
  <c r="X13" i="6" s="1"/>
  <c r="L33" i="8"/>
  <c r="AG7" i="19"/>
  <c r="AF7" i="4"/>
  <c r="AG7" i="7"/>
  <c r="AF7" i="25"/>
  <c r="AH8" i="3"/>
  <c r="AE7" i="8"/>
  <c r="N24" i="8"/>
  <c r="O20" i="8"/>
  <c r="J41" i="8"/>
  <c r="K15" i="25" s="1"/>
  <c r="K18" i="25" s="1"/>
  <c r="K21" i="25" s="1"/>
  <c r="AC50" i="7"/>
  <c r="AA24" i="4"/>
  <c r="AA30" i="4" s="1"/>
  <c r="AA32" i="4" s="1"/>
  <c r="X10" i="8"/>
  <c r="X13" i="8" s="1"/>
  <c r="Y42" i="4"/>
  <c r="Y45" i="4" s="1"/>
  <c r="Z42" i="19" s="1"/>
  <c r="Z43" i="19" s="1"/>
  <c r="Y43" i="4"/>
  <c r="AF36" i="7"/>
  <c r="AG13" i="4"/>
  <c r="K36" i="8"/>
  <c r="K39" i="8" s="1"/>
  <c r="L35" i="8" s="1"/>
  <c r="K38" i="8"/>
  <c r="K41" i="8" s="1"/>
  <c r="L15" i="25" s="1"/>
  <c r="L18" i="25" s="1"/>
  <c r="L21" i="25" s="1"/>
  <c r="K26" i="25" l="1"/>
  <c r="X16" i="8"/>
  <c r="X24" i="8"/>
  <c r="X28" i="8"/>
  <c r="T36" i="8"/>
  <c r="T38" i="8"/>
  <c r="AA36" i="4"/>
  <c r="AA40" i="4" s="1"/>
  <c r="AA11" i="25"/>
  <c r="AA13" i="25" s="1"/>
  <c r="Z29" i="6"/>
  <c r="Z38" i="6"/>
  <c r="AD50" i="7"/>
  <c r="AB24" i="4"/>
  <c r="AB30" i="4" s="1"/>
  <c r="AB32" i="4" s="1"/>
  <c r="M33" i="8"/>
  <c r="AH28" i="7"/>
  <c r="AH33" i="7" s="1"/>
  <c r="AH34" i="7" s="1"/>
  <c r="AF12" i="8" s="1"/>
  <c r="AH18" i="7"/>
  <c r="AH19" i="7" s="1"/>
  <c r="AH21" i="7" s="1"/>
  <c r="AG36" i="7"/>
  <c r="L38" i="8"/>
  <c r="L36" i="8"/>
  <c r="W29" i="8"/>
  <c r="P21" i="8"/>
  <c r="K57" i="25"/>
  <c r="K59" i="25" s="1"/>
  <c r="K27" i="25"/>
  <c r="K28" i="25" s="1"/>
  <c r="K29" i="25" s="1"/>
  <c r="L25" i="25" s="1"/>
  <c r="K37" i="25"/>
  <c r="K38" i="25" s="1"/>
  <c r="K50" i="25"/>
  <c r="K52" i="25" s="1"/>
  <c r="K43" i="25"/>
  <c r="K45" i="25" s="1"/>
  <c r="N29" i="8"/>
  <c r="N30" i="8" s="1"/>
  <c r="W30" i="8"/>
  <c r="F49" i="6"/>
  <c r="W19" i="8"/>
  <c r="W21" i="8"/>
  <c r="F37" i="6"/>
  <c r="L57" i="25"/>
  <c r="L59" i="25" s="1"/>
  <c r="L43" i="25"/>
  <c r="L45" i="25" s="1"/>
  <c r="L37" i="25"/>
  <c r="L38" i="25" s="1"/>
  <c r="L50" i="25"/>
  <c r="L52" i="25" s="1"/>
  <c r="L27" i="25"/>
  <c r="AH7" i="19"/>
  <c r="AH7" i="7"/>
  <c r="AG7" i="4"/>
  <c r="AG7" i="25"/>
  <c r="AF7" i="8"/>
  <c r="Z42" i="4"/>
  <c r="Z43" i="4"/>
  <c r="Z45" i="4"/>
  <c r="AA42" i="19" s="1"/>
  <c r="AA43" i="19" s="1"/>
  <c r="Y10" i="8"/>
  <c r="Y13" i="8" s="1"/>
  <c r="L32" i="19"/>
  <c r="O24" i="8"/>
  <c r="P20" i="8"/>
  <c r="P22" i="8" s="1"/>
  <c r="Q18" i="8" s="1"/>
  <c r="AG34" i="4"/>
  <c r="AF11" i="8" s="1"/>
  <c r="AH19" i="19"/>
  <c r="AH20" i="19" s="1"/>
  <c r="AH25" i="19" s="1"/>
  <c r="Q21" i="8" l="1"/>
  <c r="L26" i="25"/>
  <c r="Y16" i="8"/>
  <c r="Y24" i="8"/>
  <c r="Y28" i="8"/>
  <c r="AA38" i="6"/>
  <c r="AB11" i="25"/>
  <c r="AB13" i="25" s="1"/>
  <c r="AB36" i="4"/>
  <c r="AB40" i="4" s="1"/>
  <c r="AA29" i="6"/>
  <c r="X30" i="8"/>
  <c r="W41" i="8"/>
  <c r="X15" i="25" s="1"/>
  <c r="X18" i="25" s="1"/>
  <c r="X21" i="25" s="1"/>
  <c r="W33" i="8"/>
  <c r="AH36" i="7"/>
  <c r="AE50" i="7"/>
  <c r="AC24" i="4"/>
  <c r="AC30" i="4" s="1"/>
  <c r="AC32" i="4" s="1"/>
  <c r="X29" i="8"/>
  <c r="N33" i="8"/>
  <c r="X21" i="8"/>
  <c r="X19" i="8"/>
  <c r="Z11" i="6"/>
  <c r="Z13" i="6" s="1"/>
  <c r="F42" i="6"/>
  <c r="F35" i="6"/>
  <c r="L28" i="25"/>
  <c r="L29" i="25" s="1"/>
  <c r="M25" i="25" s="1"/>
  <c r="L41" i="8"/>
  <c r="M15" i="25" s="1"/>
  <c r="M18" i="25" s="1"/>
  <c r="M21" i="25" s="1"/>
  <c r="P24" i="8"/>
  <c r="Q20" i="8"/>
  <c r="Q22" i="8" s="1"/>
  <c r="R18" i="8" s="1"/>
  <c r="O29" i="8"/>
  <c r="O30" i="8" s="1"/>
  <c r="L37" i="19"/>
  <c r="L45" i="19" s="1"/>
  <c r="L47" i="19" s="1"/>
  <c r="M32" i="19"/>
  <c r="AA42" i="4"/>
  <c r="Z10" i="8"/>
  <c r="Z13" i="8" s="1"/>
  <c r="M36" i="8"/>
  <c r="M38" i="8"/>
  <c r="T41" i="8"/>
  <c r="U15" i="25" s="1"/>
  <c r="U18" i="25" s="1"/>
  <c r="U21" i="25" s="1"/>
  <c r="L39" i="8"/>
  <c r="M35" i="8" s="1"/>
  <c r="R21" i="8" l="1"/>
  <c r="M26" i="25"/>
  <c r="AA45" i="4"/>
  <c r="AB42" i="19" s="1"/>
  <c r="AB43" i="19" s="1"/>
  <c r="M43" i="25"/>
  <c r="M45" i="25" s="1"/>
  <c r="M27" i="25"/>
  <c r="M28" i="25" s="1"/>
  <c r="M29" i="25" s="1"/>
  <c r="N25" i="25" s="1"/>
  <c r="M50" i="25"/>
  <c r="M52" i="25" s="1"/>
  <c r="M57" i="25"/>
  <c r="M59" i="25" s="1"/>
  <c r="M37" i="25"/>
  <c r="M38" i="25" s="1"/>
  <c r="N32" i="19"/>
  <c r="M37" i="19"/>
  <c r="M45" i="19" s="1"/>
  <c r="M47" i="19" s="1"/>
  <c r="M41" i="8"/>
  <c r="N15" i="25" s="1"/>
  <c r="N18" i="25" s="1"/>
  <c r="N21" i="25" s="1"/>
  <c r="N36" i="8"/>
  <c r="W38" i="8"/>
  <c r="W36" i="8"/>
  <c r="Y29" i="8"/>
  <c r="Y30" i="8" s="1"/>
  <c r="AC11" i="25"/>
  <c r="AC13" i="25" s="1"/>
  <c r="AC36" i="4"/>
  <c r="AC40" i="4" s="1"/>
  <c r="AB29" i="6"/>
  <c r="AB38" i="6"/>
  <c r="AF50" i="7"/>
  <c r="AD24" i="4"/>
  <c r="AD30" i="4" s="1"/>
  <c r="AD32" i="4" s="1"/>
  <c r="P29" i="8"/>
  <c r="P30" i="8" s="1"/>
  <c r="Y19" i="8"/>
  <c r="Y21" i="8"/>
  <c r="X41" i="8"/>
  <c r="Y15" i="25" s="1"/>
  <c r="Y18" i="25" s="1"/>
  <c r="Y21" i="25" s="1"/>
  <c r="X33" i="8"/>
  <c r="F44" i="6"/>
  <c r="F57" i="6" s="1"/>
  <c r="F45" i="6"/>
  <c r="G24" i="6" s="1"/>
  <c r="AA11" i="6"/>
  <c r="AA13" i="6" s="1"/>
  <c r="U43" i="25"/>
  <c r="U45" i="25" s="1"/>
  <c r="U37" i="25"/>
  <c r="U38" i="25" s="1"/>
  <c r="U50" i="25"/>
  <c r="U52" i="25" s="1"/>
  <c r="U57" i="25"/>
  <c r="U59" i="25" s="1"/>
  <c r="U27" i="25"/>
  <c r="X27" i="25"/>
  <c r="X37" i="25"/>
  <c r="X38" i="25" s="1"/>
  <c r="X50" i="25"/>
  <c r="X52" i="25" s="1"/>
  <c r="X43" i="25"/>
  <c r="X45" i="25" s="1"/>
  <c r="X57" i="25"/>
  <c r="X59" i="25" s="1"/>
  <c r="F48" i="6"/>
  <c r="F50" i="6" s="1"/>
  <c r="F52" i="6" s="1"/>
  <c r="F56" i="6"/>
  <c r="F58" i="6" s="1"/>
  <c r="Z16" i="8"/>
  <c r="Z28" i="8"/>
  <c r="Z24" i="8"/>
  <c r="O33" i="8"/>
  <c r="M39" i="8"/>
  <c r="N35" i="8" s="1"/>
  <c r="AA43" i="4"/>
  <c r="F39" i="6"/>
  <c r="AB42" i="4"/>
  <c r="AA10" i="8"/>
  <c r="AA13" i="8" s="1"/>
  <c r="Q24" i="8"/>
  <c r="R20" i="8"/>
  <c r="R22" i="8" s="1"/>
  <c r="S18" i="8" s="1"/>
  <c r="Y41" i="8" l="1"/>
  <c r="Z15" i="25" s="1"/>
  <c r="Z18" i="25" s="1"/>
  <c r="Z21" i="25" s="1"/>
  <c r="Y33" i="8"/>
  <c r="N26" i="25"/>
  <c r="S21" i="8"/>
  <c r="G26" i="6"/>
  <c r="G27" i="6"/>
  <c r="G28" i="6"/>
  <c r="AD11" i="25"/>
  <c r="AD13" i="25" s="1"/>
  <c r="AD36" i="4"/>
  <c r="AD40" i="4" s="1"/>
  <c r="AC38" i="6"/>
  <c r="AC29" i="6"/>
  <c r="AC11" i="6" s="1"/>
  <c r="AC13" i="6" s="1"/>
  <c r="Z19" i="8"/>
  <c r="Z21" i="8"/>
  <c r="AG50" i="7"/>
  <c r="AE24" i="4"/>
  <c r="AE30" i="4" s="1"/>
  <c r="AE32" i="4" s="1"/>
  <c r="N37" i="19"/>
  <c r="N45" i="19" s="1"/>
  <c r="N47" i="19" s="1"/>
  <c r="O32" i="19"/>
  <c r="AA28" i="8"/>
  <c r="AA16" i="8"/>
  <c r="AA24" i="8"/>
  <c r="Y27" i="25"/>
  <c r="Y37" i="25"/>
  <c r="Y38" i="25" s="1"/>
  <c r="Y50" i="25"/>
  <c r="Y52" i="25" s="1"/>
  <c r="Y57" i="25"/>
  <c r="Y59" i="25" s="1"/>
  <c r="Y43" i="25"/>
  <c r="Y45" i="25" s="1"/>
  <c r="AB11" i="6"/>
  <c r="AB13" i="6" s="1"/>
  <c r="R24" i="8"/>
  <c r="S20" i="8"/>
  <c r="S22" i="8" s="1"/>
  <c r="Q29" i="8"/>
  <c r="Q30" i="8" s="1"/>
  <c r="X36" i="8"/>
  <c r="X38" i="8"/>
  <c r="O36" i="8"/>
  <c r="N38" i="8"/>
  <c r="N39" i="8" s="1"/>
  <c r="O35" i="8" s="1"/>
  <c r="AB43" i="4"/>
  <c r="AB45" i="4" s="1"/>
  <c r="AC42" i="19" s="1"/>
  <c r="AC43" i="19" s="1"/>
  <c r="Z29" i="8"/>
  <c r="Z30" i="8" s="1"/>
  <c r="AC42" i="4"/>
  <c r="AC45" i="4" s="1"/>
  <c r="AD42" i="19" s="1"/>
  <c r="AD43" i="19" s="1"/>
  <c r="AB10" i="8"/>
  <c r="AB13" i="8" s="1"/>
  <c r="AC43" i="4"/>
  <c r="P33" i="8"/>
  <c r="N43" i="25"/>
  <c r="N45" i="25" s="1"/>
  <c r="N57" i="25"/>
  <c r="N59" i="25" s="1"/>
  <c r="N27" i="25"/>
  <c r="N28" i="25" s="1"/>
  <c r="N29" i="25" s="1"/>
  <c r="O25" i="25" s="1"/>
  <c r="N37" i="25"/>
  <c r="N38" i="25" s="1"/>
  <c r="N50" i="25"/>
  <c r="N52" i="25" s="1"/>
  <c r="O38" i="8" l="1"/>
  <c r="O41" i="8" s="1"/>
  <c r="P15" i="25" s="1"/>
  <c r="P18" i="25" s="1"/>
  <c r="P21" i="25" s="1"/>
  <c r="O26" i="25"/>
  <c r="Z33" i="8"/>
  <c r="Z41" i="8"/>
  <c r="AA15" i="25" s="1"/>
  <c r="AA18" i="25" s="1"/>
  <c r="AA21" i="25" s="1"/>
  <c r="Q33" i="8"/>
  <c r="S24" i="8"/>
  <c r="T20" i="8"/>
  <c r="T22" i="8" s="1"/>
  <c r="U18" i="8" s="1"/>
  <c r="AA21" i="8"/>
  <c r="AA19" i="8"/>
  <c r="AD42" i="4"/>
  <c r="AD43" i="4" s="1"/>
  <c r="AC10" i="8"/>
  <c r="AC13" i="8" s="1"/>
  <c r="AH50" i="7"/>
  <c r="AG24" i="4" s="1"/>
  <c r="AG30" i="4" s="1"/>
  <c r="AG32" i="4" s="1"/>
  <c r="AF24" i="4"/>
  <c r="AF30" i="4" s="1"/>
  <c r="AF32" i="4" s="1"/>
  <c r="G30" i="6"/>
  <c r="G33" i="6"/>
  <c r="Z27" i="25"/>
  <c r="Z37" i="25"/>
  <c r="Z38" i="25" s="1"/>
  <c r="Z50" i="25"/>
  <c r="Z52" i="25" s="1"/>
  <c r="Z43" i="25"/>
  <c r="Z45" i="25" s="1"/>
  <c r="Z57" i="25"/>
  <c r="Z59" i="25" s="1"/>
  <c r="AB28" i="8"/>
  <c r="AB24" i="8"/>
  <c r="AB16" i="8"/>
  <c r="O37" i="19"/>
  <c r="O45" i="19" s="1"/>
  <c r="O47" i="19" s="1"/>
  <c r="AE11" i="25"/>
  <c r="AE13" i="25" s="1"/>
  <c r="AE36" i="4"/>
  <c r="AE40" i="4" s="1"/>
  <c r="AD38" i="6"/>
  <c r="AD29" i="6"/>
  <c r="R29" i="8"/>
  <c r="R30" i="8" s="1"/>
  <c r="P36" i="8"/>
  <c r="AA29" i="8"/>
  <c r="AA30" i="8" s="1"/>
  <c r="Y36" i="8"/>
  <c r="Y38" i="8"/>
  <c r="N41" i="8"/>
  <c r="O15" i="25" s="1"/>
  <c r="O18" i="25" s="1"/>
  <c r="O21" i="25" s="1"/>
  <c r="AA41" i="8" l="1"/>
  <c r="AB15" i="25" s="1"/>
  <c r="AB18" i="25" s="1"/>
  <c r="AB21" i="25" s="1"/>
  <c r="AA33" i="8"/>
  <c r="O27" i="25"/>
  <c r="O28" i="25" s="1"/>
  <c r="O29" i="25" s="1"/>
  <c r="P25" i="25" s="1"/>
  <c r="O43" i="25"/>
  <c r="O45" i="25" s="1"/>
  <c r="O37" i="25"/>
  <c r="O38" i="25" s="1"/>
  <c r="O57" i="25"/>
  <c r="O59" i="25" s="1"/>
  <c r="O50" i="25"/>
  <c r="O52" i="25" s="1"/>
  <c r="P32" i="19"/>
  <c r="AD45" i="4"/>
  <c r="AE42" i="19" s="1"/>
  <c r="AE43" i="19" s="1"/>
  <c r="U20" i="8"/>
  <c r="AA57" i="25"/>
  <c r="AA59" i="25" s="1"/>
  <c r="AA27" i="25"/>
  <c r="AA37" i="25"/>
  <c r="AA38" i="25" s="1"/>
  <c r="AA50" i="25"/>
  <c r="AA52" i="25" s="1"/>
  <c r="AA43" i="25"/>
  <c r="AA45" i="25" s="1"/>
  <c r="AF36" i="4"/>
  <c r="AF40" i="4" s="1"/>
  <c r="AG44" i="25"/>
  <c r="AF11" i="25"/>
  <c r="AF13" i="25" s="1"/>
  <c r="AE38" i="6"/>
  <c r="AE29" i="6"/>
  <c r="AE11" i="6" s="1"/>
  <c r="AE13" i="6" s="1"/>
  <c r="Q36" i="8"/>
  <c r="AE43" i="4"/>
  <c r="AE45" i="4"/>
  <c r="AF42" i="19" s="1"/>
  <c r="AF43" i="19" s="1"/>
  <c r="AD10" i="8"/>
  <c r="AD13" i="8" s="1"/>
  <c r="AE42" i="4"/>
  <c r="U22" i="8"/>
  <c r="V18" i="8" s="1"/>
  <c r="U21" i="8"/>
  <c r="AB19" i="8"/>
  <c r="AB21" i="8"/>
  <c r="S29" i="8"/>
  <c r="S30" i="8" s="1"/>
  <c r="AB29" i="8"/>
  <c r="AB30" i="8" s="1"/>
  <c r="AF38" i="6"/>
  <c r="AG11" i="25"/>
  <c r="AG13" i="25" s="1"/>
  <c r="AG36" i="4"/>
  <c r="AG40" i="4" s="1"/>
  <c r="AF29" i="6"/>
  <c r="AC16" i="8"/>
  <c r="AC24" i="8"/>
  <c r="AC28" i="8"/>
  <c r="Z36" i="8"/>
  <c r="Z38" i="8"/>
  <c r="R33" i="8"/>
  <c r="G36" i="6"/>
  <c r="G37" i="6"/>
  <c r="AD11" i="6"/>
  <c r="AD13" i="6" s="1"/>
  <c r="P27" i="25"/>
  <c r="P37" i="25"/>
  <c r="P38" i="25" s="1"/>
  <c r="P50" i="25"/>
  <c r="P52" i="25" s="1"/>
  <c r="P43" i="25"/>
  <c r="P45" i="25" s="1"/>
  <c r="P57" i="25"/>
  <c r="P59" i="25" s="1"/>
  <c r="O39" i="8"/>
  <c r="P35" i="8" s="1"/>
  <c r="AB33" i="8" l="1"/>
  <c r="AB41" i="8"/>
  <c r="AC15" i="25" s="1"/>
  <c r="AC18" i="25" s="1"/>
  <c r="AC21" i="25" s="1"/>
  <c r="G42" i="6"/>
  <c r="AC29" i="8"/>
  <c r="G35" i="6"/>
  <c r="G39" i="6" s="1"/>
  <c r="AC21" i="8"/>
  <c r="AC19" i="8"/>
  <c r="U24" i="8"/>
  <c r="V20" i="8"/>
  <c r="V22" i="8" s="1"/>
  <c r="W18" i="8" s="1"/>
  <c r="P37" i="19"/>
  <c r="P45" i="19" s="1"/>
  <c r="P47" i="19" s="1"/>
  <c r="Q32" i="19"/>
  <c r="R36" i="8"/>
  <c r="S33" i="8"/>
  <c r="P26" i="25"/>
  <c r="AE10" i="8"/>
  <c r="AE13" i="8" s="1"/>
  <c r="AF42" i="4"/>
  <c r="AF43" i="4" s="1"/>
  <c r="AF45" i="4" s="1"/>
  <c r="AG42" i="19" s="1"/>
  <c r="AG43" i="19" s="1"/>
  <c r="AA36" i="8"/>
  <c r="AA38" i="8"/>
  <c r="AC30" i="8"/>
  <c r="G49" i="6"/>
  <c r="V21" i="8"/>
  <c r="P28" i="25"/>
  <c r="P29" i="25" s="1"/>
  <c r="Q25" i="25" s="1"/>
  <c r="AF11" i="6"/>
  <c r="AF13" i="6" s="1"/>
  <c r="AG43" i="4"/>
  <c r="AG42" i="4"/>
  <c r="AG45" i="4" s="1"/>
  <c r="AH42" i="19" s="1"/>
  <c r="AH43" i="19" s="1"/>
  <c r="AF10" i="8"/>
  <c r="AF13" i="8" s="1"/>
  <c r="AD28" i="8"/>
  <c r="AD24" i="8"/>
  <c r="AD16" i="8"/>
  <c r="P39" i="8"/>
  <c r="Q35" i="8" s="1"/>
  <c r="P38" i="8"/>
  <c r="AB57" i="25"/>
  <c r="AB59" i="25" s="1"/>
  <c r="AB43" i="25"/>
  <c r="AB45" i="25" s="1"/>
  <c r="AB37" i="25"/>
  <c r="AB38" i="25" s="1"/>
  <c r="AB50" i="25"/>
  <c r="AB52" i="25" s="1"/>
  <c r="AB27" i="25"/>
  <c r="Q26" i="25" l="1"/>
  <c r="AD29" i="8"/>
  <c r="AD30" i="8" s="1"/>
  <c r="AD21" i="8"/>
  <c r="AD19" i="8"/>
  <c r="AE24" i="8"/>
  <c r="AE28" i="8"/>
  <c r="AE16" i="8"/>
  <c r="U29" i="8"/>
  <c r="U30" i="8" s="1"/>
  <c r="V24" i="8"/>
  <c r="W20" i="8"/>
  <c r="W22" i="8" s="1"/>
  <c r="X18" i="8" s="1"/>
  <c r="X22" i="8" s="1"/>
  <c r="Y18" i="8" s="1"/>
  <c r="X20" i="8"/>
  <c r="S36" i="8"/>
  <c r="AF24" i="8"/>
  <c r="AF28" i="8"/>
  <c r="AF16" i="8"/>
  <c r="G45" i="6"/>
  <c r="H24" i="6" s="1"/>
  <c r="G44" i="6"/>
  <c r="G57" i="6" s="1"/>
  <c r="Q37" i="8"/>
  <c r="Q39" i="8" s="1"/>
  <c r="R35" i="8" s="1"/>
  <c r="P41" i="8"/>
  <c r="Q15" i="25" s="1"/>
  <c r="Q18" i="25" s="1"/>
  <c r="Q21" i="25" s="1"/>
  <c r="Q37" i="19"/>
  <c r="Q45" i="19" s="1"/>
  <c r="Q47" i="19" s="1"/>
  <c r="Q38" i="8"/>
  <c r="AC33" i="8"/>
  <c r="AC41" i="8"/>
  <c r="AD15" i="25" s="1"/>
  <c r="AD18" i="25" s="1"/>
  <c r="AD21" i="25" s="1"/>
  <c r="AC43" i="25"/>
  <c r="AC45" i="25" s="1"/>
  <c r="AC50" i="25"/>
  <c r="AC52" i="25" s="1"/>
  <c r="AC37" i="25"/>
  <c r="AC38" i="25" s="1"/>
  <c r="AC27" i="25"/>
  <c r="AC57" i="25"/>
  <c r="AC59" i="25" s="1"/>
  <c r="G56" i="6"/>
  <c r="G58" i="6" s="1"/>
  <c r="G48" i="6"/>
  <c r="G50" i="6" s="1"/>
  <c r="G52" i="6" s="1"/>
  <c r="AB38" i="8"/>
  <c r="AB36" i="8"/>
  <c r="R38" i="8" l="1"/>
  <c r="AD33" i="8"/>
  <c r="AD41" i="8"/>
  <c r="AE15" i="25" s="1"/>
  <c r="AE18" i="25" s="1"/>
  <c r="AE21" i="25" s="1"/>
  <c r="R32" i="19"/>
  <c r="Y20" i="8"/>
  <c r="Z20" i="8" s="1"/>
  <c r="AA20" i="8" s="1"/>
  <c r="AB20" i="8" s="1"/>
  <c r="AC20" i="8" s="1"/>
  <c r="AE21" i="8"/>
  <c r="AE19" i="8"/>
  <c r="U33" i="8"/>
  <c r="H27" i="6"/>
  <c r="H28" i="6"/>
  <c r="H26" i="6" s="1"/>
  <c r="AE30" i="8"/>
  <c r="AC36" i="8"/>
  <c r="AC38" i="8"/>
  <c r="V29" i="8"/>
  <c r="V30" i="8" s="1"/>
  <c r="Q27" i="25"/>
  <c r="Q28" i="25" s="1"/>
  <c r="Q29" i="25" s="1"/>
  <c r="R25" i="25" s="1"/>
  <c r="Q37" i="25"/>
  <c r="Q38" i="25" s="1"/>
  <c r="Q50" i="25"/>
  <c r="Q52" i="25" s="1"/>
  <c r="Q57" i="25"/>
  <c r="Q59" i="25" s="1"/>
  <c r="Q43" i="25"/>
  <c r="Q45" i="25" s="1"/>
  <c r="AD43" i="25"/>
  <c r="AD45" i="25" s="1"/>
  <c r="AD57" i="25"/>
  <c r="AD59" i="25" s="1"/>
  <c r="AD27" i="25"/>
  <c r="AD37" i="25"/>
  <c r="AD38" i="25" s="1"/>
  <c r="AD50" i="25"/>
  <c r="AD52" i="25" s="1"/>
  <c r="AF19" i="8"/>
  <c r="AF21" i="8"/>
  <c r="AE29" i="8"/>
  <c r="R37" i="8"/>
  <c r="R39" i="8" s="1"/>
  <c r="S35" i="8" s="1"/>
  <c r="Q41" i="8"/>
  <c r="R15" i="25" s="1"/>
  <c r="R18" i="25" s="1"/>
  <c r="R21" i="25" s="1"/>
  <c r="AF29" i="8"/>
  <c r="AF30" i="8" s="1"/>
  <c r="AF41" i="8" l="1"/>
  <c r="AG15" i="25" s="1"/>
  <c r="AG18" i="25" s="1"/>
  <c r="AG21" i="25" s="1"/>
  <c r="AF33" i="8"/>
  <c r="S38" i="8"/>
  <c r="S32" i="19"/>
  <c r="R37" i="19"/>
  <c r="R45" i="19" s="1"/>
  <c r="R47" i="19" s="1"/>
  <c r="V33" i="8"/>
  <c r="R26" i="25"/>
  <c r="Y22" i="8"/>
  <c r="Z18" i="8" s="1"/>
  <c r="Z22" i="8" s="1"/>
  <c r="AA18" i="8" s="1"/>
  <c r="AA22" i="8" s="1"/>
  <c r="AB18" i="8" s="1"/>
  <c r="AB22" i="8" s="1"/>
  <c r="AC18" i="8" s="1"/>
  <c r="AC22" i="8" s="1"/>
  <c r="AD18" i="8" s="1"/>
  <c r="AD22" i="8" s="1"/>
  <c r="AE18" i="8" s="1"/>
  <c r="U36" i="8"/>
  <c r="AE33" i="8"/>
  <c r="AE41" i="8"/>
  <c r="AF15" i="25" s="1"/>
  <c r="AF18" i="25" s="1"/>
  <c r="AF21" i="25" s="1"/>
  <c r="H33" i="6"/>
  <c r="H30" i="6"/>
  <c r="AD20" i="8"/>
  <c r="AE20" i="8" s="1"/>
  <c r="AF20" i="8" s="1"/>
  <c r="AE37" i="25"/>
  <c r="AE38" i="25" s="1"/>
  <c r="AE43" i="25"/>
  <c r="AE45" i="25" s="1"/>
  <c r="AE27" i="25"/>
  <c r="AE57" i="25"/>
  <c r="AE59" i="25" s="1"/>
  <c r="AE50" i="25"/>
  <c r="AE52" i="25" s="1"/>
  <c r="AD36" i="8"/>
  <c r="AD38" i="8"/>
  <c r="S37" i="8"/>
  <c r="S39" i="8" s="1"/>
  <c r="R41" i="8"/>
  <c r="S15" i="25" s="1"/>
  <c r="S18" i="25" s="1"/>
  <c r="S21" i="25" s="1"/>
  <c r="R27" i="25"/>
  <c r="R28" i="25" s="1"/>
  <c r="R29" i="25" s="1"/>
  <c r="S25" i="25" s="1"/>
  <c r="R37" i="25"/>
  <c r="R38" i="25" s="1"/>
  <c r="R57" i="25"/>
  <c r="R59" i="25" s="1"/>
  <c r="R43" i="25"/>
  <c r="R45" i="25" s="1"/>
  <c r="R50" i="25"/>
  <c r="R52" i="25" s="1"/>
  <c r="S26" i="25" l="1"/>
  <c r="V36" i="8"/>
  <c r="S57" i="25"/>
  <c r="S59" i="25" s="1"/>
  <c r="S27" i="25"/>
  <c r="S37" i="25"/>
  <c r="S38" i="25" s="1"/>
  <c r="S50" i="25"/>
  <c r="S52" i="25" s="1"/>
  <c r="S43" i="25"/>
  <c r="S45" i="25" s="1"/>
  <c r="AG27" i="25"/>
  <c r="AG37" i="25"/>
  <c r="AG38" i="25" s="1"/>
  <c r="AG50" i="25"/>
  <c r="AG52" i="25" s="1"/>
  <c r="AG57" i="25"/>
  <c r="AG59" i="25" s="1"/>
  <c r="AG43" i="25"/>
  <c r="AG45" i="25" s="1"/>
  <c r="AE22" i="8"/>
  <c r="AF18" i="8" s="1"/>
  <c r="AF22" i="8" s="1"/>
  <c r="T37" i="8"/>
  <c r="S41" i="8"/>
  <c r="T15" i="25" s="1"/>
  <c r="T18" i="25" s="1"/>
  <c r="T21" i="25" s="1"/>
  <c r="AF27" i="25"/>
  <c r="AF37" i="25"/>
  <c r="AF38" i="25" s="1"/>
  <c r="AF50" i="25"/>
  <c r="AF52" i="25" s="1"/>
  <c r="AF43" i="25"/>
  <c r="AF45" i="25" s="1"/>
  <c r="AF57" i="25"/>
  <c r="AF59" i="25" s="1"/>
  <c r="AF36" i="8"/>
  <c r="AF38" i="8"/>
  <c r="T32" i="19"/>
  <c r="S37" i="19"/>
  <c r="S45" i="19" s="1"/>
  <c r="S47" i="19" s="1"/>
  <c r="H36" i="6"/>
  <c r="H37" i="6"/>
  <c r="H35" i="6" s="1"/>
  <c r="AE38" i="8"/>
  <c r="AE36" i="8"/>
  <c r="H48" i="6" l="1"/>
  <c r="H50" i="6" s="1"/>
  <c r="H52" i="6" s="1"/>
  <c r="H56" i="6"/>
  <c r="S28" i="25"/>
  <c r="S29" i="25" s="1"/>
  <c r="T25" i="25" s="1"/>
  <c r="T39" i="8"/>
  <c r="U35" i="8" s="1"/>
  <c r="U37" i="8"/>
  <c r="T57" i="25"/>
  <c r="T59" i="25" s="1"/>
  <c r="T27" i="25"/>
  <c r="T43" i="25"/>
  <c r="T45" i="25" s="1"/>
  <c r="T37" i="25"/>
  <c r="T38" i="25" s="1"/>
  <c r="T50" i="25"/>
  <c r="T52" i="25" s="1"/>
  <c r="H39" i="6"/>
  <c r="H42" i="6"/>
  <c r="H49" i="6"/>
  <c r="U32" i="19"/>
  <c r="T37" i="19"/>
  <c r="T45" i="19" s="1"/>
  <c r="T47" i="19" s="1"/>
  <c r="V32" i="19" l="1"/>
  <c r="U37" i="19"/>
  <c r="U45" i="19" s="1"/>
  <c r="U47" i="19" s="1"/>
  <c r="H45" i="6"/>
  <c r="I24" i="6" s="1"/>
  <c r="H44" i="6"/>
  <c r="H57" i="6" s="1"/>
  <c r="U38" i="8"/>
  <c r="H58" i="6"/>
  <c r="T26" i="25"/>
  <c r="T28" i="25" s="1"/>
  <c r="T29" i="25" s="1"/>
  <c r="U25" i="25" s="1"/>
  <c r="U26" i="25" l="1"/>
  <c r="U28" i="25" s="1"/>
  <c r="U29" i="25" s="1"/>
  <c r="V25" i="25" s="1"/>
  <c r="V37" i="8"/>
  <c r="U41" i="8"/>
  <c r="V15" i="25" s="1"/>
  <c r="V18" i="25" s="1"/>
  <c r="V21" i="25" s="1"/>
  <c r="U39" i="8"/>
  <c r="V35" i="8" s="1"/>
  <c r="I27" i="6"/>
  <c r="I28" i="6"/>
  <c r="V37" i="19"/>
  <c r="V45" i="19" s="1"/>
  <c r="V47" i="19" s="1"/>
  <c r="W32" i="19"/>
  <c r="V26" i="25" l="1"/>
  <c r="I33" i="6"/>
  <c r="V39" i="8"/>
  <c r="W35" i="8" s="1"/>
  <c r="V38" i="8"/>
  <c r="I26" i="6"/>
  <c r="I30" i="6" s="1"/>
  <c r="W37" i="19"/>
  <c r="W45" i="19" s="1"/>
  <c r="W47" i="19" s="1"/>
  <c r="V43" i="25"/>
  <c r="V45" i="25" s="1"/>
  <c r="V57" i="25"/>
  <c r="V59" i="25" s="1"/>
  <c r="V27" i="25"/>
  <c r="V37" i="25"/>
  <c r="V38" i="25" s="1"/>
  <c r="V50" i="25"/>
  <c r="V52" i="25" s="1"/>
  <c r="W37" i="8" l="1"/>
  <c r="Y37" i="8" s="1"/>
  <c r="X37" i="8"/>
  <c r="V41" i="8"/>
  <c r="W15" i="25" s="1"/>
  <c r="V28" i="25"/>
  <c r="V29" i="25" s="1"/>
  <c r="W25" i="25" s="1"/>
  <c r="I36" i="6"/>
  <c r="I49" i="6" l="1"/>
  <c r="I37" i="6"/>
  <c r="W26" i="25"/>
  <c r="W39" i="8"/>
  <c r="X35" i="8" s="1"/>
  <c r="X39" i="8" s="1"/>
  <c r="Y35" i="8" s="1"/>
  <c r="Y39" i="8" s="1"/>
  <c r="Z35" i="8" s="1"/>
  <c r="Z39" i="8" s="1"/>
  <c r="AA35" i="8" s="1"/>
  <c r="Z37" i="8"/>
  <c r="AA37" i="8" s="1"/>
  <c r="W18" i="25"/>
  <c r="W21" i="25" s="1"/>
  <c r="X32" i="19"/>
  <c r="AC37" i="8" l="1"/>
  <c r="AD37" i="8" s="1"/>
  <c r="AE37" i="8" s="1"/>
  <c r="AB37" i="8"/>
  <c r="AA39" i="8"/>
  <c r="AB35" i="8" s="1"/>
  <c r="AB39" i="8" s="1"/>
  <c r="AC35" i="8" s="1"/>
  <c r="X37" i="19"/>
  <c r="X45" i="19" s="1"/>
  <c r="X47" i="19" s="1"/>
  <c r="Y32" i="19"/>
  <c r="W37" i="25"/>
  <c r="W38" i="25" s="1"/>
  <c r="C39" i="25" s="1"/>
  <c r="W50" i="25"/>
  <c r="W52" i="25" s="1"/>
  <c r="C53" i="25" s="1"/>
  <c r="C71" i="2" s="1"/>
  <c r="W57" i="25"/>
  <c r="W59" i="25" s="1"/>
  <c r="C60" i="25" s="1"/>
  <c r="C72" i="2" s="1"/>
  <c r="W27" i="25"/>
  <c r="W28" i="25" s="1"/>
  <c r="W29" i="25" s="1"/>
  <c r="X25" i="25" s="1"/>
  <c r="W43" i="25"/>
  <c r="W45" i="25" s="1"/>
  <c r="C46" i="25" s="1"/>
  <c r="C70" i="2" s="1"/>
  <c r="I39" i="6"/>
  <c r="I42" i="6"/>
  <c r="I35" i="6"/>
  <c r="AF37" i="8" l="1"/>
  <c r="C69" i="2"/>
  <c r="B9" i="16"/>
  <c r="B12" i="16" s="1"/>
  <c r="I56" i="6"/>
  <c r="I48" i="6"/>
  <c r="I50" i="6" s="1"/>
  <c r="I52" i="6" s="1"/>
  <c r="Y37" i="19"/>
  <c r="Y45" i="19" s="1"/>
  <c r="Y47" i="19" s="1"/>
  <c r="Z32" i="19"/>
  <c r="I44" i="6"/>
  <c r="I57" i="6" s="1"/>
  <c r="I45" i="6"/>
  <c r="J24" i="6" s="1"/>
  <c r="AC39" i="8"/>
  <c r="AD35" i="8" s="1"/>
  <c r="AD39" i="8" s="1"/>
  <c r="AE35" i="8" s="1"/>
  <c r="AE39" i="8" s="1"/>
  <c r="AF35" i="8" s="1"/>
  <c r="AF39" i="8" s="1"/>
  <c r="X26" i="25"/>
  <c r="X28" i="25" s="1"/>
  <c r="X29" i="25" s="1"/>
  <c r="Y25" i="25" s="1"/>
  <c r="Y26" i="25" l="1"/>
  <c r="Y28" i="25" s="1"/>
  <c r="Y29" i="25" s="1"/>
  <c r="Z25" i="25" s="1"/>
  <c r="J27" i="6"/>
  <c r="Z37" i="19"/>
  <c r="Z45" i="19" s="1"/>
  <c r="Z47" i="19" s="1"/>
  <c r="AA32" i="19"/>
  <c r="I58" i="6"/>
  <c r="Z26" i="25" l="1"/>
  <c r="Z28" i="25" s="1"/>
  <c r="Z29" i="25" s="1"/>
  <c r="AA25" i="25" s="1"/>
  <c r="AB32" i="19"/>
  <c r="AA37" i="19"/>
  <c r="AA45" i="19" s="1"/>
  <c r="AA47" i="19" s="1"/>
  <c r="J28" i="6"/>
  <c r="AA26" i="25" l="1"/>
  <c r="AA28" i="25" s="1"/>
  <c r="AA29" i="25" s="1"/>
  <c r="AB25" i="25" s="1"/>
  <c r="AC32" i="19"/>
  <c r="AB37" i="19"/>
  <c r="AB45" i="19" s="1"/>
  <c r="AB47" i="19" s="1"/>
  <c r="J33" i="6"/>
  <c r="J26" i="6"/>
  <c r="J30" i="6" s="1"/>
  <c r="AB26" i="25" l="1"/>
  <c r="AB28" i="25" s="1"/>
  <c r="AB29" i="25" s="1"/>
  <c r="AC25" i="25" s="1"/>
  <c r="AD32" i="19"/>
  <c r="AC37" i="19"/>
  <c r="AC45" i="19" s="1"/>
  <c r="AC47" i="19" s="1"/>
  <c r="J36" i="6"/>
  <c r="AC26" i="25" l="1"/>
  <c r="AC28" i="25" s="1"/>
  <c r="AC29" i="25"/>
  <c r="AD25" i="25" s="1"/>
  <c r="AD37" i="19"/>
  <c r="AD45" i="19" s="1"/>
  <c r="AD47" i="19" s="1"/>
  <c r="AE32" i="19"/>
  <c r="J49" i="6"/>
  <c r="J37" i="6"/>
  <c r="J42" i="6" l="1"/>
  <c r="J39" i="6"/>
  <c r="J35" i="6"/>
  <c r="AD26" i="25"/>
  <c r="AD28" i="25" s="1"/>
  <c r="AD29" i="25" s="1"/>
  <c r="AE25" i="25" s="1"/>
  <c r="AE37" i="19"/>
  <c r="AE45" i="19" s="1"/>
  <c r="AE47" i="19" s="1"/>
  <c r="AF32" i="19"/>
  <c r="AE29" i="25" l="1"/>
  <c r="AF25" i="25" s="1"/>
  <c r="AE26" i="25"/>
  <c r="AE28" i="25" s="1"/>
  <c r="J56" i="6"/>
  <c r="J48" i="6"/>
  <c r="J50" i="6" s="1"/>
  <c r="J52" i="6" s="1"/>
  <c r="AG32" i="19"/>
  <c r="AF37" i="19"/>
  <c r="AF45" i="19" s="1"/>
  <c r="AF47" i="19" s="1"/>
  <c r="J45" i="6"/>
  <c r="K24" i="6" s="1"/>
  <c r="J44" i="6"/>
  <c r="J57" i="6" s="1"/>
  <c r="AF26" i="25" l="1"/>
  <c r="AF28" i="25" s="1"/>
  <c r="AF29" i="25"/>
  <c r="AG25" i="25" s="1"/>
  <c r="AG37" i="19"/>
  <c r="AG45" i="19" s="1"/>
  <c r="AG47" i="19" s="1"/>
  <c r="AH32" i="19"/>
  <c r="AH37" i="19" s="1"/>
  <c r="AH45" i="19" s="1"/>
  <c r="AH47" i="19" s="1"/>
  <c r="J58" i="6"/>
  <c r="K28" i="6"/>
  <c r="K26" i="6" s="1"/>
  <c r="K27" i="6"/>
  <c r="AG26" i="25" l="1"/>
  <c r="AG28" i="25" s="1"/>
  <c r="AG29" i="25" s="1"/>
  <c r="K33" i="6"/>
  <c r="K30" i="6"/>
  <c r="K37" i="6" l="1"/>
  <c r="K35" i="6"/>
  <c r="K36" i="6"/>
  <c r="K48" i="6" l="1"/>
  <c r="K50" i="6" s="1"/>
  <c r="K52" i="6" s="1"/>
  <c r="K56" i="6"/>
  <c r="K39" i="6"/>
  <c r="K42" i="6"/>
  <c r="K49" i="6"/>
  <c r="K45" i="6" l="1"/>
  <c r="L24" i="6" s="1"/>
  <c r="K44" i="6"/>
  <c r="K57" i="6" s="1"/>
  <c r="K58" i="6" s="1"/>
  <c r="L27" i="6" l="1"/>
  <c r="L28" i="6"/>
  <c r="L30" i="6" l="1"/>
  <c r="L33" i="6"/>
  <c r="L26" i="6"/>
  <c r="L36" i="6" l="1"/>
  <c r="L37" i="6" s="1"/>
  <c r="L52" i="6"/>
  <c r="L42" i="6" l="1"/>
  <c r="L39" i="6"/>
  <c r="L35" i="6"/>
  <c r="L49" i="6"/>
  <c r="L44" i="6" l="1"/>
  <c r="L57" i="6" s="1"/>
  <c r="L45" i="6"/>
  <c r="M24" i="6" s="1"/>
  <c r="L56" i="6"/>
  <c r="L48" i="6"/>
  <c r="L50" i="6" s="1"/>
  <c r="M28" i="6" l="1"/>
  <c r="M26" i="6" s="1"/>
  <c r="M27" i="6"/>
  <c r="L58" i="6"/>
  <c r="M30" i="6" l="1"/>
  <c r="M33" i="6"/>
  <c r="M36" i="6" l="1"/>
  <c r="M37" i="6"/>
  <c r="M52" i="6"/>
  <c r="M39" i="6" l="1"/>
  <c r="M42" i="6"/>
  <c r="M49" i="6"/>
  <c r="M35" i="6"/>
  <c r="M44" i="6" l="1"/>
  <c r="M57" i="6" s="1"/>
  <c r="M45" i="6"/>
  <c r="N24" i="6" s="1"/>
  <c r="M48" i="6"/>
  <c r="M50" i="6" s="1"/>
  <c r="M56" i="6"/>
  <c r="M58" i="6" s="1"/>
  <c r="N27" i="6" l="1"/>
  <c r="N28" i="6" l="1"/>
  <c r="N30" i="6" l="1"/>
  <c r="N33" i="6"/>
  <c r="N26" i="6"/>
  <c r="N52" i="6" l="1"/>
  <c r="N36" i="6"/>
  <c r="N49" i="6" l="1"/>
  <c r="N37" i="6"/>
  <c r="N42" i="6" l="1"/>
  <c r="N39" i="6"/>
  <c r="N35" i="6"/>
  <c r="N44" i="6" l="1"/>
  <c r="N57" i="6" s="1"/>
  <c r="N45" i="6"/>
  <c r="O24" i="6" s="1"/>
  <c r="N48" i="6"/>
  <c r="N50" i="6" s="1"/>
  <c r="N56" i="6"/>
  <c r="N58" i="6" s="1"/>
  <c r="O26" i="6" l="1"/>
  <c r="O27" i="6"/>
  <c r="O28" i="6"/>
  <c r="O30" i="6" l="1"/>
  <c r="O33" i="6"/>
  <c r="O36" i="6" l="1"/>
  <c r="O37" i="6" s="1"/>
  <c r="O52" i="6"/>
  <c r="O39" i="6" l="1"/>
  <c r="O42" i="6"/>
  <c r="O35" i="6"/>
  <c r="O49" i="6"/>
  <c r="O56" i="6" l="1"/>
  <c r="O48" i="6"/>
  <c r="O50" i="6" s="1"/>
  <c r="O44" i="6"/>
  <c r="O57" i="6" s="1"/>
  <c r="O45" i="6"/>
  <c r="P24" i="6" s="1"/>
  <c r="O58" i="6" l="1"/>
  <c r="P27" i="6"/>
  <c r="P28" i="6"/>
  <c r="P30" i="6" l="1"/>
  <c r="P33" i="6"/>
  <c r="P26" i="6"/>
  <c r="P36" i="6" l="1"/>
  <c r="P52" i="6"/>
  <c r="P49" i="6" l="1"/>
  <c r="P37" i="6"/>
  <c r="P39" i="6" l="1"/>
  <c r="P42" i="6"/>
  <c r="P35" i="6"/>
  <c r="P48" i="6" l="1"/>
  <c r="P50" i="6" s="1"/>
  <c r="P56" i="6"/>
  <c r="P44" i="6"/>
  <c r="P57" i="6" s="1"/>
  <c r="P45" i="6"/>
  <c r="Q24" i="6" s="1"/>
  <c r="Q27" i="6" l="1"/>
  <c r="P58" i="6"/>
  <c r="Q28" i="6" l="1"/>
  <c r="Q30" i="6" l="1"/>
  <c r="Q33" i="6"/>
  <c r="Q26" i="6"/>
  <c r="Q36" i="6" l="1"/>
  <c r="Q37" i="6"/>
  <c r="Q52" i="6"/>
  <c r="Q39" i="6" l="1"/>
  <c r="Q42" i="6"/>
  <c r="Q49" i="6"/>
  <c r="Q35" i="6"/>
  <c r="Q44" i="6" l="1"/>
  <c r="Q57" i="6" s="1"/>
  <c r="Q45" i="6"/>
  <c r="R24" i="6" s="1"/>
  <c r="Q48" i="6"/>
  <c r="Q50" i="6" s="1"/>
  <c r="Q56" i="6"/>
  <c r="R27" i="6" l="1"/>
  <c r="Q58" i="6"/>
  <c r="R28" i="6" l="1"/>
  <c r="R30" i="6" l="1"/>
  <c r="R33" i="6"/>
  <c r="B20" i="6"/>
  <c r="R26" i="6"/>
  <c r="R36" i="6" l="1"/>
  <c r="R37" i="6" s="1"/>
  <c r="R52" i="6"/>
  <c r="R42" i="6" l="1"/>
  <c r="R39" i="6"/>
  <c r="R35" i="6"/>
  <c r="R49" i="6"/>
  <c r="R45" i="6" l="1"/>
  <c r="S24" i="6" s="1"/>
  <c r="R44" i="6"/>
  <c r="R57" i="6" s="1"/>
  <c r="R56" i="6"/>
  <c r="R58" i="6" s="1"/>
  <c r="R48" i="6"/>
  <c r="R50" i="6" s="1"/>
  <c r="S27" i="6" l="1"/>
  <c r="S28" i="6" l="1"/>
  <c r="S33" i="6" l="1"/>
  <c r="S30" i="6"/>
  <c r="S26" i="6"/>
  <c r="S36" i="6" l="1"/>
  <c r="S52" i="6"/>
  <c r="S49" i="6" l="1"/>
  <c r="S37" i="6"/>
  <c r="S42" i="6" l="1"/>
  <c r="S39" i="6"/>
  <c r="S35" i="6"/>
  <c r="S48" i="6" l="1"/>
  <c r="S50" i="6" s="1"/>
  <c r="S56" i="6"/>
  <c r="S58" i="6" s="1"/>
  <c r="S45" i="6"/>
  <c r="T24" i="6" s="1"/>
  <c r="S44" i="6"/>
  <c r="S57" i="6" s="1"/>
  <c r="T27" i="6" l="1"/>
  <c r="T28" i="6"/>
  <c r="T26" i="6" s="1"/>
  <c r="T33" i="6" l="1"/>
  <c r="T30" i="6"/>
  <c r="T36" i="6" l="1"/>
  <c r="T52" i="6"/>
  <c r="T49" i="6" l="1"/>
  <c r="T37" i="6"/>
  <c r="T39" i="6" l="1"/>
  <c r="T42" i="6"/>
  <c r="T35" i="6"/>
  <c r="T56" i="6" l="1"/>
  <c r="T48" i="6"/>
  <c r="T50" i="6" s="1"/>
  <c r="T45" i="6"/>
  <c r="U24" i="6" s="1"/>
  <c r="T44" i="6"/>
  <c r="T57" i="6" s="1"/>
  <c r="U28" i="6" l="1"/>
  <c r="U27" i="6"/>
  <c r="T58" i="6"/>
  <c r="U30" i="6" l="1"/>
  <c r="U33" i="6"/>
  <c r="U26" i="6"/>
  <c r="U36" i="6" l="1"/>
  <c r="U37" i="6" s="1"/>
  <c r="U52" i="6"/>
  <c r="U39" i="6" l="1"/>
  <c r="U42" i="6"/>
  <c r="U35" i="6"/>
  <c r="U49" i="6"/>
  <c r="U44" i="6" l="1"/>
  <c r="U57" i="6" s="1"/>
  <c r="U45" i="6"/>
  <c r="V24" i="6" s="1"/>
  <c r="U56" i="6"/>
  <c r="U48" i="6"/>
  <c r="U50" i="6" s="1"/>
  <c r="U58" i="6" l="1"/>
  <c r="V27" i="6"/>
  <c r="V28" i="6" l="1"/>
  <c r="V33" i="6" l="1"/>
  <c r="V30" i="6"/>
  <c r="V26" i="6"/>
  <c r="V36" i="6" l="1"/>
  <c r="V52" i="6"/>
  <c r="V49" i="6" l="1"/>
  <c r="V37" i="6"/>
  <c r="V39" i="6" l="1"/>
  <c r="V42" i="6"/>
  <c r="V35" i="6"/>
  <c r="V44" i="6" l="1"/>
  <c r="V57" i="6" s="1"/>
  <c r="V45" i="6"/>
  <c r="W24" i="6" s="1"/>
  <c r="V48" i="6"/>
  <c r="V50" i="6" s="1"/>
  <c r="V56" i="6"/>
  <c r="W28" i="6" l="1"/>
  <c r="W27" i="6"/>
  <c r="V58" i="6"/>
  <c r="W30" i="6" l="1"/>
  <c r="W33" i="6"/>
  <c r="W26" i="6"/>
  <c r="W36" i="6" l="1"/>
  <c r="W49" i="6" l="1"/>
  <c r="W37" i="6"/>
  <c r="W42" i="6" l="1"/>
  <c r="W35" i="6"/>
  <c r="W56" i="6" l="1"/>
  <c r="W48" i="6"/>
  <c r="W50" i="6" s="1"/>
  <c r="W52" i="6" s="1"/>
  <c r="W44" i="6"/>
  <c r="W57" i="6" s="1"/>
  <c r="W45" i="6"/>
  <c r="X24" i="6" s="1"/>
  <c r="W39" i="6"/>
  <c r="X28" i="6" l="1"/>
  <c r="X27" i="6"/>
  <c r="W58" i="6"/>
  <c r="X30" i="6" l="1"/>
  <c r="X33" i="6"/>
  <c r="X26" i="6"/>
  <c r="X36" i="6" l="1"/>
  <c r="X49" i="6" l="1"/>
  <c r="X37" i="6"/>
  <c r="X42" i="6" l="1"/>
  <c r="X35" i="6"/>
  <c r="X48" i="6" l="1"/>
  <c r="X50" i="6" s="1"/>
  <c r="X52" i="6" s="1"/>
  <c r="X56" i="6"/>
  <c r="X58" i="6" s="1"/>
  <c r="X44" i="6"/>
  <c r="X57" i="6" s="1"/>
  <c r="X45" i="6"/>
  <c r="Y24" i="6" s="1"/>
  <c r="X39" i="6"/>
  <c r="Y27" i="6" l="1"/>
  <c r="Y28" i="6" l="1"/>
  <c r="Y30" i="6" l="1"/>
  <c r="Y33" i="6"/>
  <c r="Y26" i="6"/>
  <c r="Y36" i="6" l="1"/>
  <c r="Y37" i="6" s="1"/>
  <c r="Y39" i="6" l="1"/>
  <c r="Y42" i="6"/>
  <c r="Y35" i="6"/>
  <c r="Y49" i="6"/>
  <c r="Y48" i="6" l="1"/>
  <c r="Y50" i="6" s="1"/>
  <c r="Y52" i="6" s="1"/>
  <c r="Y56" i="6"/>
  <c r="Y58" i="6" s="1"/>
  <c r="Y44" i="6"/>
  <c r="Y57" i="6" s="1"/>
  <c r="Y45" i="6"/>
  <c r="Z24" i="6" s="1"/>
  <c r="Z27" i="6" l="1"/>
  <c r="Z28" i="6" l="1"/>
  <c r="Z30" i="6" l="1"/>
  <c r="Z33" i="6"/>
  <c r="Z26" i="6"/>
  <c r="Z36" i="6" l="1"/>
  <c r="Z49" i="6" l="1"/>
  <c r="Z37" i="6"/>
  <c r="Z39" i="6" l="1"/>
  <c r="Z42" i="6"/>
  <c r="Z35" i="6"/>
  <c r="Z45" i="6" l="1"/>
  <c r="AA24" i="6" s="1"/>
  <c r="Z44" i="6"/>
  <c r="Z57" i="6" s="1"/>
  <c r="Z48" i="6"/>
  <c r="Z50" i="6" s="1"/>
  <c r="Z52" i="6" s="1"/>
  <c r="Z56" i="6"/>
  <c r="Z58" i="6" l="1"/>
  <c r="AA27" i="6"/>
  <c r="AA28" i="6" l="1"/>
  <c r="AA33" i="6" l="1"/>
  <c r="AA30" i="6"/>
  <c r="AA26" i="6"/>
  <c r="AA36" i="6" l="1"/>
  <c r="AA49" i="6" l="1"/>
  <c r="AA37" i="6"/>
  <c r="AA39" i="6" l="1"/>
  <c r="AA42" i="6"/>
  <c r="AA35" i="6"/>
  <c r="AA45" i="6" l="1"/>
  <c r="AB24" i="6" s="1"/>
  <c r="AA44" i="6"/>
  <c r="AA57" i="6" s="1"/>
  <c r="AA48" i="6"/>
  <c r="AA50" i="6" s="1"/>
  <c r="AA52" i="6" s="1"/>
  <c r="AA56" i="6"/>
  <c r="AA58" i="6" l="1"/>
  <c r="AB27" i="6"/>
  <c r="AB28" i="6" l="1"/>
  <c r="AB33" i="6" l="1"/>
  <c r="AB26" i="6"/>
  <c r="AB30" i="6" s="1"/>
  <c r="AB36" i="6" l="1"/>
  <c r="AB37" i="6" s="1"/>
  <c r="AB42" i="6" l="1"/>
  <c r="AB35" i="6"/>
  <c r="AB49" i="6"/>
  <c r="AB56" i="6" l="1"/>
  <c r="AB58" i="6" s="1"/>
  <c r="AB48" i="6"/>
  <c r="AB50" i="6" s="1"/>
  <c r="AB52" i="6" s="1"/>
  <c r="AB45" i="6"/>
  <c r="AC24" i="6" s="1"/>
  <c r="AB44" i="6"/>
  <c r="AB57" i="6" s="1"/>
  <c r="AB39" i="6"/>
  <c r="AC27" i="6" l="1"/>
  <c r="AC28" i="6"/>
  <c r="AC33" i="6" l="1"/>
  <c r="AC26" i="6"/>
  <c r="AC30" i="6" s="1"/>
  <c r="AC36" i="6" l="1"/>
  <c r="AC37" i="6" s="1"/>
  <c r="AC42" i="6" l="1"/>
  <c r="AC35" i="6"/>
  <c r="AC49" i="6"/>
  <c r="AC45" i="6" l="1"/>
  <c r="AD24" i="6" s="1"/>
  <c r="AC44" i="6"/>
  <c r="AC57" i="6" s="1"/>
  <c r="AC56" i="6"/>
  <c r="AC58" i="6" s="1"/>
  <c r="AC48" i="6"/>
  <c r="AC50" i="6" s="1"/>
  <c r="AC52" i="6" s="1"/>
  <c r="AC39" i="6"/>
  <c r="AD28" i="6" l="1"/>
  <c r="AD27" i="6"/>
  <c r="AD33" i="6" l="1"/>
  <c r="AD26" i="6"/>
  <c r="AD30" i="6" s="1"/>
  <c r="AD36" i="6" l="1"/>
  <c r="AD49" i="6" l="1"/>
  <c r="AD37" i="6"/>
  <c r="AD42" i="6" l="1"/>
  <c r="AD35" i="6"/>
  <c r="AD56" i="6" l="1"/>
  <c r="AD58" i="6" s="1"/>
  <c r="AD48" i="6"/>
  <c r="AD50" i="6" s="1"/>
  <c r="AD52" i="6" s="1"/>
  <c r="AD44" i="6"/>
  <c r="AD57" i="6" s="1"/>
  <c r="AD45" i="6"/>
  <c r="AE24" i="6" s="1"/>
  <c r="AD39" i="6"/>
  <c r="AE27" i="6" l="1"/>
  <c r="AE28" i="6" s="1"/>
  <c r="AE30" i="6" l="1"/>
  <c r="AE33" i="6"/>
  <c r="AE26" i="6"/>
  <c r="AE36" i="6" l="1"/>
  <c r="AE37" i="6" s="1"/>
  <c r="AE39" i="6" l="1"/>
  <c r="AE42" i="6"/>
  <c r="AE35" i="6"/>
  <c r="AE49" i="6"/>
  <c r="AE44" i="6" l="1"/>
  <c r="AE57" i="6" s="1"/>
  <c r="AE45" i="6"/>
  <c r="AF24" i="6" s="1"/>
  <c r="AE56" i="6"/>
  <c r="AE48" i="6"/>
  <c r="AE50" i="6" s="1"/>
  <c r="AE52" i="6" s="1"/>
  <c r="AF27" i="6" l="1"/>
  <c r="AE58" i="6"/>
  <c r="AF28" i="6" l="1"/>
  <c r="AF33" i="6" l="1"/>
  <c r="AF30" i="6"/>
  <c r="AF26" i="6"/>
  <c r="AF37" i="6" l="1"/>
  <c r="AF36" i="6"/>
  <c r="AF39" i="6" l="1"/>
  <c r="AF42" i="6"/>
  <c r="AF49" i="6"/>
  <c r="AF35" i="6"/>
  <c r="AF44" i="6" l="1"/>
  <c r="AF57" i="6" s="1"/>
  <c r="AF45" i="6"/>
  <c r="AF48" i="6"/>
  <c r="AF50" i="6" s="1"/>
  <c r="AF52" i="6" s="1"/>
  <c r="AF56" i="6"/>
  <c r="B77" i="6"/>
  <c r="E66" i="6" s="1"/>
  <c r="G35" i="2" s="1"/>
  <c r="AF58" i="6" l="1"/>
  <c r="E69" i="6"/>
  <c r="E68" i="6"/>
  <c r="D65" i="2" l="1"/>
  <c r="C9" i="16"/>
  <c r="C12" i="16" s="1"/>
  <c r="C65" i="2"/>
  <c r="D9" i="16"/>
  <c r="D12" i="16" s="1"/>
</calcChain>
</file>

<file path=xl/comments1.xml><?xml version="1.0" encoding="utf-8"?>
<comments xmlns="http://schemas.openxmlformats.org/spreadsheetml/2006/main">
  <authors>
    <author>clau</author>
    <author>Ben Rogers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N1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From Lincoln Model</t>
        </r>
      </text>
    </comment>
    <comment ref="P1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From Lincoln Model
</t>
        </r>
      </text>
    </comment>
    <comment ref="C2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N55" authorId="1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Per Patrick Malloy in Tax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</commentList>
</comments>
</file>

<file path=xl/sharedStrings.xml><?xml version="1.0" encoding="utf-8"?>
<sst xmlns="http://schemas.openxmlformats.org/spreadsheetml/2006/main" count="579" uniqueCount="451">
  <si>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</si>
  <si>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</si>
  <si>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</si>
  <si>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</si>
  <si>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</si>
  <si>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</si>
  <si>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</si>
  <si>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</si>
  <si>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</si>
  <si>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</si>
  <si>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</si>
  <si>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</si>
  <si>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</si>
  <si>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</si>
  <si>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</si>
  <si>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</si>
  <si>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</si>
  <si>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</si>
  <si>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</si>
  <si>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</si>
  <si>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</si>
  <si>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</si>
  <si>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</si>
  <si>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</si>
  <si>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</si>
  <si>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</si>
  <si>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</si>
  <si>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</si>
  <si>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</si>
  <si>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</si>
  <si>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</si>
  <si>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</si>
  <si>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</si>
  <si>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</si>
  <si>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</si>
  <si>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</si>
  <si>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</si>
  <si>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</si>
  <si>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O&amp;M Fees</t>
  </si>
  <si>
    <t>Custom</t>
  </si>
  <si>
    <t>('000 $)</t>
  </si>
  <si>
    <t>Revenue</t>
  </si>
  <si>
    <t>Total Revenue</t>
  </si>
  <si>
    <t>Expense</t>
  </si>
  <si>
    <t xml:space="preserve">Fuel 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</si>
  <si>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</si>
  <si>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</si>
  <si>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</si>
  <si>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</si>
  <si>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</si>
  <si>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</si>
  <si>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</si>
  <si>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</si>
  <si>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</si>
  <si>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</si>
  <si>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</si>
  <si>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</si>
  <si>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</si>
  <si>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</si>
  <si>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</si>
  <si>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</si>
  <si>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</si>
  <si>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</si>
  <si>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</si>
  <si>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</si>
  <si>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</si>
  <si>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</si>
  <si>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</si>
  <si>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</si>
  <si>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</si>
  <si>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</si>
  <si>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</si>
  <si>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</si>
  <si>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</si>
  <si>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</si>
  <si>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</si>
  <si>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</si>
  <si>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</si>
  <si>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</si>
  <si>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</si>
  <si>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</si>
  <si>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</si>
  <si>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</si>
  <si>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</si>
  <si>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</si>
  <si>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</si>
  <si>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</si>
  <si>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</si>
  <si>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</si>
  <si>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</si>
  <si>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</si>
  <si>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</si>
  <si>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</si>
  <si>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</si>
  <si>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</si>
  <si>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</si>
  <si>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</si>
  <si>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</si>
  <si>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</si>
  <si>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</si>
  <si>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</si>
  <si>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</si>
  <si>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</si>
  <si>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 xml:space="preserve">  Financing Fee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</si>
  <si>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</si>
  <si>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</si>
  <si>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</si>
  <si>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</si>
  <si>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</si>
  <si>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</si>
  <si>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</si>
  <si>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</si>
  <si>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</si>
  <si>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</si>
  <si>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Black Start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</si>
  <si>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</si>
  <si>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</si>
  <si>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</si>
  <si>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</si>
  <si>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</si>
  <si>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</si>
  <si>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Capacity Revenue</t>
  </si>
  <si>
    <t>Energy Revenue</t>
  </si>
  <si>
    <t>Ancillary Services</t>
  </si>
  <si>
    <t>Market Price Scenario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</si>
  <si>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</si>
  <si>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</si>
  <si>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</si>
  <si>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</si>
  <si>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</si>
  <si>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</si>
  <si>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</si>
  <si>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</si>
  <si>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</si>
  <si>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</si>
  <si>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</si>
  <si>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</si>
  <si>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</si>
  <si>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</si>
  <si>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</si>
  <si>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</si>
  <si>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</si>
  <si>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</si>
  <si>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</si>
  <si>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</si>
  <si>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</si>
  <si>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</si>
  <si>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</si>
  <si>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</si>
  <si>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</si>
  <si>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</si>
  <si>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</si>
  <si>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</si>
  <si>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</si>
  <si>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</si>
  <si>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</si>
  <si>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</si>
  <si>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</si>
  <si>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</si>
  <si>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</si>
  <si>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</si>
  <si>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</si>
  <si>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</si>
  <si>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</si>
  <si>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</si>
  <si>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</si>
  <si>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</si>
  <si>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</si>
  <si>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EE&amp;CC Project Management</t>
  </si>
  <si>
    <t xml:space="preserve">  Environmental Permitting</t>
  </si>
  <si>
    <t xml:space="preserve">  Insurance During Construction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</si>
  <si>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</si>
  <si>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</si>
  <si>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</si>
  <si>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</si>
  <si>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</si>
  <si>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Mobilization Expenses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</si>
  <si>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</si>
  <si>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</si>
  <si>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</si>
  <si>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</si>
  <si>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</si>
  <si>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</si>
  <si>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</si>
  <si>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</si>
  <si>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</si>
  <si>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</si>
  <si>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</si>
  <si>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</si>
  <si>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</si>
  <si>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</si>
  <si>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</si>
  <si>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</si>
  <si>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</si>
  <si>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</si>
  <si>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</si>
  <si>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</si>
  <si>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</si>
  <si>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</si>
  <si>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</si>
  <si>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</si>
  <si>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</si>
  <si>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</si>
  <si>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</si>
  <si>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</si>
  <si>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</si>
  <si>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</si>
  <si>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</si>
  <si>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</si>
  <si>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</si>
  <si>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</si>
  <si>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</si>
  <si>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</si>
  <si>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</si>
  <si>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</si>
  <si>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</si>
  <si>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</si>
  <si>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</si>
  <si>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</si>
  <si>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</si>
  <si>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</si>
  <si>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</si>
  <si>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</si>
  <si>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</si>
  <si>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</si>
  <si>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</si>
  <si>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</si>
  <si>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</si>
  <si>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</si>
  <si>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</si>
  <si>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</si>
  <si>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</si>
  <si>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</si>
  <si>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</si>
  <si>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</si>
  <si>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</si>
  <si>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</si>
  <si>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</si>
  <si>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</si>
  <si>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</si>
  <si>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</si>
  <si>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</si>
  <si>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</si>
  <si>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</si>
  <si>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</si>
  <si>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</si>
  <si>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</si>
  <si>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</si>
  <si>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</si>
  <si>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</si>
  <si>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</si>
  <si>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</si>
  <si>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</si>
  <si>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Variable Operating Expenses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</si>
  <si>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</si>
  <si>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</si>
  <si>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</si>
  <si>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</si>
  <si>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</si>
  <si>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</si>
  <si>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</si>
  <si>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Residual Value (at year 30)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</si>
  <si>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</si>
  <si>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</si>
  <si>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</si>
  <si>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</si>
  <si>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</si>
  <si>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</si>
  <si>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</si>
  <si>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</si>
  <si>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</si>
  <si>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</si>
  <si>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</si>
  <si>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</si>
  <si>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</si>
  <si>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</si>
  <si>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</si>
  <si>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</si>
  <si>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</si>
  <si>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</si>
  <si>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</si>
  <si>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</si>
  <si>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</si>
  <si>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</si>
  <si>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</si>
  <si>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</si>
  <si>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</si>
  <si>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</si>
  <si>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</si>
  <si>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</si>
  <si>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</si>
  <si>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</si>
  <si>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</si>
  <si>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</si>
  <si>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</si>
  <si>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</si>
  <si>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</si>
  <si>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</si>
  <si>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</si>
  <si>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</si>
  <si>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</si>
  <si>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</si>
  <si>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</si>
  <si>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</si>
  <si>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</si>
  <si>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</si>
  <si>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</si>
  <si>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</si>
  <si>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</si>
  <si>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</si>
  <si>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</si>
  <si>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</si>
  <si>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</si>
  <si>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</si>
  <si>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</si>
  <si>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</si>
  <si>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</si>
  <si>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</si>
  <si>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</si>
  <si>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</si>
  <si>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</si>
  <si>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</si>
  <si>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</si>
  <si>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</si>
  <si>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</si>
  <si>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</si>
  <si>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</si>
  <si>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</si>
  <si>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</si>
  <si>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</si>
  <si>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</si>
  <si>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</si>
  <si>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</si>
  <si>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</si>
  <si>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</si>
  <si>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</si>
  <si>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</si>
  <si>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</si>
  <si>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</si>
  <si>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</si>
  <si>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</si>
  <si>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</si>
  <si>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</si>
  <si>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</si>
  <si>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</si>
  <si>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</si>
  <si>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</si>
  <si>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</si>
  <si>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</si>
  <si>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</si>
  <si>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</si>
  <si>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</si>
  <si>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</si>
  <si>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</si>
  <si>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</si>
  <si>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</si>
  <si>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</si>
  <si>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</si>
  <si>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</si>
  <si>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</si>
  <si>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</si>
  <si>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</si>
  <si>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</si>
  <si>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</si>
  <si>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</si>
  <si>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</si>
  <si>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</si>
  <si>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</si>
  <si>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</si>
  <si>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</si>
  <si>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</si>
  <si>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</si>
  <si>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</si>
  <si>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</si>
  <si>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</si>
  <si>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</si>
  <si>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</si>
  <si>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</si>
  <si>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</si>
  <si>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</si>
  <si>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</si>
  <si>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</si>
  <si>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30 Yrs After-Tax Cashflow with Zero Residual Value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</si>
  <si>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</si>
  <si>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</si>
  <si>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</si>
  <si>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</si>
  <si>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</si>
  <si>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</si>
  <si>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</si>
  <si>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</si>
  <si>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</si>
  <si>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</si>
  <si>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</si>
  <si>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</si>
  <si>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</si>
  <si>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</si>
  <si>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</si>
  <si>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</si>
  <si>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</si>
  <si>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</si>
  <si>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</si>
  <si>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</si>
  <si>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</si>
  <si>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</si>
  <si>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</si>
  <si>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</si>
  <si>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</si>
  <si>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</si>
  <si>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</si>
  <si>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</si>
  <si>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</si>
  <si>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</si>
  <si>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</si>
  <si>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</si>
  <si>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</si>
  <si>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</si>
  <si>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</si>
  <si>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</si>
  <si>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</si>
  <si>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</si>
  <si>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</si>
  <si>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</si>
  <si>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</si>
  <si>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</si>
  <si>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</si>
  <si>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</si>
  <si>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</si>
  <si>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</si>
  <si>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</si>
  <si>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</si>
  <si>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</si>
  <si>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</si>
  <si>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</si>
  <si>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</si>
  <si>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>PROJECT NAME: Calpine</t>
  </si>
  <si>
    <t xml:space="preserve">Total Price To </t>
  </si>
  <si>
    <t>Transco Zone 6</t>
  </si>
  <si>
    <t>Prices</t>
  </si>
  <si>
    <t>Index (Transco Zone 6)</t>
  </si>
  <si>
    <t>Months</t>
  </si>
  <si>
    <t>Rate</t>
  </si>
  <si>
    <t>Draw Schedule</t>
  </si>
  <si>
    <t>Total Project Cost (MM)</t>
  </si>
  <si>
    <t>Turbines Cost (MM)</t>
  </si>
  <si>
    <t>Total IDC for Project less Turbines</t>
  </si>
  <si>
    <t>SUM IDC Costs</t>
  </si>
  <si>
    <t>Net Generation (MWh)</t>
  </si>
  <si>
    <t>Esc.</t>
  </si>
  <si>
    <t>NJ.</t>
  </si>
  <si>
    <t>Unlevered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</si>
</sst>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2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u/>
      <sz val="10"/>
      <name val="Arial"/>
      <family val="2"/>
    </font>
    <font>
      <b/>
      <sz val="10"/>
      <color indexed="12"/>
      <name val="Arial"/>
      <family val="2"/>
    </font>
    <font>
      <b/>
      <sz val="12"/>
      <color indexed="12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1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562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38" fontId="3" fillId="0" borderId="0" xfId="0" applyNumberFormat="1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10" fontId="22" fillId="0" borderId="0" xfId="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9" fontId="22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0" fontId="3" fillId="0" borderId="0" xfId="0" applyFont="1" applyFill="1" applyBorder="1" applyAlignment="1">
      <alignment horizontal="left"/>
    </xf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33" fillId="0" borderId="10" xfId="0" applyFont="1" applyBorder="1" applyAlignment="1" applyProtection="1">
      <alignment horizontal="left"/>
    </xf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0" fontId="30" fillId="0" borderId="0" xfId="0" quotePrefix="1" applyFont="1" applyBorder="1" applyAlignment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3" fillId="0" borderId="0" xfId="0" applyNumberFormat="1" applyFont="1" applyFill="1" applyAlignment="1">
      <alignment horizontal="right"/>
    </xf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9" fontId="22" fillId="0" borderId="0" xfId="20" applyFont="1" applyFill="1" applyBorder="1"/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9" fontId="22" fillId="8" borderId="0" xfId="20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179" fontId="16" fillId="8" borderId="21" xfId="0" applyNumberFormat="1" applyFont="1" applyFill="1" applyBorder="1" applyAlignment="1">
      <alignment horizontal="right"/>
    </xf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9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0" fontId="102" fillId="0" borderId="0" xfId="0" applyFont="1" applyAlignment="1">
      <alignment horizontal="center"/>
    </xf>
    <xf numFmtId="17" fontId="0" fillId="0" borderId="0" xfId="0" applyNumberFormat="1"/>
    <xf numFmtId="2" fontId="0" fillId="0" borderId="0" xfId="0" applyNumberFormat="1"/>
    <xf numFmtId="0" fontId="109" fillId="0" borderId="0" xfId="0" applyFont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14" fontId="0" fillId="0" borderId="0" xfId="0" applyNumberFormat="1" applyBorder="1"/>
    <xf numFmtId="10" fontId="110" fillId="0" borderId="0" xfId="20" applyNumberFormat="1" applyFont="1"/>
    <xf numFmtId="9" fontId="0" fillId="0" borderId="0" xfId="0" applyNumberFormat="1"/>
    <xf numFmtId="9" fontId="1" fillId="0" borderId="0" xfId="20"/>
    <xf numFmtId="165" fontId="21" fillId="0" borderId="0" xfId="4" applyNumberFormat="1" applyFont="1"/>
    <xf numFmtId="165" fontId="1" fillId="0" borderId="0" xfId="4" applyNumberFormat="1"/>
    <xf numFmtId="165" fontId="0" fillId="0" borderId="0" xfId="0" applyNumberFormat="1"/>
    <xf numFmtId="0" fontId="102" fillId="11" borderId="7" xfId="0" applyFont="1" applyFill="1" applyBorder="1"/>
    <xf numFmtId="0" fontId="102" fillId="11" borderId="0" xfId="0" applyFont="1" applyFill="1" applyBorder="1"/>
    <xf numFmtId="9" fontId="0" fillId="11" borderId="7" xfId="20" applyFont="1" applyFill="1" applyBorder="1"/>
    <xf numFmtId="9" fontId="0" fillId="11" borderId="0" xfId="20" applyFont="1" applyFill="1" applyBorder="1"/>
    <xf numFmtId="9" fontId="0" fillId="11" borderId="6" xfId="20" applyFont="1" applyFill="1" applyBorder="1"/>
    <xf numFmtId="10" fontId="22" fillId="11" borderId="0" xfId="0" applyNumberFormat="1" applyFont="1" applyFill="1" applyBorder="1" applyAlignment="1">
      <alignment horizontal="center"/>
    </xf>
    <xf numFmtId="281" fontId="22" fillId="8" borderId="0" xfId="0" applyNumberFormat="1" applyFont="1" applyFill="1" applyBorder="1"/>
    <xf numFmtId="0" fontId="2" fillId="0" borderId="9" xfId="0" applyFont="1" applyBorder="1" applyAlignment="1">
      <alignment horizontal="center"/>
    </xf>
    <xf numFmtId="9" fontId="2" fillId="8" borderId="9" xfId="20" applyFont="1" applyFill="1" applyBorder="1" applyAlignment="1">
      <alignment horizontal="center"/>
    </xf>
    <xf numFmtId="0" fontId="22" fillId="0" borderId="0" xfId="0" applyFont="1" applyBorder="1" applyAlignment="1">
      <alignment horizontal="center"/>
    </xf>
    <xf numFmtId="204" fontId="111" fillId="0" borderId="0" xfId="0" applyNumberFormat="1" applyFont="1" applyFill="1" applyBorder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1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200025</xdr:rowOff>
        </xdr:from>
        <xdr:to>
          <xdr:col>7</xdr:col>
          <xdr:colOff>1190625</xdr:colOff>
          <xdr:row>58</xdr:row>
          <xdr:rowOff>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9525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RFP%20Final%20Versio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Oglethorpe\Valentine\ValentineModel-2-11-00%20version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Technical Assumption"/>
      <sheetName val="Gas PX"/>
      <sheetName val="IS"/>
      <sheetName val="BS"/>
      <sheetName val="Returns Analysis"/>
      <sheetName val="Debt"/>
      <sheetName val="Debt Sum"/>
      <sheetName val="Depreciation"/>
      <sheetName val="Taxes"/>
      <sheetName val="IDC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 Assumption"/>
      <sheetName val="Gas PX"/>
      <sheetName val="IS"/>
      <sheetName val="CF"/>
      <sheetName val="BS"/>
      <sheetName val="Debt (1)"/>
      <sheetName val="Debt (2)"/>
      <sheetName val="Debt Sum"/>
      <sheetName val="Depreciation"/>
      <sheetName val="Taxes"/>
      <sheetName val="IDC-Project"/>
      <sheetName val="IDC-ENA"/>
      <sheetName val="Operational Characteristic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Relationship Id="rId4" Type="http://schemas.openxmlformats.org/officeDocument/2006/relationships/ctrlProp" Target="../ctrlProps/ctrlProp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topLeftCell="A20" zoomScale="75" zoomScaleNormal="75" workbookViewId="0">
      <selection activeCell="H40" sqref="H40"/>
    </sheetView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71" t="s">
        <v>167</v>
      </c>
      <c r="C2" s="5"/>
    </row>
    <row r="3" spans="1:18" s="46" customFormat="1" ht="15.75"/>
    <row r="4" spans="1:18" s="46" customFormat="1" ht="18.75">
      <c r="A4" s="478">
        <v>1</v>
      </c>
      <c r="B4" s="210" t="s">
        <v>405</v>
      </c>
      <c r="C4" s="478"/>
      <c r="D4" s="478"/>
      <c r="E4" s="478"/>
      <c r="F4" s="478"/>
      <c r="G4" s="478"/>
      <c r="H4" s="478"/>
      <c r="I4" s="478"/>
      <c r="J4" s="478"/>
      <c r="K4" s="478"/>
      <c r="L4" s="478"/>
      <c r="M4" s="478"/>
      <c r="N4" s="478"/>
      <c r="O4" s="478"/>
      <c r="P4" s="478"/>
      <c r="Q4" s="478"/>
    </row>
    <row r="5" spans="1:18" s="46" customFormat="1" ht="18.75">
      <c r="B5" s="210" t="s">
        <v>406</v>
      </c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8"/>
      <c r="O5" s="478"/>
      <c r="P5" s="478"/>
      <c r="Q5" s="478"/>
    </row>
    <row r="6" spans="1:18" s="46" customFormat="1" ht="15.75">
      <c r="A6" s="12">
        <v>2</v>
      </c>
      <c r="B6" s="53" t="s">
        <v>316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317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324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417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71" t="s">
        <v>210</v>
      </c>
    </row>
    <row r="13" spans="1:18" s="46" customFormat="1" ht="15.75">
      <c r="A13" s="479"/>
      <c r="B13" s="12"/>
      <c r="C13" s="12"/>
      <c r="D13" s="12"/>
      <c r="E13" s="12"/>
      <c r="F13" s="12"/>
      <c r="G13" s="12"/>
      <c r="H13" s="12"/>
      <c r="I13" s="480" t="s">
        <v>211</v>
      </c>
      <c r="J13" s="12"/>
      <c r="K13" s="12"/>
      <c r="L13" s="12"/>
      <c r="M13" s="12"/>
      <c r="N13" s="12"/>
      <c r="O13" s="480"/>
      <c r="P13" s="12"/>
    </row>
    <row r="14" spans="1:18" s="46" customFormat="1" ht="15.75">
      <c r="A14" s="12">
        <v>1</v>
      </c>
      <c r="B14" s="12" t="s">
        <v>377</v>
      </c>
      <c r="C14" s="12"/>
      <c r="D14" s="12"/>
      <c r="E14" s="12"/>
      <c r="F14" s="12"/>
      <c r="G14" s="12"/>
      <c r="H14" s="12"/>
      <c r="I14" s="12" t="s">
        <v>212</v>
      </c>
      <c r="J14" s="12"/>
      <c r="K14" s="12"/>
      <c r="L14" s="12"/>
      <c r="M14" s="12"/>
      <c r="N14" s="12"/>
      <c r="O14" s="481"/>
      <c r="P14" s="12"/>
    </row>
    <row r="15" spans="1:18" s="46" customFormat="1" ht="15.75">
      <c r="A15" s="12"/>
      <c r="B15" s="12" t="s">
        <v>278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81"/>
      <c r="P15" s="12"/>
    </row>
    <row r="16" spans="1:18" s="46" customFormat="1" ht="15.75">
      <c r="A16" s="12">
        <v>2</v>
      </c>
      <c r="B16" s="12" t="s">
        <v>238</v>
      </c>
      <c r="C16" s="12"/>
      <c r="D16" s="12"/>
      <c r="E16" s="12"/>
      <c r="F16" s="12"/>
      <c r="G16" s="12"/>
      <c r="H16" s="12"/>
      <c r="I16" s="12" t="s">
        <v>212</v>
      </c>
      <c r="J16" s="12"/>
      <c r="K16" s="12"/>
      <c r="L16" s="12"/>
      <c r="M16" s="12"/>
      <c r="N16" s="12"/>
      <c r="O16" s="481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372</v>
      </c>
      <c r="J17" s="12"/>
      <c r="K17" s="12"/>
      <c r="L17" s="12"/>
      <c r="M17" s="12"/>
      <c r="N17" s="12"/>
      <c r="O17" s="481"/>
      <c r="P17" s="12"/>
    </row>
    <row r="18" spans="1:16" s="46" customFormat="1" ht="15.75">
      <c r="A18" s="12">
        <v>4</v>
      </c>
      <c r="B18" s="12" t="s">
        <v>264</v>
      </c>
      <c r="C18" s="12"/>
      <c r="D18" s="12"/>
      <c r="E18" s="12"/>
      <c r="F18" s="12"/>
      <c r="G18" s="12"/>
      <c r="H18" s="12"/>
      <c r="I18" s="12" t="s">
        <v>424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318</v>
      </c>
      <c r="C19" s="12"/>
      <c r="D19" s="12"/>
      <c r="E19" s="12"/>
      <c r="F19" s="12"/>
      <c r="G19" s="12"/>
      <c r="H19" s="12"/>
      <c r="I19" s="12" t="s">
        <v>288</v>
      </c>
      <c r="J19" s="12"/>
      <c r="K19" s="12"/>
      <c r="L19" s="12"/>
      <c r="M19" s="12"/>
      <c r="N19" s="12"/>
      <c r="O19" s="481"/>
      <c r="P19" s="12"/>
    </row>
    <row r="20" spans="1:16" s="46" customFormat="1" ht="15.75">
      <c r="A20" s="12">
        <v>6</v>
      </c>
      <c r="B20" s="12" t="s">
        <v>338</v>
      </c>
      <c r="C20" s="12"/>
      <c r="D20" s="12"/>
      <c r="E20" s="12"/>
      <c r="F20" s="12"/>
      <c r="G20" s="12"/>
      <c r="H20" s="12"/>
      <c r="I20" s="12" t="s">
        <v>339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370</v>
      </c>
      <c r="C21" s="12"/>
      <c r="D21" s="12"/>
      <c r="E21" s="12"/>
      <c r="F21" s="12"/>
      <c r="G21" s="12"/>
      <c r="H21" s="12"/>
      <c r="I21" s="12" t="s">
        <v>288</v>
      </c>
      <c r="J21" s="12"/>
      <c r="K21" s="12"/>
      <c r="L21" s="12"/>
      <c r="M21" s="12"/>
      <c r="N21" s="12"/>
      <c r="O21" s="481"/>
      <c r="P21" s="12"/>
    </row>
    <row r="22" spans="1:16" s="46" customFormat="1" ht="15.75">
      <c r="A22" s="12">
        <v>8</v>
      </c>
      <c r="B22" s="12" t="s">
        <v>373</v>
      </c>
      <c r="C22" s="12"/>
      <c r="D22" s="12"/>
      <c r="E22" s="12"/>
      <c r="F22" s="12"/>
      <c r="G22" s="12"/>
      <c r="H22" s="12"/>
      <c r="I22" s="12" t="s">
        <v>374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414</v>
      </c>
      <c r="C23" s="12"/>
      <c r="D23" s="12"/>
      <c r="E23" s="12"/>
      <c r="F23" s="12"/>
      <c r="G23" s="12"/>
      <c r="H23" s="12"/>
      <c r="I23" s="12" t="s">
        <v>288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71" t="s">
        <v>281</v>
      </c>
    </row>
    <row r="28" spans="1:16" s="46" customFormat="1" ht="18.75">
      <c r="A28" s="286"/>
    </row>
    <row r="29" spans="1:16" s="46" customFormat="1" ht="15.75">
      <c r="A29" s="12"/>
      <c r="B29" s="482" t="s">
        <v>306</v>
      </c>
      <c r="C29" s="12"/>
      <c r="D29" s="12"/>
      <c r="E29" s="482" t="s">
        <v>305</v>
      </c>
      <c r="F29" s="482"/>
      <c r="G29" s="482"/>
      <c r="H29" s="482" t="s">
        <v>307</v>
      </c>
      <c r="I29" s="12"/>
      <c r="J29" s="12"/>
    </row>
    <row r="30" spans="1:16" s="46" customFormat="1" ht="15.75">
      <c r="A30" s="12"/>
      <c r="B30" s="12" t="s">
        <v>379</v>
      </c>
      <c r="C30" s="12"/>
      <c r="D30" s="12"/>
      <c r="E30" s="12" t="s">
        <v>290</v>
      </c>
      <c r="F30" s="12"/>
      <c r="G30" s="12"/>
      <c r="H30" s="12" t="s">
        <v>302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291</v>
      </c>
      <c r="F31" s="12"/>
      <c r="G31" s="12"/>
      <c r="H31" s="12" t="s">
        <v>303</v>
      </c>
      <c r="I31" s="12"/>
      <c r="J31" s="12"/>
    </row>
    <row r="32" spans="1:16" s="46" customFormat="1" ht="15.75">
      <c r="A32" s="12"/>
      <c r="B32" s="12" t="s">
        <v>380</v>
      </c>
      <c r="C32" s="12"/>
      <c r="D32" s="12"/>
      <c r="E32" s="12" t="s">
        <v>292</v>
      </c>
      <c r="F32" s="12"/>
      <c r="G32" s="12"/>
      <c r="H32" s="12" t="s">
        <v>304</v>
      </c>
      <c r="I32" s="12"/>
      <c r="J32" s="12"/>
    </row>
    <row r="33" spans="1:10" s="46" customFormat="1" ht="15.75">
      <c r="A33" s="12"/>
      <c r="B33" s="12" t="s">
        <v>286</v>
      </c>
      <c r="C33" s="12"/>
      <c r="D33" s="12"/>
      <c r="E33" s="12" t="s">
        <v>287</v>
      </c>
      <c r="F33" s="12"/>
      <c r="G33" s="12"/>
      <c r="H33" s="12" t="s">
        <v>299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288</v>
      </c>
      <c r="F34" s="12"/>
      <c r="G34" s="12"/>
      <c r="H34" s="12" t="s">
        <v>300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289</v>
      </c>
      <c r="F35" s="12"/>
      <c r="G35" s="12"/>
      <c r="H35" s="12" t="s">
        <v>301</v>
      </c>
      <c r="I35" s="12"/>
      <c r="J35" s="12"/>
    </row>
    <row r="36" spans="1:10" s="46" customFormat="1" ht="15.75">
      <c r="A36" s="12"/>
      <c r="B36" s="12" t="s">
        <v>284</v>
      </c>
      <c r="C36" s="12"/>
      <c r="D36" s="12"/>
      <c r="E36" s="12" t="s">
        <v>285</v>
      </c>
      <c r="F36" s="12"/>
      <c r="G36" s="12"/>
      <c r="H36" s="12" t="s">
        <v>298</v>
      </c>
      <c r="I36" s="12"/>
      <c r="J36" s="12"/>
    </row>
    <row r="37" spans="1:10" s="46" customFormat="1" ht="15.75">
      <c r="A37" s="12"/>
      <c r="B37" s="12" t="s">
        <v>338</v>
      </c>
      <c r="C37" s="12"/>
      <c r="D37" s="12"/>
      <c r="E37" s="12" t="s">
        <v>339</v>
      </c>
      <c r="F37" s="12"/>
      <c r="G37" s="12"/>
      <c r="H37" s="12" t="s">
        <v>336</v>
      </c>
      <c r="I37" s="12"/>
      <c r="J37" s="12"/>
    </row>
    <row r="38" spans="1:10" s="46" customFormat="1" ht="15.75">
      <c r="A38" s="12"/>
      <c r="B38" s="12" t="s">
        <v>282</v>
      </c>
      <c r="C38" s="12"/>
      <c r="D38" s="12"/>
      <c r="E38" s="12" t="s">
        <v>283</v>
      </c>
      <c r="F38" s="12"/>
      <c r="G38" s="12"/>
      <c r="H38" s="12" t="s">
        <v>337</v>
      </c>
      <c r="I38" s="12"/>
      <c r="J38" s="12"/>
    </row>
    <row r="39" spans="1:10" s="46" customFormat="1" ht="15.75">
      <c r="A39" s="12"/>
      <c r="B39" s="12" t="s">
        <v>419</v>
      </c>
      <c r="C39" s="12"/>
      <c r="D39" s="12"/>
      <c r="E39" s="12" t="s">
        <v>403</v>
      </c>
      <c r="F39" s="12"/>
      <c r="G39" s="12"/>
      <c r="H39" s="12" t="s">
        <v>404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428</v>
      </c>
      <c r="F40" s="12"/>
      <c r="G40" s="12"/>
      <c r="H40" s="12" t="s">
        <v>429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212</v>
      </c>
      <c r="F41" s="12"/>
      <c r="G41" s="12"/>
      <c r="H41" s="12" t="s">
        <v>297</v>
      </c>
      <c r="I41" s="12"/>
      <c r="J41" s="12"/>
    </row>
    <row r="42" spans="1:10" s="46" customFormat="1" ht="15.75">
      <c r="A42" s="12"/>
      <c r="B42" s="12" t="s">
        <v>375</v>
      </c>
      <c r="C42" s="12"/>
      <c r="D42" s="12"/>
      <c r="E42" s="12" t="s">
        <v>401</v>
      </c>
      <c r="F42" s="12"/>
      <c r="G42" s="12"/>
      <c r="H42" s="12" t="s">
        <v>402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374</v>
      </c>
      <c r="F43" s="12"/>
      <c r="G43" s="12"/>
      <c r="H43" s="12" t="s">
        <v>376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C12" sqref="C12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9" t="str">
        <f>Assumptions!A3</f>
        <v>PROJECT NAME: Calpine</v>
      </c>
      <c r="C2" s="62"/>
      <c r="D2" s="56"/>
      <c r="E2" s="56"/>
      <c r="F2" s="93"/>
      <c r="G2" s="5"/>
      <c r="H2" s="5"/>
      <c r="I2" s="2"/>
      <c r="J2" s="2"/>
      <c r="K2" s="2"/>
      <c r="L2" s="93"/>
      <c r="M2" s="5"/>
      <c r="N2" s="5"/>
      <c r="O2" s="2"/>
      <c r="P2" s="2"/>
      <c r="Q2" s="2"/>
      <c r="R2" s="93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3"/>
      <c r="G3" s="5"/>
      <c r="H3" s="5"/>
      <c r="I3" s="2"/>
      <c r="J3" s="2"/>
      <c r="K3" s="2"/>
      <c r="L3" s="93"/>
      <c r="M3" s="5"/>
      <c r="N3" s="5"/>
      <c r="O3" s="2"/>
      <c r="P3" s="2"/>
      <c r="Q3" s="2"/>
      <c r="R3" s="93"/>
      <c r="S3" s="5"/>
      <c r="T3" s="5"/>
      <c r="U3" s="5"/>
      <c r="V3" s="5"/>
      <c r="W3" s="5"/>
      <c r="X3" s="5"/>
      <c r="AG3"/>
    </row>
    <row r="4" spans="1:40" ht="18.75">
      <c r="A4" s="60" t="s">
        <v>94</v>
      </c>
      <c r="B4" s="526" t="s">
        <v>415</v>
      </c>
      <c r="C4" s="62"/>
      <c r="D4" s="56"/>
      <c r="E4" s="56"/>
      <c r="F4" s="93"/>
      <c r="I4" s="62"/>
      <c r="J4" s="62"/>
      <c r="K4" s="62"/>
      <c r="L4" s="93"/>
      <c r="O4" s="62"/>
      <c r="P4" s="62"/>
      <c r="Q4" s="62"/>
      <c r="R4" s="93"/>
      <c r="AG4"/>
      <c r="AN4" s="18"/>
    </row>
    <row r="5" spans="1:40" s="13" customFormat="1"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6"/>
      <c r="AB5" s="6"/>
      <c r="AG5"/>
    </row>
    <row r="6" spans="1:40" s="142" customFormat="1" ht="13.5">
      <c r="A6" s="47"/>
      <c r="B6" s="216"/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6"/>
      <c r="V6" s="216"/>
      <c r="W6" s="216"/>
      <c r="X6" s="216"/>
      <c r="Y6" s="216"/>
      <c r="Z6" s="216"/>
      <c r="AA6" s="216"/>
      <c r="AB6" s="216"/>
      <c r="AC6" s="216"/>
      <c r="AD6" s="216"/>
      <c r="AE6" s="216"/>
      <c r="AF6" s="216"/>
      <c r="AG6"/>
    </row>
    <row r="7" spans="1:40" ht="13.5" thickBot="1">
      <c r="A7" s="123" t="s">
        <v>40</v>
      </c>
      <c r="B7" s="217">
        <f>IS!C7</f>
        <v>2001</v>
      </c>
      <c r="C7" s="217">
        <f>B7+1</f>
        <v>2002</v>
      </c>
      <c r="D7" s="217">
        <f t="shared" ref="D7:AF7" si="0">C7+1</f>
        <v>2003</v>
      </c>
      <c r="E7" s="217">
        <f t="shared" si="0"/>
        <v>2004</v>
      </c>
      <c r="F7" s="217">
        <f t="shared" si="0"/>
        <v>2005</v>
      </c>
      <c r="G7" s="217">
        <f t="shared" si="0"/>
        <v>2006</v>
      </c>
      <c r="H7" s="217">
        <f t="shared" si="0"/>
        <v>2007</v>
      </c>
      <c r="I7" s="217">
        <f t="shared" si="0"/>
        <v>2008</v>
      </c>
      <c r="J7" s="217">
        <f t="shared" si="0"/>
        <v>2009</v>
      </c>
      <c r="K7" s="217">
        <f t="shared" si="0"/>
        <v>2010</v>
      </c>
      <c r="L7" s="217">
        <f t="shared" si="0"/>
        <v>2011</v>
      </c>
      <c r="M7" s="217">
        <f t="shared" si="0"/>
        <v>2012</v>
      </c>
      <c r="N7" s="217">
        <f t="shared" si="0"/>
        <v>2013</v>
      </c>
      <c r="O7" s="217">
        <f t="shared" si="0"/>
        <v>2014</v>
      </c>
      <c r="P7" s="217">
        <f t="shared" si="0"/>
        <v>2015</v>
      </c>
      <c r="Q7" s="217">
        <f t="shared" si="0"/>
        <v>2016</v>
      </c>
      <c r="R7" s="217">
        <f t="shared" si="0"/>
        <v>2017</v>
      </c>
      <c r="S7" s="217">
        <f t="shared" si="0"/>
        <v>2018</v>
      </c>
      <c r="T7" s="217">
        <f t="shared" si="0"/>
        <v>2019</v>
      </c>
      <c r="U7" s="217">
        <f t="shared" si="0"/>
        <v>2020</v>
      </c>
      <c r="V7" s="217">
        <f t="shared" si="0"/>
        <v>2021</v>
      </c>
      <c r="W7" s="217">
        <f t="shared" si="0"/>
        <v>2022</v>
      </c>
      <c r="X7" s="217">
        <f t="shared" si="0"/>
        <v>2023</v>
      </c>
      <c r="Y7" s="217">
        <f t="shared" si="0"/>
        <v>2024</v>
      </c>
      <c r="Z7" s="217">
        <f t="shared" si="0"/>
        <v>2025</v>
      </c>
      <c r="AA7" s="217">
        <f t="shared" si="0"/>
        <v>2026</v>
      </c>
      <c r="AB7" s="217">
        <f t="shared" si="0"/>
        <v>2027</v>
      </c>
      <c r="AC7" s="217">
        <f t="shared" si="0"/>
        <v>2028</v>
      </c>
      <c r="AD7" s="217">
        <f t="shared" si="0"/>
        <v>2029</v>
      </c>
      <c r="AE7" s="217">
        <f t="shared" si="0"/>
        <v>2030</v>
      </c>
      <c r="AF7" s="217">
        <f t="shared" si="0"/>
        <v>2031</v>
      </c>
      <c r="AG7"/>
      <c r="AH7" s="11"/>
    </row>
    <row r="8" spans="1:40" s="50" customFormat="1">
      <c r="A8" s="401"/>
      <c r="B8" s="400">
        <f>IS!C8</f>
        <v>37256</v>
      </c>
      <c r="C8" s="400">
        <f>IS!D8</f>
        <v>37621</v>
      </c>
      <c r="D8" s="400">
        <f>IS!E8</f>
        <v>37986</v>
      </c>
      <c r="E8" s="400">
        <f>IS!F8</f>
        <v>38352</v>
      </c>
      <c r="F8" s="400">
        <f>IS!G8</f>
        <v>38717</v>
      </c>
      <c r="G8" s="400">
        <f>IS!H8</f>
        <v>39082</v>
      </c>
      <c r="H8" s="400">
        <f>IS!I8</f>
        <v>39447</v>
      </c>
      <c r="I8" s="400">
        <f>IS!J8</f>
        <v>39813</v>
      </c>
      <c r="J8" s="400">
        <f>IS!K8</f>
        <v>40178</v>
      </c>
      <c r="K8" s="400">
        <f>IS!L8</f>
        <v>40543</v>
      </c>
      <c r="L8" s="400">
        <f>IS!M8</f>
        <v>40908</v>
      </c>
      <c r="M8" s="400">
        <f>IS!N8</f>
        <v>41274</v>
      </c>
      <c r="N8" s="400">
        <f>IS!O8</f>
        <v>41639</v>
      </c>
      <c r="O8" s="400">
        <f>IS!P8</f>
        <v>42004</v>
      </c>
      <c r="P8" s="400">
        <f>IS!Q8</f>
        <v>42369</v>
      </c>
      <c r="Q8" s="400">
        <f>IS!R8</f>
        <v>42735</v>
      </c>
      <c r="R8" s="400">
        <f>IS!S8</f>
        <v>43100</v>
      </c>
      <c r="S8" s="400">
        <f>IS!T8</f>
        <v>43465</v>
      </c>
      <c r="T8" s="400">
        <f>IS!U8</f>
        <v>43830</v>
      </c>
      <c r="U8" s="400">
        <f>IS!V8</f>
        <v>44196</v>
      </c>
      <c r="V8" s="400">
        <f>IS!W8</f>
        <v>44561</v>
      </c>
      <c r="W8" s="400">
        <f>IS!X8</f>
        <v>44926</v>
      </c>
      <c r="X8" s="400">
        <f>IS!Y8</f>
        <v>45291</v>
      </c>
      <c r="Y8" s="400">
        <f>IS!Z8</f>
        <v>45657</v>
      </c>
      <c r="Z8" s="400">
        <f>IS!AA8</f>
        <v>46022</v>
      </c>
      <c r="AA8" s="400">
        <f>IS!AB8</f>
        <v>46387</v>
      </c>
      <c r="AB8" s="400">
        <f>IS!AC8</f>
        <v>46752</v>
      </c>
      <c r="AC8" s="400">
        <f>IS!AD8</f>
        <v>47118</v>
      </c>
      <c r="AD8" s="400">
        <f>IS!AE8</f>
        <v>47483</v>
      </c>
      <c r="AE8" s="400">
        <f>IS!AF8</f>
        <v>47848</v>
      </c>
      <c r="AF8" s="400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93" t="s">
        <v>397</v>
      </c>
      <c r="B11" s="394">
        <f>B29+B38</f>
        <v>5140.1330203442867</v>
      </c>
      <c r="C11" s="394">
        <f t="shared" ref="C11:AF11" si="1">C29+C38</f>
        <v>15565.497536733339</v>
      </c>
      <c r="D11" s="394">
        <f t="shared" si="1"/>
        <v>15595.01799890411</v>
      </c>
      <c r="E11" s="394">
        <f t="shared" si="1"/>
        <v>15561.175083908969</v>
      </c>
      <c r="F11" s="394">
        <f t="shared" si="1"/>
        <v>15494.32628046538</v>
      </c>
      <c r="G11" s="394">
        <f t="shared" si="1"/>
        <v>15457.947479329479</v>
      </c>
      <c r="H11" s="394">
        <f t="shared" si="1"/>
        <v>15409.660637590314</v>
      </c>
      <c r="I11" s="394">
        <f t="shared" si="1"/>
        <v>15370.467663110347</v>
      </c>
      <c r="J11" s="394">
        <f t="shared" si="1"/>
        <v>15298.511181130878</v>
      </c>
      <c r="K11" s="394">
        <f t="shared" si="1"/>
        <v>15256.478458485904</v>
      </c>
      <c r="L11" s="394">
        <f t="shared" si="1"/>
        <v>15202.509813527868</v>
      </c>
      <c r="M11" s="394">
        <f t="shared" si="1"/>
        <v>15157.325737099938</v>
      </c>
      <c r="N11" s="394">
        <f t="shared" si="1"/>
        <v>15079.648463010526</v>
      </c>
      <c r="O11" s="394">
        <f t="shared" si="1"/>
        <v>15031.283827211722</v>
      </c>
      <c r="P11" s="471">
        <f t="shared" si="1"/>
        <v>14970.951473206702</v>
      </c>
      <c r="Q11" s="394">
        <f t="shared" si="1"/>
        <v>14919.057304889859</v>
      </c>
      <c r="R11" s="394">
        <f t="shared" si="1"/>
        <v>14834.971477534733</v>
      </c>
      <c r="S11" s="394">
        <f t="shared" si="1"/>
        <v>14779.514449955881</v>
      </c>
      <c r="T11" s="394">
        <f t="shared" si="1"/>
        <v>14712.053468638362</v>
      </c>
      <c r="U11" s="394">
        <f t="shared" si="1"/>
        <v>14652.642694740842</v>
      </c>
      <c r="V11" s="394">
        <f t="shared" si="1"/>
        <v>6849.1218176498714</v>
      </c>
      <c r="W11" s="394">
        <f t="shared" si="1"/>
        <v>-985.68553851943352</v>
      </c>
      <c r="X11" s="394">
        <f t="shared" si="1"/>
        <v>-2791.4735426192674</v>
      </c>
      <c r="Y11" s="394">
        <f t="shared" si="1"/>
        <v>-2871.0317031545615</v>
      </c>
      <c r="Z11" s="394">
        <f t="shared" si="1"/>
        <v>-2946.8915774684297</v>
      </c>
      <c r="AA11" s="394">
        <f t="shared" si="1"/>
        <v>-3030.9226993174761</v>
      </c>
      <c r="AB11" s="394">
        <f t="shared" si="1"/>
        <v>-3115.3200369305841</v>
      </c>
      <c r="AC11" s="394">
        <f t="shared" si="1"/>
        <v>-3204.3147783683139</v>
      </c>
      <c r="AD11" s="394">
        <f t="shared" si="1"/>
        <v>-3289.1919886369205</v>
      </c>
      <c r="AE11" s="394">
        <f t="shared" si="1"/>
        <v>-3383.1996689533025</v>
      </c>
      <c r="AF11" s="471">
        <f t="shared" si="1"/>
        <v>-4350.562057297182</v>
      </c>
      <c r="AG11"/>
      <c r="AN11" s="531">
        <f>IF(MONTH(C23)=MONTH(Assumptions!G34),1,2)</f>
        <v>1</v>
      </c>
    </row>
    <row r="12" spans="1:40">
      <c r="A12" s="395" t="s">
        <v>0</v>
      </c>
      <c r="B12" s="391">
        <v>1.3</v>
      </c>
      <c r="C12" s="391">
        <v>1.3</v>
      </c>
      <c r="D12" s="391">
        <v>1.3</v>
      </c>
      <c r="E12" s="391">
        <v>1.3</v>
      </c>
      <c r="F12" s="391">
        <v>1.3</v>
      </c>
      <c r="G12" s="391">
        <v>1.3</v>
      </c>
      <c r="H12" s="391">
        <v>1.3</v>
      </c>
      <c r="I12" s="391">
        <v>1.3</v>
      </c>
      <c r="J12" s="391">
        <v>1.3</v>
      </c>
      <c r="K12" s="391">
        <v>1.3</v>
      </c>
      <c r="L12" s="391">
        <v>1.3</v>
      </c>
      <c r="M12" s="391">
        <v>1.3</v>
      </c>
      <c r="N12" s="391">
        <v>1.3</v>
      </c>
      <c r="O12" s="391">
        <v>1.3</v>
      </c>
      <c r="P12" s="396">
        <v>1.3</v>
      </c>
      <c r="Q12" s="391">
        <v>1.3</v>
      </c>
      <c r="R12" s="391">
        <v>1.3</v>
      </c>
      <c r="S12" s="391">
        <v>1.3</v>
      </c>
      <c r="T12" s="391">
        <v>1.3</v>
      </c>
      <c r="U12" s="391">
        <v>1.3</v>
      </c>
      <c r="V12" s="391">
        <v>1.3</v>
      </c>
      <c r="W12" s="391">
        <v>1.3</v>
      </c>
      <c r="X12" s="391">
        <v>1.3</v>
      </c>
      <c r="Y12" s="391">
        <v>1.3</v>
      </c>
      <c r="Z12" s="391">
        <v>1.3</v>
      </c>
      <c r="AA12" s="391">
        <v>1.3</v>
      </c>
      <c r="AB12" s="391">
        <v>1.3</v>
      </c>
      <c r="AC12" s="391">
        <v>1.3</v>
      </c>
      <c r="AD12" s="391">
        <v>1.3</v>
      </c>
      <c r="AE12" s="391">
        <v>1.3</v>
      </c>
      <c r="AF12" s="396">
        <v>1.3</v>
      </c>
      <c r="AG12"/>
      <c r="AN12" s="531">
        <f>IF(AN11=1,6,15)</f>
        <v>6</v>
      </c>
    </row>
    <row r="13" spans="1:40">
      <c r="A13" s="397" t="s">
        <v>331</v>
      </c>
      <c r="B13" s="312">
        <f>B11/B12</f>
        <v>3953.9484771879129</v>
      </c>
      <c r="C13" s="312">
        <f t="shared" ref="C13:AF13" si="2">C11/C12</f>
        <v>11973.45964364103</v>
      </c>
      <c r="D13" s="312">
        <f t="shared" si="2"/>
        <v>11996.1676914647</v>
      </c>
      <c r="E13" s="312">
        <f t="shared" si="2"/>
        <v>11970.134679929975</v>
      </c>
      <c r="F13" s="312">
        <f t="shared" si="2"/>
        <v>11918.712523434908</v>
      </c>
      <c r="G13" s="312">
        <f t="shared" si="2"/>
        <v>11890.728830253445</v>
      </c>
      <c r="H13" s="312">
        <f t="shared" si="2"/>
        <v>11853.585105838703</v>
      </c>
      <c r="I13" s="312">
        <f t="shared" si="2"/>
        <v>11823.436663931036</v>
      </c>
      <c r="J13" s="312">
        <f t="shared" si="2"/>
        <v>11768.085523946829</v>
      </c>
      <c r="K13" s="312">
        <f t="shared" si="2"/>
        <v>11735.752660373772</v>
      </c>
      <c r="L13" s="312">
        <f t="shared" si="2"/>
        <v>11694.23831809836</v>
      </c>
      <c r="M13" s="312">
        <f t="shared" si="2"/>
        <v>11659.481336230721</v>
      </c>
      <c r="N13" s="312">
        <f t="shared" si="2"/>
        <v>11599.729586931173</v>
      </c>
      <c r="O13" s="312">
        <f t="shared" si="2"/>
        <v>11562.526020932093</v>
      </c>
      <c r="P13" s="398">
        <f t="shared" si="2"/>
        <v>11516.116517851309</v>
      </c>
      <c r="Q13" s="312">
        <f t="shared" si="2"/>
        <v>11476.197926838353</v>
      </c>
      <c r="R13" s="312">
        <f t="shared" si="2"/>
        <v>11411.516521180563</v>
      </c>
      <c r="S13" s="312">
        <f t="shared" si="2"/>
        <v>11368.857269196831</v>
      </c>
      <c r="T13" s="312">
        <f t="shared" si="2"/>
        <v>11316.964206644892</v>
      </c>
      <c r="U13" s="312">
        <f t="shared" si="2"/>
        <v>11271.263611339109</v>
      </c>
      <c r="V13" s="312">
        <f t="shared" si="2"/>
        <v>5268.5552443460547</v>
      </c>
      <c r="W13" s="312">
        <f t="shared" si="2"/>
        <v>-758.21964501494881</v>
      </c>
      <c r="X13" s="312">
        <f t="shared" si="2"/>
        <v>-2147.2873404763595</v>
      </c>
      <c r="Y13" s="312">
        <f t="shared" si="2"/>
        <v>-2208.485925503509</v>
      </c>
      <c r="Z13" s="312">
        <f t="shared" si="2"/>
        <v>-2266.8396749757148</v>
      </c>
      <c r="AA13" s="312">
        <f t="shared" si="2"/>
        <v>-2331.4789994749817</v>
      </c>
      <c r="AB13" s="312">
        <f t="shared" si="2"/>
        <v>-2396.4000284081417</v>
      </c>
      <c r="AC13" s="312">
        <f t="shared" si="2"/>
        <v>-2464.8575218217798</v>
      </c>
      <c r="AD13" s="312">
        <f t="shared" si="2"/>
        <v>-2530.1476835668618</v>
      </c>
      <c r="AE13" s="312">
        <f t="shared" si="2"/>
        <v>-2602.4612838102325</v>
      </c>
      <c r="AF13" s="398">
        <f t="shared" si="2"/>
        <v>-3346.5861979209089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8"/>
      <c r="C16" s="65"/>
      <c r="AG16"/>
    </row>
    <row r="17" spans="1:33">
      <c r="A17" s="53"/>
      <c r="B17" s="228"/>
      <c r="C17" s="533"/>
      <c r="AG17"/>
    </row>
    <row r="18" spans="1:33">
      <c r="A18" s="53"/>
      <c r="B18" s="228"/>
      <c r="AG18"/>
    </row>
    <row r="19" spans="1:33">
      <c r="A19" s="11" t="s">
        <v>355</v>
      </c>
      <c r="B19" s="404">
        <v>75505.500901236432</v>
      </c>
      <c r="S19" s="18"/>
      <c r="AF19" s="65"/>
      <c r="AG19"/>
    </row>
    <row r="20" spans="1:33">
      <c r="A20" s="11" t="s">
        <v>354</v>
      </c>
      <c r="B20" s="409">
        <f>HLOOKUP(Assumptions!G34,B23:AF39,AN12)</f>
        <v>0</v>
      </c>
      <c r="AF20" s="533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99">
        <v>36982</v>
      </c>
      <c r="C23" s="399">
        <v>37347</v>
      </c>
      <c r="D23" s="399">
        <v>37712</v>
      </c>
      <c r="E23" s="399">
        <v>38078</v>
      </c>
      <c r="F23" s="399">
        <v>38443</v>
      </c>
      <c r="G23" s="399">
        <v>38808</v>
      </c>
      <c r="H23" s="399">
        <v>39173</v>
      </c>
      <c r="I23" s="399">
        <v>39539</v>
      </c>
      <c r="J23" s="399">
        <v>39904</v>
      </c>
      <c r="K23" s="399">
        <v>40269</v>
      </c>
      <c r="L23" s="399">
        <v>40634</v>
      </c>
      <c r="M23" s="399">
        <v>41000</v>
      </c>
      <c r="N23" s="399">
        <v>41365</v>
      </c>
      <c r="O23" s="399">
        <v>41730</v>
      </c>
      <c r="P23" s="399">
        <v>42095</v>
      </c>
      <c r="Q23" s="399">
        <v>42461</v>
      </c>
      <c r="R23" s="399">
        <v>42826</v>
      </c>
      <c r="S23" s="399">
        <v>43191</v>
      </c>
      <c r="T23" s="399">
        <v>43556</v>
      </c>
      <c r="U23" s="399">
        <v>43922</v>
      </c>
      <c r="V23" s="399">
        <v>44287</v>
      </c>
      <c r="W23" s="399">
        <v>44652</v>
      </c>
      <c r="X23" s="399">
        <v>45017</v>
      </c>
      <c r="Y23" s="399">
        <v>45383</v>
      </c>
      <c r="Z23" s="399">
        <v>45748</v>
      </c>
      <c r="AA23" s="399">
        <v>46113</v>
      </c>
      <c r="AB23" s="399">
        <v>46478</v>
      </c>
      <c r="AC23" s="399">
        <v>46844</v>
      </c>
      <c r="AD23" s="399">
        <v>47209</v>
      </c>
      <c r="AE23" s="399">
        <v>47574</v>
      </c>
      <c r="AF23" s="399">
        <v>47939</v>
      </c>
      <c r="AG23" s="534">
        <v>47969</v>
      </c>
    </row>
    <row r="24" spans="1:33">
      <c r="A24" s="48" t="s">
        <v>56</v>
      </c>
      <c r="B24"/>
      <c r="C24" s="48">
        <f>B45</f>
        <v>73695.267808978911</v>
      </c>
      <c r="D24" s="48">
        <f t="shared" ref="D24:AF24" si="3">C45</f>
        <v>67862.769401598242</v>
      </c>
      <c r="E24" s="48">
        <f t="shared" si="3"/>
        <v>61501.896345958266</v>
      </c>
      <c r="F24" s="48">
        <f t="shared" si="3"/>
        <v>54619.857661063208</v>
      </c>
      <c r="G24" s="48">
        <f t="shared" si="3"/>
        <v>47185.225554356803</v>
      </c>
      <c r="H24" s="48">
        <f t="shared" si="3"/>
        <v>39137.098314046918</v>
      </c>
      <c r="I24" s="48">
        <f t="shared" si="3"/>
        <v>30428.27862863418</v>
      </c>
      <c r="J24" s="48">
        <f t="shared" si="3"/>
        <v>20996.795404026823</v>
      </c>
      <c r="K24" s="48">
        <f t="shared" si="3"/>
        <v>10799.338174145742</v>
      </c>
      <c r="L24" s="48">
        <f t="shared" si="3"/>
        <v>0</v>
      </c>
      <c r="M24" s="48">
        <f t="shared" si="3"/>
        <v>0</v>
      </c>
      <c r="N24" s="48">
        <f t="shared" si="3"/>
        <v>0</v>
      </c>
      <c r="O24" s="48">
        <f t="shared" si="3"/>
        <v>0</v>
      </c>
      <c r="P24" s="48">
        <f t="shared" si="3"/>
        <v>0</v>
      </c>
      <c r="Q24" s="48">
        <f t="shared" si="3"/>
        <v>0</v>
      </c>
      <c r="R24" s="48">
        <f t="shared" si="3"/>
        <v>0</v>
      </c>
      <c r="S24" s="48">
        <f t="shared" si="3"/>
        <v>0</v>
      </c>
      <c r="T24" s="48">
        <f t="shared" si="3"/>
        <v>0</v>
      </c>
      <c r="U24" s="48">
        <f t="shared" si="3"/>
        <v>0</v>
      </c>
      <c r="V24" s="48">
        <f t="shared" si="3"/>
        <v>0</v>
      </c>
      <c r="W24" s="48">
        <f t="shared" si="3"/>
        <v>0</v>
      </c>
      <c r="X24" s="48">
        <f t="shared" si="3"/>
        <v>774.37595539605502</v>
      </c>
      <c r="Y24" s="48">
        <f t="shared" si="3"/>
        <v>3034.6388274408</v>
      </c>
      <c r="Z24" s="48">
        <f t="shared" si="3"/>
        <v>5553.663871943123</v>
      </c>
      <c r="AA24" s="48">
        <f t="shared" si="3"/>
        <v>8350.5632559597107</v>
      </c>
      <c r="AB24" s="48">
        <f t="shared" si="3"/>
        <v>11456.602889386228</v>
      </c>
      <c r="AC24" s="48">
        <f t="shared" si="3"/>
        <v>14898.570514077464</v>
      </c>
      <c r="AD24" s="48">
        <f t="shared" si="3"/>
        <v>18709.994599976504</v>
      </c>
      <c r="AE24" s="48">
        <f t="shared" si="3"/>
        <v>22917.069944271301</v>
      </c>
      <c r="AF24" s="48">
        <f t="shared" si="3"/>
        <v>27564.329635662209</v>
      </c>
      <c r="AG24"/>
    </row>
    <row r="25" spans="1:33">
      <c r="A25" s="48" t="s">
        <v>332</v>
      </c>
      <c r="B25"/>
      <c r="C25" s="389">
        <v>0</v>
      </c>
      <c r="D25" s="389">
        <v>0</v>
      </c>
      <c r="E25" s="389">
        <v>0</v>
      </c>
      <c r="F25" s="389">
        <v>0</v>
      </c>
      <c r="G25" s="389">
        <v>0</v>
      </c>
      <c r="H25" s="389">
        <v>0</v>
      </c>
      <c r="I25" s="389">
        <v>0</v>
      </c>
      <c r="J25" s="389">
        <v>0</v>
      </c>
      <c r="K25" s="389">
        <v>0</v>
      </c>
      <c r="L25" s="389">
        <v>0</v>
      </c>
      <c r="M25" s="389">
        <v>0</v>
      </c>
      <c r="N25" s="389">
        <v>0</v>
      </c>
      <c r="O25" s="389">
        <v>0</v>
      </c>
      <c r="P25" s="389">
        <v>0</v>
      </c>
      <c r="Q25" s="389">
        <v>0</v>
      </c>
      <c r="R25" s="389">
        <v>0</v>
      </c>
      <c r="S25" s="389">
        <v>0</v>
      </c>
      <c r="T25" s="389">
        <v>0</v>
      </c>
      <c r="U25" s="389">
        <v>0</v>
      </c>
      <c r="V25" s="389">
        <v>0</v>
      </c>
      <c r="W25" s="389">
        <v>0</v>
      </c>
      <c r="X25" s="389">
        <v>0</v>
      </c>
      <c r="Y25" s="389">
        <v>0</v>
      </c>
      <c r="Z25" s="389">
        <v>0</v>
      </c>
      <c r="AA25" s="389">
        <v>0</v>
      </c>
      <c r="AB25" s="389">
        <v>0</v>
      </c>
      <c r="AC25" s="389">
        <v>0</v>
      </c>
      <c r="AD25" s="389">
        <v>0</v>
      </c>
      <c r="AE25" s="389">
        <v>0</v>
      </c>
      <c r="AF25" s="389">
        <v>0</v>
      </c>
      <c r="AG25"/>
    </row>
    <row r="26" spans="1:33">
      <c r="A26" s="48" t="s">
        <v>57</v>
      </c>
      <c r="B26"/>
      <c r="C26" s="48">
        <f t="shared" ref="C26:AF26" si="4">C24-C28</f>
        <v>2864.3308444196591</v>
      </c>
      <c r="D26" s="48">
        <f t="shared" si="4"/>
        <v>3121.8179754782977</v>
      </c>
      <c r="E26" s="48">
        <f t="shared" si="4"/>
        <v>3367.6757214707904</v>
      </c>
      <c r="F26" s="48">
        <f t="shared" si="4"/>
        <v>3647.5347041526329</v>
      </c>
      <c r="G26" s="48">
        <f t="shared" si="4"/>
        <v>3945.4864991653594</v>
      </c>
      <c r="H26" s="48">
        <f t="shared" si="4"/>
        <v>4268.0229339650905</v>
      </c>
      <c r="I26" s="48">
        <f t="shared" si="4"/>
        <v>4616.7546612554361</v>
      </c>
      <c r="J26" s="48">
        <f t="shared" si="4"/>
        <v>4995.3395259448334</v>
      </c>
      <c r="K26" s="48">
        <f t="shared" si="4"/>
        <v>5410.1619149703511</v>
      </c>
      <c r="L26" s="48">
        <f t="shared" si="4"/>
        <v>0</v>
      </c>
      <c r="M26" s="48">
        <f t="shared" si="4"/>
        <v>0</v>
      </c>
      <c r="N26" s="48">
        <f t="shared" si="4"/>
        <v>0</v>
      </c>
      <c r="O26" s="48">
        <f t="shared" si="4"/>
        <v>0</v>
      </c>
      <c r="P26" s="48">
        <f t="shared" si="4"/>
        <v>0</v>
      </c>
      <c r="Q26" s="48">
        <f t="shared" si="4"/>
        <v>0</v>
      </c>
      <c r="R26" s="48">
        <f t="shared" si="4"/>
        <v>0</v>
      </c>
      <c r="S26" s="48">
        <f t="shared" si="4"/>
        <v>0</v>
      </c>
      <c r="T26" s="48">
        <f t="shared" si="4"/>
        <v>0</v>
      </c>
      <c r="U26" s="48">
        <f t="shared" si="4"/>
        <v>0</v>
      </c>
      <c r="V26" s="48">
        <f t="shared" si="4"/>
        <v>0</v>
      </c>
      <c r="W26" s="48">
        <f t="shared" si="4"/>
        <v>-379.10982250747441</v>
      </c>
      <c r="X26" s="48">
        <f t="shared" si="4"/>
        <v>-1106.4644812792126</v>
      </c>
      <c r="Y26" s="48">
        <f t="shared" si="4"/>
        <v>-1233.39082166363</v>
      </c>
      <c r="Z26" s="48">
        <f t="shared" si="4"/>
        <v>-1368.4823296367449</v>
      </c>
      <c r="AA26" s="48">
        <f t="shared" si="4"/>
        <v>-1519.6661122572077</v>
      </c>
      <c r="AB26" s="48">
        <f t="shared" si="4"/>
        <v>-1683.7716489953164</v>
      </c>
      <c r="AC26" s="48">
        <f t="shared" si="4"/>
        <v>-1866.4806504938661</v>
      </c>
      <c r="AD26" s="48">
        <f t="shared" si="4"/>
        <v>-2056.9867231123353</v>
      </c>
      <c r="AE26" s="48">
        <f t="shared" si="4"/>
        <v>-2272.5376885842343</v>
      </c>
      <c r="AF26" s="48">
        <f t="shared" si="4"/>
        <v>-2841.5675632445455</v>
      </c>
      <c r="AG26"/>
    </row>
    <row r="27" spans="1:33">
      <c r="A27" s="48" t="s">
        <v>58</v>
      </c>
      <c r="B27"/>
      <c r="C27" s="392">
        <f t="shared" ref="C27:AF27" si="5">C24*(C23-B41)/(C41-B41)*$E$64</f>
        <v>1561.733963020416</v>
      </c>
      <c r="D27" s="392">
        <f t="shared" si="5"/>
        <v>1438.1329351270206</v>
      </c>
      <c r="E27" s="392">
        <f t="shared" si="5"/>
        <v>1314.0569109983433</v>
      </c>
      <c r="F27" s="392">
        <f t="shared" si="5"/>
        <v>1157.4920520776</v>
      </c>
      <c r="G27" s="392">
        <f t="shared" si="5"/>
        <v>999.93895798068456</v>
      </c>
      <c r="H27" s="392">
        <f t="shared" si="5"/>
        <v>829.38480947713128</v>
      </c>
      <c r="I27" s="392">
        <f t="shared" si="5"/>
        <v>650.13425922382316</v>
      </c>
      <c r="J27" s="392">
        <f t="shared" si="5"/>
        <v>444.95948616478762</v>
      </c>
      <c r="K27" s="392">
        <f t="shared" si="5"/>
        <v>228.85720760826663</v>
      </c>
      <c r="L27" s="392">
        <f t="shared" si="5"/>
        <v>0</v>
      </c>
      <c r="M27" s="392">
        <f t="shared" si="5"/>
        <v>0</v>
      </c>
      <c r="N27" s="392">
        <f t="shared" si="5"/>
        <v>0</v>
      </c>
      <c r="O27" s="392">
        <f t="shared" si="5"/>
        <v>0</v>
      </c>
      <c r="P27" s="392">
        <f t="shared" si="5"/>
        <v>0</v>
      </c>
      <c r="Q27" s="392">
        <f t="shared" si="5"/>
        <v>0</v>
      </c>
      <c r="R27" s="392">
        <f t="shared" si="5"/>
        <v>0</v>
      </c>
      <c r="S27" s="392">
        <f t="shared" si="5"/>
        <v>0</v>
      </c>
      <c r="T27" s="392">
        <f t="shared" si="5"/>
        <v>0</v>
      </c>
      <c r="U27" s="392">
        <f t="shared" si="5"/>
        <v>0</v>
      </c>
      <c r="V27" s="392">
        <f t="shared" si="5"/>
        <v>0</v>
      </c>
      <c r="W27" s="392">
        <f t="shared" si="5"/>
        <v>0</v>
      </c>
      <c r="X27" s="392">
        <f t="shared" si="5"/>
        <v>16.410405520516399</v>
      </c>
      <c r="Y27" s="392">
        <f t="shared" si="5"/>
        <v>64.838458007068468</v>
      </c>
      <c r="Z27" s="392">
        <f t="shared" si="5"/>
        <v>117.69202753282208</v>
      </c>
      <c r="AA27" s="392">
        <f t="shared" si="5"/>
        <v>176.96330625985854</v>
      </c>
      <c r="AB27" s="392">
        <f t="shared" si="5"/>
        <v>242.78581739562321</v>
      </c>
      <c r="AC27" s="392">
        <f t="shared" si="5"/>
        <v>318.32464868875894</v>
      </c>
      <c r="AD27" s="392">
        <f t="shared" si="5"/>
        <v>396.49810474196789</v>
      </c>
      <c r="AE27" s="392">
        <f t="shared" si="5"/>
        <v>485.65352333955764</v>
      </c>
      <c r="AF27" s="392">
        <f t="shared" si="5"/>
        <v>584.1372321420472</v>
      </c>
      <c r="AG27"/>
    </row>
    <row r="28" spans="1:33">
      <c r="A28" s="48" t="s">
        <v>59</v>
      </c>
      <c r="B28"/>
      <c r="C28" s="163">
        <f t="shared" ref="C28:AF28" si="6">MAX(C24+C25+B44+C27-0.5*C13,0)</f>
        <v>70830.936964559252</v>
      </c>
      <c r="D28" s="163">
        <f t="shared" si="6"/>
        <v>64740.951426119944</v>
      </c>
      <c r="E28" s="163">
        <f t="shared" si="6"/>
        <v>58134.220624487476</v>
      </c>
      <c r="F28" s="163">
        <f t="shared" si="6"/>
        <v>50972.322956910575</v>
      </c>
      <c r="G28" s="163">
        <f t="shared" si="6"/>
        <v>43239.739055191443</v>
      </c>
      <c r="H28" s="163">
        <f t="shared" si="6"/>
        <v>34869.075380081827</v>
      </c>
      <c r="I28" s="163">
        <f t="shared" si="6"/>
        <v>25811.523967378744</v>
      </c>
      <c r="J28" s="163">
        <f t="shared" si="6"/>
        <v>16001.45587808199</v>
      </c>
      <c r="K28" s="163">
        <f t="shared" si="6"/>
        <v>5389.1762591753904</v>
      </c>
      <c r="L28" s="163">
        <f t="shared" si="6"/>
        <v>0</v>
      </c>
      <c r="M28" s="163">
        <f t="shared" si="6"/>
        <v>0</v>
      </c>
      <c r="N28" s="163">
        <f t="shared" si="6"/>
        <v>0</v>
      </c>
      <c r="O28" s="163">
        <f t="shared" si="6"/>
        <v>0</v>
      </c>
      <c r="P28" s="163">
        <f t="shared" si="6"/>
        <v>0</v>
      </c>
      <c r="Q28" s="163">
        <f t="shared" si="6"/>
        <v>0</v>
      </c>
      <c r="R28" s="163">
        <f t="shared" si="6"/>
        <v>0</v>
      </c>
      <c r="S28" s="163">
        <f t="shared" si="6"/>
        <v>0</v>
      </c>
      <c r="T28" s="163">
        <f t="shared" si="6"/>
        <v>0</v>
      </c>
      <c r="U28" s="163">
        <f t="shared" si="6"/>
        <v>0</v>
      </c>
      <c r="V28" s="163">
        <f t="shared" si="6"/>
        <v>0</v>
      </c>
      <c r="W28" s="163">
        <f t="shared" si="6"/>
        <v>379.10982250747441</v>
      </c>
      <c r="X28" s="163">
        <f t="shared" si="6"/>
        <v>1880.8404366752675</v>
      </c>
      <c r="Y28" s="163">
        <f t="shared" si="6"/>
        <v>4268.0296491044301</v>
      </c>
      <c r="Z28" s="163">
        <f t="shared" si="6"/>
        <v>6922.1462015798679</v>
      </c>
      <c r="AA28" s="163">
        <f t="shared" si="6"/>
        <v>9870.2293682169184</v>
      </c>
      <c r="AB28" s="163">
        <f t="shared" si="6"/>
        <v>13140.374538381544</v>
      </c>
      <c r="AC28" s="163">
        <f t="shared" si="6"/>
        <v>16765.05116457133</v>
      </c>
      <c r="AD28" s="163">
        <f t="shared" si="6"/>
        <v>20766.981323088839</v>
      </c>
      <c r="AE28" s="163">
        <f t="shared" si="6"/>
        <v>25189.607632855535</v>
      </c>
      <c r="AF28" s="163">
        <f t="shared" si="6"/>
        <v>30405.897198906754</v>
      </c>
      <c r="AG28"/>
    </row>
    <row r="29" spans="1:33">
      <c r="A29" s="48" t="s">
        <v>334</v>
      </c>
      <c r="B29"/>
      <c r="C29" s="163">
        <f>(C23-B41)/(C41-B41)*IS!D32+(B41-B32)/(B41-Assumptions!H17)*IS!C32</f>
        <v>7730.249755911419</v>
      </c>
      <c r="D29" s="163">
        <f>(D23-C41)/(D41-C41)*IS!E32+(C41-C32)/(C41-B41)*IS!D32</f>
        <v>7781.5846202739722</v>
      </c>
      <c r="E29" s="163">
        <f>(E23-D41)/(E41-D41)*IS!F32+(D41-D32)/(D41-C41)*IS!E32</f>
        <v>7791.4565279089729</v>
      </c>
      <c r="F29" s="163">
        <f>(F23-E41)/(F41-E41)*IS!G32+(E41-E32)/(E41-D41)*IS!F32</f>
        <v>7726.3798544465299</v>
      </c>
      <c r="G29" s="163">
        <f>(G23-F41)/(G41-F41)*IS!H32+(F41-F32)/(F41-E41)*IS!G32</f>
        <v>7713.7092897324737</v>
      </c>
      <c r="H29" s="163">
        <f>(H23-G41)/(H41-G41)*IS!I32+(G41-G32)/(G41-F41)*IS!H32</f>
        <v>7689.798515598708</v>
      </c>
      <c r="I29" s="163">
        <f>(I23-H41)/(I41-H41)*IS!J32+(H41-H32)/(H41-G41)*IS!I32</f>
        <v>7696.6926476632289</v>
      </c>
      <c r="J29" s="163">
        <f>(J23-I41)/(J41-I41)*IS!K32+(I41-I32)/(I41-H41)*IS!J32</f>
        <v>7629.4819120021803</v>
      </c>
      <c r="K29" s="163">
        <f>(K23-J41)/(K41-J41)*IS!L32+(J41-J32)/(J41-I41)*IS!K32</f>
        <v>7613.9459971274773</v>
      </c>
      <c r="L29" s="163">
        <f>(L23-K41)/(L41-K41)*IS!M32+(K41-K32)/(K41-J41)*IS!L32</f>
        <v>7587.2220693965428</v>
      </c>
      <c r="M29" s="163">
        <f>(M23-L41)/(M41-L41)*IS!N32+(L41-L32)/(L41-K41)*IS!M32</f>
        <v>7590.7823728332532</v>
      </c>
      <c r="N29" s="163">
        <f>(N23-M41)/(N41-M41)*IS!O32+(M41-M32)/(M41-L41)*IS!N32</f>
        <v>7521.1804973803883</v>
      </c>
      <c r="O29" s="163">
        <f>(O23-N41)/(O41-N41)*IS!P32+(N41-N32)/(N41-M41)*IS!O32</f>
        <v>7502.4358144109829</v>
      </c>
      <c r="P29" s="163">
        <f>(P23-O41)/(P41-O41)*IS!Q32+(O41-O32)/(O41-N41)*IS!P32</f>
        <v>7472.561143163055</v>
      </c>
      <c r="Q29" s="163">
        <f>(Q23-P41)/(Q41-P41)*IS!R32+(P41-P32)/(P41-O41)*IS!Q32</f>
        <v>7472.3883348503232</v>
      </c>
      <c r="R29" s="163">
        <f>(R23-Q41)/(R41-Q41)*IS!S32+(Q41-Q32)/(Q41-P41)*IS!R32</f>
        <v>7400.1068639753958</v>
      </c>
      <c r="S29" s="163">
        <f>(S23-R41)/(S41-R41)*IS!T32+(R41-R32)/(R41-Q41)*IS!S32</f>
        <v>7377.768229123667</v>
      </c>
      <c r="T29" s="163">
        <f>(T23-S41)/(T41-S41)*IS!U32+(S41-S32)/(S41-R41)*IS!T32</f>
        <v>7344.3641304446073</v>
      </c>
      <c r="U29" s="163">
        <f>(U23-T41)/(U41-T41)*IS!V32+(T41-T32)/(T41-S41)*IS!U32</f>
        <v>7340.0103916065054</v>
      </c>
      <c r="V29" s="163">
        <f>(V23-U41)/(V41-U41)*IS!W32+(U41-U32)/(U41-T41)*IS!V32</f>
        <v>4703.3562955889156</v>
      </c>
      <c r="W29" s="163">
        <f>(W23-V41)/(W41-V41)*IS!X32+(V41-V32)/(V41-U41)*IS!W32</f>
        <v>385.28203832948361</v>
      </c>
      <c r="X29" s="163">
        <f>(X23-W41)/(X41-W41)*IS!Y32+(W41-W32)/(W41-V41)*IS!X32</f>
        <v>-1382.4165761737399</v>
      </c>
      <c r="Y29" s="163">
        <f>(Y23-X41)/(Y41-X41)*IS!Z32+(X41-X32)/(X41-W41)*IS!Y32</f>
        <v>-1426.7603659518641</v>
      </c>
      <c r="Z29" s="163">
        <f>(Z23-Y41)/(Z41-Y41)*IS!AA32+(Y41-Y32)/(Y41-X41)*IS!Z32</f>
        <v>-1458.3789242155931</v>
      </c>
      <c r="AA29" s="163">
        <f>(AA23-Z41)/(AA41-Z41)*IS!AB32+(Z41-Z32)/(Z41-Y41)*IS!AA32</f>
        <v>-1500.9803543207972</v>
      </c>
      <c r="AB29" s="163">
        <f>(AB23-AA41)/(AB41-AA41)*IS!AC32+(AA41-AA32)/(AA41-Z41)*IS!AB32</f>
        <v>-1542.769623194821</v>
      </c>
      <c r="AC29" s="163">
        <f>(AC23-AB41)/(AC41-AB41)*IS!AD32+(AB41-AB32)/(AB41-AA41)*IS!AC32</f>
        <v>-1592.3601718539612</v>
      </c>
      <c r="AD29" s="163">
        <f>(AD23-AC41)/(AD41-AC41)*IS!AE32+(AC41-AC32)/(AC41-AB41)*IS!AD32</f>
        <v>-1627.7530662728682</v>
      </c>
      <c r="AE29" s="163">
        <f>(AE23-AD41)/(AE41-AD41)*IS!AF32+(AD41-AD32)/(AD41-AC41)*IS!AE32</f>
        <v>-1675.4091671893402</v>
      </c>
      <c r="AF29" s="163">
        <f>(AF23-AE41)/(AG23-AE41)*IS!AG32+(AE41-AE32)/(AE41-AD41)*IS!AF32</f>
        <v>-3482.4629910123103</v>
      </c>
      <c r="AG29"/>
    </row>
    <row r="30" spans="1:33">
      <c r="A30" s="412" t="s">
        <v>0</v>
      </c>
      <c r="B30" s="414"/>
      <c r="C30" s="413">
        <f>IF(C28&gt;0.1,C29/(C27+C26+B44)," ")</f>
        <v>1.2912307697160663</v>
      </c>
      <c r="D30" s="413">
        <f t="shared" ref="D30:AF30" si="7">IF(D28&gt;0.1,D29/(D27+D26+C44)," ")</f>
        <v>1.2973450889337936</v>
      </c>
      <c r="E30" s="413">
        <f t="shared" si="7"/>
        <v>1.3018160173206255</v>
      </c>
      <c r="F30" s="413">
        <f t="shared" si="7"/>
        <v>1.2965124948277258</v>
      </c>
      <c r="G30" s="413">
        <f t="shared" si="7"/>
        <v>1.2974325459523663</v>
      </c>
      <c r="H30" s="413">
        <f t="shared" si="7"/>
        <v>1.2974637541195793</v>
      </c>
      <c r="I30" s="413">
        <f t="shared" si="7"/>
        <v>1.3019383224072252</v>
      </c>
      <c r="J30" s="413">
        <f t="shared" si="7"/>
        <v>1.2966394400307479</v>
      </c>
      <c r="K30" s="413">
        <f t="shared" si="7"/>
        <v>1.2975641558698261</v>
      </c>
      <c r="L30" s="413" t="str">
        <f t="shared" si="7"/>
        <v xml:space="preserve"> </v>
      </c>
      <c r="M30" s="413" t="str">
        <f t="shared" si="7"/>
        <v xml:space="preserve"> </v>
      </c>
      <c r="N30" s="413" t="str">
        <f t="shared" si="7"/>
        <v xml:space="preserve"> </v>
      </c>
      <c r="O30" s="413" t="str">
        <f t="shared" si="7"/>
        <v xml:space="preserve"> </v>
      </c>
      <c r="P30" s="413" t="str">
        <f t="shared" si="7"/>
        <v xml:space="preserve"> </v>
      </c>
      <c r="Q30" s="413" t="str">
        <f t="shared" si="7"/>
        <v xml:space="preserve"> </v>
      </c>
      <c r="R30" s="413" t="str">
        <f t="shared" si="7"/>
        <v xml:space="preserve"> </v>
      </c>
      <c r="S30" s="413" t="str">
        <f t="shared" si="7"/>
        <v xml:space="preserve"> </v>
      </c>
      <c r="T30" s="413" t="str">
        <f t="shared" si="7"/>
        <v xml:space="preserve"> </v>
      </c>
      <c r="U30" s="413" t="str">
        <f t="shared" si="7"/>
        <v xml:space="preserve"> </v>
      </c>
      <c r="V30" s="413" t="str">
        <f t="shared" si="7"/>
        <v xml:space="preserve"> </v>
      </c>
      <c r="W30" s="413">
        <f t="shared" si="7"/>
        <v>-1.0162808121962799</v>
      </c>
      <c r="X30" s="413">
        <f t="shared" si="7"/>
        <v>1.2875934674556049</v>
      </c>
      <c r="Y30" s="413">
        <f t="shared" si="7"/>
        <v>1.2920710514617197</v>
      </c>
      <c r="Z30" s="413">
        <f t="shared" si="7"/>
        <v>1.2867067224162796</v>
      </c>
      <c r="AA30" s="413">
        <f t="shared" si="7"/>
        <v>1.2875778462158989</v>
      </c>
      <c r="AB30" s="413">
        <f t="shared" si="7"/>
        <v>1.2875726964664067</v>
      </c>
      <c r="AC30" s="413">
        <f t="shared" si="7"/>
        <v>1.2920504797997778</v>
      </c>
      <c r="AD30" s="413">
        <f t="shared" si="7"/>
        <v>1.2866862095402671</v>
      </c>
      <c r="AE30" s="413">
        <f t="shared" si="7"/>
        <v>1.2875574192876289</v>
      </c>
      <c r="AF30" s="413">
        <f t="shared" si="7"/>
        <v>2.08120322325827</v>
      </c>
      <c r="AG30"/>
    </row>
    <row r="31" spans="1:33">
      <c r="A31" s="11"/>
      <c r="B31" s="388"/>
      <c r="C31" s="53"/>
      <c r="AG31"/>
    </row>
    <row r="32" spans="1:33">
      <c r="A32" s="411" t="s">
        <v>420</v>
      </c>
      <c r="B32" s="399">
        <v>37165</v>
      </c>
      <c r="C32" s="399">
        <v>37530</v>
      </c>
      <c r="D32" s="399">
        <v>37895</v>
      </c>
      <c r="E32" s="399">
        <v>38261</v>
      </c>
      <c r="F32" s="399">
        <v>38626</v>
      </c>
      <c r="G32" s="399">
        <v>38991</v>
      </c>
      <c r="H32" s="399">
        <v>39356</v>
      </c>
      <c r="I32" s="399">
        <v>39722</v>
      </c>
      <c r="J32" s="399">
        <v>40087</v>
      </c>
      <c r="K32" s="399">
        <v>40452</v>
      </c>
      <c r="L32" s="399">
        <v>40817</v>
      </c>
      <c r="M32" s="399">
        <v>41183</v>
      </c>
      <c r="N32" s="399">
        <v>41548</v>
      </c>
      <c r="O32" s="399">
        <v>41913</v>
      </c>
      <c r="P32" s="399">
        <v>42278</v>
      </c>
      <c r="Q32" s="399">
        <v>42644</v>
      </c>
      <c r="R32" s="399">
        <v>43009</v>
      </c>
      <c r="S32" s="399">
        <v>43374</v>
      </c>
      <c r="T32" s="399">
        <v>43739</v>
      </c>
      <c r="U32" s="399">
        <v>44105</v>
      </c>
      <c r="V32" s="399">
        <v>44470</v>
      </c>
      <c r="W32" s="399">
        <v>44835</v>
      </c>
      <c r="X32" s="399">
        <v>45200</v>
      </c>
      <c r="Y32" s="399">
        <v>45566</v>
      </c>
      <c r="Z32" s="399">
        <v>45931</v>
      </c>
      <c r="AA32" s="399">
        <v>46296</v>
      </c>
      <c r="AB32" s="399">
        <v>46661</v>
      </c>
      <c r="AC32" s="399">
        <v>47027</v>
      </c>
      <c r="AD32" s="399">
        <v>47392</v>
      </c>
      <c r="AE32" s="399">
        <v>47757</v>
      </c>
      <c r="AF32" s="399">
        <v>47969</v>
      </c>
      <c r="AG32"/>
    </row>
    <row r="33" spans="1:39">
      <c r="A33" s="48" t="s">
        <v>56</v>
      </c>
      <c r="B33" s="389">
        <f>B19</f>
        <v>75505.500901236432</v>
      </c>
      <c r="C33" s="48">
        <f>C28</f>
        <v>70830.936964559252</v>
      </c>
      <c r="D33" s="48">
        <f t="shared" ref="D33:AF33" si="8">D28</f>
        <v>64740.951426119944</v>
      </c>
      <c r="E33" s="48">
        <f t="shared" si="8"/>
        <v>58134.220624487476</v>
      </c>
      <c r="F33" s="48">
        <f t="shared" si="8"/>
        <v>50972.322956910575</v>
      </c>
      <c r="G33" s="48">
        <f t="shared" si="8"/>
        <v>43239.739055191443</v>
      </c>
      <c r="H33" s="48">
        <f t="shared" si="8"/>
        <v>34869.075380081827</v>
      </c>
      <c r="I33" s="48">
        <f t="shared" si="8"/>
        <v>25811.523967378744</v>
      </c>
      <c r="J33" s="48">
        <f t="shared" si="8"/>
        <v>16001.45587808199</v>
      </c>
      <c r="K33" s="48">
        <f t="shared" si="8"/>
        <v>5389.1762591753904</v>
      </c>
      <c r="L33" s="48">
        <f t="shared" si="8"/>
        <v>0</v>
      </c>
      <c r="M33" s="48">
        <f t="shared" si="8"/>
        <v>0</v>
      </c>
      <c r="N33" s="48">
        <f t="shared" si="8"/>
        <v>0</v>
      </c>
      <c r="O33" s="48">
        <f t="shared" si="8"/>
        <v>0</v>
      </c>
      <c r="P33" s="48">
        <f t="shared" si="8"/>
        <v>0</v>
      </c>
      <c r="Q33" s="48">
        <f t="shared" si="8"/>
        <v>0</v>
      </c>
      <c r="R33" s="48">
        <f t="shared" si="8"/>
        <v>0</v>
      </c>
      <c r="S33" s="48">
        <f t="shared" si="8"/>
        <v>0</v>
      </c>
      <c r="T33" s="48">
        <f t="shared" si="8"/>
        <v>0</v>
      </c>
      <c r="U33" s="48">
        <f t="shared" si="8"/>
        <v>0</v>
      </c>
      <c r="V33" s="48">
        <f t="shared" si="8"/>
        <v>0</v>
      </c>
      <c r="W33" s="48">
        <f t="shared" si="8"/>
        <v>379.10982250747441</v>
      </c>
      <c r="X33" s="48">
        <f t="shared" si="8"/>
        <v>1880.8404366752675</v>
      </c>
      <c r="Y33" s="48">
        <f t="shared" si="8"/>
        <v>4268.0296491044301</v>
      </c>
      <c r="Z33" s="48">
        <f t="shared" si="8"/>
        <v>6922.1462015798679</v>
      </c>
      <c r="AA33" s="48">
        <f t="shared" si="8"/>
        <v>9870.2293682169184</v>
      </c>
      <c r="AB33" s="48">
        <f t="shared" si="8"/>
        <v>13140.374538381544</v>
      </c>
      <c r="AC33" s="48">
        <f t="shared" si="8"/>
        <v>16765.05116457133</v>
      </c>
      <c r="AD33" s="48">
        <f t="shared" si="8"/>
        <v>20766.981323088839</v>
      </c>
      <c r="AE33" s="48">
        <f t="shared" si="8"/>
        <v>25189.607632855535</v>
      </c>
      <c r="AF33" s="48">
        <f t="shared" si="8"/>
        <v>30405.897198906754</v>
      </c>
      <c r="AG33"/>
    </row>
    <row r="34" spans="1:39">
      <c r="A34" s="48" t="s">
        <v>332</v>
      </c>
      <c r="B34" s="389">
        <v>0</v>
      </c>
      <c r="C34" s="389">
        <v>0</v>
      </c>
      <c r="D34" s="389">
        <v>0</v>
      </c>
      <c r="E34" s="389">
        <v>0</v>
      </c>
      <c r="F34" s="389">
        <v>0</v>
      </c>
      <c r="G34" s="389">
        <v>0</v>
      </c>
      <c r="H34" s="389">
        <v>0</v>
      </c>
      <c r="I34" s="389">
        <v>0</v>
      </c>
      <c r="J34" s="389">
        <v>0</v>
      </c>
      <c r="K34" s="389">
        <v>0</v>
      </c>
      <c r="L34" s="389">
        <v>0</v>
      </c>
      <c r="M34" s="389">
        <v>0</v>
      </c>
      <c r="N34" s="389">
        <v>0</v>
      </c>
      <c r="O34" s="389">
        <v>0</v>
      </c>
      <c r="P34" s="389">
        <v>0</v>
      </c>
      <c r="Q34" s="389">
        <v>0</v>
      </c>
      <c r="R34" s="389">
        <v>0</v>
      </c>
      <c r="S34" s="389">
        <v>0</v>
      </c>
      <c r="T34" s="389">
        <v>0</v>
      </c>
      <c r="U34" s="389">
        <v>0</v>
      </c>
      <c r="V34" s="389">
        <v>0</v>
      </c>
      <c r="W34" s="389">
        <v>0</v>
      </c>
      <c r="X34" s="389">
        <v>0</v>
      </c>
      <c r="Y34" s="389">
        <v>0</v>
      </c>
      <c r="Z34" s="389">
        <v>0</v>
      </c>
      <c r="AA34" s="389">
        <v>0</v>
      </c>
      <c r="AB34" s="389">
        <v>0</v>
      </c>
      <c r="AC34" s="389">
        <v>0</v>
      </c>
      <c r="AD34" s="389">
        <v>0</v>
      </c>
      <c r="AE34" s="389">
        <v>0</v>
      </c>
      <c r="AF34" s="389">
        <v>0</v>
      </c>
      <c r="AG34"/>
    </row>
    <row r="35" spans="1:39">
      <c r="A35" s="48" t="s">
        <v>57</v>
      </c>
      <c r="B35" s="48">
        <f>B33-B37</f>
        <v>1810.2330922575202</v>
      </c>
      <c r="C35" s="48">
        <f>C33-C37</f>
        <v>2968.1675629610108</v>
      </c>
      <c r="D35" s="48">
        <f t="shared" ref="D35:AF35" si="9">D33-D37</f>
        <v>3239.0550801616773</v>
      </c>
      <c r="E35" s="48">
        <f t="shared" si="9"/>
        <v>3514.3629634242679</v>
      </c>
      <c r="F35" s="48">
        <f t="shared" si="9"/>
        <v>3787.0974025537726</v>
      </c>
      <c r="G35" s="48">
        <f t="shared" si="9"/>
        <v>4102.6407411445252</v>
      </c>
      <c r="H35" s="48">
        <f t="shared" si="9"/>
        <v>4440.7967514476477</v>
      </c>
      <c r="I35" s="48">
        <f t="shared" si="9"/>
        <v>4814.7285633519205</v>
      </c>
      <c r="J35" s="48">
        <f t="shared" si="9"/>
        <v>5202.1177039362483</v>
      </c>
      <c r="K35" s="48">
        <f t="shared" si="9"/>
        <v>5389.1762591753904</v>
      </c>
      <c r="L35" s="48">
        <f t="shared" si="9"/>
        <v>0</v>
      </c>
      <c r="M35" s="48">
        <f t="shared" si="9"/>
        <v>0</v>
      </c>
      <c r="N35" s="48">
        <f t="shared" si="9"/>
        <v>0</v>
      </c>
      <c r="O35" s="48">
        <f t="shared" si="9"/>
        <v>0</v>
      </c>
      <c r="P35" s="48">
        <f t="shared" si="9"/>
        <v>0</v>
      </c>
      <c r="Q35" s="48">
        <f t="shared" si="9"/>
        <v>0</v>
      </c>
      <c r="R35" s="48">
        <f t="shared" si="9"/>
        <v>0</v>
      </c>
      <c r="S35" s="48">
        <f t="shared" si="9"/>
        <v>0</v>
      </c>
      <c r="T35" s="48">
        <f t="shared" si="9"/>
        <v>0</v>
      </c>
      <c r="U35" s="48">
        <f t="shared" si="9"/>
        <v>0</v>
      </c>
      <c r="V35" s="48">
        <f t="shared" si="9"/>
        <v>0</v>
      </c>
      <c r="W35" s="48">
        <f t="shared" si="9"/>
        <v>-395.26613288858061</v>
      </c>
      <c r="X35" s="48">
        <f t="shared" si="9"/>
        <v>-1153.7983907655325</v>
      </c>
      <c r="Y35" s="48">
        <f t="shared" si="9"/>
        <v>-1285.6342228386929</v>
      </c>
      <c r="Z35" s="48">
        <f t="shared" si="9"/>
        <v>-1428.4170543798427</v>
      </c>
      <c r="AA35" s="48">
        <f t="shared" si="9"/>
        <v>-1586.3735211693092</v>
      </c>
      <c r="AB35" s="48">
        <f t="shared" si="9"/>
        <v>-1758.1959756959204</v>
      </c>
      <c r="AC35" s="48">
        <f t="shared" si="9"/>
        <v>-1944.9434354051737</v>
      </c>
      <c r="AD35" s="48">
        <f t="shared" si="9"/>
        <v>-2150.0886211824618</v>
      </c>
      <c r="AE35" s="48">
        <f t="shared" si="9"/>
        <v>-2374.7220028066731</v>
      </c>
      <c r="AF35" s="48">
        <f t="shared" si="9"/>
        <v>-1885.7178602130916</v>
      </c>
      <c r="AG35"/>
    </row>
    <row r="36" spans="1:39">
      <c r="A36" s="48" t="s">
        <v>58</v>
      </c>
      <c r="B36" s="392">
        <f>B33*(B32-Assumptions!H17)/365.25*$E$64</f>
        <v>2143.7153849303813</v>
      </c>
      <c r="C36" s="392">
        <f t="shared" ref="C36:AF36" si="10">C33*(C32-C23)/(C41-B41)*$E$64</f>
        <v>3018.5622588595052</v>
      </c>
      <c r="D36" s="392">
        <f t="shared" si="10"/>
        <v>2759.0287655706738</v>
      </c>
      <c r="E36" s="392">
        <f t="shared" si="10"/>
        <v>2470.7043765407184</v>
      </c>
      <c r="F36" s="392">
        <f t="shared" si="10"/>
        <v>2172.2588591636822</v>
      </c>
      <c r="G36" s="392">
        <f t="shared" si="10"/>
        <v>1842.7236739821997</v>
      </c>
      <c r="H36" s="392">
        <f t="shared" si="10"/>
        <v>1485.9958014717065</v>
      </c>
      <c r="I36" s="392">
        <f t="shared" si="10"/>
        <v>1096.9897686135967</v>
      </c>
      <c r="J36" s="392">
        <f t="shared" si="10"/>
        <v>681.9250580371654</v>
      </c>
      <c r="K36" s="392">
        <f t="shared" si="10"/>
        <v>229.66749783965261</v>
      </c>
      <c r="L36" s="392">
        <f t="shared" si="10"/>
        <v>0</v>
      </c>
      <c r="M36" s="392">
        <f t="shared" si="10"/>
        <v>0</v>
      </c>
      <c r="N36" s="392">
        <f t="shared" si="10"/>
        <v>0</v>
      </c>
      <c r="O36" s="392">
        <f t="shared" si="10"/>
        <v>0</v>
      </c>
      <c r="P36" s="392">
        <f t="shared" si="10"/>
        <v>0</v>
      </c>
      <c r="Q36" s="392">
        <f t="shared" si="10"/>
        <v>0</v>
      </c>
      <c r="R36" s="392">
        <f t="shared" si="10"/>
        <v>0</v>
      </c>
      <c r="S36" s="392">
        <f t="shared" si="10"/>
        <v>0</v>
      </c>
      <c r="T36" s="392">
        <f t="shared" si="10"/>
        <v>0</v>
      </c>
      <c r="U36" s="392">
        <f t="shared" si="10"/>
        <v>0</v>
      </c>
      <c r="V36" s="392">
        <f t="shared" si="10"/>
        <v>0</v>
      </c>
      <c r="W36" s="392">
        <f t="shared" si="10"/>
        <v>16.156310381106206</v>
      </c>
      <c r="X36" s="392">
        <f t="shared" si="10"/>
        <v>80.15472052735285</v>
      </c>
      <c r="Y36" s="392">
        <f t="shared" si="10"/>
        <v>181.3912600869383</v>
      </c>
      <c r="Z36" s="392">
        <f t="shared" si="10"/>
        <v>294.99721689198589</v>
      </c>
      <c r="AA36" s="392">
        <f t="shared" si="10"/>
        <v>420.63402143181969</v>
      </c>
      <c r="AB36" s="392">
        <f t="shared" si="10"/>
        <v>559.99596149184913</v>
      </c>
      <c r="AC36" s="392">
        <f t="shared" si="10"/>
        <v>712.51467449428162</v>
      </c>
      <c r="AD36" s="392">
        <f t="shared" si="10"/>
        <v>885.0147793990327</v>
      </c>
      <c r="AE36" s="392">
        <f t="shared" si="10"/>
        <v>1073.4913609015557</v>
      </c>
      <c r="AF36" s="392">
        <f t="shared" si="10"/>
        <v>212.42476125263624</v>
      </c>
      <c r="AG36"/>
    </row>
    <row r="37" spans="1:39">
      <c r="A37" s="48" t="s">
        <v>59</v>
      </c>
      <c r="B37" s="163">
        <f>MAX(B33+B34+B36-B13,0)</f>
        <v>73695.267808978911</v>
      </c>
      <c r="C37" s="163">
        <f>MAX(C33+C34+C36-0.5*C13,0)</f>
        <v>67862.769401598242</v>
      </c>
      <c r="D37" s="163">
        <f t="shared" ref="D37:AF37" si="11">MAX(D33+D34+D36-0.5*D13,0)</f>
        <v>61501.896345958266</v>
      </c>
      <c r="E37" s="163">
        <f t="shared" si="11"/>
        <v>54619.857661063208</v>
      </c>
      <c r="F37" s="163">
        <f t="shared" si="11"/>
        <v>47185.225554356803</v>
      </c>
      <c r="G37" s="163">
        <f t="shared" si="11"/>
        <v>39137.098314046918</v>
      </c>
      <c r="H37" s="163">
        <f t="shared" si="11"/>
        <v>30428.27862863418</v>
      </c>
      <c r="I37" s="163">
        <f t="shared" si="11"/>
        <v>20996.795404026823</v>
      </c>
      <c r="J37" s="163">
        <f t="shared" si="11"/>
        <v>10799.338174145742</v>
      </c>
      <c r="K37" s="163">
        <f t="shared" si="11"/>
        <v>0</v>
      </c>
      <c r="L37" s="163">
        <f t="shared" si="11"/>
        <v>0</v>
      </c>
      <c r="M37" s="163">
        <f t="shared" si="11"/>
        <v>0</v>
      </c>
      <c r="N37" s="163">
        <f t="shared" si="11"/>
        <v>0</v>
      </c>
      <c r="O37" s="163">
        <f t="shared" si="11"/>
        <v>0</v>
      </c>
      <c r="P37" s="163">
        <f t="shared" si="11"/>
        <v>0</v>
      </c>
      <c r="Q37" s="163">
        <f t="shared" si="11"/>
        <v>0</v>
      </c>
      <c r="R37" s="163">
        <f t="shared" si="11"/>
        <v>0</v>
      </c>
      <c r="S37" s="163">
        <f t="shared" si="11"/>
        <v>0</v>
      </c>
      <c r="T37" s="163">
        <f t="shared" si="11"/>
        <v>0</v>
      </c>
      <c r="U37" s="163">
        <f t="shared" si="11"/>
        <v>0</v>
      </c>
      <c r="V37" s="163">
        <f t="shared" si="11"/>
        <v>0</v>
      </c>
      <c r="W37" s="163">
        <f t="shared" si="11"/>
        <v>774.37595539605502</v>
      </c>
      <c r="X37" s="163">
        <f t="shared" si="11"/>
        <v>3034.6388274408</v>
      </c>
      <c r="Y37" s="163">
        <f t="shared" si="11"/>
        <v>5553.663871943123</v>
      </c>
      <c r="Z37" s="163">
        <f t="shared" si="11"/>
        <v>8350.5632559597107</v>
      </c>
      <c r="AA37" s="163">
        <f t="shared" si="11"/>
        <v>11456.602889386228</v>
      </c>
      <c r="AB37" s="163">
        <f t="shared" si="11"/>
        <v>14898.570514077464</v>
      </c>
      <c r="AC37" s="163">
        <f t="shared" si="11"/>
        <v>18709.994599976504</v>
      </c>
      <c r="AD37" s="163">
        <f t="shared" si="11"/>
        <v>22917.069944271301</v>
      </c>
      <c r="AE37" s="163">
        <f t="shared" si="11"/>
        <v>27564.329635662209</v>
      </c>
      <c r="AF37" s="163">
        <f t="shared" si="11"/>
        <v>32291.615059119846</v>
      </c>
      <c r="AG37"/>
    </row>
    <row r="38" spans="1:39">
      <c r="A38" s="48" t="s">
        <v>334</v>
      </c>
      <c r="B38" s="163">
        <f>(B32-Assumptions!H17)/(Debt!B41-Assumptions!H17)*IS!C32</f>
        <v>5140.1330203442867</v>
      </c>
      <c r="C38" s="163">
        <f>(C32-C23)/(C41-B41)*IS!D32</f>
        <v>7835.2477808219201</v>
      </c>
      <c r="D38" s="163">
        <f>(D32-D23)/(D41-C41)*IS!E32</f>
        <v>7813.4333786301377</v>
      </c>
      <c r="E38" s="163">
        <f>(E32-E23)/(E41-D41)*IS!F32</f>
        <v>7769.7185559999971</v>
      </c>
      <c r="F38" s="163">
        <f>(F32-F23)/(F41-E41)*IS!G32</f>
        <v>7767.9464260188506</v>
      </c>
      <c r="G38" s="163">
        <f>(G32-G23)/(G41-F41)*IS!H32</f>
        <v>7744.2381895970047</v>
      </c>
      <c r="H38" s="163">
        <f>(H32-H23)/(H41-G41)*IS!I32</f>
        <v>7719.8621219916067</v>
      </c>
      <c r="I38" s="163">
        <f>(I32-I23)/(I41-H41)*IS!J32</f>
        <v>7673.7750154471178</v>
      </c>
      <c r="J38" s="163">
        <f>(J32-J23)/(J41-I41)*IS!K32</f>
        <v>7669.0292691286968</v>
      </c>
      <c r="K38" s="163">
        <f>(K32-K23)/(K41-J41)*IS!L32</f>
        <v>7642.532461358428</v>
      </c>
      <c r="L38" s="163">
        <f>(L32-L23)/(L41-K41)*IS!M32</f>
        <v>7615.287744131324</v>
      </c>
      <c r="M38" s="163">
        <f>(M32-M23)/(M41-L41)*IS!N32</f>
        <v>7566.5433642666858</v>
      </c>
      <c r="N38" s="163">
        <f>(N32-N23)/(N41-M41)*IS!O32</f>
        <v>7558.4679656301387</v>
      </c>
      <c r="O38" s="163">
        <f>(O32-O23)/(O41-N41)*IS!P32</f>
        <v>7528.8480128007395</v>
      </c>
      <c r="P38" s="163">
        <f>(P32-P23)/(P41-O41)*IS!Q32</f>
        <v>7498.3903300436468</v>
      </c>
      <c r="Q38" s="163">
        <f>(Q32-Q23)/(Q41-P41)*IS!R32</f>
        <v>7446.6689700395364</v>
      </c>
      <c r="R38" s="163">
        <f>(R32-R23)/(R41-Q41)*IS!S32</f>
        <v>7434.8646135593372</v>
      </c>
      <c r="S38" s="163">
        <f>(S32-S23)/(S41-R41)*IS!T32</f>
        <v>7401.7462208322149</v>
      </c>
      <c r="T38" s="163">
        <f>(T32-T23)/(T41-S41)*IS!U32</f>
        <v>7367.6893381937543</v>
      </c>
      <c r="U38" s="163">
        <f>(U32-U23)/(U41-T41)*IS!V32</f>
        <v>7312.6323031343363</v>
      </c>
      <c r="V38" s="163">
        <f>(V32-V23)/(V41-U41)*IS!W32</f>
        <v>2145.7655220609558</v>
      </c>
      <c r="W38" s="163">
        <f>(W32-W23)/(W41-V41)*IS!X32</f>
        <v>-1370.9675768489171</v>
      </c>
      <c r="X38" s="163">
        <f>(X32-X23)/(X41-W41)*IS!Y32</f>
        <v>-1409.0569664455272</v>
      </c>
      <c r="Y38" s="163">
        <f>(Y32-Y23)/(Y41-X41)*IS!Z32</f>
        <v>-1444.2713372026974</v>
      </c>
      <c r="Z38" s="163">
        <f>(Z32-Z23)/(Z41-Y41)*IS!AA32</f>
        <v>-1488.5126532528366</v>
      </c>
      <c r="AA38" s="163">
        <f>(AA32-AA23)/(AA41-Z41)*IS!AB32</f>
        <v>-1529.9423449966791</v>
      </c>
      <c r="AB38" s="163">
        <f>(AB32-AB23)/(AB41-AA41)*IS!AC32</f>
        <v>-1572.5504137357632</v>
      </c>
      <c r="AC38" s="163">
        <f>(AC32-AC23)/(AC41-AB41)*IS!AD32</f>
        <v>-1611.9546065143527</v>
      </c>
      <c r="AD38" s="163">
        <f>(AD32-AD23)/(AD41-AC41)*IS!AE32</f>
        <v>-1661.4389223640524</v>
      </c>
      <c r="AE38" s="163">
        <f>(AE32-AE23)/(AE41-AD41)*IS!AF32</f>
        <v>-1707.7905017639621</v>
      </c>
      <c r="AF38" s="163">
        <f>(AF32-AF23)/(AG23-AE41)*IS!AG32</f>
        <v>-868.09906628487181</v>
      </c>
      <c r="AG38"/>
    </row>
    <row r="39" spans="1:39">
      <c r="A39" s="412" t="s">
        <v>0</v>
      </c>
      <c r="B39" s="413">
        <f t="shared" ref="B39:AF39" si="12">IF(B37&gt;0.1,B38/(B36+B35)," ")</f>
        <v>1.3000000000000038</v>
      </c>
      <c r="C39" s="413">
        <f t="shared" si="12"/>
        <v>1.3087692302839358</v>
      </c>
      <c r="D39" s="413">
        <f t="shared" si="12"/>
        <v>1.3026549110662085</v>
      </c>
      <c r="E39" s="413">
        <f t="shared" si="12"/>
        <v>1.2981839826793748</v>
      </c>
      <c r="F39" s="413">
        <f t="shared" si="12"/>
        <v>1.3034875051722734</v>
      </c>
      <c r="G39" s="413">
        <f t="shared" si="12"/>
        <v>1.3025674540476315</v>
      </c>
      <c r="H39" s="413">
        <f t="shared" si="12"/>
        <v>1.3025362458804202</v>
      </c>
      <c r="I39" s="413">
        <f t="shared" si="12"/>
        <v>1.2980616775927745</v>
      </c>
      <c r="J39" s="413">
        <f t="shared" si="12"/>
        <v>1.3033605599692528</v>
      </c>
      <c r="K39" s="413" t="str">
        <f t="shared" si="12"/>
        <v xml:space="preserve"> </v>
      </c>
      <c r="L39" s="413" t="str">
        <f t="shared" si="12"/>
        <v xml:space="preserve"> </v>
      </c>
      <c r="M39" s="413" t="str">
        <f t="shared" si="12"/>
        <v xml:space="preserve"> </v>
      </c>
      <c r="N39" s="413" t="str">
        <f t="shared" si="12"/>
        <v xml:space="preserve"> </v>
      </c>
      <c r="O39" s="413" t="str">
        <f t="shared" si="12"/>
        <v xml:space="preserve"> </v>
      </c>
      <c r="P39" s="413" t="str">
        <f t="shared" si="12"/>
        <v xml:space="preserve"> </v>
      </c>
      <c r="Q39" s="413" t="str">
        <f t="shared" si="12"/>
        <v xml:space="preserve"> </v>
      </c>
      <c r="R39" s="413" t="str">
        <f t="shared" si="12"/>
        <v xml:space="preserve"> </v>
      </c>
      <c r="S39" s="413" t="str">
        <f t="shared" si="12"/>
        <v xml:space="preserve"> </v>
      </c>
      <c r="T39" s="413" t="str">
        <f t="shared" si="12"/>
        <v xml:space="preserve"> </v>
      </c>
      <c r="U39" s="413" t="str">
        <f t="shared" si="12"/>
        <v xml:space="preserve"> </v>
      </c>
      <c r="V39" s="413" t="str">
        <f t="shared" si="12"/>
        <v xml:space="preserve"> </v>
      </c>
      <c r="W39" s="413">
        <f t="shared" si="12"/>
        <v>3.6162808121962802</v>
      </c>
      <c r="X39" s="413">
        <f t="shared" si="12"/>
        <v>1.3124065325443948</v>
      </c>
      <c r="Y39" s="413">
        <f t="shared" si="12"/>
        <v>1.3079289485382799</v>
      </c>
      <c r="Z39" s="413">
        <f t="shared" si="12"/>
        <v>1.3132932775837214</v>
      </c>
      <c r="AA39" s="413">
        <f t="shared" si="12"/>
        <v>1.3124221537841034</v>
      </c>
      <c r="AB39" s="413">
        <f t="shared" si="12"/>
        <v>1.3124273035335938</v>
      </c>
      <c r="AC39" s="413">
        <f t="shared" si="12"/>
        <v>1.30794952020022</v>
      </c>
      <c r="AD39" s="413">
        <f t="shared" si="12"/>
        <v>1.3133137904597334</v>
      </c>
      <c r="AE39" s="413">
        <f t="shared" si="12"/>
        <v>1.312442580712367</v>
      </c>
      <c r="AF39" s="413">
        <f t="shared" si="12"/>
        <v>0.51879677674173408</v>
      </c>
    </row>
    <row r="40" spans="1:39">
      <c r="A40" s="48"/>
      <c r="B40" s="163"/>
      <c r="C40" s="163"/>
      <c r="D40" s="163"/>
      <c r="E40" s="163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</row>
    <row r="41" spans="1:39">
      <c r="A41"/>
      <c r="B41" s="402">
        <f>B8</f>
        <v>37256</v>
      </c>
      <c r="C41" s="402">
        <f t="shared" ref="C41:AF41" si="13">C8</f>
        <v>37621</v>
      </c>
      <c r="D41" s="402">
        <f t="shared" si="13"/>
        <v>37986</v>
      </c>
      <c r="E41" s="402">
        <f t="shared" si="13"/>
        <v>38352</v>
      </c>
      <c r="F41" s="402">
        <f t="shared" si="13"/>
        <v>38717</v>
      </c>
      <c r="G41" s="402">
        <f t="shared" si="13"/>
        <v>39082</v>
      </c>
      <c r="H41" s="402">
        <f t="shared" si="13"/>
        <v>39447</v>
      </c>
      <c r="I41" s="402">
        <f t="shared" si="13"/>
        <v>39813</v>
      </c>
      <c r="J41" s="402">
        <f t="shared" si="13"/>
        <v>40178</v>
      </c>
      <c r="K41" s="402">
        <f t="shared" si="13"/>
        <v>40543</v>
      </c>
      <c r="L41" s="402">
        <f t="shared" si="13"/>
        <v>40908</v>
      </c>
      <c r="M41" s="402">
        <f t="shared" si="13"/>
        <v>41274</v>
      </c>
      <c r="N41" s="402">
        <f t="shared" si="13"/>
        <v>41639</v>
      </c>
      <c r="O41" s="402">
        <f t="shared" si="13"/>
        <v>42004</v>
      </c>
      <c r="P41" s="402">
        <f t="shared" si="13"/>
        <v>42369</v>
      </c>
      <c r="Q41" s="402">
        <f t="shared" si="13"/>
        <v>42735</v>
      </c>
      <c r="R41" s="402">
        <f t="shared" si="13"/>
        <v>43100</v>
      </c>
      <c r="S41" s="402">
        <f t="shared" si="13"/>
        <v>43465</v>
      </c>
      <c r="T41" s="402">
        <f t="shared" si="13"/>
        <v>43830</v>
      </c>
      <c r="U41" s="402">
        <f t="shared" si="13"/>
        <v>44196</v>
      </c>
      <c r="V41" s="402">
        <f t="shared" si="13"/>
        <v>44561</v>
      </c>
      <c r="W41" s="402">
        <f t="shared" si="13"/>
        <v>44926</v>
      </c>
      <c r="X41" s="402">
        <f t="shared" si="13"/>
        <v>45291</v>
      </c>
      <c r="Y41" s="402">
        <f t="shared" si="13"/>
        <v>45657</v>
      </c>
      <c r="Z41" s="402">
        <f t="shared" si="13"/>
        <v>46022</v>
      </c>
      <c r="AA41" s="402">
        <f t="shared" si="13"/>
        <v>46387</v>
      </c>
      <c r="AB41" s="402">
        <f t="shared" si="13"/>
        <v>46752</v>
      </c>
      <c r="AC41" s="402">
        <f t="shared" si="13"/>
        <v>47118</v>
      </c>
      <c r="AD41" s="402">
        <f t="shared" si="13"/>
        <v>47483</v>
      </c>
      <c r="AE41" s="402">
        <f t="shared" si="13"/>
        <v>47848</v>
      </c>
      <c r="AF41" s="402">
        <f t="shared" si="13"/>
        <v>48213</v>
      </c>
    </row>
    <row r="42" spans="1:39">
      <c r="A42" s="48" t="s">
        <v>56</v>
      </c>
      <c r="B42" s="48">
        <f>B37</f>
        <v>73695.267808978911</v>
      </c>
      <c r="C42" s="48">
        <f>C37</f>
        <v>67862.769401598242</v>
      </c>
      <c r="D42" s="48">
        <f t="shared" ref="D42:AF42" si="14">D37</f>
        <v>61501.896345958266</v>
      </c>
      <c r="E42" s="48">
        <f t="shared" si="14"/>
        <v>54619.857661063208</v>
      </c>
      <c r="F42" s="48">
        <f t="shared" si="14"/>
        <v>47185.225554356803</v>
      </c>
      <c r="G42" s="48">
        <f t="shared" si="14"/>
        <v>39137.098314046918</v>
      </c>
      <c r="H42" s="48">
        <f t="shared" si="14"/>
        <v>30428.27862863418</v>
      </c>
      <c r="I42" s="48">
        <f t="shared" si="14"/>
        <v>20996.795404026823</v>
      </c>
      <c r="J42" s="48">
        <f t="shared" si="14"/>
        <v>10799.338174145742</v>
      </c>
      <c r="K42" s="48">
        <f t="shared" si="14"/>
        <v>0</v>
      </c>
      <c r="L42" s="48">
        <f t="shared" si="14"/>
        <v>0</v>
      </c>
      <c r="M42" s="48">
        <f t="shared" si="14"/>
        <v>0</v>
      </c>
      <c r="N42" s="48">
        <f t="shared" si="14"/>
        <v>0</v>
      </c>
      <c r="O42" s="48">
        <f t="shared" si="14"/>
        <v>0</v>
      </c>
      <c r="P42" s="48">
        <f t="shared" si="14"/>
        <v>0</v>
      </c>
      <c r="Q42" s="48">
        <f t="shared" si="14"/>
        <v>0</v>
      </c>
      <c r="R42" s="48">
        <f t="shared" si="14"/>
        <v>0</v>
      </c>
      <c r="S42" s="48">
        <f t="shared" si="14"/>
        <v>0</v>
      </c>
      <c r="T42" s="48">
        <f t="shared" si="14"/>
        <v>0</v>
      </c>
      <c r="U42" s="48">
        <f t="shared" si="14"/>
        <v>0</v>
      </c>
      <c r="V42" s="48">
        <f t="shared" si="14"/>
        <v>0</v>
      </c>
      <c r="W42" s="48">
        <f t="shared" si="14"/>
        <v>774.37595539605502</v>
      </c>
      <c r="X42" s="48">
        <f t="shared" si="14"/>
        <v>3034.6388274408</v>
      </c>
      <c r="Y42" s="48">
        <f t="shared" si="14"/>
        <v>5553.663871943123</v>
      </c>
      <c r="Z42" s="48">
        <f t="shared" si="14"/>
        <v>8350.5632559597107</v>
      </c>
      <c r="AA42" s="48">
        <f t="shared" si="14"/>
        <v>11456.602889386228</v>
      </c>
      <c r="AB42" s="48">
        <f t="shared" si="14"/>
        <v>14898.570514077464</v>
      </c>
      <c r="AC42" s="48">
        <f t="shared" si="14"/>
        <v>18709.994599976504</v>
      </c>
      <c r="AD42" s="48">
        <f t="shared" si="14"/>
        <v>22917.069944271301</v>
      </c>
      <c r="AE42" s="48">
        <f t="shared" si="14"/>
        <v>27564.329635662209</v>
      </c>
      <c r="AF42" s="48">
        <f t="shared" si="14"/>
        <v>32291.615059119846</v>
      </c>
    </row>
    <row r="43" spans="1:39">
      <c r="A43" s="48" t="s">
        <v>332</v>
      </c>
      <c r="B43" s="389">
        <v>0</v>
      </c>
      <c r="C43" s="389">
        <v>0</v>
      </c>
      <c r="D43" s="389">
        <v>0</v>
      </c>
      <c r="E43" s="389">
        <v>0</v>
      </c>
      <c r="F43" s="389">
        <v>0</v>
      </c>
      <c r="G43" s="389">
        <v>0</v>
      </c>
      <c r="H43" s="389">
        <v>0</v>
      </c>
      <c r="I43" s="389">
        <v>0</v>
      </c>
      <c r="J43" s="389">
        <v>0</v>
      </c>
      <c r="K43" s="389">
        <v>0</v>
      </c>
      <c r="L43" s="389">
        <v>0</v>
      </c>
      <c r="M43" s="389">
        <v>0</v>
      </c>
      <c r="N43" s="389">
        <v>0</v>
      </c>
      <c r="O43" s="389">
        <v>0</v>
      </c>
      <c r="P43" s="389">
        <v>0</v>
      </c>
      <c r="Q43" s="389">
        <v>0</v>
      </c>
      <c r="R43" s="389">
        <v>0</v>
      </c>
      <c r="S43" s="389">
        <v>0</v>
      </c>
      <c r="T43" s="389">
        <v>0</v>
      </c>
      <c r="U43" s="389">
        <v>0</v>
      </c>
      <c r="V43" s="389">
        <v>0</v>
      </c>
      <c r="W43" s="389">
        <v>0</v>
      </c>
      <c r="X43" s="389">
        <v>0</v>
      </c>
      <c r="Y43" s="389">
        <v>0</v>
      </c>
      <c r="Z43" s="389">
        <v>0</v>
      </c>
      <c r="AA43" s="389">
        <v>0</v>
      </c>
      <c r="AB43" s="389">
        <v>0</v>
      </c>
      <c r="AC43" s="389">
        <v>0</v>
      </c>
      <c r="AD43" s="389">
        <v>0</v>
      </c>
      <c r="AE43" s="389">
        <v>0</v>
      </c>
      <c r="AF43" s="389">
        <v>0</v>
      </c>
    </row>
    <row r="44" spans="1:39">
      <c r="A44" s="48" t="s">
        <v>58</v>
      </c>
      <c r="B44" s="392">
        <f>B42*(B41-B32)/365.25*$E$64</f>
        <v>1560.6650143804295</v>
      </c>
      <c r="C44" s="392">
        <f t="shared" ref="C44:AF44" si="15">C42*(C41-C32)/(C41-B41)*$E$64</f>
        <v>1438.1329351270206</v>
      </c>
      <c r="D44" s="392">
        <f t="shared" si="15"/>
        <v>1303.3347074958554</v>
      </c>
      <c r="E44" s="392">
        <f t="shared" si="15"/>
        <v>1154.329505487224</v>
      </c>
      <c r="F44" s="392">
        <f t="shared" si="15"/>
        <v>999.93895798068456</v>
      </c>
      <c r="G44" s="392">
        <f t="shared" si="15"/>
        <v>829.38480947713128</v>
      </c>
      <c r="H44" s="392">
        <f t="shared" si="15"/>
        <v>644.82941148626139</v>
      </c>
      <c r="I44" s="392">
        <f t="shared" si="15"/>
        <v>443.74374986379092</v>
      </c>
      <c r="J44" s="392">
        <f t="shared" si="15"/>
        <v>228.85720760826663</v>
      </c>
      <c r="K44" s="392">
        <f t="shared" si="15"/>
        <v>0</v>
      </c>
      <c r="L44" s="392">
        <f t="shared" si="15"/>
        <v>0</v>
      </c>
      <c r="M44" s="392">
        <f t="shared" si="15"/>
        <v>0</v>
      </c>
      <c r="N44" s="392">
        <f t="shared" si="15"/>
        <v>0</v>
      </c>
      <c r="O44" s="392">
        <f t="shared" si="15"/>
        <v>0</v>
      </c>
      <c r="P44" s="392">
        <f t="shared" si="15"/>
        <v>0</v>
      </c>
      <c r="Q44" s="392">
        <f t="shared" si="15"/>
        <v>0</v>
      </c>
      <c r="R44" s="392">
        <f t="shared" si="15"/>
        <v>0</v>
      </c>
      <c r="S44" s="392">
        <f t="shared" si="15"/>
        <v>0</v>
      </c>
      <c r="T44" s="392">
        <f t="shared" si="15"/>
        <v>0</v>
      </c>
      <c r="U44" s="392">
        <f t="shared" si="15"/>
        <v>0</v>
      </c>
      <c r="V44" s="392">
        <f t="shared" si="15"/>
        <v>0</v>
      </c>
      <c r="W44" s="392">
        <f t="shared" si="15"/>
        <v>16.410405520516399</v>
      </c>
      <c r="X44" s="392">
        <f t="shared" si="15"/>
        <v>64.309400904807106</v>
      </c>
      <c r="Y44" s="392">
        <f t="shared" si="15"/>
        <v>117.37046461606573</v>
      </c>
      <c r="Z44" s="392">
        <f t="shared" si="15"/>
        <v>176.96330625985854</v>
      </c>
      <c r="AA44" s="392">
        <f t="shared" si="15"/>
        <v>242.78581739562321</v>
      </c>
      <c r="AB44" s="392">
        <f t="shared" si="15"/>
        <v>315.72724089421695</v>
      </c>
      <c r="AC44" s="392">
        <f t="shared" si="15"/>
        <v>395.41477658693515</v>
      </c>
      <c r="AD44" s="392">
        <f t="shared" si="15"/>
        <v>485.65352333955764</v>
      </c>
      <c r="AE44" s="392">
        <f t="shared" si="15"/>
        <v>584.1372321420472</v>
      </c>
      <c r="AF44" s="392">
        <f t="shared" si="15"/>
        <v>1834.8714967839605</v>
      </c>
    </row>
    <row r="45" spans="1:39">
      <c r="A45" s="48" t="s">
        <v>59</v>
      </c>
      <c r="B45" s="48">
        <f>B42+B43</f>
        <v>73695.267808978911</v>
      </c>
      <c r="C45" s="48">
        <f t="shared" ref="C45:AF45" si="16">C42+C43</f>
        <v>67862.769401598242</v>
      </c>
      <c r="D45" s="48">
        <f t="shared" si="16"/>
        <v>61501.896345958266</v>
      </c>
      <c r="E45" s="48">
        <f t="shared" si="16"/>
        <v>54619.857661063208</v>
      </c>
      <c r="F45" s="48">
        <f t="shared" si="16"/>
        <v>47185.225554356803</v>
      </c>
      <c r="G45" s="48">
        <f t="shared" si="16"/>
        <v>39137.098314046918</v>
      </c>
      <c r="H45" s="48">
        <f t="shared" si="16"/>
        <v>30428.27862863418</v>
      </c>
      <c r="I45" s="48">
        <f t="shared" si="16"/>
        <v>20996.795404026823</v>
      </c>
      <c r="J45" s="48">
        <f t="shared" si="16"/>
        <v>10799.338174145742</v>
      </c>
      <c r="K45" s="48">
        <f t="shared" si="16"/>
        <v>0</v>
      </c>
      <c r="L45" s="48">
        <f t="shared" si="16"/>
        <v>0</v>
      </c>
      <c r="M45" s="48">
        <f t="shared" si="16"/>
        <v>0</v>
      </c>
      <c r="N45" s="48">
        <f t="shared" si="16"/>
        <v>0</v>
      </c>
      <c r="O45" s="48">
        <f t="shared" si="16"/>
        <v>0</v>
      </c>
      <c r="P45" s="48">
        <f t="shared" si="16"/>
        <v>0</v>
      </c>
      <c r="Q45" s="48">
        <f t="shared" si="16"/>
        <v>0</v>
      </c>
      <c r="R45" s="48">
        <f t="shared" si="16"/>
        <v>0</v>
      </c>
      <c r="S45" s="48">
        <f t="shared" si="16"/>
        <v>0</v>
      </c>
      <c r="T45" s="48">
        <f t="shared" si="16"/>
        <v>0</v>
      </c>
      <c r="U45" s="48">
        <f t="shared" si="16"/>
        <v>0</v>
      </c>
      <c r="V45" s="48">
        <f t="shared" si="16"/>
        <v>0</v>
      </c>
      <c r="W45" s="48">
        <f t="shared" si="16"/>
        <v>774.37595539605502</v>
      </c>
      <c r="X45" s="48">
        <f t="shared" si="16"/>
        <v>3034.6388274408</v>
      </c>
      <c r="Y45" s="48">
        <f t="shared" si="16"/>
        <v>5553.663871943123</v>
      </c>
      <c r="Z45" s="48">
        <f t="shared" si="16"/>
        <v>8350.5632559597107</v>
      </c>
      <c r="AA45" s="48">
        <f t="shared" si="16"/>
        <v>11456.602889386228</v>
      </c>
      <c r="AB45" s="48">
        <f t="shared" si="16"/>
        <v>14898.570514077464</v>
      </c>
      <c r="AC45" s="48">
        <f t="shared" si="16"/>
        <v>18709.994599976504</v>
      </c>
      <c r="AD45" s="48">
        <f t="shared" si="16"/>
        <v>22917.069944271301</v>
      </c>
      <c r="AE45" s="48">
        <f t="shared" si="16"/>
        <v>27564.329635662209</v>
      </c>
      <c r="AF45" s="48">
        <f t="shared" si="16"/>
        <v>32291.615059119846</v>
      </c>
    </row>
    <row r="46" spans="1:39">
      <c r="A46" s="48"/>
      <c r="B46" s="388"/>
      <c r="C46" s="388"/>
      <c r="D46" s="388"/>
      <c r="E46" s="388"/>
      <c r="F46" s="388"/>
      <c r="G46" s="388"/>
      <c r="H46" s="388"/>
      <c r="I46" s="388"/>
      <c r="J46" s="388"/>
      <c r="K46" s="388"/>
      <c r="L46" s="388"/>
      <c r="M46" s="388"/>
      <c r="N46" s="388"/>
      <c r="O46" s="388"/>
      <c r="P46" s="388"/>
      <c r="Q46" s="388"/>
      <c r="R46" s="388"/>
      <c r="S46" s="388"/>
      <c r="T46" s="388"/>
      <c r="U46" s="388"/>
      <c r="V46" s="388"/>
      <c r="W46" s="388"/>
      <c r="X46" s="388"/>
      <c r="Y46" s="388"/>
      <c r="Z46" s="388"/>
      <c r="AA46" s="388"/>
      <c r="AB46" s="388"/>
      <c r="AC46" s="388"/>
      <c r="AD46" s="388"/>
      <c r="AE46" s="388"/>
      <c r="AF46" s="388"/>
    </row>
    <row r="47" spans="1:39">
      <c r="A47" s="403" t="s">
        <v>392</v>
      </c>
      <c r="B47" s="388"/>
      <c r="C47" s="388"/>
      <c r="D47" s="388"/>
      <c r="E47" s="388"/>
      <c r="F47" s="388"/>
      <c r="G47" s="388"/>
      <c r="H47" s="388"/>
      <c r="I47" s="388"/>
      <c r="J47" s="388"/>
      <c r="K47" s="388"/>
      <c r="L47" s="388"/>
      <c r="M47" s="388"/>
      <c r="N47" s="388"/>
      <c r="O47" s="388"/>
      <c r="P47" s="388"/>
      <c r="Q47" s="388"/>
      <c r="R47" s="388"/>
      <c r="S47" s="388"/>
      <c r="T47" s="388"/>
      <c r="U47" s="388"/>
      <c r="V47" s="388"/>
      <c r="W47" s="388"/>
      <c r="X47" s="388"/>
      <c r="Y47" s="388"/>
      <c r="Z47" s="388"/>
      <c r="AA47" s="388"/>
      <c r="AB47" s="388"/>
      <c r="AC47" s="388"/>
      <c r="AD47" s="388"/>
      <c r="AE47" s="388"/>
      <c r="AF47" s="388"/>
      <c r="AG47" s="49"/>
      <c r="AH47" s="49"/>
      <c r="AI47" s="49"/>
      <c r="AJ47" s="49"/>
      <c r="AK47" s="49"/>
      <c r="AL47" s="49"/>
      <c r="AM47" s="49"/>
    </row>
    <row r="48" spans="1:39">
      <c r="A48" s="48" t="s">
        <v>138</v>
      </c>
      <c r="B48" s="163">
        <f>SUM(B35,B26)</f>
        <v>1810.2330922575202</v>
      </c>
      <c r="C48" s="163">
        <f t="shared" ref="C48:AF48" si="17">SUM(C35,C26)</f>
        <v>5832.49840738067</v>
      </c>
      <c r="D48" s="163">
        <f t="shared" si="17"/>
        <v>6360.8730556399751</v>
      </c>
      <c r="E48" s="163">
        <f t="shared" si="17"/>
        <v>6882.0386848950584</v>
      </c>
      <c r="F48" s="163">
        <f t="shared" si="17"/>
        <v>7434.6321067064055</v>
      </c>
      <c r="G48" s="163">
        <f t="shared" si="17"/>
        <v>8048.1272403098847</v>
      </c>
      <c r="H48" s="163">
        <f t="shared" si="17"/>
        <v>8708.8196854127382</v>
      </c>
      <c r="I48" s="163">
        <f t="shared" si="17"/>
        <v>9431.4832246073565</v>
      </c>
      <c r="J48" s="163">
        <f t="shared" si="17"/>
        <v>10197.457229881082</v>
      </c>
      <c r="K48" s="163">
        <f t="shared" si="17"/>
        <v>10799.338174145742</v>
      </c>
      <c r="L48" s="163">
        <f t="shared" si="17"/>
        <v>0</v>
      </c>
      <c r="M48" s="163">
        <f t="shared" si="17"/>
        <v>0</v>
      </c>
      <c r="N48" s="163">
        <f t="shared" si="17"/>
        <v>0</v>
      </c>
      <c r="O48" s="163">
        <f t="shared" si="17"/>
        <v>0</v>
      </c>
      <c r="P48" s="163">
        <f t="shared" si="17"/>
        <v>0</v>
      </c>
      <c r="Q48" s="163">
        <f t="shared" si="17"/>
        <v>0</v>
      </c>
      <c r="R48" s="163">
        <f t="shared" si="17"/>
        <v>0</v>
      </c>
      <c r="S48" s="163">
        <f t="shared" si="17"/>
        <v>0</v>
      </c>
      <c r="T48" s="163">
        <f t="shared" si="17"/>
        <v>0</v>
      </c>
      <c r="U48" s="163">
        <f t="shared" si="17"/>
        <v>0</v>
      </c>
      <c r="V48" s="163">
        <f t="shared" si="17"/>
        <v>0</v>
      </c>
      <c r="W48" s="163">
        <f t="shared" si="17"/>
        <v>-774.37595539605502</v>
      </c>
      <c r="X48" s="163">
        <f t="shared" si="17"/>
        <v>-2260.2628720447451</v>
      </c>
      <c r="Y48" s="163">
        <f t="shared" si="17"/>
        <v>-2519.025044502323</v>
      </c>
      <c r="Z48" s="163">
        <f t="shared" si="17"/>
        <v>-2796.8993840165876</v>
      </c>
      <c r="AA48" s="163">
        <f t="shared" si="17"/>
        <v>-3106.039633426517</v>
      </c>
      <c r="AB48" s="163">
        <f t="shared" si="17"/>
        <v>-3441.9676246912368</v>
      </c>
      <c r="AC48" s="163">
        <f t="shared" si="17"/>
        <v>-3811.4240858990397</v>
      </c>
      <c r="AD48" s="163">
        <f t="shared" si="17"/>
        <v>-4207.0753442947971</v>
      </c>
      <c r="AE48" s="163">
        <f t="shared" si="17"/>
        <v>-4647.2596913909074</v>
      </c>
      <c r="AF48" s="163">
        <f t="shared" si="17"/>
        <v>-4727.2854234576371</v>
      </c>
      <c r="AG48" s="49"/>
      <c r="AH48" s="49"/>
      <c r="AI48" s="49"/>
      <c r="AJ48" s="49"/>
      <c r="AK48" s="49"/>
      <c r="AL48" s="49"/>
      <c r="AM48" s="49"/>
    </row>
    <row r="49" spans="1:39">
      <c r="A49" s="403" t="s">
        <v>137</v>
      </c>
      <c r="B49" s="392">
        <f>B36</f>
        <v>2143.7153849303813</v>
      </c>
      <c r="C49" s="392">
        <f t="shared" ref="C49:AF49" si="18">C27+C36+B44</f>
        <v>6140.9612362603511</v>
      </c>
      <c r="D49" s="392">
        <f t="shared" si="18"/>
        <v>5635.2946358247145</v>
      </c>
      <c r="E49" s="392">
        <f t="shared" si="18"/>
        <v>5088.095995034917</v>
      </c>
      <c r="F49" s="392">
        <f t="shared" si="18"/>
        <v>4484.080416728506</v>
      </c>
      <c r="G49" s="392">
        <f t="shared" si="18"/>
        <v>3842.6015899435688</v>
      </c>
      <c r="H49" s="392">
        <f t="shared" si="18"/>
        <v>3144.7654204259688</v>
      </c>
      <c r="I49" s="392">
        <f t="shared" si="18"/>
        <v>2391.9534393236813</v>
      </c>
      <c r="J49" s="392">
        <f t="shared" si="18"/>
        <v>1570.6282940657441</v>
      </c>
      <c r="K49" s="392">
        <f t="shared" si="18"/>
        <v>687.38191305618591</v>
      </c>
      <c r="L49" s="392">
        <f t="shared" si="18"/>
        <v>0</v>
      </c>
      <c r="M49" s="392">
        <f t="shared" si="18"/>
        <v>0</v>
      </c>
      <c r="N49" s="392">
        <f t="shared" si="18"/>
        <v>0</v>
      </c>
      <c r="O49" s="392">
        <f t="shared" si="18"/>
        <v>0</v>
      </c>
      <c r="P49" s="392">
        <f t="shared" si="18"/>
        <v>0</v>
      </c>
      <c r="Q49" s="392">
        <f t="shared" si="18"/>
        <v>0</v>
      </c>
      <c r="R49" s="392">
        <f t="shared" si="18"/>
        <v>0</v>
      </c>
      <c r="S49" s="392">
        <f t="shared" si="18"/>
        <v>0</v>
      </c>
      <c r="T49" s="392">
        <f t="shared" si="18"/>
        <v>0</v>
      </c>
      <c r="U49" s="392">
        <f t="shared" si="18"/>
        <v>0</v>
      </c>
      <c r="V49" s="392">
        <f t="shared" si="18"/>
        <v>0</v>
      </c>
      <c r="W49" s="392">
        <f t="shared" si="18"/>
        <v>16.156310381106206</v>
      </c>
      <c r="X49" s="392">
        <f t="shared" si="18"/>
        <v>112.97553156838566</v>
      </c>
      <c r="Y49" s="392">
        <f t="shared" si="18"/>
        <v>310.53911899881388</v>
      </c>
      <c r="Z49" s="392">
        <f t="shared" si="18"/>
        <v>530.05970904087371</v>
      </c>
      <c r="AA49" s="392">
        <f t="shared" si="18"/>
        <v>774.56063395153672</v>
      </c>
      <c r="AB49" s="392">
        <f t="shared" si="18"/>
        <v>1045.5675962830956</v>
      </c>
      <c r="AC49" s="392">
        <f t="shared" si="18"/>
        <v>1346.5665640772575</v>
      </c>
      <c r="AD49" s="392">
        <f t="shared" si="18"/>
        <v>1676.9276607279357</v>
      </c>
      <c r="AE49" s="392">
        <f t="shared" si="18"/>
        <v>2044.7984075806708</v>
      </c>
      <c r="AF49" s="392">
        <f t="shared" si="18"/>
        <v>1380.6992255367306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60</v>
      </c>
      <c r="B50" s="49">
        <f t="shared" ref="B50:AF50" si="19">SUM(B48:B49)</f>
        <v>3953.9484771879015</v>
      </c>
      <c r="C50" s="49">
        <f t="shared" si="19"/>
        <v>11973.459643641021</v>
      </c>
      <c r="D50" s="49">
        <f t="shared" si="19"/>
        <v>11996.167691464689</v>
      </c>
      <c r="E50" s="49">
        <f t="shared" si="19"/>
        <v>11970.134679929975</v>
      </c>
      <c r="F50" s="49">
        <f t="shared" si="19"/>
        <v>11918.712523434911</v>
      </c>
      <c r="G50" s="49">
        <f t="shared" si="19"/>
        <v>11890.728830253454</v>
      </c>
      <c r="H50" s="49">
        <f t="shared" si="19"/>
        <v>11853.585105838707</v>
      </c>
      <c r="I50" s="49">
        <f t="shared" si="19"/>
        <v>11823.436663931037</v>
      </c>
      <c r="J50" s="49">
        <f t="shared" si="19"/>
        <v>11768.085523946826</v>
      </c>
      <c r="K50" s="49">
        <f t="shared" si="19"/>
        <v>11486.720087201928</v>
      </c>
      <c r="L50" s="49">
        <f t="shared" si="19"/>
        <v>0</v>
      </c>
      <c r="M50" s="49">
        <f t="shared" si="19"/>
        <v>0</v>
      </c>
      <c r="N50" s="49">
        <f t="shared" si="19"/>
        <v>0</v>
      </c>
      <c r="O50" s="49">
        <f t="shared" si="19"/>
        <v>0</v>
      </c>
      <c r="P50" s="49">
        <f t="shared" si="19"/>
        <v>0</v>
      </c>
      <c r="Q50" s="49">
        <f t="shared" si="19"/>
        <v>0</v>
      </c>
      <c r="R50" s="49">
        <f t="shared" si="19"/>
        <v>0</v>
      </c>
      <c r="S50" s="49">
        <f t="shared" si="19"/>
        <v>0</v>
      </c>
      <c r="T50" s="49">
        <f t="shared" si="19"/>
        <v>0</v>
      </c>
      <c r="U50" s="49">
        <f t="shared" si="19"/>
        <v>0</v>
      </c>
      <c r="V50" s="49">
        <f t="shared" si="19"/>
        <v>0</v>
      </c>
      <c r="W50" s="49">
        <f t="shared" si="19"/>
        <v>-758.21964501494881</v>
      </c>
      <c r="X50" s="49">
        <f t="shared" si="19"/>
        <v>-2147.2873404763595</v>
      </c>
      <c r="Y50" s="49">
        <f t="shared" si="19"/>
        <v>-2208.485925503509</v>
      </c>
      <c r="Z50" s="49">
        <f t="shared" si="19"/>
        <v>-2266.8396749757139</v>
      </c>
      <c r="AA50" s="49">
        <f t="shared" si="19"/>
        <v>-2331.4789994749804</v>
      </c>
      <c r="AB50" s="49">
        <f t="shared" si="19"/>
        <v>-2396.4000284081412</v>
      </c>
      <c r="AC50" s="49">
        <f t="shared" si="19"/>
        <v>-2464.857521821782</v>
      </c>
      <c r="AD50" s="49">
        <f t="shared" si="19"/>
        <v>-2530.1476835668614</v>
      </c>
      <c r="AE50" s="49">
        <f t="shared" si="19"/>
        <v>-2602.4612838102366</v>
      </c>
      <c r="AF50" s="49">
        <f t="shared" si="19"/>
        <v>-3346.5861979209067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6" t="s">
        <v>407</v>
      </c>
      <c r="B52" s="410">
        <f>IF(B33&gt;0.1,(B38+B29)/B50," ")</f>
        <v>1.3000000000000038</v>
      </c>
      <c r="C52" s="410">
        <f t="shared" ref="C52:AF52" si="20">IF(C33&gt;0.1,(C38+C29)/C50," ")</f>
        <v>1.3000000000000009</v>
      </c>
      <c r="D52" s="410">
        <f t="shared" si="20"/>
        <v>1.3000000000000012</v>
      </c>
      <c r="E52" s="410">
        <f t="shared" si="20"/>
        <v>1.3</v>
      </c>
      <c r="F52" s="410">
        <f t="shared" si="20"/>
        <v>1.2999999999999996</v>
      </c>
      <c r="G52" s="410">
        <f t="shared" si="20"/>
        <v>1.2999999999999992</v>
      </c>
      <c r="H52" s="410">
        <f t="shared" si="20"/>
        <v>1.2999999999999996</v>
      </c>
      <c r="I52" s="410">
        <f t="shared" si="20"/>
        <v>1.2999999999999998</v>
      </c>
      <c r="J52" s="410">
        <f t="shared" si="20"/>
        <v>1.3000000000000005</v>
      </c>
      <c r="K52" s="410">
        <f t="shared" si="20"/>
        <v>1.3281840545138817</v>
      </c>
      <c r="L52" s="410" t="str">
        <f t="shared" si="20"/>
        <v xml:space="preserve"> </v>
      </c>
      <c r="M52" s="410" t="str">
        <f t="shared" si="20"/>
        <v xml:space="preserve"> </v>
      </c>
      <c r="N52" s="410" t="str">
        <f t="shared" si="20"/>
        <v xml:space="preserve"> </v>
      </c>
      <c r="O52" s="410" t="str">
        <f t="shared" si="20"/>
        <v xml:space="preserve"> </v>
      </c>
      <c r="P52" s="472" t="str">
        <f t="shared" si="20"/>
        <v xml:space="preserve"> </v>
      </c>
      <c r="Q52" s="410" t="str">
        <f t="shared" si="20"/>
        <v xml:space="preserve"> </v>
      </c>
      <c r="R52" s="410" t="str">
        <f t="shared" si="20"/>
        <v xml:space="preserve"> </v>
      </c>
      <c r="S52" s="410" t="str">
        <f t="shared" si="20"/>
        <v xml:space="preserve"> </v>
      </c>
      <c r="T52" s="410" t="str">
        <f t="shared" si="20"/>
        <v xml:space="preserve"> </v>
      </c>
      <c r="U52" s="410" t="str">
        <f t="shared" si="20"/>
        <v xml:space="preserve"> </v>
      </c>
      <c r="V52" s="410" t="str">
        <f t="shared" si="20"/>
        <v xml:space="preserve"> </v>
      </c>
      <c r="W52" s="410">
        <f t="shared" si="20"/>
        <v>1.3</v>
      </c>
      <c r="X52" s="410">
        <f t="shared" si="20"/>
        <v>1.3</v>
      </c>
      <c r="Y52" s="410">
        <f t="shared" si="20"/>
        <v>1.2999999999999998</v>
      </c>
      <c r="Z52" s="410">
        <f t="shared" si="20"/>
        <v>1.3000000000000007</v>
      </c>
      <c r="AA52" s="410">
        <f t="shared" si="20"/>
        <v>1.3000000000000007</v>
      </c>
      <c r="AB52" s="410">
        <f t="shared" si="20"/>
        <v>1.3000000000000003</v>
      </c>
      <c r="AC52" s="410">
        <f t="shared" si="20"/>
        <v>1.2999999999999989</v>
      </c>
      <c r="AD52" s="410">
        <f t="shared" si="20"/>
        <v>1.3000000000000003</v>
      </c>
      <c r="AE52" s="410">
        <f t="shared" si="20"/>
        <v>1.299999999999998</v>
      </c>
      <c r="AF52" s="472">
        <f t="shared" si="20"/>
        <v>1.3000000000000009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5"/>
      <c r="C53" s="415"/>
      <c r="D53" s="415"/>
      <c r="E53" s="415"/>
      <c r="F53" s="415"/>
      <c r="G53" s="415"/>
      <c r="H53" s="415"/>
      <c r="I53" s="415"/>
      <c r="J53" s="415"/>
      <c r="K53" s="415"/>
      <c r="L53" s="415"/>
      <c r="M53" s="415"/>
      <c r="N53" s="415"/>
      <c r="O53" s="415"/>
      <c r="P53" s="415"/>
      <c r="Q53" s="415"/>
      <c r="R53" s="415"/>
      <c r="S53" s="415"/>
      <c r="T53" s="415"/>
      <c r="U53" s="415"/>
      <c r="V53" s="415"/>
      <c r="W53" s="415"/>
      <c r="X53" s="415"/>
      <c r="Y53" s="415"/>
      <c r="Z53" s="415"/>
      <c r="AA53" s="415"/>
      <c r="AB53" s="415"/>
      <c r="AC53" s="415"/>
      <c r="AD53" s="415"/>
      <c r="AE53" s="415"/>
      <c r="AF53" s="415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5"/>
      <c r="C54" s="415"/>
      <c r="D54" s="415"/>
      <c r="E54" s="415"/>
      <c r="F54" s="415"/>
      <c r="G54" s="415"/>
      <c r="H54" s="415"/>
      <c r="I54" s="415"/>
      <c r="J54" s="415"/>
      <c r="K54" s="415"/>
      <c r="L54" s="415"/>
      <c r="M54" s="415"/>
      <c r="N54" s="415"/>
      <c r="O54" s="415"/>
      <c r="P54" s="415"/>
      <c r="Q54" s="415"/>
      <c r="R54" s="415"/>
      <c r="S54" s="415"/>
      <c r="T54" s="415"/>
      <c r="U54" s="415"/>
      <c r="V54" s="415"/>
      <c r="W54" s="415"/>
      <c r="X54" s="415"/>
      <c r="Y54" s="415"/>
      <c r="Z54" s="415"/>
      <c r="AA54" s="415"/>
      <c r="AB54" s="415"/>
      <c r="AC54" s="415"/>
      <c r="AD54" s="415"/>
      <c r="AE54" s="415"/>
      <c r="AF54" s="415"/>
      <c r="AG54" s="50"/>
      <c r="AH54" s="50"/>
      <c r="AI54" s="50"/>
      <c r="AJ54" s="50"/>
      <c r="AK54" s="50"/>
      <c r="AL54" s="50"/>
      <c r="AM54" s="50"/>
    </row>
    <row r="55" spans="1:39">
      <c r="A55" s="403" t="s">
        <v>391</v>
      </c>
      <c r="B55" s="388"/>
      <c r="C55" s="388"/>
      <c r="D55" s="388"/>
      <c r="E55" s="388"/>
      <c r="F55" s="388"/>
      <c r="G55" s="388"/>
      <c r="H55" s="388"/>
      <c r="I55" s="388"/>
      <c r="J55" s="388"/>
      <c r="K55" s="388"/>
      <c r="L55" s="388"/>
      <c r="M55" s="388"/>
      <c r="N55" s="388"/>
      <c r="O55" s="388"/>
      <c r="P55" s="388"/>
      <c r="Q55" s="388"/>
      <c r="R55" s="388"/>
      <c r="S55" s="388"/>
      <c r="T55" s="388"/>
      <c r="U55" s="388"/>
      <c r="V55" s="388"/>
      <c r="W55" s="388"/>
      <c r="X55" s="388"/>
      <c r="Y55" s="388"/>
      <c r="Z55" s="388"/>
      <c r="AA55" s="388"/>
      <c r="AB55" s="388"/>
      <c r="AC55" s="388"/>
      <c r="AD55" s="388"/>
      <c r="AE55" s="388"/>
      <c r="AF55" s="388"/>
    </row>
    <row r="56" spans="1:39">
      <c r="A56" s="48" t="s">
        <v>138</v>
      </c>
      <c r="B56" s="163">
        <f t="shared" ref="B56:AF56" si="21">B35+B26</f>
        <v>1810.2330922575202</v>
      </c>
      <c r="C56" s="163">
        <f t="shared" si="21"/>
        <v>5832.49840738067</v>
      </c>
      <c r="D56" s="163">
        <f t="shared" si="21"/>
        <v>6360.8730556399751</v>
      </c>
      <c r="E56" s="163">
        <f t="shared" si="21"/>
        <v>6882.0386848950584</v>
      </c>
      <c r="F56" s="163">
        <f t="shared" si="21"/>
        <v>7434.6321067064055</v>
      </c>
      <c r="G56" s="163">
        <f t="shared" si="21"/>
        <v>8048.1272403098847</v>
      </c>
      <c r="H56" s="163">
        <f t="shared" si="21"/>
        <v>8708.8196854127382</v>
      </c>
      <c r="I56" s="163">
        <f t="shared" si="21"/>
        <v>9431.4832246073565</v>
      </c>
      <c r="J56" s="163">
        <f t="shared" si="21"/>
        <v>10197.457229881082</v>
      </c>
      <c r="K56" s="163">
        <f t="shared" si="21"/>
        <v>10799.338174145742</v>
      </c>
      <c r="L56" s="163">
        <f t="shared" si="21"/>
        <v>0</v>
      </c>
      <c r="M56" s="163">
        <f t="shared" si="21"/>
        <v>0</v>
      </c>
      <c r="N56" s="163">
        <f t="shared" si="21"/>
        <v>0</v>
      </c>
      <c r="O56" s="163">
        <f t="shared" si="21"/>
        <v>0</v>
      </c>
      <c r="P56" s="163">
        <f t="shared" si="21"/>
        <v>0</v>
      </c>
      <c r="Q56" s="163">
        <f t="shared" si="21"/>
        <v>0</v>
      </c>
      <c r="R56" s="163">
        <f t="shared" si="21"/>
        <v>0</v>
      </c>
      <c r="S56" s="163">
        <f t="shared" si="21"/>
        <v>0</v>
      </c>
      <c r="T56" s="163">
        <f t="shared" si="21"/>
        <v>0</v>
      </c>
      <c r="U56" s="163">
        <f t="shared" si="21"/>
        <v>0</v>
      </c>
      <c r="V56" s="163">
        <f t="shared" si="21"/>
        <v>0</v>
      </c>
      <c r="W56" s="163">
        <f t="shared" si="21"/>
        <v>-774.37595539605502</v>
      </c>
      <c r="X56" s="163">
        <f t="shared" si="21"/>
        <v>-2260.2628720447451</v>
      </c>
      <c r="Y56" s="163">
        <f t="shared" si="21"/>
        <v>-2519.025044502323</v>
      </c>
      <c r="Z56" s="163">
        <f t="shared" si="21"/>
        <v>-2796.8993840165876</v>
      </c>
      <c r="AA56" s="163">
        <f t="shared" si="21"/>
        <v>-3106.039633426517</v>
      </c>
      <c r="AB56" s="163">
        <f t="shared" si="21"/>
        <v>-3441.9676246912368</v>
      </c>
      <c r="AC56" s="163">
        <f t="shared" si="21"/>
        <v>-3811.4240858990397</v>
      </c>
      <c r="AD56" s="163">
        <f t="shared" si="21"/>
        <v>-4207.0753442947971</v>
      </c>
      <c r="AE56" s="163">
        <f t="shared" si="21"/>
        <v>-4647.2596913909074</v>
      </c>
      <c r="AF56" s="163">
        <f t="shared" si="21"/>
        <v>-4727.2854234576371</v>
      </c>
    </row>
    <row r="57" spans="1:39">
      <c r="A57" s="403" t="s">
        <v>137</v>
      </c>
      <c r="B57" s="392">
        <f t="shared" ref="B57:AF57" si="22">B36+B44+B27</f>
        <v>3704.3803993108108</v>
      </c>
      <c r="C57" s="392">
        <f t="shared" si="22"/>
        <v>6018.4291570069418</v>
      </c>
      <c r="D57" s="392">
        <f t="shared" si="22"/>
        <v>5500.4964081935495</v>
      </c>
      <c r="E57" s="392">
        <f t="shared" si="22"/>
        <v>4939.0907930262856</v>
      </c>
      <c r="F57" s="392">
        <f t="shared" si="22"/>
        <v>4329.6898692219675</v>
      </c>
      <c r="G57" s="392">
        <f t="shared" si="22"/>
        <v>3672.047441440016</v>
      </c>
      <c r="H57" s="392">
        <f t="shared" si="22"/>
        <v>2960.2100224350988</v>
      </c>
      <c r="I57" s="392">
        <f t="shared" si="22"/>
        <v>2190.8677777012108</v>
      </c>
      <c r="J57" s="392">
        <f t="shared" si="22"/>
        <v>1355.7417518102197</v>
      </c>
      <c r="K57" s="392">
        <f t="shared" si="22"/>
        <v>458.52470544791925</v>
      </c>
      <c r="L57" s="392">
        <f t="shared" si="22"/>
        <v>0</v>
      </c>
      <c r="M57" s="392">
        <f t="shared" si="22"/>
        <v>0</v>
      </c>
      <c r="N57" s="392">
        <f t="shared" si="22"/>
        <v>0</v>
      </c>
      <c r="O57" s="392">
        <f t="shared" si="22"/>
        <v>0</v>
      </c>
      <c r="P57" s="392">
        <f t="shared" si="22"/>
        <v>0</v>
      </c>
      <c r="Q57" s="392">
        <f t="shared" si="22"/>
        <v>0</v>
      </c>
      <c r="R57" s="392">
        <f t="shared" si="22"/>
        <v>0</v>
      </c>
      <c r="S57" s="392">
        <f t="shared" si="22"/>
        <v>0</v>
      </c>
      <c r="T57" s="392">
        <f t="shared" si="22"/>
        <v>0</v>
      </c>
      <c r="U57" s="392">
        <f t="shared" si="22"/>
        <v>0</v>
      </c>
      <c r="V57" s="392">
        <f t="shared" si="22"/>
        <v>0</v>
      </c>
      <c r="W57" s="392">
        <f t="shared" si="22"/>
        <v>32.566715901622601</v>
      </c>
      <c r="X57" s="392">
        <f t="shared" si="22"/>
        <v>160.87452695267638</v>
      </c>
      <c r="Y57" s="392">
        <f t="shared" si="22"/>
        <v>363.60018271007249</v>
      </c>
      <c r="Z57" s="392">
        <f t="shared" si="22"/>
        <v>589.65255068466649</v>
      </c>
      <c r="AA57" s="392">
        <f t="shared" si="22"/>
        <v>840.38314508730139</v>
      </c>
      <c r="AB57" s="392">
        <f t="shared" si="22"/>
        <v>1118.5090197816894</v>
      </c>
      <c r="AC57" s="392">
        <f t="shared" si="22"/>
        <v>1426.2540997699757</v>
      </c>
      <c r="AD57" s="392">
        <f t="shared" si="22"/>
        <v>1767.1664074805581</v>
      </c>
      <c r="AE57" s="392">
        <f t="shared" si="22"/>
        <v>2143.2821163831604</v>
      </c>
      <c r="AF57" s="392">
        <f t="shared" si="22"/>
        <v>2631.4334901786442</v>
      </c>
    </row>
    <row r="58" spans="1:39">
      <c r="A58" s="49" t="s">
        <v>60</v>
      </c>
      <c r="B58" s="49">
        <f>SUM(B56:B57)</f>
        <v>5514.6134915683306</v>
      </c>
      <c r="C58" s="49">
        <f t="shared" ref="C58:AF58" si="23">SUM(C56:C57)</f>
        <v>11850.927564387612</v>
      </c>
      <c r="D58" s="49">
        <f t="shared" si="23"/>
        <v>11861.369463833526</v>
      </c>
      <c r="E58" s="49">
        <f t="shared" si="23"/>
        <v>11821.129477921344</v>
      </c>
      <c r="F58" s="49">
        <f t="shared" si="23"/>
        <v>11764.321975928373</v>
      </c>
      <c r="G58" s="49">
        <f t="shared" si="23"/>
        <v>11720.174681749901</v>
      </c>
      <c r="H58" s="49">
        <f t="shared" si="23"/>
        <v>11669.029707847836</v>
      </c>
      <c r="I58" s="49">
        <f t="shared" si="23"/>
        <v>11622.351002308567</v>
      </c>
      <c r="J58" s="49">
        <f t="shared" si="23"/>
        <v>11553.198981691301</v>
      </c>
      <c r="K58" s="49">
        <f t="shared" si="23"/>
        <v>11257.86287959366</v>
      </c>
      <c r="L58" s="49">
        <f t="shared" si="23"/>
        <v>0</v>
      </c>
      <c r="M58" s="49">
        <f t="shared" si="23"/>
        <v>0</v>
      </c>
      <c r="N58" s="49">
        <f t="shared" si="23"/>
        <v>0</v>
      </c>
      <c r="O58" s="49">
        <f t="shared" si="23"/>
        <v>0</v>
      </c>
      <c r="P58" s="49">
        <f t="shared" si="23"/>
        <v>0</v>
      </c>
      <c r="Q58" s="49">
        <f t="shared" si="23"/>
        <v>0</v>
      </c>
      <c r="R58" s="49">
        <f t="shared" si="23"/>
        <v>0</v>
      </c>
      <c r="S58" s="49">
        <f t="shared" si="23"/>
        <v>0</v>
      </c>
      <c r="T58" s="49">
        <f t="shared" si="23"/>
        <v>0</v>
      </c>
      <c r="U58" s="49">
        <f t="shared" si="23"/>
        <v>0</v>
      </c>
      <c r="V58" s="49">
        <f t="shared" si="23"/>
        <v>0</v>
      </c>
      <c r="W58" s="49">
        <f t="shared" si="23"/>
        <v>-741.8092394944324</v>
      </c>
      <c r="X58" s="49">
        <f t="shared" si="23"/>
        <v>-2099.3883450920689</v>
      </c>
      <c r="Y58" s="49">
        <f t="shared" si="23"/>
        <v>-2155.4248617922503</v>
      </c>
      <c r="Z58" s="49">
        <f t="shared" si="23"/>
        <v>-2207.2468333319212</v>
      </c>
      <c r="AA58" s="49">
        <f t="shared" si="23"/>
        <v>-2265.6564883392157</v>
      </c>
      <c r="AB58" s="49">
        <f t="shared" si="23"/>
        <v>-2323.4586049095474</v>
      </c>
      <c r="AC58" s="49">
        <f t="shared" si="23"/>
        <v>-2385.169986129064</v>
      </c>
      <c r="AD58" s="49">
        <f t="shared" si="23"/>
        <v>-2439.908936814239</v>
      </c>
      <c r="AE58" s="49">
        <f t="shared" si="23"/>
        <v>-2503.977575007747</v>
      </c>
      <c r="AF58" s="49">
        <f t="shared" si="23"/>
        <v>-2095.8519332789929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5"/>
      <c r="C59" s="415"/>
      <c r="D59" s="415"/>
      <c r="E59" s="415"/>
      <c r="F59" s="415"/>
      <c r="G59" s="415"/>
      <c r="H59" s="415"/>
      <c r="I59" s="415"/>
      <c r="J59" s="415"/>
      <c r="K59" s="415"/>
      <c r="L59" s="415"/>
      <c r="M59" s="415"/>
      <c r="N59" s="415"/>
      <c r="O59" s="415"/>
      <c r="P59" s="415"/>
      <c r="Q59" s="415"/>
      <c r="R59" s="415"/>
      <c r="S59" s="415"/>
      <c r="T59" s="415"/>
      <c r="U59" s="415"/>
      <c r="V59" s="415"/>
      <c r="W59" s="415"/>
      <c r="X59" s="415"/>
      <c r="Y59" s="415"/>
      <c r="Z59" s="415"/>
      <c r="AA59" s="415"/>
      <c r="AB59" s="415"/>
      <c r="AC59" s="415"/>
      <c r="AD59" s="415"/>
      <c r="AE59" s="415"/>
      <c r="AF59" s="415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16"/>
      <c r="C60" s="416"/>
      <c r="D60" s="416"/>
      <c r="E60" s="416"/>
      <c r="F60" s="416"/>
      <c r="G60" s="416"/>
      <c r="H60" s="416"/>
      <c r="I60" s="416"/>
      <c r="J60" s="416"/>
      <c r="K60" s="416"/>
      <c r="L60" s="416"/>
      <c r="M60" s="416"/>
      <c r="N60" s="416"/>
      <c r="O60" s="416"/>
      <c r="P60" s="416"/>
      <c r="Q60" s="416"/>
      <c r="R60" s="416"/>
      <c r="S60" s="416"/>
      <c r="T60" s="416"/>
      <c r="U60" s="416"/>
      <c r="V60" s="416"/>
      <c r="W60" s="416"/>
      <c r="X60" s="416"/>
      <c r="Y60" s="416"/>
      <c r="Z60" s="416"/>
      <c r="AA60" s="416"/>
      <c r="AB60" s="416"/>
      <c r="AC60" s="416"/>
      <c r="AD60" s="416"/>
      <c r="AE60" s="416"/>
      <c r="AF60" s="416"/>
      <c r="AG60" s="50"/>
      <c r="AH60" s="50"/>
      <c r="AI60" s="50"/>
      <c r="AJ60" s="50"/>
      <c r="AK60" s="50"/>
      <c r="AL60" s="50"/>
      <c r="AM60" s="50"/>
    </row>
    <row r="61" spans="1:39">
      <c r="B61" s="559" t="s">
        <v>333</v>
      </c>
      <c r="C61" s="560"/>
      <c r="D61" s="560"/>
      <c r="E61" s="561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63" t="s">
        <v>395</v>
      </c>
      <c r="C62" s="57"/>
      <c r="D62" s="57"/>
      <c r="E62" s="464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67">
        <f>Assumptions!G38</f>
        <v>0.02</v>
      </c>
      <c r="AA63" s="12"/>
      <c r="AB63" s="12"/>
    </row>
    <row r="64" spans="1:39">
      <c r="A64" s="48"/>
      <c r="B64" s="339" t="s">
        <v>396</v>
      </c>
      <c r="C64" s="58"/>
      <c r="D64" s="58"/>
      <c r="E64" s="406">
        <f>E63+E62</f>
        <v>8.5000000000000006E-2</v>
      </c>
      <c r="AA64" s="12"/>
      <c r="AB64" s="12"/>
    </row>
    <row r="65" spans="1:43">
      <c r="B65" s="408" t="s">
        <v>394</v>
      </c>
      <c r="C65" s="57"/>
      <c r="D65" s="57"/>
      <c r="E65" s="407">
        <f>Assumptions!G33</f>
        <v>20</v>
      </c>
      <c r="AA65" s="12"/>
      <c r="AB65" s="12"/>
    </row>
    <row r="66" spans="1:43">
      <c r="B66" s="450" t="s">
        <v>393</v>
      </c>
      <c r="C66" s="13"/>
      <c r="D66" s="13"/>
      <c r="E66" s="465">
        <f>B77</f>
        <v>-5.7736679479986934</v>
      </c>
      <c r="AA66" s="12"/>
      <c r="AB66" s="12"/>
    </row>
    <row r="67" spans="1:43">
      <c r="B67" s="339" t="s">
        <v>55</v>
      </c>
      <c r="C67" s="58"/>
      <c r="D67" s="58"/>
      <c r="E67" s="451">
        <f>B19</f>
        <v>75505.500901236432</v>
      </c>
      <c r="AA67" s="12"/>
      <c r="AB67" s="12"/>
    </row>
    <row r="68" spans="1:43">
      <c r="B68" s="336" t="s">
        <v>0</v>
      </c>
      <c r="C68" s="57"/>
      <c r="D68" s="57" t="s">
        <v>389</v>
      </c>
      <c r="E68" s="468">
        <f>AVERAGE(B52:AF52)</f>
        <v>1.3014092027256943</v>
      </c>
      <c r="AA68" s="12"/>
      <c r="AB68" s="12"/>
    </row>
    <row r="69" spans="1:43">
      <c r="B69" s="466"/>
      <c r="C69" s="58"/>
      <c r="D69" s="58" t="s">
        <v>390</v>
      </c>
      <c r="E69" s="469">
        <f>MIN(B52:AF52)</f>
        <v>1.299999999999998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97</v>
      </c>
      <c r="B74" s="86">
        <v>0</v>
      </c>
      <c r="C74" s="86">
        <f>(C32-$B$32)/365.25</f>
        <v>0.99931553730321698</v>
      </c>
      <c r="D74" s="86">
        <f t="shared" ref="D74:AF74" si="24">(D32-$B$32)/365.25</f>
        <v>1.998631074606434</v>
      </c>
      <c r="E74" s="86">
        <f t="shared" si="24"/>
        <v>3.0006844626967832</v>
      </c>
      <c r="F74" s="86">
        <f t="shared" si="24"/>
        <v>4</v>
      </c>
      <c r="G74" s="86">
        <f t="shared" si="24"/>
        <v>4.9993155373032172</v>
      </c>
      <c r="H74" s="86">
        <f t="shared" si="24"/>
        <v>5.9986310746064335</v>
      </c>
      <c r="I74" s="86">
        <f t="shared" si="24"/>
        <v>7.0006844626967828</v>
      </c>
      <c r="J74" s="86">
        <f t="shared" si="24"/>
        <v>8</v>
      </c>
      <c r="K74" s="86">
        <f t="shared" si="24"/>
        <v>8.9993155373032163</v>
      </c>
      <c r="L74" s="86">
        <f t="shared" si="24"/>
        <v>9.9986310746064344</v>
      </c>
      <c r="M74" s="86">
        <f t="shared" si="24"/>
        <v>11.000684462696784</v>
      </c>
      <c r="N74" s="86">
        <f t="shared" si="24"/>
        <v>12</v>
      </c>
      <c r="O74" s="86">
        <f t="shared" si="24"/>
        <v>12.999315537303216</v>
      </c>
      <c r="P74" s="86">
        <f t="shared" si="24"/>
        <v>13.998631074606434</v>
      </c>
      <c r="Q74" s="86">
        <f t="shared" si="24"/>
        <v>15.000684462696784</v>
      </c>
      <c r="R74" s="86">
        <f t="shared" si="24"/>
        <v>16</v>
      </c>
      <c r="S74" s="86">
        <f t="shared" si="24"/>
        <v>16.999315537303218</v>
      </c>
      <c r="T74" s="86">
        <f t="shared" si="24"/>
        <v>17.998631074606433</v>
      </c>
      <c r="U74" s="86">
        <f t="shared" si="24"/>
        <v>19.000684462696782</v>
      </c>
      <c r="V74" s="86">
        <f t="shared" si="24"/>
        <v>20</v>
      </c>
      <c r="W74" s="86">
        <f t="shared" si="24"/>
        <v>20.999315537303218</v>
      </c>
      <c r="X74" s="86">
        <f t="shared" si="24"/>
        <v>21.998631074606433</v>
      </c>
      <c r="Y74" s="86">
        <f t="shared" si="24"/>
        <v>23.000684462696782</v>
      </c>
      <c r="Z74" s="86">
        <f t="shared" si="24"/>
        <v>24</v>
      </c>
      <c r="AA74" s="86">
        <f t="shared" si="24"/>
        <v>24.999315537303218</v>
      </c>
      <c r="AB74" s="86">
        <f t="shared" si="24"/>
        <v>25.998631074606433</v>
      </c>
      <c r="AC74" s="86">
        <f t="shared" si="24"/>
        <v>27.000684462696782</v>
      </c>
      <c r="AD74" s="86">
        <f t="shared" si="24"/>
        <v>28</v>
      </c>
      <c r="AE74" s="86">
        <f t="shared" si="24"/>
        <v>28.999315537303218</v>
      </c>
      <c r="AF74" s="86">
        <f t="shared" si="24"/>
        <v>29.579739904175224</v>
      </c>
      <c r="AG74" s="182"/>
      <c r="AH74" s="182"/>
      <c r="AI74" s="182"/>
      <c r="AJ74" s="182"/>
      <c r="AK74" s="182"/>
      <c r="AL74" s="182"/>
      <c r="AM74" s="182"/>
      <c r="AN74" s="182"/>
      <c r="AO74" s="182"/>
      <c r="AP74" s="182"/>
      <c r="AQ74" s="182"/>
    </row>
    <row r="75" spans="1:43">
      <c r="B75" s="86">
        <f>(C23-$B$32)/365.25</f>
        <v>0.49828884325804246</v>
      </c>
      <c r="C75" s="86">
        <f>(D23-$B$32)/365.25</f>
        <v>1.4976043805612593</v>
      </c>
      <c r="D75" s="86">
        <f t="shared" ref="D75:AF75" si="25">(E23-$B$32)/365.25</f>
        <v>2.4996577686516086</v>
      </c>
      <c r="E75" s="86">
        <f t="shared" si="25"/>
        <v>3.4989733059548254</v>
      </c>
      <c r="F75" s="86">
        <f t="shared" si="25"/>
        <v>4.4982888432580426</v>
      </c>
      <c r="G75" s="86">
        <f t="shared" si="25"/>
        <v>5.4976043805612598</v>
      </c>
      <c r="H75" s="86">
        <f t="shared" si="25"/>
        <v>6.4996577686516082</v>
      </c>
      <c r="I75" s="86">
        <f t="shared" si="25"/>
        <v>7.4989733059548254</v>
      </c>
      <c r="J75" s="86">
        <f t="shared" si="25"/>
        <v>8.4982888432580417</v>
      </c>
      <c r="K75" s="86">
        <f t="shared" si="25"/>
        <v>9.4976043805612598</v>
      </c>
      <c r="L75" s="86">
        <f t="shared" si="25"/>
        <v>10.499657768651609</v>
      </c>
      <c r="M75" s="86">
        <f t="shared" si="25"/>
        <v>11.498973305954825</v>
      </c>
      <c r="N75" s="86">
        <f t="shared" si="25"/>
        <v>12.498288843258042</v>
      </c>
      <c r="O75" s="86">
        <f t="shared" si="25"/>
        <v>13.49760438056126</v>
      </c>
      <c r="P75" s="86">
        <f t="shared" si="25"/>
        <v>14.499657768651609</v>
      </c>
      <c r="Q75" s="86">
        <f t="shared" si="25"/>
        <v>15.498973305954825</v>
      </c>
      <c r="R75" s="86">
        <f t="shared" si="25"/>
        <v>16.498288843258042</v>
      </c>
      <c r="S75" s="86">
        <f t="shared" si="25"/>
        <v>17.49760438056126</v>
      </c>
      <c r="T75" s="86">
        <f t="shared" si="25"/>
        <v>18.499657768651609</v>
      </c>
      <c r="U75" s="86">
        <f t="shared" si="25"/>
        <v>19.498973305954827</v>
      </c>
      <c r="V75" s="86">
        <f t="shared" si="25"/>
        <v>20.498288843258042</v>
      </c>
      <c r="W75" s="86">
        <f t="shared" si="25"/>
        <v>21.49760438056126</v>
      </c>
      <c r="X75" s="86">
        <f t="shared" si="25"/>
        <v>22.499657768651609</v>
      </c>
      <c r="Y75" s="86">
        <f t="shared" si="25"/>
        <v>23.498973305954827</v>
      </c>
      <c r="Z75" s="86">
        <f t="shared" si="25"/>
        <v>24.498288843258042</v>
      </c>
      <c r="AA75" s="86">
        <f t="shared" si="25"/>
        <v>25.49760438056126</v>
      </c>
      <c r="AB75" s="86">
        <f t="shared" si="25"/>
        <v>26.499657768651609</v>
      </c>
      <c r="AC75" s="86">
        <f t="shared" si="25"/>
        <v>27.498973305954827</v>
      </c>
      <c r="AD75" s="86">
        <f t="shared" si="25"/>
        <v>28.498288843258042</v>
      </c>
      <c r="AE75" s="86">
        <f t="shared" si="25"/>
        <v>29.49760438056126</v>
      </c>
      <c r="AF75" s="86">
        <f t="shared" si="25"/>
        <v>29.579739904175224</v>
      </c>
      <c r="AG75" s="86"/>
      <c r="AH75" s="86"/>
      <c r="AI75" s="86"/>
      <c r="AJ75" s="86"/>
      <c r="AK75" s="86"/>
      <c r="AL75" s="86"/>
      <c r="AM75" s="86"/>
      <c r="AN75" s="86"/>
      <c r="AO75" s="48"/>
      <c r="AP75" s="48"/>
    </row>
    <row r="76" spans="1:43"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48"/>
      <c r="AP76" s="48"/>
    </row>
    <row r="77" spans="1:43">
      <c r="A77" s="11" t="s">
        <v>83</v>
      </c>
      <c r="B77" s="470">
        <f>(SUMPRODUCT(B74:AF74,B35:AF35)+SUMPRODUCT(B75:AF75,B26:AF26))/E67</f>
        <v>-5.7736679479986934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9"/>
      <c r="AB78" s="89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90"/>
      <c r="AB79" s="390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pans="27:28">
      <c r="AA81" s="12"/>
      <c r="AB81" s="12"/>
    </row>
    <row r="82" spans="27:28">
      <c r="AA82" s="12"/>
      <c r="AB82" s="12"/>
    </row>
    <row r="83" spans="27:28">
      <c r="AA83" s="12"/>
      <c r="AB83" s="12"/>
    </row>
    <row r="84" spans="27:28">
      <c r="AA84" s="12"/>
      <c r="AB84" s="12"/>
    </row>
    <row r="85" spans="27:28">
      <c r="AA85" s="12"/>
      <c r="AB85" s="12"/>
    </row>
    <row r="86" spans="27:28">
      <c r="AA86" s="12"/>
      <c r="AB86" s="12"/>
    </row>
    <row r="87" spans="27:28">
      <c r="AA87" s="12"/>
      <c r="AB87" s="12"/>
    </row>
    <row r="88" spans="27:28">
      <c r="AA88" s="12"/>
      <c r="AB88" s="12"/>
    </row>
    <row r="89" spans="27:28">
      <c r="AA89" s="12"/>
      <c r="AB89" s="12"/>
    </row>
    <row r="90" spans="27:28">
      <c r="AA90" s="12"/>
      <c r="AB90" s="12"/>
    </row>
    <row r="91" spans="27:28">
      <c r="AA91" s="12"/>
      <c r="AB91" s="12"/>
    </row>
    <row r="92" spans="27:28">
      <c r="AA92" s="12"/>
      <c r="AB92" s="12"/>
    </row>
    <row r="93" spans="27:28">
      <c r="AA93" s="12"/>
      <c r="AB93" s="12"/>
    </row>
    <row r="94" spans="27:28">
      <c r="AA94" s="12"/>
      <c r="AB94" s="12"/>
    </row>
    <row r="95" spans="27:28">
      <c r="AA95" s="12"/>
      <c r="AB95" s="12"/>
    </row>
    <row r="96" spans="27:28">
      <c r="AA96" s="12"/>
      <c r="AB96" s="12"/>
    </row>
    <row r="97" spans="27:28">
      <c r="AA97" s="12"/>
      <c r="AB97" s="12"/>
    </row>
    <row r="98" spans="27:28">
      <c r="AA98" s="12"/>
      <c r="AB98" s="12"/>
    </row>
    <row r="99" spans="27:28">
      <c r="AA99" s="12"/>
      <c r="AB99" s="12"/>
    </row>
    <row r="100" spans="27:28">
      <c r="AA100" s="12"/>
      <c r="AB100" s="12"/>
    </row>
    <row r="101" spans="27:28">
      <c r="AA101" s="12"/>
      <c r="AB101" s="12"/>
    </row>
    <row r="102" spans="27:28">
      <c r="AA102" s="12"/>
      <c r="AB102" s="12"/>
    </row>
    <row r="103" spans="27:28">
      <c r="AA103" s="12"/>
      <c r="AB103" s="12"/>
    </row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/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7" t="str">
        <f>Assumptions!A3</f>
        <v>PROJECT NAME: Calpine</v>
      </c>
    </row>
    <row r="4" spans="1:34" ht="18.75">
      <c r="A4" s="60" t="s">
        <v>95</v>
      </c>
    </row>
    <row r="5" spans="1:34">
      <c r="Z5" s="166"/>
    </row>
    <row r="6" spans="1:34">
      <c r="D6" s="215">
        <f>'Price_Technical Assumption'!D7</f>
        <v>0.58333333333333337</v>
      </c>
      <c r="E6" s="215">
        <f>'Price_Technical Assumption'!E7</f>
        <v>1.5833333333333335</v>
      </c>
      <c r="F6" s="215">
        <f>'Price_Technical Assumption'!F7</f>
        <v>2.5833333333333335</v>
      </c>
      <c r="G6" s="215">
        <f>'Price_Technical Assumption'!G7</f>
        <v>3.5833333333333335</v>
      </c>
      <c r="H6" s="215">
        <f>'Price_Technical Assumption'!H7</f>
        <v>4.5833333333333339</v>
      </c>
      <c r="I6" s="215">
        <f>'Price_Technical Assumption'!I7</f>
        <v>5.5833333333333339</v>
      </c>
      <c r="J6" s="215">
        <f>'Price_Technical Assumption'!J7</f>
        <v>6.5833333333333339</v>
      </c>
      <c r="K6" s="215">
        <f>'Price_Technical Assumption'!K7</f>
        <v>7.5833333333333339</v>
      </c>
      <c r="L6" s="215">
        <f>'Price_Technical Assumption'!L7</f>
        <v>8.5833333333333339</v>
      </c>
      <c r="M6" s="215">
        <f>'Price_Technical Assumption'!M7</f>
        <v>9.5833333333333339</v>
      </c>
      <c r="N6" s="215">
        <f>'Price_Technical Assumption'!N7</f>
        <v>10.583333333333334</v>
      </c>
      <c r="O6" s="215">
        <f>'Price_Technical Assumption'!O7</f>
        <v>11.583333333333334</v>
      </c>
      <c r="P6" s="215">
        <f>'Price_Technical Assumption'!P7</f>
        <v>12.583333333333334</v>
      </c>
      <c r="Q6" s="215">
        <f>'Price_Technical Assumption'!Q7</f>
        <v>13.583333333333334</v>
      </c>
      <c r="R6" s="215">
        <f>'Price_Technical Assumption'!R7</f>
        <v>14.583333333333334</v>
      </c>
      <c r="S6" s="215">
        <f>'Price_Technical Assumption'!S7</f>
        <v>15.583333333333334</v>
      </c>
      <c r="T6" s="215">
        <f>'Price_Technical Assumption'!T7</f>
        <v>16.583333333333336</v>
      </c>
      <c r="U6" s="215">
        <f>'Price_Technical Assumption'!U7</f>
        <v>17.583333333333336</v>
      </c>
      <c r="V6" s="215">
        <f>'Price_Technical Assumption'!V7</f>
        <v>18.583333333333336</v>
      </c>
      <c r="W6" s="215">
        <f>'Price_Technical Assumption'!W7</f>
        <v>19.583333333333336</v>
      </c>
      <c r="X6" s="215">
        <f>'Price_Technical Assumption'!X7</f>
        <v>20.583333333333336</v>
      </c>
      <c r="Y6" s="215">
        <f>'Price_Technical Assumption'!Y7</f>
        <v>21.583333333333336</v>
      </c>
      <c r="Z6" s="215">
        <f>'Price_Technical Assumption'!Z7</f>
        <v>22.583333333333336</v>
      </c>
      <c r="AA6" s="215">
        <f>'Price_Technical Assumption'!AA7</f>
        <v>23.583333333333336</v>
      </c>
      <c r="AB6" s="215">
        <f>'Price_Technical Assumption'!AB7</f>
        <v>24.583333333333336</v>
      </c>
      <c r="AC6" s="215">
        <f>'Price_Technical Assumption'!AC7</f>
        <v>25.583333333333336</v>
      </c>
      <c r="AD6" s="215">
        <f>'Price_Technical Assumption'!AD7</f>
        <v>26.583333333333336</v>
      </c>
      <c r="AE6" s="215">
        <f>'Price_Technical Assumption'!AE7</f>
        <v>27.583333333333336</v>
      </c>
      <c r="AF6" s="215">
        <f>'Price_Technical Assumption'!AF7</f>
        <v>28.583333333333336</v>
      </c>
      <c r="AG6" s="215">
        <f>'Price_Technical Assumption'!AG7</f>
        <v>29.583333333333336</v>
      </c>
      <c r="AH6" s="215">
        <f>'Price_Technical Assumption'!AH7</f>
        <v>30.583333333333336</v>
      </c>
    </row>
    <row r="7" spans="1:34" s="25" customFormat="1" ht="13.5" thickBot="1">
      <c r="A7" s="123" t="s">
        <v>40</v>
      </c>
      <c r="B7" s="143"/>
      <c r="C7" s="143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8"/>
      <c r="B8" s="144"/>
      <c r="C8" s="144"/>
      <c r="D8" s="209">
        <f>IS!C8</f>
        <v>37256</v>
      </c>
      <c r="E8" s="209">
        <f>IS!D8</f>
        <v>37621</v>
      </c>
      <c r="F8" s="209">
        <f>IS!E8</f>
        <v>37986</v>
      </c>
      <c r="G8" s="209">
        <f>IS!F8</f>
        <v>38352</v>
      </c>
      <c r="H8" s="209">
        <f>IS!G8</f>
        <v>38717</v>
      </c>
      <c r="I8" s="209">
        <f>IS!H8</f>
        <v>39082</v>
      </c>
      <c r="J8" s="209">
        <f>IS!I8</f>
        <v>39447</v>
      </c>
      <c r="K8" s="209">
        <f>IS!J8</f>
        <v>39813</v>
      </c>
      <c r="L8" s="209">
        <f>IS!K8</f>
        <v>40178</v>
      </c>
      <c r="M8" s="209">
        <f>IS!L8</f>
        <v>40543</v>
      </c>
      <c r="N8" s="209">
        <f>IS!M8</f>
        <v>40908</v>
      </c>
      <c r="O8" s="209">
        <f>IS!N8</f>
        <v>41274</v>
      </c>
      <c r="P8" s="209">
        <f>IS!O8</f>
        <v>41639</v>
      </c>
      <c r="Q8" s="209">
        <f>IS!P8</f>
        <v>42004</v>
      </c>
      <c r="R8" s="209">
        <f>IS!Q8</f>
        <v>42369</v>
      </c>
      <c r="S8" s="209">
        <f>IS!R8</f>
        <v>42735</v>
      </c>
      <c r="T8" s="209">
        <f>IS!S8</f>
        <v>43100</v>
      </c>
      <c r="U8" s="209">
        <f>IS!T8</f>
        <v>43465</v>
      </c>
      <c r="V8" s="209">
        <f>IS!U8</f>
        <v>43830</v>
      </c>
      <c r="W8" s="209">
        <f>IS!V8</f>
        <v>44196</v>
      </c>
      <c r="X8" s="209">
        <f>IS!W8</f>
        <v>44561</v>
      </c>
      <c r="Y8" s="209">
        <f>IS!X8</f>
        <v>44926</v>
      </c>
      <c r="Z8" s="209">
        <f>IS!Y8</f>
        <v>45291</v>
      </c>
      <c r="AA8" s="209">
        <f>IS!Z8</f>
        <v>45657</v>
      </c>
      <c r="AB8" s="209">
        <f>IS!AA8</f>
        <v>46022</v>
      </c>
      <c r="AC8" s="209">
        <f>IS!AB8</f>
        <v>46387</v>
      </c>
      <c r="AD8" s="209">
        <f>IS!AC8</f>
        <v>46752</v>
      </c>
      <c r="AE8" s="209">
        <f>IS!AD8</f>
        <v>47118</v>
      </c>
      <c r="AF8" s="209">
        <f>IS!AE8</f>
        <v>47483</v>
      </c>
      <c r="AG8" s="209">
        <f>IS!AF8</f>
        <v>47848</v>
      </c>
      <c r="AH8" s="209">
        <f>IS!AG8</f>
        <v>48213</v>
      </c>
    </row>
    <row r="9" spans="1:34" ht="15.75">
      <c r="A9" s="26"/>
    </row>
    <row r="10" spans="1:34" s="10" customFormat="1">
      <c r="A10" s="27" t="s">
        <v>61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62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255</v>
      </c>
      <c r="B12" s="31">
        <f>Assumptions!$N$39</f>
        <v>15</v>
      </c>
      <c r="C12" s="32"/>
      <c r="D12" s="283">
        <v>0.05</v>
      </c>
      <c r="E12" s="283">
        <v>9.5000000000000001E-2</v>
      </c>
      <c r="F12" s="283">
        <v>8.5500000000000007E-2</v>
      </c>
      <c r="G12" s="283">
        <v>7.6999999999999999E-2</v>
      </c>
      <c r="H12" s="283">
        <v>6.93E-2</v>
      </c>
      <c r="I12" s="283">
        <v>6.2300000000000001E-2</v>
      </c>
      <c r="J12" s="283">
        <v>5.8999999999999997E-2</v>
      </c>
      <c r="K12" s="283">
        <v>5.91E-2</v>
      </c>
      <c r="L12" s="283">
        <v>5.8999999999999997E-2</v>
      </c>
      <c r="M12" s="283">
        <v>5.91E-2</v>
      </c>
      <c r="N12" s="283">
        <v>5.8999999999999997E-2</v>
      </c>
      <c r="O12" s="283">
        <v>5.91E-2</v>
      </c>
      <c r="P12" s="283">
        <v>5.8999999999999997E-2</v>
      </c>
      <c r="Q12" s="283">
        <v>5.91E-2</v>
      </c>
      <c r="R12" s="283">
        <v>5.8999999999999997E-2</v>
      </c>
      <c r="S12" s="283">
        <v>2.9499999999999998E-2</v>
      </c>
      <c r="T12" s="283">
        <v>0</v>
      </c>
      <c r="U12" s="283">
        <v>0</v>
      </c>
      <c r="V12" s="283">
        <v>0</v>
      </c>
      <c r="W12" s="283">
        <v>0</v>
      </c>
      <c r="X12" s="283">
        <v>0</v>
      </c>
      <c r="Y12" s="283">
        <v>0</v>
      </c>
      <c r="Z12" s="283">
        <v>0</v>
      </c>
      <c r="AA12" s="283">
        <v>0</v>
      </c>
      <c r="AB12" s="283">
        <v>0</v>
      </c>
      <c r="AC12" s="283">
        <v>0</v>
      </c>
      <c r="AD12" s="283">
        <v>0</v>
      </c>
      <c r="AE12" s="283">
        <v>0</v>
      </c>
      <c r="AF12" s="283">
        <v>0</v>
      </c>
      <c r="AG12" s="283">
        <v>0</v>
      </c>
      <c r="AH12" s="283">
        <v>0</v>
      </c>
    </row>
    <row r="13" spans="1:34" s="10" customFormat="1">
      <c r="A13" s="21" t="s">
        <v>256</v>
      </c>
      <c r="B13" s="31">
        <f>Assumptions!$N$40</f>
        <v>5</v>
      </c>
      <c r="C13" s="32"/>
      <c r="D13" s="283">
        <f>1/$B$13*D6</f>
        <v>0.11666666666666668</v>
      </c>
      <c r="E13" s="283">
        <f>1/$B$13</f>
        <v>0.2</v>
      </c>
      <c r="F13" s="283">
        <f>1/$B$13</f>
        <v>0.2</v>
      </c>
      <c r="G13" s="283">
        <f>1/$B$13</f>
        <v>0.2</v>
      </c>
      <c r="H13" s="283">
        <f>1/$B$13</f>
        <v>0.2</v>
      </c>
      <c r="I13" s="283">
        <f>1/B13-D13</f>
        <v>8.3333333333333329E-2</v>
      </c>
      <c r="J13" s="283">
        <v>0</v>
      </c>
      <c r="K13" s="283">
        <v>0</v>
      </c>
      <c r="L13" s="283">
        <v>0</v>
      </c>
      <c r="M13" s="283">
        <v>0</v>
      </c>
      <c r="N13" s="283">
        <v>0</v>
      </c>
      <c r="O13" s="283">
        <v>0</v>
      </c>
      <c r="P13" s="283">
        <v>0</v>
      </c>
      <c r="Q13" s="283">
        <v>0</v>
      </c>
      <c r="R13" s="283">
        <v>0</v>
      </c>
      <c r="S13" s="283">
        <v>0</v>
      </c>
      <c r="T13" s="283">
        <v>0</v>
      </c>
      <c r="U13" s="283">
        <v>0</v>
      </c>
      <c r="V13" s="283">
        <v>0</v>
      </c>
      <c r="W13" s="283">
        <v>0</v>
      </c>
      <c r="X13" s="283">
        <v>0</v>
      </c>
      <c r="Y13" s="283">
        <v>0</v>
      </c>
      <c r="Z13" s="283">
        <v>0</v>
      </c>
      <c r="AA13" s="283">
        <v>0</v>
      </c>
      <c r="AB13" s="283">
        <v>0</v>
      </c>
      <c r="AC13" s="283">
        <v>0</v>
      </c>
      <c r="AD13" s="283">
        <v>0</v>
      </c>
      <c r="AE13" s="283">
        <v>0</v>
      </c>
      <c r="AF13" s="283">
        <v>0</v>
      </c>
      <c r="AG13" s="283">
        <v>0</v>
      </c>
      <c r="AH13" s="283">
        <v>0</v>
      </c>
    </row>
    <row r="14" spans="1:34" s="70" customFormat="1">
      <c r="A14" s="22" t="s">
        <v>323</v>
      </c>
      <c r="B14" s="68">
        <f>Assumptions!$N$41</f>
        <v>20</v>
      </c>
      <c r="C14" s="69"/>
      <c r="D14" s="283">
        <f>1/Assumptions!$N$41*D6</f>
        <v>2.9166666666666671E-2</v>
      </c>
      <c r="E14" s="283">
        <f>IF(AND(E6&gt;=Assumptions!$N$41,D6&lt;Assumptions!$N$41),1/Assumptions!$N$41-Depreciation!$D$14,IF(E6&lt;Assumptions!$N$41,1/Assumptions!$N$41,0))</f>
        <v>0.05</v>
      </c>
      <c r="F14" s="283">
        <f>IF(AND(F6&gt;=Assumptions!$N$41,E6&lt;Assumptions!$N$41),1/Assumptions!$N$41-Depreciation!$D$14,IF(F6&lt;Assumptions!$N$41,1/Assumptions!$N$41,0))</f>
        <v>0.05</v>
      </c>
      <c r="G14" s="283">
        <f>IF(AND(G6&gt;=Assumptions!$N$41,F6&lt;Assumptions!$N$41),1/Assumptions!$N$41-Depreciation!$D$14,IF(G6&lt;Assumptions!$N$41,1/Assumptions!$N$41,0))</f>
        <v>0.05</v>
      </c>
      <c r="H14" s="283">
        <f>IF(AND(H6&gt;=Assumptions!$N$41,G6&lt;Assumptions!$N$41),1/Assumptions!$N$41-Depreciation!$D$14,IF(H6&lt;Assumptions!$N$41,1/Assumptions!$N$41,0))</f>
        <v>0.05</v>
      </c>
      <c r="I14" s="283">
        <f>IF(AND(I6&gt;=Assumptions!$N$41,H6&lt;Assumptions!$N$41),1/Assumptions!$N$41-Depreciation!$D$14,IF(I6&lt;Assumptions!$N$41,1/Assumptions!$N$41,0))</f>
        <v>0.05</v>
      </c>
      <c r="J14" s="283">
        <f>IF(AND(J6&gt;=Assumptions!$N$41,I6&lt;Assumptions!$N$41),1/Assumptions!$N$41-Depreciation!$D$14,IF(J6&lt;Assumptions!$N$41,1/Assumptions!$N$41,0))</f>
        <v>0.05</v>
      </c>
      <c r="K14" s="283">
        <f>IF(AND(K6&gt;=Assumptions!$N$41,J6&lt;Assumptions!$N$41),1/Assumptions!$N$41-Depreciation!$D$14,IF(K6&lt;Assumptions!$N$41,1/Assumptions!$N$41,0))</f>
        <v>0.05</v>
      </c>
      <c r="L14" s="283">
        <f>IF(AND(L6&gt;=Assumptions!$N$41,K6&lt;Assumptions!$N$41),1/Assumptions!$N$41-Depreciation!$D$14,IF(L6&lt;Assumptions!$N$41,1/Assumptions!$N$41,0))</f>
        <v>0.05</v>
      </c>
      <c r="M14" s="283">
        <f>IF(AND(M6&gt;=Assumptions!$N$41,L6&lt;Assumptions!$N$41),1/Assumptions!$N$41-Depreciation!$D$14,IF(M6&lt;Assumptions!$N$41,1/Assumptions!$N$41,0))</f>
        <v>0.05</v>
      </c>
      <c r="N14" s="283">
        <f>IF(AND(N6&gt;=Assumptions!$N$41,M6&lt;Assumptions!$N$41),1/Assumptions!$N$41-Depreciation!$D$14,IF(N6&lt;Assumptions!$N$41,1/Assumptions!$N$41,0))</f>
        <v>0.05</v>
      </c>
      <c r="O14" s="283">
        <f>IF(AND(O6&gt;=Assumptions!$N$41,N6&lt;Assumptions!$N$41),1/Assumptions!$N$41-Depreciation!$D$14,IF(O6&lt;Assumptions!$N$41,1/Assumptions!$N$41,0))</f>
        <v>0.05</v>
      </c>
      <c r="P14" s="283">
        <f>IF(AND(P6&gt;=Assumptions!$N$41,O6&lt;Assumptions!$N$41),1/Assumptions!$N$41-Depreciation!$D$14,IF(P6&lt;Assumptions!$N$41,1/Assumptions!$N$41,0))</f>
        <v>0.05</v>
      </c>
      <c r="Q14" s="283">
        <f>IF(AND(Q6&gt;=Assumptions!$N$41,P6&lt;Assumptions!$N$41),1/Assumptions!$N$41-Depreciation!$D$14,IF(Q6&lt;Assumptions!$N$41,1/Assumptions!$N$41,0))</f>
        <v>0.05</v>
      </c>
      <c r="R14" s="283">
        <f>IF(AND(R6&gt;=Assumptions!$N$41,Q6&lt;Assumptions!$N$41),1/Assumptions!$N$41-Depreciation!$D$14,IF(R6&lt;Assumptions!$N$41,1/Assumptions!$N$41,0))</f>
        <v>0.05</v>
      </c>
      <c r="S14" s="283">
        <f>IF(AND(S6&gt;=Assumptions!$N$41,R6&lt;Assumptions!$N$41),1/Assumptions!$N$41-Depreciation!$D$14,IF(S6&lt;Assumptions!$N$41,1/Assumptions!$N$41,0))</f>
        <v>0.05</v>
      </c>
      <c r="T14" s="283">
        <f>IF(AND(T6&gt;=Assumptions!$N$41,S6&lt;Assumptions!$N$41),1/Assumptions!$N$41-Depreciation!$D$14,IF(T6&lt;Assumptions!$N$41,1/Assumptions!$N$41,0))</f>
        <v>0.05</v>
      </c>
      <c r="U14" s="283">
        <f>IF(AND(U6&gt;=Assumptions!$N$41,T6&lt;Assumptions!$N$41),1/Assumptions!$N$41-Depreciation!$D$14,IF(U6&lt;Assumptions!$N$41,1/Assumptions!$N$41,0))</f>
        <v>0.05</v>
      </c>
      <c r="V14" s="283">
        <f>IF(AND(V6&gt;=Assumptions!$N$41,U6&lt;Assumptions!$N$41),1/Assumptions!$N$41-Depreciation!$D$14,IF(V6&lt;Assumptions!$N$41,1/Assumptions!$N$41,0))</f>
        <v>0.05</v>
      </c>
      <c r="W14" s="283">
        <f>IF(AND(W6&gt;=Assumptions!$N$41,V6&lt;Assumptions!$N$41),1/Assumptions!$N$41-Depreciation!$D$14,IF(W6&lt;Assumptions!$N$41,1/Assumptions!$N$41,0))</f>
        <v>0.05</v>
      </c>
      <c r="X14" s="283">
        <f>IF(AND(X6&gt;=Assumptions!$N$41,W6&lt;Assumptions!$N$41),1/Assumptions!$N$41-Depreciation!$D$14,IF(X6&lt;Assumptions!$N$41,1/Assumptions!$N$41,0))</f>
        <v>2.0833333333333332E-2</v>
      </c>
      <c r="Y14" s="283">
        <f>IF(AND(Y6&gt;=Assumptions!$N$41,X6&lt;Assumptions!$N$41),1/Assumptions!$N$41-Depreciation!$D$14,IF(Y6&lt;Assumptions!$N$41,1/Assumptions!$N$41,0))</f>
        <v>0</v>
      </c>
      <c r="Z14" s="283">
        <f>IF(AND(Z6&gt;=Assumptions!$N$41,Y6&lt;Assumptions!$N$41),1/Assumptions!$N$41-Depreciation!$D$14,IF(Z6&lt;Assumptions!$N$41,1/Assumptions!$N$41,0))</f>
        <v>0</v>
      </c>
      <c r="AA14" s="283">
        <f>IF(AND(AA6&gt;=Assumptions!$N$41,Z6&lt;Assumptions!$N$41),1/Assumptions!$N$41-Depreciation!$D$14,IF(AA6&lt;Assumptions!$N$41,1/Assumptions!$N$41,0))</f>
        <v>0</v>
      </c>
      <c r="AB14" s="283">
        <f>IF(AND(AB6&gt;=Assumptions!$N$41,AA6&lt;Assumptions!$N$41),1/Assumptions!$N$41-Depreciation!$D$14,IF(AB6&lt;Assumptions!$N$41,1/Assumptions!$N$41,0))</f>
        <v>0</v>
      </c>
      <c r="AC14" s="283">
        <f>IF(AND(AC6&gt;=Assumptions!$N$41,AB6&lt;Assumptions!$N$41),1/Assumptions!$N$41-Depreciation!$D$14,IF(AC6&lt;Assumptions!$N$41,1/Assumptions!$N$41,0))</f>
        <v>0</v>
      </c>
      <c r="AD14" s="283">
        <f>IF(AND(AD6&gt;=Assumptions!$N$41,AC6&lt;Assumptions!$N$41),1/Assumptions!$N$41-Depreciation!$D$14,IF(AD6&lt;Assumptions!$N$41,1/Assumptions!$N$41,0))</f>
        <v>0</v>
      </c>
      <c r="AE14" s="283">
        <f>IF(AND(AE6&gt;=Assumptions!$N$41,AD6&lt;Assumptions!$N$41),1/Assumptions!$N$41-Depreciation!$D$14,IF(AE6&lt;Assumptions!$N$41,1/Assumptions!$N$41,0))</f>
        <v>0</v>
      </c>
      <c r="AF14" s="283">
        <f>IF(AND(AF6&gt;=Assumptions!$N$41,AE6&lt;Assumptions!$N$41),1/Assumptions!$N$41-Depreciation!$D$14,IF(AF6&lt;Assumptions!$N$41,1/Assumptions!$N$41,0))</f>
        <v>0</v>
      </c>
      <c r="AG14" s="283">
        <f>IF(AND(AG6&gt;=Assumptions!$N$41,AF6&lt;Assumptions!$N$41),1/Assumptions!$N$41-Depreciation!$D$14,IF(AG6&lt;Assumptions!$N$41,1/Assumptions!$N$41,0))</f>
        <v>0</v>
      </c>
      <c r="AH14" s="283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255</v>
      </c>
      <c r="B16" s="380">
        <f>Assumptions!C34+Assumptions!C46+Assumptions!C38</f>
        <v>96489.798429326824</v>
      </c>
      <c r="C16" s="309"/>
      <c r="D16" s="18">
        <f>$B$16*D12</f>
        <v>4824.489921466341</v>
      </c>
      <c r="E16" s="18">
        <f t="shared" ref="E16:Y16" si="0">$B$16*E12</f>
        <v>9166.5308507860482</v>
      </c>
      <c r="F16" s="18">
        <f t="shared" si="0"/>
        <v>8249.8777657074443</v>
      </c>
      <c r="G16" s="18">
        <f t="shared" si="0"/>
        <v>7429.7144790581651</v>
      </c>
      <c r="H16" s="18">
        <f t="shared" si="0"/>
        <v>6686.7430311523485</v>
      </c>
      <c r="I16" s="18">
        <f t="shared" si="0"/>
        <v>6011.3144421470615</v>
      </c>
      <c r="J16" s="18">
        <f t="shared" si="0"/>
        <v>5692.8981073302821</v>
      </c>
      <c r="K16" s="18">
        <f t="shared" si="0"/>
        <v>5702.547087173215</v>
      </c>
      <c r="L16" s="18">
        <f t="shared" si="0"/>
        <v>5692.8981073302821</v>
      </c>
      <c r="M16" s="18">
        <f t="shared" si="0"/>
        <v>5702.547087173215</v>
      </c>
      <c r="N16" s="18">
        <f t="shared" si="0"/>
        <v>5692.8981073302821</v>
      </c>
      <c r="O16" s="18">
        <f t="shared" si="0"/>
        <v>5702.547087173215</v>
      </c>
      <c r="P16" s="18">
        <f t="shared" si="0"/>
        <v>5692.8981073302821</v>
      </c>
      <c r="Q16" s="18">
        <f t="shared" si="0"/>
        <v>5702.547087173215</v>
      </c>
      <c r="R16" s="18">
        <f t="shared" si="0"/>
        <v>5692.8981073302821</v>
      </c>
      <c r="S16" s="18">
        <f t="shared" si="0"/>
        <v>2846.449053665141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256</v>
      </c>
      <c r="B17" s="308">
        <f>Assumptions!C50-Assumptions!C46-Assumptions!C47</f>
        <v>3372</v>
      </c>
      <c r="C17" s="309"/>
      <c r="D17" s="306">
        <f>$B$17*D13</f>
        <v>393.40000000000003</v>
      </c>
      <c r="E17" s="306">
        <f t="shared" ref="E17:AH17" si="2">$B$17*E13</f>
        <v>674.40000000000009</v>
      </c>
      <c r="F17" s="306">
        <f t="shared" si="2"/>
        <v>674.40000000000009</v>
      </c>
      <c r="G17" s="306">
        <f t="shared" si="2"/>
        <v>674.40000000000009</v>
      </c>
      <c r="H17" s="306">
        <f t="shared" si="2"/>
        <v>674.40000000000009</v>
      </c>
      <c r="I17" s="306">
        <f t="shared" si="2"/>
        <v>281</v>
      </c>
      <c r="J17" s="306">
        <f t="shared" si="2"/>
        <v>0</v>
      </c>
      <c r="K17" s="306">
        <f t="shared" si="2"/>
        <v>0</v>
      </c>
      <c r="L17" s="306">
        <f t="shared" si="2"/>
        <v>0</v>
      </c>
      <c r="M17" s="306">
        <f t="shared" si="2"/>
        <v>0</v>
      </c>
      <c r="N17" s="306">
        <f t="shared" si="2"/>
        <v>0</v>
      </c>
      <c r="O17" s="306">
        <f t="shared" si="2"/>
        <v>0</v>
      </c>
      <c r="P17" s="306">
        <f t="shared" si="2"/>
        <v>0</v>
      </c>
      <c r="Q17" s="306">
        <f t="shared" si="2"/>
        <v>0</v>
      </c>
      <c r="R17" s="306">
        <f t="shared" si="2"/>
        <v>0</v>
      </c>
      <c r="S17" s="306">
        <f t="shared" si="2"/>
        <v>0</v>
      </c>
      <c r="T17" s="306">
        <f t="shared" si="2"/>
        <v>0</v>
      </c>
      <c r="U17" s="306">
        <f t="shared" si="2"/>
        <v>0</v>
      </c>
      <c r="V17" s="306">
        <f t="shared" si="2"/>
        <v>0</v>
      </c>
      <c r="W17" s="306">
        <f t="shared" si="2"/>
        <v>0</v>
      </c>
      <c r="X17" s="306">
        <f t="shared" si="2"/>
        <v>0</v>
      </c>
      <c r="Y17" s="306">
        <f t="shared" si="2"/>
        <v>0</v>
      </c>
      <c r="Z17" s="306">
        <f t="shared" si="2"/>
        <v>0</v>
      </c>
      <c r="AA17" s="306">
        <f t="shared" si="2"/>
        <v>0</v>
      </c>
      <c r="AB17" s="306">
        <f t="shared" si="2"/>
        <v>0</v>
      </c>
      <c r="AC17" s="306">
        <f t="shared" si="2"/>
        <v>0</v>
      </c>
      <c r="AD17" s="306">
        <f t="shared" si="2"/>
        <v>0</v>
      </c>
      <c r="AE17" s="306">
        <f t="shared" si="2"/>
        <v>0</v>
      </c>
      <c r="AF17" s="306">
        <f t="shared" si="2"/>
        <v>0</v>
      </c>
      <c r="AG17" s="306">
        <f t="shared" si="2"/>
        <v>0</v>
      </c>
      <c r="AH17" s="306">
        <f t="shared" si="2"/>
        <v>0</v>
      </c>
    </row>
    <row r="18" spans="1:36" s="10" customFormat="1" ht="15">
      <c r="A18" s="22" t="s">
        <v>323</v>
      </c>
      <c r="B18" s="381">
        <f>Assumptions!$C$56</f>
        <v>0</v>
      </c>
      <c r="C18" s="309"/>
      <c r="D18" s="382">
        <f>$B$18*D14</f>
        <v>0</v>
      </c>
      <c r="E18" s="382">
        <f t="shared" ref="E18:Y18" si="3">$B$18*E14</f>
        <v>0</v>
      </c>
      <c r="F18" s="382">
        <f t="shared" si="3"/>
        <v>0</v>
      </c>
      <c r="G18" s="382">
        <f t="shared" si="3"/>
        <v>0</v>
      </c>
      <c r="H18" s="382">
        <f t="shared" si="3"/>
        <v>0</v>
      </c>
      <c r="I18" s="382">
        <f t="shared" si="3"/>
        <v>0</v>
      </c>
      <c r="J18" s="382">
        <f t="shared" si="3"/>
        <v>0</v>
      </c>
      <c r="K18" s="382">
        <f t="shared" si="3"/>
        <v>0</v>
      </c>
      <c r="L18" s="382">
        <f t="shared" si="3"/>
        <v>0</v>
      </c>
      <c r="M18" s="382">
        <f t="shared" si="3"/>
        <v>0</v>
      </c>
      <c r="N18" s="382">
        <f t="shared" si="3"/>
        <v>0</v>
      </c>
      <c r="O18" s="382">
        <f t="shared" si="3"/>
        <v>0</v>
      </c>
      <c r="P18" s="382">
        <f t="shared" si="3"/>
        <v>0</v>
      </c>
      <c r="Q18" s="382">
        <f t="shared" si="3"/>
        <v>0</v>
      </c>
      <c r="R18" s="382">
        <f t="shared" si="3"/>
        <v>0</v>
      </c>
      <c r="S18" s="382">
        <f t="shared" si="3"/>
        <v>0</v>
      </c>
      <c r="T18" s="382">
        <f t="shared" si="3"/>
        <v>0</v>
      </c>
      <c r="U18" s="382">
        <f t="shared" si="3"/>
        <v>0</v>
      </c>
      <c r="V18" s="382">
        <f t="shared" si="3"/>
        <v>0</v>
      </c>
      <c r="W18" s="382">
        <f t="shared" si="3"/>
        <v>0</v>
      </c>
      <c r="X18" s="382">
        <f t="shared" si="3"/>
        <v>0</v>
      </c>
      <c r="Y18" s="382">
        <f t="shared" si="3"/>
        <v>0</v>
      </c>
      <c r="Z18" s="382">
        <f t="shared" ref="Z18:AH18" si="4">$B$18*Z14</f>
        <v>0</v>
      </c>
      <c r="AA18" s="382">
        <f t="shared" si="4"/>
        <v>0</v>
      </c>
      <c r="AB18" s="382">
        <f t="shared" si="4"/>
        <v>0</v>
      </c>
      <c r="AC18" s="382">
        <f t="shared" si="4"/>
        <v>0</v>
      </c>
      <c r="AD18" s="382">
        <f t="shared" si="4"/>
        <v>0</v>
      </c>
      <c r="AE18" s="382">
        <f t="shared" si="4"/>
        <v>0</v>
      </c>
      <c r="AF18" s="382">
        <f t="shared" si="4"/>
        <v>0</v>
      </c>
      <c r="AG18" s="382">
        <f t="shared" si="4"/>
        <v>0</v>
      </c>
      <c r="AH18" s="382">
        <f t="shared" si="4"/>
        <v>0</v>
      </c>
    </row>
    <row r="19" spans="1:36" s="10" customFormat="1">
      <c r="A19" s="22" t="s">
        <v>63</v>
      </c>
      <c r="B19" s="18">
        <f>SUM(B16:B18)</f>
        <v>99861.798429326824</v>
      </c>
      <c r="C19" s="309"/>
      <c r="D19" s="18">
        <f t="shared" ref="D19:Y19" si="5">SUM(D16:D18)</f>
        <v>5217.8899214663406</v>
      </c>
      <c r="E19" s="18">
        <f t="shared" si="5"/>
        <v>9840.9308507860478</v>
      </c>
      <c r="F19" s="18">
        <f t="shared" si="5"/>
        <v>8924.2777657074439</v>
      </c>
      <c r="G19" s="18">
        <f t="shared" si="5"/>
        <v>8104.1144790581657</v>
      </c>
      <c r="H19" s="18">
        <f t="shared" si="5"/>
        <v>7361.1430311523491</v>
      </c>
      <c r="I19" s="18">
        <f t="shared" si="5"/>
        <v>6292.3144421470615</v>
      </c>
      <c r="J19" s="18">
        <f t="shared" si="5"/>
        <v>5692.8981073302821</v>
      </c>
      <c r="K19" s="18">
        <f t="shared" si="5"/>
        <v>5702.547087173215</v>
      </c>
      <c r="L19" s="18">
        <f t="shared" si="5"/>
        <v>5692.8981073302821</v>
      </c>
      <c r="M19" s="18">
        <f t="shared" si="5"/>
        <v>5702.547087173215</v>
      </c>
      <c r="N19" s="18">
        <f t="shared" si="5"/>
        <v>5692.8981073302821</v>
      </c>
      <c r="O19" s="18">
        <f t="shared" si="5"/>
        <v>5702.547087173215</v>
      </c>
      <c r="P19" s="18">
        <f t="shared" si="5"/>
        <v>5692.8981073302821</v>
      </c>
      <c r="Q19" s="18">
        <f t="shared" si="5"/>
        <v>5702.547087173215</v>
      </c>
      <c r="R19" s="18">
        <f t="shared" si="5"/>
        <v>5692.8981073302821</v>
      </c>
      <c r="S19" s="18">
        <f t="shared" si="5"/>
        <v>2846.449053665141</v>
      </c>
      <c r="T19" s="18">
        <f t="shared" si="5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64</v>
      </c>
      <c r="B21" s="310">
        <f>B19</f>
        <v>99861.798429326824</v>
      </c>
      <c r="C21" s="383"/>
      <c r="D21" s="310">
        <f>B19-D19</f>
        <v>94643.908507860484</v>
      </c>
      <c r="E21" s="310">
        <f>D21-E19</f>
        <v>84802.977657074429</v>
      </c>
      <c r="F21" s="310">
        <f t="shared" ref="F21:X21" si="7">E21-F19</f>
        <v>75878.699891366981</v>
      </c>
      <c r="G21" s="310">
        <f t="shared" si="7"/>
        <v>67774.585412308821</v>
      </c>
      <c r="H21" s="310">
        <f t="shared" si="7"/>
        <v>60413.44238115647</v>
      </c>
      <c r="I21" s="310">
        <f t="shared" si="7"/>
        <v>54121.127939009406</v>
      </c>
      <c r="J21" s="310">
        <f t="shared" si="7"/>
        <v>48428.229831679128</v>
      </c>
      <c r="K21" s="310">
        <f t="shared" si="7"/>
        <v>42725.68274450591</v>
      </c>
      <c r="L21" s="310">
        <f t="shared" si="7"/>
        <v>37032.784637175631</v>
      </c>
      <c r="M21" s="310">
        <f t="shared" si="7"/>
        <v>31330.237550002417</v>
      </c>
      <c r="N21" s="310">
        <f t="shared" si="7"/>
        <v>25637.339442672135</v>
      </c>
      <c r="O21" s="310">
        <f t="shared" si="7"/>
        <v>19934.792355498921</v>
      </c>
      <c r="P21" s="310">
        <f t="shared" si="7"/>
        <v>14241.894248168639</v>
      </c>
      <c r="Q21" s="310">
        <f t="shared" si="7"/>
        <v>8539.3471609954249</v>
      </c>
      <c r="R21" s="310">
        <f t="shared" si="7"/>
        <v>2846.4490536651429</v>
      </c>
      <c r="S21" s="310">
        <f t="shared" si="7"/>
        <v>0</v>
      </c>
      <c r="T21" s="310">
        <f t="shared" si="7"/>
        <v>0</v>
      </c>
      <c r="U21" s="310">
        <f t="shared" si="7"/>
        <v>0</v>
      </c>
      <c r="V21" s="310">
        <f t="shared" si="7"/>
        <v>0</v>
      </c>
      <c r="W21" s="310">
        <f t="shared" si="7"/>
        <v>0</v>
      </c>
      <c r="X21" s="310">
        <f t="shared" si="7"/>
        <v>0</v>
      </c>
      <c r="Y21" s="310">
        <f>X21-Y19</f>
        <v>0</v>
      </c>
      <c r="Z21" s="310">
        <f t="shared" ref="Z21:AH21" si="8">Y21-Z19</f>
        <v>0</v>
      </c>
      <c r="AA21" s="310">
        <f t="shared" si="8"/>
        <v>0</v>
      </c>
      <c r="AB21" s="310">
        <f t="shared" si="8"/>
        <v>0</v>
      </c>
      <c r="AC21" s="310">
        <f t="shared" si="8"/>
        <v>0</v>
      </c>
      <c r="AD21" s="310">
        <f t="shared" si="8"/>
        <v>0</v>
      </c>
      <c r="AE21" s="310">
        <f t="shared" si="8"/>
        <v>0</v>
      </c>
      <c r="AF21" s="310">
        <f t="shared" si="8"/>
        <v>0</v>
      </c>
      <c r="AG21" s="310">
        <f t="shared" si="8"/>
        <v>0</v>
      </c>
      <c r="AH21" s="310">
        <f t="shared" si="8"/>
        <v>0</v>
      </c>
      <c r="AI21" s="307"/>
      <c r="AJ21" s="307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65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62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255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256</v>
      </c>
      <c r="B27" s="31">
        <f>Assumptions!$N$40</f>
        <v>5</v>
      </c>
      <c r="C27" s="32"/>
      <c r="D27" s="283">
        <f>D13</f>
        <v>0.11666666666666668</v>
      </c>
      <c r="E27" s="283">
        <f t="shared" ref="E27:AH27" si="11">E13</f>
        <v>0.2</v>
      </c>
      <c r="F27" s="283">
        <f t="shared" si="11"/>
        <v>0.2</v>
      </c>
      <c r="G27" s="283">
        <f t="shared" si="11"/>
        <v>0.2</v>
      </c>
      <c r="H27" s="283">
        <f t="shared" si="11"/>
        <v>0.2</v>
      </c>
      <c r="I27" s="283">
        <f t="shared" si="11"/>
        <v>8.3333333333333329E-2</v>
      </c>
      <c r="J27" s="283">
        <f t="shared" si="11"/>
        <v>0</v>
      </c>
      <c r="K27" s="283">
        <f t="shared" si="11"/>
        <v>0</v>
      </c>
      <c r="L27" s="283">
        <f t="shared" si="11"/>
        <v>0</v>
      </c>
      <c r="M27" s="283">
        <f t="shared" si="11"/>
        <v>0</v>
      </c>
      <c r="N27" s="283">
        <f t="shared" si="11"/>
        <v>0</v>
      </c>
      <c r="O27" s="283">
        <f t="shared" si="11"/>
        <v>0</v>
      </c>
      <c r="P27" s="283">
        <f t="shared" si="11"/>
        <v>0</v>
      </c>
      <c r="Q27" s="283">
        <f t="shared" si="11"/>
        <v>0</v>
      </c>
      <c r="R27" s="283">
        <f t="shared" si="11"/>
        <v>0</v>
      </c>
      <c r="S27" s="283">
        <f t="shared" si="11"/>
        <v>0</v>
      </c>
      <c r="T27" s="283">
        <f t="shared" si="11"/>
        <v>0</v>
      </c>
      <c r="U27" s="283">
        <f t="shared" si="11"/>
        <v>0</v>
      </c>
      <c r="V27" s="283">
        <f t="shared" si="11"/>
        <v>0</v>
      </c>
      <c r="W27" s="283">
        <f t="shared" si="11"/>
        <v>0</v>
      </c>
      <c r="X27" s="283">
        <f t="shared" si="11"/>
        <v>0</v>
      </c>
      <c r="Y27" s="283">
        <f t="shared" si="11"/>
        <v>0</v>
      </c>
      <c r="Z27" s="283">
        <f t="shared" si="11"/>
        <v>0</v>
      </c>
      <c r="AA27" s="283">
        <f t="shared" si="11"/>
        <v>0</v>
      </c>
      <c r="AB27" s="283">
        <f t="shared" si="11"/>
        <v>0</v>
      </c>
      <c r="AC27" s="283">
        <f t="shared" si="11"/>
        <v>0</v>
      </c>
      <c r="AD27" s="283">
        <f t="shared" si="11"/>
        <v>0</v>
      </c>
      <c r="AE27" s="283">
        <f t="shared" si="11"/>
        <v>0</v>
      </c>
      <c r="AF27" s="283">
        <f t="shared" si="11"/>
        <v>0</v>
      </c>
      <c r="AG27" s="283">
        <f t="shared" si="11"/>
        <v>0</v>
      </c>
      <c r="AH27" s="283">
        <f t="shared" si="11"/>
        <v>0</v>
      </c>
    </row>
    <row r="28" spans="1:36" s="10" customFormat="1">
      <c r="A28" s="22" t="s">
        <v>323</v>
      </c>
      <c r="B28" s="68">
        <f>Assumptions!$N$41</f>
        <v>20</v>
      </c>
      <c r="C28" s="32"/>
      <c r="D28" s="33">
        <f>D14</f>
        <v>2.9166666666666671E-2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2.0833333333333332E-2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255</v>
      </c>
      <c r="B31" s="380">
        <f>B16</f>
        <v>96489.798429326824</v>
      </c>
      <c r="C31" s="309"/>
      <c r="D31" s="18">
        <f>$B$31*D26</f>
        <v>4824.489921466341</v>
      </c>
      <c r="E31" s="18">
        <f t="shared" ref="E31:Y31" si="14">$B$31*E26</f>
        <v>9166.5308507860482</v>
      </c>
      <c r="F31" s="18">
        <f t="shared" si="14"/>
        <v>8249.8777657074443</v>
      </c>
      <c r="G31" s="18">
        <f t="shared" si="14"/>
        <v>7429.7144790581651</v>
      </c>
      <c r="H31" s="18">
        <f t="shared" si="14"/>
        <v>6686.7430311523485</v>
      </c>
      <c r="I31" s="18">
        <f t="shared" si="14"/>
        <v>6011.3144421470615</v>
      </c>
      <c r="J31" s="18">
        <f t="shared" si="14"/>
        <v>5692.8981073302821</v>
      </c>
      <c r="K31" s="18">
        <f t="shared" si="14"/>
        <v>5702.547087173215</v>
      </c>
      <c r="L31" s="18">
        <f t="shared" si="14"/>
        <v>5692.8981073302821</v>
      </c>
      <c r="M31" s="18">
        <f t="shared" si="14"/>
        <v>5702.547087173215</v>
      </c>
      <c r="N31" s="18">
        <f t="shared" si="14"/>
        <v>5692.8981073302821</v>
      </c>
      <c r="O31" s="18">
        <f t="shared" si="14"/>
        <v>5702.547087173215</v>
      </c>
      <c r="P31" s="18">
        <f t="shared" si="14"/>
        <v>5692.8981073302821</v>
      </c>
      <c r="Q31" s="18">
        <f t="shared" si="14"/>
        <v>5702.547087173215</v>
      </c>
      <c r="R31" s="18">
        <f t="shared" si="14"/>
        <v>5692.8981073302821</v>
      </c>
      <c r="S31" s="18">
        <f t="shared" si="14"/>
        <v>2846.449053665141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256</v>
      </c>
      <c r="B32" s="308">
        <f>B17</f>
        <v>3372</v>
      </c>
      <c r="C32" s="309"/>
      <c r="D32" s="306">
        <f>D27*$B$32</f>
        <v>393.40000000000003</v>
      </c>
      <c r="E32" s="306">
        <f t="shared" ref="E32:AH32" si="16">E27*$B$32</f>
        <v>674.40000000000009</v>
      </c>
      <c r="F32" s="306">
        <f t="shared" si="16"/>
        <v>674.40000000000009</v>
      </c>
      <c r="G32" s="306">
        <f t="shared" si="16"/>
        <v>674.40000000000009</v>
      </c>
      <c r="H32" s="306">
        <f t="shared" si="16"/>
        <v>674.40000000000009</v>
      </c>
      <c r="I32" s="306">
        <f t="shared" si="16"/>
        <v>281</v>
      </c>
      <c r="J32" s="306">
        <f t="shared" si="16"/>
        <v>0</v>
      </c>
      <c r="K32" s="306">
        <f t="shared" si="16"/>
        <v>0</v>
      </c>
      <c r="L32" s="306">
        <f t="shared" si="16"/>
        <v>0</v>
      </c>
      <c r="M32" s="306">
        <f t="shared" si="16"/>
        <v>0</v>
      </c>
      <c r="N32" s="306">
        <f t="shared" si="16"/>
        <v>0</v>
      </c>
      <c r="O32" s="306">
        <f t="shared" si="16"/>
        <v>0</v>
      </c>
      <c r="P32" s="306">
        <f t="shared" si="16"/>
        <v>0</v>
      </c>
      <c r="Q32" s="306">
        <f t="shared" si="16"/>
        <v>0</v>
      </c>
      <c r="R32" s="306">
        <f t="shared" si="16"/>
        <v>0</v>
      </c>
      <c r="S32" s="306">
        <f t="shared" si="16"/>
        <v>0</v>
      </c>
      <c r="T32" s="306">
        <f t="shared" si="16"/>
        <v>0</v>
      </c>
      <c r="U32" s="306">
        <f t="shared" si="16"/>
        <v>0</v>
      </c>
      <c r="V32" s="306">
        <f t="shared" si="16"/>
        <v>0</v>
      </c>
      <c r="W32" s="306">
        <f t="shared" si="16"/>
        <v>0</v>
      </c>
      <c r="X32" s="306">
        <f t="shared" si="16"/>
        <v>0</v>
      </c>
      <c r="Y32" s="306">
        <f t="shared" si="16"/>
        <v>0</v>
      </c>
      <c r="Z32" s="306">
        <f t="shared" si="16"/>
        <v>0</v>
      </c>
      <c r="AA32" s="306">
        <f t="shared" si="16"/>
        <v>0</v>
      </c>
      <c r="AB32" s="306">
        <f t="shared" si="16"/>
        <v>0</v>
      </c>
      <c r="AC32" s="306">
        <f t="shared" si="16"/>
        <v>0</v>
      </c>
      <c r="AD32" s="306">
        <f t="shared" si="16"/>
        <v>0</v>
      </c>
      <c r="AE32" s="306">
        <f t="shared" si="16"/>
        <v>0</v>
      </c>
      <c r="AF32" s="306">
        <f t="shared" si="16"/>
        <v>0</v>
      </c>
      <c r="AG32" s="306">
        <f t="shared" si="16"/>
        <v>0</v>
      </c>
      <c r="AH32" s="306">
        <f t="shared" si="16"/>
        <v>0</v>
      </c>
    </row>
    <row r="33" spans="1:38" s="10" customFormat="1" ht="15">
      <c r="A33" s="22" t="s">
        <v>323</v>
      </c>
      <c r="B33" s="381">
        <f>B18</f>
        <v>0</v>
      </c>
      <c r="C33" s="309"/>
      <c r="D33" s="382">
        <f t="shared" ref="D33:Y33" si="17">$B33*D28</f>
        <v>0</v>
      </c>
      <c r="E33" s="382">
        <f t="shared" si="17"/>
        <v>0</v>
      </c>
      <c r="F33" s="382">
        <f t="shared" si="17"/>
        <v>0</v>
      </c>
      <c r="G33" s="382">
        <f t="shared" si="17"/>
        <v>0</v>
      </c>
      <c r="H33" s="382">
        <f t="shared" si="17"/>
        <v>0</v>
      </c>
      <c r="I33" s="382">
        <f t="shared" si="17"/>
        <v>0</v>
      </c>
      <c r="J33" s="382">
        <f t="shared" si="17"/>
        <v>0</v>
      </c>
      <c r="K33" s="382">
        <f t="shared" si="17"/>
        <v>0</v>
      </c>
      <c r="L33" s="382">
        <f t="shared" si="17"/>
        <v>0</v>
      </c>
      <c r="M33" s="382">
        <f t="shared" si="17"/>
        <v>0</v>
      </c>
      <c r="N33" s="382">
        <f t="shared" si="17"/>
        <v>0</v>
      </c>
      <c r="O33" s="382">
        <f t="shared" si="17"/>
        <v>0</v>
      </c>
      <c r="P33" s="382">
        <f t="shared" si="17"/>
        <v>0</v>
      </c>
      <c r="Q33" s="382">
        <f t="shared" si="17"/>
        <v>0</v>
      </c>
      <c r="R33" s="382">
        <f t="shared" si="17"/>
        <v>0</v>
      </c>
      <c r="S33" s="382">
        <f t="shared" si="17"/>
        <v>0</v>
      </c>
      <c r="T33" s="382">
        <f t="shared" si="17"/>
        <v>0</v>
      </c>
      <c r="U33" s="382">
        <f t="shared" si="17"/>
        <v>0</v>
      </c>
      <c r="V33" s="382">
        <f t="shared" si="17"/>
        <v>0</v>
      </c>
      <c r="W33" s="382">
        <f t="shared" si="17"/>
        <v>0</v>
      </c>
      <c r="X33" s="382">
        <f t="shared" si="17"/>
        <v>0</v>
      </c>
      <c r="Y33" s="382">
        <f t="shared" si="17"/>
        <v>0</v>
      </c>
      <c r="Z33" s="382">
        <f t="shared" ref="Z33:AH33" si="18">$B33*Z28</f>
        <v>0</v>
      </c>
      <c r="AA33" s="382">
        <f t="shared" si="18"/>
        <v>0</v>
      </c>
      <c r="AB33" s="382">
        <f t="shared" si="18"/>
        <v>0</v>
      </c>
      <c r="AC33" s="382">
        <f t="shared" si="18"/>
        <v>0</v>
      </c>
      <c r="AD33" s="382">
        <f t="shared" si="18"/>
        <v>0</v>
      </c>
      <c r="AE33" s="382">
        <f t="shared" si="18"/>
        <v>0</v>
      </c>
      <c r="AF33" s="382">
        <f t="shared" si="18"/>
        <v>0</v>
      </c>
      <c r="AG33" s="382">
        <f t="shared" si="18"/>
        <v>0</v>
      </c>
      <c r="AH33" s="382">
        <f t="shared" si="18"/>
        <v>0</v>
      </c>
    </row>
    <row r="34" spans="1:38" s="10" customFormat="1">
      <c r="A34" s="16" t="s">
        <v>63</v>
      </c>
      <c r="B34" s="18">
        <f>SUM(B31:B33)</f>
        <v>99861.798429326824</v>
      </c>
      <c r="C34" s="309"/>
      <c r="D34" s="18">
        <f t="shared" ref="D34:Y34" si="19">SUM(D31:D33)</f>
        <v>5217.8899214663406</v>
      </c>
      <c r="E34" s="18">
        <f t="shared" si="19"/>
        <v>9840.9308507860478</v>
      </c>
      <c r="F34" s="18">
        <f t="shared" si="19"/>
        <v>8924.2777657074439</v>
      </c>
      <c r="G34" s="18">
        <f t="shared" si="19"/>
        <v>8104.1144790581657</v>
      </c>
      <c r="H34" s="18">
        <f t="shared" si="19"/>
        <v>7361.1430311523491</v>
      </c>
      <c r="I34" s="18">
        <f t="shared" si="19"/>
        <v>6292.3144421470615</v>
      </c>
      <c r="J34" s="18">
        <f t="shared" si="19"/>
        <v>5692.8981073302821</v>
      </c>
      <c r="K34" s="18">
        <f t="shared" si="19"/>
        <v>5702.547087173215</v>
      </c>
      <c r="L34" s="18">
        <f t="shared" si="19"/>
        <v>5692.8981073302821</v>
      </c>
      <c r="M34" s="18">
        <f t="shared" si="19"/>
        <v>5702.547087173215</v>
      </c>
      <c r="N34" s="18">
        <f t="shared" si="19"/>
        <v>5692.8981073302821</v>
      </c>
      <c r="O34" s="18">
        <f t="shared" si="19"/>
        <v>5702.547087173215</v>
      </c>
      <c r="P34" s="18">
        <f t="shared" si="19"/>
        <v>5692.8981073302821</v>
      </c>
      <c r="Q34" s="18">
        <f t="shared" si="19"/>
        <v>5702.547087173215</v>
      </c>
      <c r="R34" s="18">
        <f t="shared" si="19"/>
        <v>5692.8981073302821</v>
      </c>
      <c r="S34" s="18">
        <f t="shared" si="19"/>
        <v>2846.449053665141</v>
      </c>
      <c r="T34" s="18">
        <f t="shared" si="19"/>
        <v>0</v>
      </c>
      <c r="U34" s="18">
        <f t="shared" si="19"/>
        <v>0</v>
      </c>
      <c r="V34" s="18">
        <f t="shared" si="19"/>
        <v>0</v>
      </c>
      <c r="W34" s="18">
        <f t="shared" si="19"/>
        <v>0</v>
      </c>
      <c r="X34" s="18">
        <f t="shared" si="19"/>
        <v>0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84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64</v>
      </c>
      <c r="B36" s="310">
        <f>B34</f>
        <v>99861.798429326824</v>
      </c>
      <c r="C36" s="385"/>
      <c r="D36" s="310">
        <f>B34-D34</f>
        <v>94643.908507860484</v>
      </c>
      <c r="E36" s="310">
        <f>D36-E34</f>
        <v>84802.977657074429</v>
      </c>
      <c r="F36" s="310">
        <f t="shared" ref="F36:W36" si="21">E36-F34</f>
        <v>75878.699891366981</v>
      </c>
      <c r="G36" s="310">
        <f t="shared" si="21"/>
        <v>67774.585412308821</v>
      </c>
      <c r="H36" s="310">
        <f t="shared" si="21"/>
        <v>60413.44238115647</v>
      </c>
      <c r="I36" s="310">
        <f t="shared" si="21"/>
        <v>54121.127939009406</v>
      </c>
      <c r="J36" s="310">
        <f t="shared" si="21"/>
        <v>48428.229831679128</v>
      </c>
      <c r="K36" s="310">
        <f t="shared" si="21"/>
        <v>42725.68274450591</v>
      </c>
      <c r="L36" s="310">
        <f t="shared" si="21"/>
        <v>37032.784637175631</v>
      </c>
      <c r="M36" s="310">
        <f t="shared" si="21"/>
        <v>31330.237550002417</v>
      </c>
      <c r="N36" s="310">
        <f t="shared" si="21"/>
        <v>25637.339442672135</v>
      </c>
      <c r="O36" s="310">
        <f t="shared" si="21"/>
        <v>19934.792355498921</v>
      </c>
      <c r="P36" s="310">
        <f t="shared" si="21"/>
        <v>14241.894248168639</v>
      </c>
      <c r="Q36" s="310">
        <f t="shared" si="21"/>
        <v>8539.3471609954249</v>
      </c>
      <c r="R36" s="310">
        <f t="shared" si="21"/>
        <v>2846.4490536651429</v>
      </c>
      <c r="S36" s="310">
        <f t="shared" si="21"/>
        <v>0</v>
      </c>
      <c r="T36" s="310">
        <f t="shared" si="21"/>
        <v>0</v>
      </c>
      <c r="U36" s="310">
        <f t="shared" si="21"/>
        <v>0</v>
      </c>
      <c r="V36" s="310">
        <f t="shared" si="21"/>
        <v>0</v>
      </c>
      <c r="W36" s="310">
        <f t="shared" si="21"/>
        <v>0</v>
      </c>
      <c r="X36" s="310">
        <f>W36-X34</f>
        <v>0</v>
      </c>
      <c r="Y36" s="310">
        <f>X36-Y34</f>
        <v>0</v>
      </c>
      <c r="Z36" s="310">
        <f t="shared" ref="Z36:AH36" si="22">Y36-Z34</f>
        <v>0</v>
      </c>
      <c r="AA36" s="310">
        <f t="shared" si="22"/>
        <v>0</v>
      </c>
      <c r="AB36" s="310">
        <f t="shared" si="22"/>
        <v>0</v>
      </c>
      <c r="AC36" s="310">
        <f t="shared" si="22"/>
        <v>0</v>
      </c>
      <c r="AD36" s="310">
        <f t="shared" si="22"/>
        <v>0</v>
      </c>
      <c r="AE36" s="310">
        <f t="shared" si="22"/>
        <v>0</v>
      </c>
      <c r="AF36" s="310">
        <f t="shared" si="22"/>
        <v>0</v>
      </c>
      <c r="AG36" s="310">
        <f t="shared" si="22"/>
        <v>0</v>
      </c>
      <c r="AH36" s="310">
        <f t="shared" si="22"/>
        <v>0</v>
      </c>
      <c r="AI36" s="307"/>
      <c r="AJ36" s="307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66</v>
      </c>
    </row>
    <row r="40" spans="1:38" s="10" customFormat="1">
      <c r="A40" s="27"/>
      <c r="B40" s="29" t="s">
        <v>62</v>
      </c>
      <c r="C40" s="378" t="s">
        <v>67</v>
      </c>
    </row>
    <row r="41" spans="1:38" s="10" customFormat="1">
      <c r="A41" s="21" t="s">
        <v>378</v>
      </c>
      <c r="B41" s="31">
        <f>Assumptions!$N$44</f>
        <v>30</v>
      </c>
      <c r="C41" s="379">
        <f>Assumptions!P44</f>
        <v>0.1</v>
      </c>
      <c r="D41" s="283">
        <f>1/Assumptions!$N$44*D6*(1-$C$41)</f>
        <v>1.7500000000000002E-2</v>
      </c>
      <c r="E41" s="283">
        <f>IF(AND(E6&gt;=Assumptions!$N$44,D6&lt;Assumptions!$N$44),1/Assumptions!$N$44*(1-$C$41)-Depreciation!$D$41,IF(AND(D6&gt;Assumptions!$N$44,E6&lt;Assumptions!$N$44),0,1/Assumptions!$N$44*(1-$C$41)))</f>
        <v>0.03</v>
      </c>
      <c r="F41" s="283">
        <f>IF(AND(F6&gt;=Assumptions!$N$44,E6&lt;Assumptions!$N$44),1/Assumptions!$N$44*(1-$C$41)-Depreciation!$D$41,IF(AND(E6&gt;Assumptions!$N$44,F6&lt;Assumptions!$N$44),0,1/Assumptions!$N$44*(1-$C$41)))</f>
        <v>0.03</v>
      </c>
      <c r="G41" s="283">
        <f>IF(AND(G6&gt;=Assumptions!$N$44,F6&lt;Assumptions!$N$44),1/Assumptions!$N$44*(1-$C$41)-Depreciation!$D$41,IF(AND(F6&gt;Assumptions!$N$44,G6&lt;Assumptions!$N$44),0,1/Assumptions!$N$44*(1-$C$41)))</f>
        <v>0.03</v>
      </c>
      <c r="H41" s="283">
        <f>IF(AND(H6&gt;=Assumptions!$N$44,G6&lt;Assumptions!$N$44),1/Assumptions!$N$44*(1-$C$41)-Depreciation!$D$41,IF(AND(G6&gt;Assumptions!$N$44,H6&lt;Assumptions!$N$44),0,1/Assumptions!$N$44*(1-$C$41)))</f>
        <v>0.03</v>
      </c>
      <c r="I41" s="283">
        <f>IF(AND(I6&gt;=Assumptions!$N$44,H6&lt;Assumptions!$N$44),1/Assumptions!$N$44*(1-$C$41)-Depreciation!$D$41,IF(AND(H6&gt;Assumptions!$N$44,I6&lt;Assumptions!$N$44),0,1/Assumptions!$N$44*(1-$C$41)))</f>
        <v>0.03</v>
      </c>
      <c r="J41" s="283">
        <f>IF(AND(J6&gt;=Assumptions!$N$44,I6&lt;Assumptions!$N$44),1/Assumptions!$N$44*(1-$C$41)-Depreciation!$D$41,IF(AND(I6&gt;Assumptions!$N$44,J6&lt;Assumptions!$N$44),0,1/Assumptions!$N$44*(1-$C$41)))</f>
        <v>0.03</v>
      </c>
      <c r="K41" s="283">
        <f>IF(AND(K6&gt;=Assumptions!$N$44,J6&lt;Assumptions!$N$44),1/Assumptions!$N$44*(1-$C$41)-Depreciation!$D$41,IF(AND(J6&gt;Assumptions!$N$44,K6&lt;Assumptions!$N$44),0,1/Assumptions!$N$44*(1-$C$41)))</f>
        <v>0.03</v>
      </c>
      <c r="L41" s="283">
        <f>IF(AND(L6&gt;=Assumptions!$N$44,K6&lt;Assumptions!$N$44),1/Assumptions!$N$44*(1-$C$41)-Depreciation!$D$41,IF(AND(K6&gt;Assumptions!$N$44,L6&lt;Assumptions!$N$44),0,1/Assumptions!$N$44*(1-$C$41)))</f>
        <v>0.03</v>
      </c>
      <c r="M41" s="283">
        <f>IF(AND(M6&gt;=Assumptions!$N$44,L6&lt;Assumptions!$N$44),1/Assumptions!$N$44*(1-$C$41)-Depreciation!$D$41,IF(AND(L6&gt;Assumptions!$N$44,M6&lt;Assumptions!$N$44),0,1/Assumptions!$N$44*(1-$C$41)))</f>
        <v>0.03</v>
      </c>
      <c r="N41" s="283">
        <f>IF(AND(N6&gt;=Assumptions!$N$44,M6&lt;Assumptions!$N$44),1/Assumptions!$N$44*(1-$C$41)-Depreciation!$D$41,IF(AND(M6&gt;Assumptions!$N$44,N6&lt;Assumptions!$N$44),0,1/Assumptions!$N$44*(1-$C$41)))</f>
        <v>0.03</v>
      </c>
      <c r="O41" s="283">
        <f>IF(AND(O6&gt;=Assumptions!$N$44,N6&lt;Assumptions!$N$44),1/Assumptions!$N$44*(1-$C$41)-Depreciation!$D$41,IF(AND(N6&gt;Assumptions!$N$44,O6&lt;Assumptions!$N$44),0,1/Assumptions!$N$44*(1-$C$41)))</f>
        <v>0.03</v>
      </c>
      <c r="P41" s="283">
        <f>IF(AND(P6&gt;=Assumptions!$N$44,O6&lt;Assumptions!$N$44),1/Assumptions!$N$44*(1-$C$41)-Depreciation!$D$41,IF(AND(O6&gt;Assumptions!$N$44,P6&lt;Assumptions!$N$44),0,1/Assumptions!$N$44*(1-$C$41)))</f>
        <v>0.03</v>
      </c>
      <c r="Q41" s="283">
        <f>IF(AND(Q6&gt;=Assumptions!$N$44,P6&lt;Assumptions!$N$44),1/Assumptions!$N$44*(1-$C$41)-Depreciation!$D$41,IF(AND(P6&gt;Assumptions!$N$44,Q6&lt;Assumptions!$N$44),0,1/Assumptions!$N$44*(1-$C$41)))</f>
        <v>0.03</v>
      </c>
      <c r="R41" s="283">
        <f>IF(AND(R6&gt;=Assumptions!$N$44,Q6&lt;Assumptions!$N$44),1/Assumptions!$N$44*(1-$C$41)-Depreciation!$D$41,IF(AND(Q6&gt;Assumptions!$N$44,R6&lt;Assumptions!$N$44),0,1/Assumptions!$N$44*(1-$C$41)))</f>
        <v>0.03</v>
      </c>
      <c r="S41" s="283">
        <f>IF(AND(S6&gt;=Assumptions!$N$44,R6&lt;Assumptions!$N$44),1/Assumptions!$N$44*(1-$C$41)-Depreciation!$D$41,IF(AND(R6&gt;Assumptions!$N$44,S6&lt;Assumptions!$N$44),0,1/Assumptions!$N$44*(1-$C$41)))</f>
        <v>0.03</v>
      </c>
      <c r="T41" s="283">
        <f>IF(AND(T6&gt;=Assumptions!$N$44,S6&lt;Assumptions!$N$44),1/Assumptions!$N$44*(1-$C$41)-Depreciation!$D$41,IF(AND(S6&gt;Assumptions!$N$44,T6&lt;Assumptions!$N$44),0,1/Assumptions!$N$44*(1-$C$41)))</f>
        <v>0.03</v>
      </c>
      <c r="U41" s="283">
        <f>IF(AND(U6&gt;=Assumptions!$N$44,T6&lt;Assumptions!$N$44),1/Assumptions!$N$44*(1-$C$41)-Depreciation!$D$41,IF(AND(T6&gt;Assumptions!$N$44,U6&lt;Assumptions!$N$44),0,1/Assumptions!$N$44*(1-$C$41)))</f>
        <v>0.03</v>
      </c>
      <c r="V41" s="283">
        <f>IF(AND(V6&gt;=Assumptions!$N$44,U6&lt;Assumptions!$N$44),1/Assumptions!$N$44*(1-$C$41)-Depreciation!$D$41,IF(AND(U6&gt;Assumptions!$N$44,V6&lt;Assumptions!$N$44),0,1/Assumptions!$N$44*(1-$C$41)))</f>
        <v>0.03</v>
      </c>
      <c r="W41" s="283">
        <f>IF(AND(W6&gt;=Assumptions!$N$44,V6&lt;Assumptions!$N$44),1/Assumptions!$N$44*(1-$C$41)-Depreciation!$D$41,IF(AND(V6&gt;Assumptions!$N$44,W6&lt;Assumptions!$N$44),0,1/Assumptions!$N$44*(1-$C$41)))</f>
        <v>0.03</v>
      </c>
      <c r="X41" s="283">
        <f>IF(AND(X6&gt;=Assumptions!$N$44,W6&lt;Assumptions!$N$44),1/Assumptions!$N$44*(1-$C$41)-Depreciation!$D$41,IF(AND(W6&gt;Assumptions!$N$44,X6&lt;Assumptions!$N$44),0,1/Assumptions!$N$44*(1-$C$41)))</f>
        <v>0.03</v>
      </c>
      <c r="Y41" s="283">
        <f>IF(AND(Y6&gt;=Assumptions!$N$44,X6&lt;Assumptions!$N$44),1/Assumptions!$N$44*(1-$C$41)-Depreciation!$D$41,IF(AND(X6&gt;Assumptions!$N$44,Y6&lt;Assumptions!$N$44),0,1/Assumptions!$N$44*(1-$C$41)))</f>
        <v>0.03</v>
      </c>
      <c r="Z41" s="283">
        <f>IF(AND(Z6&gt;=Assumptions!$N$44,Y6&lt;Assumptions!$N$44),1/Assumptions!$N$44*(1-$C$41)-Depreciation!$D$41,IF(AND(Y6&gt;Assumptions!$N$44,Z6&lt;Assumptions!$N$44),0,1/Assumptions!$N$44*(1-$C$41)))</f>
        <v>0.03</v>
      </c>
      <c r="AA41" s="283">
        <f>IF(AND(AA6&gt;=Assumptions!$N$44,Z6&lt;Assumptions!$N$44),1/Assumptions!$N$44*(1-$C$41)-Depreciation!$D$41,IF(AND(Z6&gt;Assumptions!$N$44,AA6&lt;Assumptions!$N$44),0,1/Assumptions!$N$44*(1-$C$41)))</f>
        <v>0.03</v>
      </c>
      <c r="AB41" s="283">
        <f>IF(AND(AB6&gt;=Assumptions!$N$44,AA6&lt;Assumptions!$N$44),1/Assumptions!$N$44*(1-$C$41)-Depreciation!$D$41,IF(AND(AA6&gt;Assumptions!$N$44,AB6&lt;Assumptions!$N$44),0,1/Assumptions!$N$44*(1-$C$41)))</f>
        <v>0.03</v>
      </c>
      <c r="AC41" s="283">
        <f>IF(AND(AC6&gt;=Assumptions!$N$44,AB6&lt;Assumptions!$N$44),1/Assumptions!$N$44*(1-$C$41)-Depreciation!$D$41,IF(AND(AB6&gt;Assumptions!$N$44,AC6&lt;Assumptions!$N$44),0,1/Assumptions!$N$44*(1-$C$41)))</f>
        <v>0.03</v>
      </c>
      <c r="AD41" s="283">
        <f>IF(AND(AD6&gt;=Assumptions!$N$44,AC6&lt;Assumptions!$N$44),1/Assumptions!$N$44*(1-$C$41)-Depreciation!$D$41,IF(AND(AC6&gt;Assumptions!$N$44,AD6&lt;Assumptions!$N$44),0,1/Assumptions!$N$44*(1-$C$41)))</f>
        <v>0.03</v>
      </c>
      <c r="AE41" s="283">
        <f>IF(AND(AE6&gt;=Assumptions!$N$44,AD6&lt;Assumptions!$N$44),1/Assumptions!$N$44*(1-$C$41)-Depreciation!$D$41,IF(AND(AD6&gt;Assumptions!$N$44,AE6&lt;Assumptions!$N$44),0,1/Assumptions!$N$44*(1-$C$41)))</f>
        <v>0.03</v>
      </c>
      <c r="AF41" s="283">
        <f>IF(AND(AF6&gt;=Assumptions!$N$44,AE6&lt;Assumptions!$N$44),1/Assumptions!$N$44*(1-$C$41)-Depreciation!$D$41,IF(AND(AE6&gt;Assumptions!$N$44,AF6&lt;Assumptions!$N$44),0,1/Assumptions!$N$44*(1-$C$41)))</f>
        <v>0.03</v>
      </c>
      <c r="AG41" s="283">
        <f>IF(AND(AG6&gt;=Assumptions!$N$44,AF6&lt;Assumptions!$N$44),1/Assumptions!$N$44*(1-$C$41)-Depreciation!$D$41,IF(AND(AF6&gt;Assumptions!$N$44,AG6&lt;Assumptions!$N$44),0,1/Assumptions!$N$44*(1-$C$41)))</f>
        <v>0.03</v>
      </c>
      <c r="AH41" s="283">
        <f>IF(AND(AH6&gt;=Assumptions!$N$44,AG6&lt;Assumptions!$N$44),1/Assumptions!$N$44*(1-$C$41)-Depreciation!$D$41,IF(AND(AG6&gt;Assumptions!$N$44,AH6&lt;Assumptions!$N$44),0,1/Assumptions!$N$44*(1-$C$41)))</f>
        <v>1.2499999999999997E-2</v>
      </c>
    </row>
    <row r="42" spans="1:38" s="10" customFormat="1">
      <c r="A42" s="21" t="s">
        <v>256</v>
      </c>
      <c r="B42" s="31">
        <f>Assumptions!$N$40</f>
        <v>5</v>
      </c>
      <c r="C42" s="32"/>
      <c r="D42" s="283">
        <f>D13</f>
        <v>0.11666666666666668</v>
      </c>
      <c r="E42" s="283">
        <f t="shared" ref="E42:AH42" si="23">E13</f>
        <v>0.2</v>
      </c>
      <c r="F42" s="283">
        <f t="shared" si="23"/>
        <v>0.2</v>
      </c>
      <c r="G42" s="283">
        <f t="shared" si="23"/>
        <v>0.2</v>
      </c>
      <c r="H42" s="283">
        <f t="shared" si="23"/>
        <v>0.2</v>
      </c>
      <c r="I42" s="283">
        <f t="shared" si="23"/>
        <v>8.3333333333333329E-2</v>
      </c>
      <c r="J42" s="283">
        <f t="shared" si="23"/>
        <v>0</v>
      </c>
      <c r="K42" s="283">
        <f t="shared" si="23"/>
        <v>0</v>
      </c>
      <c r="L42" s="283">
        <f t="shared" si="23"/>
        <v>0</v>
      </c>
      <c r="M42" s="283">
        <f t="shared" si="23"/>
        <v>0</v>
      </c>
      <c r="N42" s="283">
        <f t="shared" si="23"/>
        <v>0</v>
      </c>
      <c r="O42" s="283">
        <f t="shared" si="23"/>
        <v>0</v>
      </c>
      <c r="P42" s="283">
        <f t="shared" si="23"/>
        <v>0</v>
      </c>
      <c r="Q42" s="283">
        <f t="shared" si="23"/>
        <v>0</v>
      </c>
      <c r="R42" s="283">
        <f t="shared" si="23"/>
        <v>0</v>
      </c>
      <c r="S42" s="283">
        <f t="shared" si="23"/>
        <v>0</v>
      </c>
      <c r="T42" s="283">
        <f t="shared" si="23"/>
        <v>0</v>
      </c>
      <c r="U42" s="283">
        <f t="shared" si="23"/>
        <v>0</v>
      </c>
      <c r="V42" s="283">
        <f t="shared" si="23"/>
        <v>0</v>
      </c>
      <c r="W42" s="283">
        <f t="shared" si="23"/>
        <v>0</v>
      </c>
      <c r="X42" s="283">
        <f t="shared" si="23"/>
        <v>0</v>
      </c>
      <c r="Y42" s="283">
        <f t="shared" si="23"/>
        <v>0</v>
      </c>
      <c r="Z42" s="283">
        <f t="shared" si="23"/>
        <v>0</v>
      </c>
      <c r="AA42" s="283">
        <f t="shared" si="23"/>
        <v>0</v>
      </c>
      <c r="AB42" s="283">
        <f t="shared" si="23"/>
        <v>0</v>
      </c>
      <c r="AC42" s="283">
        <f t="shared" si="23"/>
        <v>0</v>
      </c>
      <c r="AD42" s="283">
        <f t="shared" si="23"/>
        <v>0</v>
      </c>
      <c r="AE42" s="283">
        <f t="shared" si="23"/>
        <v>0</v>
      </c>
      <c r="AF42" s="283">
        <f t="shared" si="23"/>
        <v>0</v>
      </c>
      <c r="AG42" s="283">
        <f t="shared" si="23"/>
        <v>0</v>
      </c>
      <c r="AH42" s="283">
        <f t="shared" si="23"/>
        <v>0</v>
      </c>
    </row>
    <row r="43" spans="1:38" s="10" customFormat="1">
      <c r="A43" s="22" t="s">
        <v>323</v>
      </c>
      <c r="B43" s="34">
        <f>Assumptions!$N$46</f>
        <v>20</v>
      </c>
      <c r="C43" s="24"/>
      <c r="D43" s="283">
        <f>1/Assumptions!$N$46*D6</f>
        <v>2.9166666666666671E-2</v>
      </c>
      <c r="E43" s="283">
        <f>IF(AND(E6&gt;=Assumptions!$N$46, D6&lt;Assumptions!$N$46),1/Assumptions!$N$46-Depreciation!$D$43,IF(E6&lt;Assumptions!$N$46,1/Assumptions!$N$46,0))</f>
        <v>0.05</v>
      </c>
      <c r="F43" s="283">
        <f>IF(AND(F6&gt;=Assumptions!$N$46, E6&lt;Assumptions!$N$46),1/Assumptions!$N$46-Depreciation!$D$43,IF(F6&lt;Assumptions!$N$46,1/Assumptions!$N$46,0))</f>
        <v>0.05</v>
      </c>
      <c r="G43" s="283">
        <f>IF(AND(G6&gt;=Assumptions!$N$46, F6&lt;Assumptions!$N$46),1/Assumptions!$N$46-Depreciation!$D$43,IF(G6&lt;Assumptions!$N$46,1/Assumptions!$N$46,0))</f>
        <v>0.05</v>
      </c>
      <c r="H43" s="283">
        <f>IF(AND(H6&gt;=Assumptions!$N$46, G6&lt;Assumptions!$N$46),1/Assumptions!$N$46-Depreciation!$D$43,IF(H6&lt;Assumptions!$N$46,1/Assumptions!$N$46,0))</f>
        <v>0.05</v>
      </c>
      <c r="I43" s="283">
        <f>IF(AND(I6&gt;=Assumptions!$N$46, H6&lt;Assumptions!$N$46),1/Assumptions!$N$46-Depreciation!$D$43,IF(I6&lt;Assumptions!$N$46,1/Assumptions!$N$46,0))</f>
        <v>0.05</v>
      </c>
      <c r="J43" s="283">
        <f>IF(AND(J6&gt;=Assumptions!$N$46, I6&lt;Assumptions!$N$46),1/Assumptions!$N$46-Depreciation!$D$43,IF(J6&lt;Assumptions!$N$46,1/Assumptions!$N$46,0))</f>
        <v>0.05</v>
      </c>
      <c r="K43" s="283">
        <f>IF(AND(K6&gt;=Assumptions!$N$46, J6&lt;Assumptions!$N$46),1/Assumptions!$N$46-Depreciation!$D$43,IF(K6&lt;Assumptions!$N$46,1/Assumptions!$N$46,0))</f>
        <v>0.05</v>
      </c>
      <c r="L43" s="283">
        <f>IF(AND(L6&gt;=Assumptions!$N$46, K6&lt;Assumptions!$N$46),1/Assumptions!$N$46-Depreciation!$D$43,IF(L6&lt;Assumptions!$N$46,1/Assumptions!$N$46,0))</f>
        <v>0.05</v>
      </c>
      <c r="M43" s="283">
        <f>IF(AND(M6&gt;=Assumptions!$N$46, L6&lt;Assumptions!$N$46),1/Assumptions!$N$46-Depreciation!$D$43,IF(M6&lt;Assumptions!$N$46,1/Assumptions!$N$46,0))</f>
        <v>0.05</v>
      </c>
      <c r="N43" s="283">
        <f>IF(AND(N6&gt;=Assumptions!$N$46, M6&lt;Assumptions!$N$46),1/Assumptions!$N$46-Depreciation!$D$43,IF(N6&lt;Assumptions!$N$46,1/Assumptions!$N$46,0))</f>
        <v>0.05</v>
      </c>
      <c r="O43" s="283">
        <f>IF(AND(O6&gt;=Assumptions!$N$46, N6&lt;Assumptions!$N$46),1/Assumptions!$N$46-Depreciation!$D$43,IF(O6&lt;Assumptions!$N$46,1/Assumptions!$N$46,0))</f>
        <v>0.05</v>
      </c>
      <c r="P43" s="283">
        <f>IF(AND(P6&gt;=Assumptions!$N$46, O6&lt;Assumptions!$N$46),1/Assumptions!$N$46-Depreciation!$D$43,IF(P6&lt;Assumptions!$N$46,1/Assumptions!$N$46,0))</f>
        <v>0.05</v>
      </c>
      <c r="Q43" s="283">
        <f>IF(AND(Q6&gt;=Assumptions!$N$46, P6&lt;Assumptions!$N$46),1/Assumptions!$N$46-Depreciation!$D$43,IF(Q6&lt;Assumptions!$N$46,1/Assumptions!$N$46,0))</f>
        <v>0.05</v>
      </c>
      <c r="R43" s="283">
        <f>IF(AND(R6&gt;=Assumptions!$N$46, Q6&lt;Assumptions!$N$46),1/Assumptions!$N$46-Depreciation!$D$43,IF(R6&lt;Assumptions!$N$46,1/Assumptions!$N$46,0))</f>
        <v>0.05</v>
      </c>
      <c r="S43" s="283">
        <f>IF(AND(S6&gt;=Assumptions!$N$46, R6&lt;Assumptions!$N$46),1/Assumptions!$N$46-Depreciation!$D$43,IF(S6&lt;Assumptions!$N$46,1/Assumptions!$N$46,0))</f>
        <v>0.05</v>
      </c>
      <c r="T43" s="283">
        <f>IF(AND(T6&gt;=Assumptions!$N$46, S6&lt;Assumptions!$N$46),1/Assumptions!$N$46-Depreciation!$D$43,IF(T6&lt;Assumptions!$N$46,1/Assumptions!$N$46,0))</f>
        <v>0.05</v>
      </c>
      <c r="U43" s="283">
        <f>IF(AND(U6&gt;=Assumptions!$N$46, T6&lt;Assumptions!$N$46),1/Assumptions!$N$46-Depreciation!$D$43,IF(U6&lt;Assumptions!$N$46,1/Assumptions!$N$46,0))</f>
        <v>0.05</v>
      </c>
      <c r="V43" s="283">
        <f>IF(AND(V6&gt;=Assumptions!$N$46, U6&lt;Assumptions!$N$46),1/Assumptions!$N$46-Depreciation!$D$43,IF(V6&lt;Assumptions!$N$46,1/Assumptions!$N$46,0))</f>
        <v>0.05</v>
      </c>
      <c r="W43" s="283">
        <f>IF(AND(W6&gt;=Assumptions!$N$46, V6&lt;Assumptions!$N$46),1/Assumptions!$N$46-Depreciation!$D$43,IF(W6&lt;Assumptions!$N$46,1/Assumptions!$N$46,0))</f>
        <v>0.05</v>
      </c>
      <c r="X43" s="283">
        <f>IF(AND(X6&gt;=Assumptions!$N$46, W6&lt;Assumptions!$N$46),1/Assumptions!$N$46-Depreciation!$D$43,IF(X6&lt;Assumptions!$N$46,1/Assumptions!$N$46,0))</f>
        <v>2.0833333333333332E-2</v>
      </c>
      <c r="Y43" s="283">
        <f>IF(AND(Y6&gt;=Assumptions!$N$46, X6&lt;Assumptions!$N$46),1/Assumptions!$N$46-Depreciation!$D$43,IF(Y6&lt;Assumptions!$N$46,1/Assumptions!$N$46,0))</f>
        <v>0</v>
      </c>
      <c r="Z43" s="283">
        <f>IF(AND(Z6&gt;=Assumptions!$N$46, Y6&lt;Assumptions!$N$46),1/Assumptions!$N$46-Depreciation!$D$43,IF(Z6&lt;Assumptions!$N$46,1/Assumptions!$N$46,0))</f>
        <v>0</v>
      </c>
      <c r="AA43" s="283">
        <f>IF(AND(AA6&gt;=Assumptions!$N$46, Z6&lt;Assumptions!$N$46),1/Assumptions!$N$46-Depreciation!$D$43,IF(AA6&lt;Assumptions!$N$46,1/Assumptions!$N$46,0))</f>
        <v>0</v>
      </c>
      <c r="AB43" s="283">
        <f>IF(AND(AB6&gt;=Assumptions!$N$46, AA6&lt;Assumptions!$N$46),1/Assumptions!$N$46-Depreciation!$D$43,IF(AB6&lt;Assumptions!$N$46,1/Assumptions!$N$46,0))</f>
        <v>0</v>
      </c>
      <c r="AC43" s="283">
        <f>IF(AND(AC6&gt;=Assumptions!$N$46, AB6&lt;Assumptions!$N$46),1/Assumptions!$N$46-Depreciation!$D$43,IF(AC6&lt;Assumptions!$N$46,1/Assumptions!$N$46,0))</f>
        <v>0</v>
      </c>
      <c r="AD43" s="283">
        <f>IF(AND(AD6&gt;=Assumptions!$N$46, AC6&lt;Assumptions!$N$46),1/Assumptions!$N$46-Depreciation!$D$43,IF(AD6&lt;Assumptions!$N$46,1/Assumptions!$N$46,0))</f>
        <v>0</v>
      </c>
      <c r="AE43" s="283">
        <f>IF(AND(AE6&gt;=Assumptions!$N$46, AD6&lt;Assumptions!$N$46),1/Assumptions!$N$46-Depreciation!$D$43,IF(AE6&lt;Assumptions!$N$46,1/Assumptions!$N$46,0))</f>
        <v>0</v>
      </c>
      <c r="AF43" s="283">
        <f>IF(AND(AF6&gt;=Assumptions!$N$46, AE6&lt;Assumptions!$N$46),1/Assumptions!$N$46-Depreciation!$D$43,IF(AF6&lt;Assumptions!$N$46,1/Assumptions!$N$46,0))</f>
        <v>0</v>
      </c>
      <c r="AG43" s="283">
        <f>IF(AND(AG6&gt;=Assumptions!$N$46, AF6&lt;Assumptions!$N$46),1/Assumptions!$N$46-Depreciation!$D$43,IF(AG6&lt;Assumptions!$N$46,1/Assumptions!$N$46,0))</f>
        <v>0</v>
      </c>
      <c r="AH43" s="283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255</v>
      </c>
      <c r="B45" s="380">
        <f>B16</f>
        <v>96489.798429326824</v>
      </c>
      <c r="C45" s="309"/>
      <c r="D45" s="18">
        <f t="shared" ref="D45:Y45" si="24">D41*$B$45</f>
        <v>1688.5714725132195</v>
      </c>
      <c r="E45" s="18">
        <f t="shared" si="24"/>
        <v>2894.6939528798048</v>
      </c>
      <c r="F45" s="18">
        <f t="shared" si="24"/>
        <v>2894.6939528798048</v>
      </c>
      <c r="G45" s="18">
        <f t="shared" si="24"/>
        <v>2894.6939528798048</v>
      </c>
      <c r="H45" s="18">
        <f t="shared" si="24"/>
        <v>2894.6939528798048</v>
      </c>
      <c r="I45" s="18">
        <f t="shared" si="24"/>
        <v>2894.6939528798048</v>
      </c>
      <c r="J45" s="18">
        <f t="shared" si="24"/>
        <v>2894.6939528798048</v>
      </c>
      <c r="K45" s="18">
        <f t="shared" si="24"/>
        <v>2894.6939528798048</v>
      </c>
      <c r="L45" s="18">
        <f t="shared" si="24"/>
        <v>2894.6939528798048</v>
      </c>
      <c r="M45" s="18">
        <f t="shared" si="24"/>
        <v>2894.6939528798048</v>
      </c>
      <c r="N45" s="18">
        <f t="shared" si="24"/>
        <v>2894.6939528798048</v>
      </c>
      <c r="O45" s="18">
        <f t="shared" si="24"/>
        <v>2894.6939528798048</v>
      </c>
      <c r="P45" s="18">
        <f t="shared" si="24"/>
        <v>2894.6939528798048</v>
      </c>
      <c r="Q45" s="18">
        <f t="shared" si="24"/>
        <v>2894.6939528798048</v>
      </c>
      <c r="R45" s="18">
        <f t="shared" si="24"/>
        <v>2894.6939528798048</v>
      </c>
      <c r="S45" s="18">
        <f t="shared" si="24"/>
        <v>2894.6939528798048</v>
      </c>
      <c r="T45" s="18">
        <f t="shared" si="24"/>
        <v>2894.6939528798048</v>
      </c>
      <c r="U45" s="18">
        <f t="shared" si="24"/>
        <v>2894.6939528798048</v>
      </c>
      <c r="V45" s="18">
        <f t="shared" si="24"/>
        <v>2894.6939528798048</v>
      </c>
      <c r="W45" s="18">
        <f t="shared" si="24"/>
        <v>2894.6939528798048</v>
      </c>
      <c r="X45" s="18">
        <f t="shared" si="24"/>
        <v>2894.6939528798048</v>
      </c>
      <c r="Y45" s="18">
        <f t="shared" si="24"/>
        <v>2894.6939528798048</v>
      </c>
      <c r="Z45" s="18">
        <f t="shared" ref="Z45:AH45" si="25">Z41*$B$45</f>
        <v>2894.6939528798048</v>
      </c>
      <c r="AA45" s="18">
        <f t="shared" si="25"/>
        <v>2894.6939528798048</v>
      </c>
      <c r="AB45" s="18">
        <f t="shared" si="25"/>
        <v>2894.6939528798048</v>
      </c>
      <c r="AC45" s="18">
        <f t="shared" si="25"/>
        <v>2894.6939528798048</v>
      </c>
      <c r="AD45" s="18">
        <f t="shared" si="25"/>
        <v>2894.6939528798048</v>
      </c>
      <c r="AE45" s="18">
        <f t="shared" si="25"/>
        <v>2894.6939528798048</v>
      </c>
      <c r="AF45" s="18">
        <f t="shared" si="25"/>
        <v>2894.6939528798048</v>
      </c>
      <c r="AG45" s="18">
        <f t="shared" si="25"/>
        <v>2894.6939528798048</v>
      </c>
      <c r="AH45" s="18">
        <f t="shared" si="25"/>
        <v>1206.122480366585</v>
      </c>
      <c r="AI45" s="20"/>
      <c r="AJ45" s="20"/>
      <c r="AK45" s="20"/>
      <c r="AL45" s="20"/>
    </row>
    <row r="46" spans="1:38" s="10" customFormat="1">
      <c r="A46" s="21" t="s">
        <v>256</v>
      </c>
      <c r="B46" s="308">
        <f>B17</f>
        <v>3372</v>
      </c>
      <c r="C46" s="309"/>
      <c r="D46" s="306">
        <f>D42*$B$46</f>
        <v>393.40000000000003</v>
      </c>
      <c r="E46" s="306">
        <f t="shared" ref="E46:AH46" si="26">E42*$B$46</f>
        <v>674.40000000000009</v>
      </c>
      <c r="F46" s="306">
        <f t="shared" si="26"/>
        <v>674.40000000000009</v>
      </c>
      <c r="G46" s="306">
        <f t="shared" si="26"/>
        <v>674.40000000000009</v>
      </c>
      <c r="H46" s="306">
        <f t="shared" si="26"/>
        <v>674.40000000000009</v>
      </c>
      <c r="I46" s="306">
        <f t="shared" si="26"/>
        <v>281</v>
      </c>
      <c r="J46" s="306">
        <f t="shared" si="26"/>
        <v>0</v>
      </c>
      <c r="K46" s="306">
        <f t="shared" si="26"/>
        <v>0</v>
      </c>
      <c r="L46" s="306">
        <f t="shared" si="26"/>
        <v>0</v>
      </c>
      <c r="M46" s="306">
        <f t="shared" si="26"/>
        <v>0</v>
      </c>
      <c r="N46" s="306">
        <f t="shared" si="26"/>
        <v>0</v>
      </c>
      <c r="O46" s="306">
        <f t="shared" si="26"/>
        <v>0</v>
      </c>
      <c r="P46" s="306">
        <f t="shared" si="26"/>
        <v>0</v>
      </c>
      <c r="Q46" s="306">
        <f t="shared" si="26"/>
        <v>0</v>
      </c>
      <c r="R46" s="306">
        <f t="shared" si="26"/>
        <v>0</v>
      </c>
      <c r="S46" s="306">
        <f t="shared" si="26"/>
        <v>0</v>
      </c>
      <c r="T46" s="306">
        <f t="shared" si="26"/>
        <v>0</v>
      </c>
      <c r="U46" s="306">
        <f t="shared" si="26"/>
        <v>0</v>
      </c>
      <c r="V46" s="306">
        <f t="shared" si="26"/>
        <v>0</v>
      </c>
      <c r="W46" s="306">
        <f t="shared" si="26"/>
        <v>0</v>
      </c>
      <c r="X46" s="306">
        <f t="shared" si="26"/>
        <v>0</v>
      </c>
      <c r="Y46" s="306">
        <f t="shared" si="26"/>
        <v>0</v>
      </c>
      <c r="Z46" s="306">
        <f t="shared" si="26"/>
        <v>0</v>
      </c>
      <c r="AA46" s="306">
        <f t="shared" si="26"/>
        <v>0</v>
      </c>
      <c r="AB46" s="306">
        <f t="shared" si="26"/>
        <v>0</v>
      </c>
      <c r="AC46" s="306">
        <f t="shared" si="26"/>
        <v>0</v>
      </c>
      <c r="AD46" s="306">
        <f t="shared" si="26"/>
        <v>0</v>
      </c>
      <c r="AE46" s="306">
        <f t="shared" si="26"/>
        <v>0</v>
      </c>
      <c r="AF46" s="306">
        <f t="shared" si="26"/>
        <v>0</v>
      </c>
      <c r="AG46" s="306">
        <f t="shared" si="26"/>
        <v>0</v>
      </c>
      <c r="AH46" s="306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323</v>
      </c>
      <c r="B47" s="381">
        <f>B18</f>
        <v>0</v>
      </c>
      <c r="C47" s="309"/>
      <c r="D47" s="382">
        <f t="shared" ref="D47:Y47" si="27">D43*$B$47</f>
        <v>0</v>
      </c>
      <c r="E47" s="382">
        <f t="shared" si="27"/>
        <v>0</v>
      </c>
      <c r="F47" s="382">
        <f t="shared" si="27"/>
        <v>0</v>
      </c>
      <c r="G47" s="382">
        <f t="shared" si="27"/>
        <v>0</v>
      </c>
      <c r="H47" s="382">
        <f t="shared" si="27"/>
        <v>0</v>
      </c>
      <c r="I47" s="382">
        <f t="shared" si="27"/>
        <v>0</v>
      </c>
      <c r="J47" s="382">
        <f t="shared" si="27"/>
        <v>0</v>
      </c>
      <c r="K47" s="382">
        <f t="shared" si="27"/>
        <v>0</v>
      </c>
      <c r="L47" s="382">
        <f t="shared" si="27"/>
        <v>0</v>
      </c>
      <c r="M47" s="382">
        <f t="shared" si="27"/>
        <v>0</v>
      </c>
      <c r="N47" s="382">
        <f t="shared" si="27"/>
        <v>0</v>
      </c>
      <c r="O47" s="382">
        <f t="shared" si="27"/>
        <v>0</v>
      </c>
      <c r="P47" s="382">
        <f t="shared" si="27"/>
        <v>0</v>
      </c>
      <c r="Q47" s="382">
        <f t="shared" si="27"/>
        <v>0</v>
      </c>
      <c r="R47" s="382">
        <f t="shared" si="27"/>
        <v>0</v>
      </c>
      <c r="S47" s="382">
        <f t="shared" si="27"/>
        <v>0</v>
      </c>
      <c r="T47" s="382">
        <f t="shared" si="27"/>
        <v>0</v>
      </c>
      <c r="U47" s="382">
        <f t="shared" si="27"/>
        <v>0</v>
      </c>
      <c r="V47" s="382">
        <f t="shared" si="27"/>
        <v>0</v>
      </c>
      <c r="W47" s="382">
        <f t="shared" si="27"/>
        <v>0</v>
      </c>
      <c r="X47" s="382">
        <f t="shared" si="27"/>
        <v>0</v>
      </c>
      <c r="Y47" s="382">
        <f t="shared" si="27"/>
        <v>0</v>
      </c>
      <c r="Z47" s="382">
        <f t="shared" ref="Z47:AH47" si="28">Z43*$B$47</f>
        <v>0</v>
      </c>
      <c r="AA47" s="382">
        <f t="shared" si="28"/>
        <v>0</v>
      </c>
      <c r="AB47" s="382">
        <f t="shared" si="28"/>
        <v>0</v>
      </c>
      <c r="AC47" s="382">
        <f t="shared" si="28"/>
        <v>0</v>
      </c>
      <c r="AD47" s="382">
        <f t="shared" si="28"/>
        <v>0</v>
      </c>
      <c r="AE47" s="382">
        <f t="shared" si="28"/>
        <v>0</v>
      </c>
      <c r="AF47" s="382">
        <f t="shared" si="28"/>
        <v>0</v>
      </c>
      <c r="AG47" s="382">
        <f t="shared" si="28"/>
        <v>0</v>
      </c>
      <c r="AH47" s="382">
        <f t="shared" si="28"/>
        <v>0</v>
      </c>
      <c r="AI47" s="20"/>
      <c r="AJ47" s="20"/>
      <c r="AK47" s="20"/>
      <c r="AL47" s="20"/>
    </row>
    <row r="48" spans="1:38" s="10" customFormat="1">
      <c r="A48" s="16" t="s">
        <v>63</v>
      </c>
      <c r="B48" s="18">
        <f>SUM(B45:B47)</f>
        <v>99861.798429326824</v>
      </c>
      <c r="C48" s="309"/>
      <c r="D48" s="18">
        <f t="shared" ref="D48:Y48" si="29">SUM(D45:D47)</f>
        <v>2081.9714725132194</v>
      </c>
      <c r="E48" s="18">
        <f t="shared" si="29"/>
        <v>3569.0939528798049</v>
      </c>
      <c r="F48" s="18">
        <f t="shared" si="29"/>
        <v>3569.0939528798049</v>
      </c>
      <c r="G48" s="18">
        <f t="shared" si="29"/>
        <v>3569.0939528798049</v>
      </c>
      <c r="H48" s="18">
        <f t="shared" si="29"/>
        <v>3569.0939528798049</v>
      </c>
      <c r="I48" s="18">
        <f t="shared" si="29"/>
        <v>3175.6939528798048</v>
      </c>
      <c r="J48" s="18">
        <f t="shared" si="29"/>
        <v>2894.6939528798048</v>
      </c>
      <c r="K48" s="18">
        <f t="shared" si="29"/>
        <v>2894.6939528798048</v>
      </c>
      <c r="L48" s="18">
        <f t="shared" si="29"/>
        <v>2894.6939528798048</v>
      </c>
      <c r="M48" s="18">
        <f t="shared" si="29"/>
        <v>2894.6939528798048</v>
      </c>
      <c r="N48" s="18">
        <f t="shared" si="29"/>
        <v>2894.6939528798048</v>
      </c>
      <c r="O48" s="18">
        <f t="shared" si="29"/>
        <v>2894.6939528798048</v>
      </c>
      <c r="P48" s="18">
        <f t="shared" si="29"/>
        <v>2894.6939528798048</v>
      </c>
      <c r="Q48" s="18">
        <f t="shared" si="29"/>
        <v>2894.6939528798048</v>
      </c>
      <c r="R48" s="18">
        <f t="shared" si="29"/>
        <v>2894.6939528798048</v>
      </c>
      <c r="S48" s="18">
        <f t="shared" si="29"/>
        <v>2894.6939528798048</v>
      </c>
      <c r="T48" s="18">
        <f t="shared" si="29"/>
        <v>2894.6939528798048</v>
      </c>
      <c r="U48" s="18">
        <f t="shared" si="29"/>
        <v>2894.6939528798048</v>
      </c>
      <c r="V48" s="18">
        <f t="shared" si="29"/>
        <v>2894.6939528798048</v>
      </c>
      <c r="W48" s="18">
        <f t="shared" si="29"/>
        <v>2894.6939528798048</v>
      </c>
      <c r="X48" s="18">
        <f t="shared" si="29"/>
        <v>2894.6939528798048</v>
      </c>
      <c r="Y48" s="18">
        <f t="shared" si="29"/>
        <v>2894.6939528798048</v>
      </c>
      <c r="Z48" s="18">
        <f t="shared" ref="Z48:AH48" si="30">SUM(Z45:Z47)</f>
        <v>2894.6939528798048</v>
      </c>
      <c r="AA48" s="18">
        <f t="shared" si="30"/>
        <v>2894.6939528798048</v>
      </c>
      <c r="AB48" s="18">
        <f t="shared" si="30"/>
        <v>2894.6939528798048</v>
      </c>
      <c r="AC48" s="18">
        <f t="shared" si="30"/>
        <v>2894.6939528798048</v>
      </c>
      <c r="AD48" s="18">
        <f t="shared" si="30"/>
        <v>2894.6939528798048</v>
      </c>
      <c r="AE48" s="18">
        <f t="shared" si="30"/>
        <v>2894.6939528798048</v>
      </c>
      <c r="AF48" s="18">
        <f t="shared" si="30"/>
        <v>2894.6939528798048</v>
      </c>
      <c r="AG48" s="18">
        <f t="shared" si="30"/>
        <v>2894.6939528798048</v>
      </c>
      <c r="AH48" s="18">
        <f t="shared" si="30"/>
        <v>1206.122480366585</v>
      </c>
      <c r="AI48" s="20"/>
      <c r="AJ48" s="20"/>
      <c r="AK48" s="20"/>
      <c r="AL48" s="20"/>
    </row>
    <row r="49" spans="1:38">
      <c r="A49" s="22"/>
      <c r="B49" s="18"/>
      <c r="C49" s="384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11" t="s">
        <v>68</v>
      </c>
      <c r="B50" s="386">
        <f>B48</f>
        <v>99861.798429326824</v>
      </c>
      <c r="C50" s="385"/>
      <c r="D50" s="310">
        <f>B48-D48</f>
        <v>97779.826956813602</v>
      </c>
      <c r="E50" s="310">
        <f>D50-E48</f>
        <v>94210.733003933798</v>
      </c>
      <c r="F50" s="310">
        <f t="shared" ref="F50:Y50" si="31">E50-F48</f>
        <v>90641.639051053993</v>
      </c>
      <c r="G50" s="310">
        <f t="shared" si="31"/>
        <v>87072.545098174189</v>
      </c>
      <c r="H50" s="310">
        <f t="shared" si="31"/>
        <v>83503.451145294384</v>
      </c>
      <c r="I50" s="310">
        <f t="shared" si="31"/>
        <v>80327.757192414574</v>
      </c>
      <c r="J50" s="310">
        <f t="shared" si="31"/>
        <v>77433.063239534764</v>
      </c>
      <c r="K50" s="310">
        <f t="shared" si="31"/>
        <v>74538.369286654954</v>
      </c>
      <c r="L50" s="310">
        <f t="shared" si="31"/>
        <v>71643.675333775143</v>
      </c>
      <c r="M50" s="310">
        <f t="shared" si="31"/>
        <v>68748.981380895333</v>
      </c>
      <c r="N50" s="310">
        <f t="shared" si="31"/>
        <v>65854.287428015523</v>
      </c>
      <c r="O50" s="310">
        <f t="shared" si="31"/>
        <v>62959.59347513572</v>
      </c>
      <c r="P50" s="310">
        <f t="shared" si="31"/>
        <v>60064.899522255917</v>
      </c>
      <c r="Q50" s="310">
        <f t="shared" si="31"/>
        <v>57170.205569376114</v>
      </c>
      <c r="R50" s="310">
        <f t="shared" si="31"/>
        <v>54275.511616496311</v>
      </c>
      <c r="S50" s="310">
        <f t="shared" si="31"/>
        <v>51380.817663616508</v>
      </c>
      <c r="T50" s="310">
        <f t="shared" si="31"/>
        <v>48486.123710736705</v>
      </c>
      <c r="U50" s="310">
        <f t="shared" si="31"/>
        <v>45591.429757856902</v>
      </c>
      <c r="V50" s="310">
        <f t="shared" si="31"/>
        <v>42696.735804977099</v>
      </c>
      <c r="W50" s="310">
        <f t="shared" si="31"/>
        <v>39802.041852097296</v>
      </c>
      <c r="X50" s="310">
        <f t="shared" si="31"/>
        <v>36907.347899217493</v>
      </c>
      <c r="Y50" s="310">
        <f t="shared" si="31"/>
        <v>34012.65394633769</v>
      </c>
      <c r="Z50" s="310">
        <f t="shared" ref="Z50:AH50" si="32">Y50-Z48</f>
        <v>31117.959993457887</v>
      </c>
      <c r="AA50" s="310">
        <f t="shared" si="32"/>
        <v>28223.266040578084</v>
      </c>
      <c r="AB50" s="310">
        <f t="shared" si="32"/>
        <v>25328.572087698281</v>
      </c>
      <c r="AC50" s="310">
        <f t="shared" si="32"/>
        <v>22433.878134818478</v>
      </c>
      <c r="AD50" s="310">
        <f t="shared" si="32"/>
        <v>19539.184181938675</v>
      </c>
      <c r="AE50" s="310">
        <f t="shared" si="32"/>
        <v>16644.490229058873</v>
      </c>
      <c r="AF50" s="310">
        <f t="shared" si="32"/>
        <v>13749.796276179068</v>
      </c>
      <c r="AG50" s="310">
        <f t="shared" si="32"/>
        <v>10855.102323299263</v>
      </c>
      <c r="AH50" s="310">
        <f t="shared" si="32"/>
        <v>9648.9798429326784</v>
      </c>
      <c r="AI50" s="243"/>
      <c r="AJ50" s="243"/>
      <c r="AK50" s="243"/>
      <c r="AL50" s="243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>
      <selection activeCell="B24" sqref="B24"/>
    </sheetView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7" t="str">
        <f>Assumptions!A3</f>
        <v>PROJECT NAME: Calpine</v>
      </c>
    </row>
    <row r="4" spans="1:32" ht="18.75">
      <c r="A4" s="61" t="s">
        <v>96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32">
      <c r="A6" s="128"/>
      <c r="B6" s="218">
        <f>'Price_Technical Assumption'!D7</f>
        <v>0.58333333333333337</v>
      </c>
      <c r="C6" s="218">
        <f>'Price_Technical Assumption'!E7</f>
        <v>1.5833333333333335</v>
      </c>
      <c r="D6" s="218">
        <f>'Price_Technical Assumption'!F7</f>
        <v>2.5833333333333335</v>
      </c>
      <c r="E6" s="218">
        <f>'Price_Technical Assumption'!G7</f>
        <v>3.5833333333333335</v>
      </c>
      <c r="F6" s="218">
        <f>'Price_Technical Assumption'!H7</f>
        <v>4.5833333333333339</v>
      </c>
      <c r="G6" s="218">
        <f>'Price_Technical Assumption'!I7</f>
        <v>5.5833333333333339</v>
      </c>
      <c r="H6" s="218">
        <f>'Price_Technical Assumption'!J7</f>
        <v>6.5833333333333339</v>
      </c>
      <c r="I6" s="218">
        <f>'Price_Technical Assumption'!K7</f>
        <v>7.5833333333333339</v>
      </c>
      <c r="J6" s="218">
        <f>'Price_Technical Assumption'!L7</f>
        <v>8.5833333333333339</v>
      </c>
      <c r="K6" s="218">
        <f>'Price_Technical Assumption'!M7</f>
        <v>9.5833333333333339</v>
      </c>
      <c r="L6" s="218">
        <f>'Price_Technical Assumption'!N7</f>
        <v>10.583333333333334</v>
      </c>
      <c r="M6" s="218">
        <f>'Price_Technical Assumption'!O7</f>
        <v>11.583333333333334</v>
      </c>
      <c r="N6" s="218">
        <f>'Price_Technical Assumption'!P7</f>
        <v>12.583333333333334</v>
      </c>
      <c r="O6" s="218">
        <f>'Price_Technical Assumption'!Q7</f>
        <v>13.583333333333334</v>
      </c>
      <c r="P6" s="218">
        <f>'Price_Technical Assumption'!R7</f>
        <v>14.583333333333334</v>
      </c>
      <c r="Q6" s="218">
        <f>'Price_Technical Assumption'!S7</f>
        <v>15.583333333333334</v>
      </c>
      <c r="R6" s="218">
        <f>'Price_Technical Assumption'!T7</f>
        <v>16.583333333333336</v>
      </c>
      <c r="S6" s="218">
        <f>'Price_Technical Assumption'!U7</f>
        <v>17.583333333333336</v>
      </c>
      <c r="T6" s="218">
        <f>'Price_Technical Assumption'!V7</f>
        <v>18.583333333333336</v>
      </c>
      <c r="U6" s="218">
        <f>'Price_Technical Assumption'!W7</f>
        <v>19.583333333333336</v>
      </c>
      <c r="V6" s="218">
        <f>'Price_Technical Assumption'!X7</f>
        <v>20.583333333333336</v>
      </c>
      <c r="W6" s="218">
        <f>'Price_Technical Assumption'!Y7</f>
        <v>21.583333333333336</v>
      </c>
      <c r="X6" s="218">
        <f>'Price_Technical Assumption'!Z7</f>
        <v>22.583333333333336</v>
      </c>
      <c r="Y6" s="218">
        <f>'Price_Technical Assumption'!AA7</f>
        <v>23.583333333333336</v>
      </c>
      <c r="Z6" s="218">
        <f>'Price_Technical Assumption'!AB7</f>
        <v>24.583333333333336</v>
      </c>
      <c r="AA6" s="218">
        <f>'Price_Technical Assumption'!AC7</f>
        <v>25.583333333333336</v>
      </c>
      <c r="AB6" s="218">
        <f>'Price_Technical Assumption'!AD7</f>
        <v>26.583333333333336</v>
      </c>
      <c r="AC6" s="218">
        <f>'Price_Technical Assumption'!AE7</f>
        <v>27.583333333333336</v>
      </c>
      <c r="AD6" s="218">
        <f>'Price_Technical Assumption'!AF7</f>
        <v>28.583333333333336</v>
      </c>
      <c r="AE6" s="218">
        <f>'Price_Technical Assumption'!AG7</f>
        <v>29.583333333333336</v>
      </c>
      <c r="AF6" s="218">
        <f>'Price_Technical Assumption'!AH7</f>
        <v>30.583333333333336</v>
      </c>
    </row>
    <row r="7" spans="1:32" ht="13.5" thickBot="1">
      <c r="A7" s="123" t="s">
        <v>40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8"/>
      <c r="B8" s="209">
        <f>Depreciation!D8</f>
        <v>37256</v>
      </c>
      <c r="C8" s="209">
        <f>Depreciation!E8</f>
        <v>37621</v>
      </c>
      <c r="D8" s="209">
        <f>Depreciation!F8</f>
        <v>37986</v>
      </c>
      <c r="E8" s="209">
        <f>Depreciation!G8</f>
        <v>38352</v>
      </c>
      <c r="F8" s="209">
        <f>Depreciation!H8</f>
        <v>38717</v>
      </c>
      <c r="G8" s="209">
        <f>Depreciation!I8</f>
        <v>39082</v>
      </c>
      <c r="H8" s="209">
        <f>Depreciation!J8</f>
        <v>39447</v>
      </c>
      <c r="I8" s="209">
        <f>Depreciation!K8</f>
        <v>39813</v>
      </c>
      <c r="J8" s="209">
        <f>Depreciation!L8</f>
        <v>40178</v>
      </c>
      <c r="K8" s="209">
        <f>Depreciation!M8</f>
        <v>40543</v>
      </c>
      <c r="L8" s="209">
        <f>Depreciation!N8</f>
        <v>40908</v>
      </c>
      <c r="M8" s="209">
        <f>Depreciation!O8</f>
        <v>41274</v>
      </c>
      <c r="N8" s="209">
        <f>Depreciation!P8</f>
        <v>41639</v>
      </c>
      <c r="O8" s="209">
        <f>Depreciation!Q8</f>
        <v>42004</v>
      </c>
      <c r="P8" s="209">
        <f>Depreciation!R8</f>
        <v>42369</v>
      </c>
      <c r="Q8" s="209">
        <f>Depreciation!S8</f>
        <v>42735</v>
      </c>
      <c r="R8" s="209">
        <f>Depreciation!T8</f>
        <v>43100</v>
      </c>
      <c r="S8" s="209">
        <f>Depreciation!U8</f>
        <v>43465</v>
      </c>
      <c r="T8" s="209">
        <f>Depreciation!V8</f>
        <v>43830</v>
      </c>
      <c r="U8" s="209">
        <f>Depreciation!W8</f>
        <v>44196</v>
      </c>
      <c r="V8" s="209">
        <f>Depreciation!X8</f>
        <v>44561</v>
      </c>
      <c r="W8" s="209">
        <f>Depreciation!Y8</f>
        <v>44926</v>
      </c>
      <c r="X8" s="209">
        <f>Depreciation!Z8</f>
        <v>45291</v>
      </c>
      <c r="Y8" s="209">
        <f>Depreciation!AA8</f>
        <v>45657</v>
      </c>
      <c r="Z8" s="209">
        <f>Depreciation!AB8</f>
        <v>46022</v>
      </c>
      <c r="AA8" s="209">
        <f>Depreciation!AC8</f>
        <v>46387</v>
      </c>
      <c r="AB8" s="209">
        <f>Depreciation!AD8</f>
        <v>46752</v>
      </c>
      <c r="AC8" s="209">
        <f>Depreciation!AE8</f>
        <v>47118</v>
      </c>
      <c r="AD8" s="209">
        <f>Depreciation!AF8</f>
        <v>47483</v>
      </c>
      <c r="AE8" s="209">
        <f>Depreciation!AG8</f>
        <v>47848</v>
      </c>
      <c r="AF8" s="209">
        <f>Depreciation!AH8</f>
        <v>48213</v>
      </c>
    </row>
    <row r="9" spans="1:32">
      <c r="A9" s="129" t="s">
        <v>69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216</v>
      </c>
      <c r="B10" s="19">
        <f>IS!C40</f>
        <v>6892.1951941534444</v>
      </c>
      <c r="C10" s="19">
        <f>IS!D40</f>
        <v>12058.586047120198</v>
      </c>
      <c r="D10" s="19">
        <f>IS!E40</f>
        <v>12015.076447120195</v>
      </c>
      <c r="E10" s="19">
        <f>IS!F40</f>
        <v>11970.34315912019</v>
      </c>
      <c r="F10" s="19">
        <f>IS!G40</f>
        <v>11924.351104480196</v>
      </c>
      <c r="G10" s="19">
        <f>IS!H40</f>
        <v>12270.464184840996</v>
      </c>
      <c r="H10" s="19">
        <f>IS!I40</f>
        <v>12502.84525218542</v>
      </c>
      <c r="I10" s="19">
        <f>IS!J40</f>
        <v>12452.856078014431</v>
      </c>
      <c r="J10" s="19">
        <f>IS!K40</f>
        <v>12401.457321611857</v>
      </c>
      <c r="K10" s="19">
        <f>IS!L40</f>
        <v>12348.608497370611</v>
      </c>
      <c r="L10" s="19">
        <f>IS!M40</f>
        <v>12294.267941152615</v>
      </c>
      <c r="M10" s="19">
        <f>IS!N40</f>
        <v>12238.392775653567</v>
      </c>
      <c r="N10" s="19">
        <f>IS!O40</f>
        <v>12180.938874743148</v>
      </c>
      <c r="O10" s="19">
        <f>IS!P40</f>
        <v>12121.860826750084</v>
      </c>
      <c r="P10" s="19">
        <f>IS!Q40</f>
        <v>12061.111896660801</v>
      </c>
      <c r="Q10" s="19">
        <f>IS!R40</f>
        <v>11998.643987199268</v>
      </c>
      <c r="R10" s="19">
        <f>IS!S40</f>
        <v>11934.407598754937</v>
      </c>
      <c r="S10" s="19">
        <f>IS!T40</f>
        <v>11868.351788124339</v>
      </c>
      <c r="T10" s="19">
        <f>IS!U40</f>
        <v>11800.424126031234</v>
      </c>
      <c r="U10" s="19">
        <f>IS!V40</f>
        <v>11730.570653388868</v>
      </c>
      <c r="V10" s="19">
        <f>IS!W40</f>
        <v>1385.1115965860354</v>
      </c>
      <c r="W10" s="19">
        <f>IS!X40</f>
        <v>-5629.1374804746392</v>
      </c>
      <c r="X10" s="19">
        <f>IS!Y40</f>
        <v>-5705.1081209268941</v>
      </c>
      <c r="Y10" s="19">
        <f>IS!Z40</f>
        <v>-5783.2366272851996</v>
      </c>
      <c r="Z10" s="19">
        <f>IS!AA40</f>
        <v>-5863.5853104605985</v>
      </c>
      <c r="AA10" s="19">
        <f>IS!AB40</f>
        <v>-5946.218302190121</v>
      </c>
      <c r="AB10" s="19">
        <f>IS!AC40</f>
        <v>-6031.2016086915728</v>
      </c>
      <c r="AC10" s="19">
        <f>IS!AD40</f>
        <v>-6118.6031659085102</v>
      </c>
      <c r="AD10" s="19">
        <f>IS!AE40</f>
        <v>-6208.4928963928051</v>
      </c>
      <c r="AE10" s="19">
        <f>IS!AF40</f>
        <v>-6300.9427678734992</v>
      </c>
      <c r="AF10" s="19">
        <f>IS!AG40</f>
        <v>-4707.4553810489015</v>
      </c>
    </row>
    <row r="11" spans="1:32">
      <c r="A11" s="21" t="s">
        <v>70</v>
      </c>
      <c r="B11" s="19">
        <f>IS!C34</f>
        <v>2081.9714725132194</v>
      </c>
      <c r="C11" s="19">
        <f>IS!D34</f>
        <v>3569.0939528798049</v>
      </c>
      <c r="D11" s="19">
        <f>IS!E34</f>
        <v>3569.0939528798049</v>
      </c>
      <c r="E11" s="19">
        <f>IS!F34</f>
        <v>3569.0939528798049</v>
      </c>
      <c r="F11" s="19">
        <f>IS!G34</f>
        <v>3569.0939528798049</v>
      </c>
      <c r="G11" s="19">
        <f>IS!H34</f>
        <v>3175.6939528798048</v>
      </c>
      <c r="H11" s="19">
        <f>IS!I34</f>
        <v>2894.6939528798048</v>
      </c>
      <c r="I11" s="19">
        <f>IS!J34</f>
        <v>2894.6939528798048</v>
      </c>
      <c r="J11" s="19">
        <f>IS!K34</f>
        <v>2894.6939528798048</v>
      </c>
      <c r="K11" s="19">
        <f>IS!L34</f>
        <v>2894.6939528798048</v>
      </c>
      <c r="L11" s="19">
        <f>IS!M34</f>
        <v>2894.6939528798048</v>
      </c>
      <c r="M11" s="19">
        <f>IS!N34</f>
        <v>2894.6939528798048</v>
      </c>
      <c r="N11" s="19">
        <f>IS!O34</f>
        <v>2894.6939528798048</v>
      </c>
      <c r="O11" s="19">
        <f>IS!P34</f>
        <v>2894.6939528798048</v>
      </c>
      <c r="P11" s="19">
        <f>IS!Q34</f>
        <v>2894.6939528798048</v>
      </c>
      <c r="Q11" s="19">
        <f>IS!R34</f>
        <v>2894.6939528798048</v>
      </c>
      <c r="R11" s="19">
        <f>IS!S34</f>
        <v>2894.6939528798048</v>
      </c>
      <c r="S11" s="19">
        <f>IS!T34</f>
        <v>2894.6939528798048</v>
      </c>
      <c r="T11" s="19">
        <f>IS!U34</f>
        <v>2894.6939528798048</v>
      </c>
      <c r="U11" s="19">
        <f>IS!V34</f>
        <v>2894.6939528798048</v>
      </c>
      <c r="V11" s="19">
        <f>IS!W34</f>
        <v>2894.6939528798048</v>
      </c>
      <c r="W11" s="19">
        <f>IS!X34</f>
        <v>2894.6939528798048</v>
      </c>
      <c r="X11" s="19">
        <f>IS!Y34</f>
        <v>2894.6939528798048</v>
      </c>
      <c r="Y11" s="19">
        <f>IS!Z34</f>
        <v>2894.6939528798048</v>
      </c>
      <c r="Z11" s="19">
        <f>IS!AA34</f>
        <v>2894.6939528798048</v>
      </c>
      <c r="AA11" s="19">
        <f>IS!AB34</f>
        <v>2894.6939528798048</v>
      </c>
      <c r="AB11" s="19">
        <f>IS!AC34</f>
        <v>2894.6939528798048</v>
      </c>
      <c r="AC11" s="19">
        <f>IS!AD34</f>
        <v>2894.6939528798048</v>
      </c>
      <c r="AD11" s="19">
        <f>IS!AE34</f>
        <v>2894.6939528798048</v>
      </c>
      <c r="AE11" s="19">
        <f>IS!AF34</f>
        <v>2894.6939528798048</v>
      </c>
      <c r="AF11" s="19">
        <f>IS!AG34</f>
        <v>1206.122480366585</v>
      </c>
    </row>
    <row r="12" spans="1:32" ht="15">
      <c r="A12" s="21" t="s">
        <v>71</v>
      </c>
      <c r="B12" s="131">
        <f>-Depreciation!D34</f>
        <v>-5217.8899214663406</v>
      </c>
      <c r="C12" s="131">
        <f>-Depreciation!E34</f>
        <v>-9840.9308507860478</v>
      </c>
      <c r="D12" s="131">
        <f>-Depreciation!F34</f>
        <v>-8924.2777657074439</v>
      </c>
      <c r="E12" s="131">
        <f>-Depreciation!G34</f>
        <v>-8104.1144790581657</v>
      </c>
      <c r="F12" s="131">
        <f>-Depreciation!H34</f>
        <v>-7361.1430311523491</v>
      </c>
      <c r="G12" s="131">
        <f>-Depreciation!I34</f>
        <v>-6292.3144421470615</v>
      </c>
      <c r="H12" s="131">
        <f>-Depreciation!J34</f>
        <v>-5692.8981073302821</v>
      </c>
      <c r="I12" s="131">
        <f>-Depreciation!K34</f>
        <v>-5702.547087173215</v>
      </c>
      <c r="J12" s="131">
        <f>-Depreciation!L34</f>
        <v>-5692.8981073302821</v>
      </c>
      <c r="K12" s="131">
        <f>-Depreciation!M34</f>
        <v>-5702.547087173215</v>
      </c>
      <c r="L12" s="131">
        <f>-Depreciation!N34</f>
        <v>-5692.8981073302821</v>
      </c>
      <c r="M12" s="131">
        <f>-Depreciation!O34</f>
        <v>-5702.547087173215</v>
      </c>
      <c r="N12" s="131">
        <f>-Depreciation!P34</f>
        <v>-5692.8981073302821</v>
      </c>
      <c r="O12" s="131">
        <f>-Depreciation!Q34</f>
        <v>-5702.547087173215</v>
      </c>
      <c r="P12" s="131">
        <f>-Depreciation!R34</f>
        <v>-5692.8981073302821</v>
      </c>
      <c r="Q12" s="131">
        <f>-Depreciation!S34</f>
        <v>-2846.449053665141</v>
      </c>
      <c r="R12" s="131">
        <f>-Depreciation!T34</f>
        <v>0</v>
      </c>
      <c r="S12" s="131">
        <f>-Depreciation!U34</f>
        <v>0</v>
      </c>
      <c r="T12" s="131">
        <f>-Depreciation!V34</f>
        <v>0</v>
      </c>
      <c r="U12" s="131">
        <f>-Depreciation!W34</f>
        <v>0</v>
      </c>
      <c r="V12" s="131">
        <f>-Depreciation!X34</f>
        <v>0</v>
      </c>
      <c r="W12" s="131">
        <f>-Depreciation!Y34</f>
        <v>0</v>
      </c>
      <c r="X12" s="131">
        <f>-Depreciation!Z34</f>
        <v>0</v>
      </c>
      <c r="Y12" s="131">
        <f>-Depreciation!AA34</f>
        <v>0</v>
      </c>
      <c r="Z12" s="131">
        <f>-Depreciation!AB34</f>
        <v>0</v>
      </c>
      <c r="AA12" s="131">
        <f>-Depreciation!AC34</f>
        <v>0</v>
      </c>
      <c r="AB12" s="131">
        <f>-Depreciation!AD34</f>
        <v>0</v>
      </c>
      <c r="AC12" s="131">
        <f>-Depreciation!AE34</f>
        <v>0</v>
      </c>
      <c r="AD12" s="131">
        <f>-Depreciation!AF34</f>
        <v>0</v>
      </c>
      <c r="AE12" s="131">
        <f>-Depreciation!AG34</f>
        <v>0</v>
      </c>
      <c r="AF12" s="131">
        <f>-Depreciation!AH34</f>
        <v>0</v>
      </c>
    </row>
    <row r="13" spans="1:32">
      <c r="A13" s="130" t="s">
        <v>72</v>
      </c>
      <c r="B13" s="23">
        <f>SUM(B10:B12)</f>
        <v>3756.2767452003236</v>
      </c>
      <c r="C13" s="23">
        <f t="shared" ref="C13:W13" si="0">SUM(C10:C12)</f>
        <v>5786.7491492139543</v>
      </c>
      <c r="D13" s="23">
        <f t="shared" si="0"/>
        <v>6659.8926342925552</v>
      </c>
      <c r="E13" s="23">
        <f t="shared" si="0"/>
        <v>7435.3226329418285</v>
      </c>
      <c r="F13" s="23">
        <f t="shared" si="0"/>
        <v>8132.3020262076516</v>
      </c>
      <c r="G13" s="23">
        <f t="shared" si="0"/>
        <v>9153.8436955737379</v>
      </c>
      <c r="H13" s="23">
        <f t="shared" si="0"/>
        <v>9704.6410977349424</v>
      </c>
      <c r="I13" s="23">
        <f t="shared" si="0"/>
        <v>9645.0029437210214</v>
      </c>
      <c r="J13" s="23">
        <f t="shared" si="0"/>
        <v>9603.2531671613797</v>
      </c>
      <c r="K13" s="23">
        <f t="shared" si="0"/>
        <v>9540.7553630772018</v>
      </c>
      <c r="L13" s="23">
        <f t="shared" si="0"/>
        <v>9496.0637867021378</v>
      </c>
      <c r="M13" s="23">
        <f t="shared" si="0"/>
        <v>9430.5396413601557</v>
      </c>
      <c r="N13" s="23">
        <f t="shared" si="0"/>
        <v>9382.7347202926703</v>
      </c>
      <c r="O13" s="23">
        <f t="shared" si="0"/>
        <v>9314.0076924566747</v>
      </c>
      <c r="P13" s="23">
        <f t="shared" si="0"/>
        <v>9262.9077422103237</v>
      </c>
      <c r="Q13" s="23">
        <f t="shared" si="0"/>
        <v>12046.888886413932</v>
      </c>
      <c r="R13" s="23">
        <f t="shared" si="0"/>
        <v>14829.101551634742</v>
      </c>
      <c r="S13" s="23">
        <f t="shared" si="0"/>
        <v>14763.045741004144</v>
      </c>
      <c r="T13" s="23">
        <f t="shared" si="0"/>
        <v>14695.118078911039</v>
      </c>
      <c r="U13" s="23">
        <f t="shared" si="0"/>
        <v>14625.264606268673</v>
      </c>
      <c r="V13" s="23">
        <f t="shared" si="0"/>
        <v>4279.8055494658402</v>
      </c>
      <c r="W13" s="23">
        <f t="shared" si="0"/>
        <v>-2734.4435275948344</v>
      </c>
      <c r="X13" s="23">
        <f t="shared" ref="X13:AF13" si="1">SUM(X10:X12)</f>
        <v>-2810.4141680470893</v>
      </c>
      <c r="Y13" s="23">
        <f t="shared" si="1"/>
        <v>-2888.5426744053948</v>
      </c>
      <c r="Z13" s="23">
        <f t="shared" si="1"/>
        <v>-2968.8913575807937</v>
      </c>
      <c r="AA13" s="23">
        <f t="shared" si="1"/>
        <v>-3051.5243493103162</v>
      </c>
      <c r="AB13" s="23">
        <f t="shared" si="1"/>
        <v>-3136.507655811768</v>
      </c>
      <c r="AC13" s="23">
        <f t="shared" si="1"/>
        <v>-3223.9092130287054</v>
      </c>
      <c r="AD13" s="23">
        <f t="shared" si="1"/>
        <v>-3313.7989435130003</v>
      </c>
      <c r="AE13" s="23">
        <f t="shared" si="1"/>
        <v>-3406.2488149936944</v>
      </c>
      <c r="AF13" s="23">
        <f t="shared" si="1"/>
        <v>-3501.3329006823164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98</v>
      </c>
      <c r="B15" s="132">
        <f>Assumptions!$N$51</f>
        <v>7.0000000000000007E-2</v>
      </c>
      <c r="C15" s="132">
        <f>Assumptions!$N$51</f>
        <v>7.0000000000000007E-2</v>
      </c>
      <c r="D15" s="132">
        <f>Assumptions!$N$51</f>
        <v>7.0000000000000007E-2</v>
      </c>
      <c r="E15" s="132">
        <f>Assumptions!$N$51</f>
        <v>7.0000000000000007E-2</v>
      </c>
      <c r="F15" s="132">
        <f>Assumptions!$N$51</f>
        <v>7.0000000000000007E-2</v>
      </c>
      <c r="G15" s="132">
        <f>Assumptions!$N$51</f>
        <v>7.0000000000000007E-2</v>
      </c>
      <c r="H15" s="132">
        <f>Assumptions!$N$51</f>
        <v>7.0000000000000007E-2</v>
      </c>
      <c r="I15" s="132">
        <f>Assumptions!$N$51</f>
        <v>7.0000000000000007E-2</v>
      </c>
      <c r="J15" s="132">
        <f>Assumptions!$N$51</f>
        <v>7.0000000000000007E-2</v>
      </c>
      <c r="K15" s="132">
        <f>Assumptions!$N$51</f>
        <v>7.0000000000000007E-2</v>
      </c>
      <c r="L15" s="132">
        <f>Assumptions!$N$51</f>
        <v>7.0000000000000007E-2</v>
      </c>
      <c r="M15" s="132">
        <f>Assumptions!$N$51</f>
        <v>7.0000000000000007E-2</v>
      </c>
      <c r="N15" s="132">
        <f>Assumptions!$N$51</f>
        <v>7.0000000000000007E-2</v>
      </c>
      <c r="O15" s="132">
        <f>Assumptions!$N$51</f>
        <v>7.0000000000000007E-2</v>
      </c>
      <c r="P15" s="132">
        <f>Assumptions!$N$51</f>
        <v>7.0000000000000007E-2</v>
      </c>
      <c r="Q15" s="132">
        <f>Assumptions!$N$51</f>
        <v>7.0000000000000007E-2</v>
      </c>
      <c r="R15" s="132">
        <f>Assumptions!$N$51</f>
        <v>7.0000000000000007E-2</v>
      </c>
      <c r="S15" s="132">
        <f>Assumptions!$N$51</f>
        <v>7.0000000000000007E-2</v>
      </c>
      <c r="T15" s="132">
        <f>Assumptions!$N$51</f>
        <v>7.0000000000000007E-2</v>
      </c>
      <c r="U15" s="132">
        <f>Assumptions!$N$51</f>
        <v>7.0000000000000007E-2</v>
      </c>
      <c r="V15" s="132">
        <f>Assumptions!$N$51</f>
        <v>7.0000000000000007E-2</v>
      </c>
      <c r="W15" s="132">
        <f>Assumptions!$N$51</f>
        <v>7.0000000000000007E-2</v>
      </c>
      <c r="X15" s="132">
        <f>Assumptions!$N$51</f>
        <v>7.0000000000000007E-2</v>
      </c>
      <c r="Y15" s="132">
        <f>Assumptions!$N$51</f>
        <v>7.0000000000000007E-2</v>
      </c>
      <c r="Z15" s="132">
        <f>Assumptions!$N$51</f>
        <v>7.0000000000000007E-2</v>
      </c>
      <c r="AA15" s="132">
        <f>Assumptions!$N$51</f>
        <v>7.0000000000000007E-2</v>
      </c>
      <c r="AB15" s="132">
        <f>Assumptions!$N$51</f>
        <v>7.0000000000000007E-2</v>
      </c>
      <c r="AC15" s="132">
        <f>Assumptions!$N$51</f>
        <v>7.0000000000000007E-2</v>
      </c>
      <c r="AD15" s="132">
        <f>Assumptions!$N$51</f>
        <v>7.0000000000000007E-2</v>
      </c>
      <c r="AE15" s="132">
        <f>Assumptions!$N$51</f>
        <v>7.0000000000000007E-2</v>
      </c>
      <c r="AF15" s="132">
        <f>Assumptions!$N$51</f>
        <v>7.0000000000000007E-2</v>
      </c>
    </row>
    <row r="16" spans="1:32">
      <c r="A16" s="21" t="s">
        <v>73</v>
      </c>
      <c r="B16" s="19">
        <f t="shared" ref="B16:AF16" si="2">B13*B15</f>
        <v>262.9393721640227</v>
      </c>
      <c r="C16" s="19">
        <f t="shared" si="2"/>
        <v>405.07244044497685</v>
      </c>
      <c r="D16" s="19">
        <f t="shared" si="2"/>
        <v>466.19248440047892</v>
      </c>
      <c r="E16" s="19">
        <f t="shared" si="2"/>
        <v>520.47258430592808</v>
      </c>
      <c r="F16" s="19">
        <f t="shared" si="2"/>
        <v>569.26114183453569</v>
      </c>
      <c r="G16" s="19">
        <f t="shared" si="2"/>
        <v>640.76905869016173</v>
      </c>
      <c r="H16" s="19">
        <f t="shared" si="2"/>
        <v>679.32487684144598</v>
      </c>
      <c r="I16" s="19">
        <f t="shared" si="2"/>
        <v>675.15020606047153</v>
      </c>
      <c r="J16" s="19">
        <f t="shared" si="2"/>
        <v>672.22772170129667</v>
      </c>
      <c r="K16" s="19">
        <f t="shared" si="2"/>
        <v>667.85287541540424</v>
      </c>
      <c r="L16" s="19">
        <f t="shared" si="2"/>
        <v>664.72446506914969</v>
      </c>
      <c r="M16" s="19">
        <f t="shared" si="2"/>
        <v>660.13777489521101</v>
      </c>
      <c r="N16" s="19">
        <f t="shared" si="2"/>
        <v>656.79143042048702</v>
      </c>
      <c r="O16" s="19">
        <f t="shared" si="2"/>
        <v>651.98053847196729</v>
      </c>
      <c r="P16" s="19">
        <f t="shared" si="2"/>
        <v>648.40354195472275</v>
      </c>
      <c r="Q16" s="19">
        <f t="shared" si="2"/>
        <v>843.28222204897531</v>
      </c>
      <c r="R16" s="19">
        <f t="shared" si="2"/>
        <v>1038.0371086144321</v>
      </c>
      <c r="S16" s="19">
        <f t="shared" si="2"/>
        <v>1033.4132018702901</v>
      </c>
      <c r="T16" s="19">
        <f t="shared" si="2"/>
        <v>1028.6582655237728</v>
      </c>
      <c r="U16" s="19">
        <f t="shared" si="2"/>
        <v>1023.7685224388072</v>
      </c>
      <c r="V16" s="19">
        <f t="shared" si="2"/>
        <v>299.58638846260885</v>
      </c>
      <c r="W16" s="19">
        <f t="shared" si="2"/>
        <v>-191.41104693163842</v>
      </c>
      <c r="X16" s="19">
        <f t="shared" si="2"/>
        <v>-196.72899176329628</v>
      </c>
      <c r="Y16" s="19">
        <f t="shared" si="2"/>
        <v>-202.19798720837767</v>
      </c>
      <c r="Z16" s="19">
        <f t="shared" si="2"/>
        <v>-207.82239503065557</v>
      </c>
      <c r="AA16" s="19">
        <f t="shared" si="2"/>
        <v>-213.60670445172215</v>
      </c>
      <c r="AB16" s="19">
        <f t="shared" si="2"/>
        <v>-219.55553590682379</v>
      </c>
      <c r="AC16" s="19">
        <f t="shared" si="2"/>
        <v>-225.67364491200939</v>
      </c>
      <c r="AD16" s="19">
        <f t="shared" si="2"/>
        <v>-231.96592604591004</v>
      </c>
      <c r="AE16" s="19">
        <f t="shared" si="2"/>
        <v>-238.43741704955863</v>
      </c>
      <c r="AF16" s="19">
        <f t="shared" si="2"/>
        <v>-245.09330304776216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74</v>
      </c>
      <c r="B18" s="19">
        <v>0</v>
      </c>
      <c r="C18" s="19">
        <f>B22</f>
        <v>0</v>
      </c>
      <c r="D18" s="19">
        <f t="shared" ref="D18:W18" si="3">C22</f>
        <v>0</v>
      </c>
      <c r="E18" s="19">
        <f t="shared" si="3"/>
        <v>0</v>
      </c>
      <c r="F18" s="19">
        <f t="shared" si="3"/>
        <v>0</v>
      </c>
      <c r="G18" s="19">
        <f t="shared" si="3"/>
        <v>0</v>
      </c>
      <c r="H18" s="19">
        <f t="shared" si="3"/>
        <v>0</v>
      </c>
      <c r="I18" s="19">
        <f t="shared" si="3"/>
        <v>0</v>
      </c>
      <c r="J18" s="19">
        <f t="shared" si="3"/>
        <v>0</v>
      </c>
      <c r="K18" s="19">
        <f t="shared" si="3"/>
        <v>0</v>
      </c>
      <c r="L18" s="19">
        <f t="shared" si="3"/>
        <v>0</v>
      </c>
      <c r="M18" s="19">
        <f t="shared" si="3"/>
        <v>0</v>
      </c>
      <c r="N18" s="19">
        <f t="shared" si="3"/>
        <v>0</v>
      </c>
      <c r="O18" s="19">
        <f t="shared" si="3"/>
        <v>0</v>
      </c>
      <c r="P18" s="19">
        <f>O22</f>
        <v>0</v>
      </c>
      <c r="Q18" s="19">
        <f t="shared" si="3"/>
        <v>0</v>
      </c>
      <c r="R18" s="19">
        <f t="shared" si="3"/>
        <v>0</v>
      </c>
      <c r="S18" s="19">
        <f t="shared" si="3"/>
        <v>0</v>
      </c>
      <c r="T18" s="19">
        <v>0</v>
      </c>
      <c r="U18" s="19">
        <f t="shared" si="3"/>
        <v>0</v>
      </c>
      <c r="V18" s="19">
        <f t="shared" si="3"/>
        <v>0</v>
      </c>
      <c r="W18" s="19">
        <f t="shared" si="3"/>
        <v>0</v>
      </c>
      <c r="X18" s="19">
        <f t="shared" ref="X18:AF18" si="4">W22</f>
        <v>191.41104693163842</v>
      </c>
      <c r="Y18" s="19">
        <f t="shared" si="4"/>
        <v>388.14003869493467</v>
      </c>
      <c r="Z18" s="19">
        <f t="shared" si="4"/>
        <v>590.33802590331231</v>
      </c>
      <c r="AA18" s="19">
        <f t="shared" si="4"/>
        <v>798.16042093396788</v>
      </c>
      <c r="AB18" s="19">
        <f t="shared" si="4"/>
        <v>1011.7671253856901</v>
      </c>
      <c r="AC18" s="19">
        <f t="shared" si="4"/>
        <v>1231.3226612925139</v>
      </c>
      <c r="AD18" s="19">
        <f t="shared" si="4"/>
        <v>1456.9963062045233</v>
      </c>
      <c r="AE18" s="19">
        <f t="shared" si="4"/>
        <v>1688.9622322504333</v>
      </c>
      <c r="AF18" s="19">
        <f t="shared" si="4"/>
        <v>1735.9886023683537</v>
      </c>
    </row>
    <row r="19" spans="1:32">
      <c r="A19" s="21" t="s">
        <v>75</v>
      </c>
      <c r="B19" s="140">
        <f>IF(B16&lt;0,-B16,0)</f>
        <v>0</v>
      </c>
      <c r="C19" s="140">
        <f t="shared" ref="C19:W19" si="5">IF(C16&lt;0,-C16,0)</f>
        <v>0</v>
      </c>
      <c r="D19" s="140">
        <f t="shared" si="5"/>
        <v>0</v>
      </c>
      <c r="E19" s="140">
        <f t="shared" si="5"/>
        <v>0</v>
      </c>
      <c r="F19" s="140">
        <f t="shared" si="5"/>
        <v>0</v>
      </c>
      <c r="G19" s="140">
        <f t="shared" si="5"/>
        <v>0</v>
      </c>
      <c r="H19" s="140">
        <f t="shared" si="5"/>
        <v>0</v>
      </c>
      <c r="I19" s="140">
        <f t="shared" si="5"/>
        <v>0</v>
      </c>
      <c r="J19" s="140">
        <f t="shared" si="5"/>
        <v>0</v>
      </c>
      <c r="K19" s="140">
        <f t="shared" si="5"/>
        <v>0</v>
      </c>
      <c r="L19" s="140">
        <f t="shared" si="5"/>
        <v>0</v>
      </c>
      <c r="M19" s="140">
        <f t="shared" si="5"/>
        <v>0</v>
      </c>
      <c r="N19" s="140">
        <f t="shared" si="5"/>
        <v>0</v>
      </c>
      <c r="O19" s="140">
        <f t="shared" si="5"/>
        <v>0</v>
      </c>
      <c r="P19" s="140">
        <f t="shared" si="5"/>
        <v>0</v>
      </c>
      <c r="Q19" s="140">
        <f t="shared" si="5"/>
        <v>0</v>
      </c>
      <c r="R19" s="140">
        <f t="shared" si="5"/>
        <v>0</v>
      </c>
      <c r="S19" s="140">
        <f t="shared" si="5"/>
        <v>0</v>
      </c>
      <c r="T19" s="140">
        <f t="shared" si="5"/>
        <v>0</v>
      </c>
      <c r="U19" s="140">
        <f t="shared" si="5"/>
        <v>0</v>
      </c>
      <c r="V19" s="140">
        <f t="shared" si="5"/>
        <v>0</v>
      </c>
      <c r="W19" s="140">
        <f t="shared" si="5"/>
        <v>191.41104693163842</v>
      </c>
      <c r="X19" s="140">
        <f t="shared" ref="X19:AF19" si="6">IF(X16&lt;0,-X16,0)</f>
        <v>196.72899176329628</v>
      </c>
      <c r="Y19" s="140">
        <f t="shared" si="6"/>
        <v>202.19798720837767</v>
      </c>
      <c r="Z19" s="140">
        <f t="shared" si="6"/>
        <v>207.82239503065557</v>
      </c>
      <c r="AA19" s="140">
        <f t="shared" si="6"/>
        <v>213.60670445172215</v>
      </c>
      <c r="AB19" s="140">
        <f t="shared" si="6"/>
        <v>219.55553590682379</v>
      </c>
      <c r="AC19" s="140">
        <f t="shared" si="6"/>
        <v>225.67364491200939</v>
      </c>
      <c r="AD19" s="140">
        <f t="shared" si="6"/>
        <v>231.96592604591004</v>
      </c>
      <c r="AE19" s="140">
        <f t="shared" si="6"/>
        <v>238.43741704955863</v>
      </c>
      <c r="AF19" s="140">
        <f t="shared" si="6"/>
        <v>245.09330304776216</v>
      </c>
    </row>
    <row r="20" spans="1:32">
      <c r="A20" s="13" t="s">
        <v>295</v>
      </c>
      <c r="B20" s="473">
        <v>0</v>
      </c>
      <c r="C20" s="474">
        <v>0</v>
      </c>
      <c r="D20" s="474">
        <v>0</v>
      </c>
      <c r="E20" s="474">
        <v>0</v>
      </c>
      <c r="F20" s="474">
        <v>0</v>
      </c>
      <c r="G20" s="474">
        <v>0</v>
      </c>
      <c r="H20" s="474">
        <v>0</v>
      </c>
      <c r="I20" s="475">
        <v>0</v>
      </c>
      <c r="J20" s="476">
        <f>IF(-SUM(B21:I21, B20:I20)&gt;B19,0,-B19-SUM(B21:I21,B20:I20))</f>
        <v>0</v>
      </c>
      <c r="K20" s="476">
        <f t="shared" ref="K20:AF20" si="7">IF(-SUM(C21:J21, C20:J20)&gt;C19,0,-C19-SUM(C21:J21,C20:J20))</f>
        <v>0</v>
      </c>
      <c r="L20" s="476">
        <f t="shared" si="7"/>
        <v>0</v>
      </c>
      <c r="M20" s="476">
        <f t="shared" si="7"/>
        <v>0</v>
      </c>
      <c r="N20" s="476">
        <f t="shared" si="7"/>
        <v>0</v>
      </c>
      <c r="O20" s="476">
        <f t="shared" si="7"/>
        <v>0</v>
      </c>
      <c r="P20" s="476">
        <f t="shared" si="7"/>
        <v>0</v>
      </c>
      <c r="Q20" s="476">
        <f t="shared" si="7"/>
        <v>0</v>
      </c>
      <c r="R20" s="476">
        <f t="shared" si="7"/>
        <v>0</v>
      </c>
      <c r="S20" s="476">
        <f t="shared" si="7"/>
        <v>0</v>
      </c>
      <c r="T20" s="476">
        <f t="shared" si="7"/>
        <v>0</v>
      </c>
      <c r="U20" s="476">
        <f t="shared" si="7"/>
        <v>0</v>
      </c>
      <c r="V20" s="476">
        <f t="shared" si="7"/>
        <v>0</v>
      </c>
      <c r="W20" s="476">
        <f t="shared" si="7"/>
        <v>0</v>
      </c>
      <c r="X20" s="476">
        <f t="shared" si="7"/>
        <v>0</v>
      </c>
      <c r="Y20" s="476">
        <f t="shared" si="7"/>
        <v>0</v>
      </c>
      <c r="Z20" s="476">
        <f t="shared" si="7"/>
        <v>0</v>
      </c>
      <c r="AA20" s="476">
        <f t="shared" si="7"/>
        <v>0</v>
      </c>
      <c r="AB20" s="476">
        <f t="shared" si="7"/>
        <v>0</v>
      </c>
      <c r="AC20" s="476">
        <f t="shared" si="7"/>
        <v>0</v>
      </c>
      <c r="AD20" s="476">
        <f t="shared" si="7"/>
        <v>0</v>
      </c>
      <c r="AE20" s="476">
        <f t="shared" si="7"/>
        <v>-191.41104693163842</v>
      </c>
      <c r="AF20" s="476">
        <f t="shared" si="7"/>
        <v>-5.3179448316578544</v>
      </c>
    </row>
    <row r="21" spans="1:32">
      <c r="A21" s="13" t="s">
        <v>294</v>
      </c>
      <c r="B21" s="133">
        <f>IF(B16&lt;0,0,IF(B18&gt;B16,-B16,-B18))</f>
        <v>0</v>
      </c>
      <c r="C21" s="133">
        <f t="shared" ref="C21:V21" si="8">IF(C16&lt;0,0,IF(C18&gt;C16,-C16,-C18))</f>
        <v>0</v>
      </c>
      <c r="D21" s="133">
        <f t="shared" si="8"/>
        <v>0</v>
      </c>
      <c r="E21" s="133">
        <f t="shared" si="8"/>
        <v>0</v>
      </c>
      <c r="F21" s="133">
        <f t="shared" si="8"/>
        <v>0</v>
      </c>
      <c r="G21" s="133">
        <f t="shared" si="8"/>
        <v>0</v>
      </c>
      <c r="H21" s="133">
        <f t="shared" si="8"/>
        <v>0</v>
      </c>
      <c r="I21" s="133">
        <f t="shared" si="8"/>
        <v>0</v>
      </c>
      <c r="J21" s="133">
        <f t="shared" si="8"/>
        <v>0</v>
      </c>
      <c r="K21" s="133">
        <f t="shared" si="8"/>
        <v>0</v>
      </c>
      <c r="L21" s="133">
        <f t="shared" si="8"/>
        <v>0</v>
      </c>
      <c r="M21" s="133">
        <f t="shared" si="8"/>
        <v>0</v>
      </c>
      <c r="N21" s="133">
        <f t="shared" si="8"/>
        <v>0</v>
      </c>
      <c r="O21" s="133">
        <f t="shared" si="8"/>
        <v>0</v>
      </c>
      <c r="P21" s="133">
        <f t="shared" si="8"/>
        <v>0</v>
      </c>
      <c r="Q21" s="133">
        <f t="shared" si="8"/>
        <v>0</v>
      </c>
      <c r="R21" s="133">
        <f t="shared" si="8"/>
        <v>0</v>
      </c>
      <c r="S21" s="133">
        <f t="shared" si="8"/>
        <v>0</v>
      </c>
      <c r="T21" s="133">
        <f t="shared" si="8"/>
        <v>0</v>
      </c>
      <c r="U21" s="133">
        <f t="shared" si="8"/>
        <v>0</v>
      </c>
      <c r="V21" s="133">
        <f t="shared" si="8"/>
        <v>0</v>
      </c>
      <c r="W21" s="133">
        <f>IF(W16&lt;0,0,IF(W18&gt;W16,-W16,-W18))</f>
        <v>0</v>
      </c>
      <c r="X21" s="133">
        <f t="shared" ref="X21:AF21" si="9">IF(X16&lt;0,0,IF(X18&gt;X16,-X16,-X18))</f>
        <v>0</v>
      </c>
      <c r="Y21" s="133">
        <f t="shared" si="9"/>
        <v>0</v>
      </c>
      <c r="Z21" s="133">
        <f t="shared" si="9"/>
        <v>0</v>
      </c>
      <c r="AA21" s="133">
        <f t="shared" si="9"/>
        <v>0</v>
      </c>
      <c r="AB21" s="133">
        <f t="shared" si="9"/>
        <v>0</v>
      </c>
      <c r="AC21" s="133">
        <f t="shared" si="9"/>
        <v>0</v>
      </c>
      <c r="AD21" s="133">
        <f t="shared" si="9"/>
        <v>0</v>
      </c>
      <c r="AE21" s="133">
        <f t="shared" si="9"/>
        <v>0</v>
      </c>
      <c r="AF21" s="133">
        <f t="shared" si="9"/>
        <v>0</v>
      </c>
    </row>
    <row r="22" spans="1:32">
      <c r="A22" s="13" t="s">
        <v>76</v>
      </c>
      <c r="B22" s="133">
        <f t="shared" ref="B22:AF22" si="10">SUM(B18:B21)</f>
        <v>0</v>
      </c>
      <c r="C22" s="133">
        <f t="shared" si="10"/>
        <v>0</v>
      </c>
      <c r="D22" s="133">
        <f t="shared" si="10"/>
        <v>0</v>
      </c>
      <c r="E22" s="133">
        <f t="shared" si="10"/>
        <v>0</v>
      </c>
      <c r="F22" s="133">
        <f t="shared" si="10"/>
        <v>0</v>
      </c>
      <c r="G22" s="133">
        <f t="shared" si="10"/>
        <v>0</v>
      </c>
      <c r="H22" s="133">
        <f t="shared" si="10"/>
        <v>0</v>
      </c>
      <c r="I22" s="133">
        <f t="shared" si="10"/>
        <v>0</v>
      </c>
      <c r="J22" s="133">
        <f t="shared" si="10"/>
        <v>0</v>
      </c>
      <c r="K22" s="133">
        <f t="shared" si="10"/>
        <v>0</v>
      </c>
      <c r="L22" s="133">
        <f t="shared" si="10"/>
        <v>0</v>
      </c>
      <c r="M22" s="133">
        <f t="shared" si="10"/>
        <v>0</v>
      </c>
      <c r="N22" s="133">
        <f t="shared" si="10"/>
        <v>0</v>
      </c>
      <c r="O22" s="133">
        <f t="shared" si="10"/>
        <v>0</v>
      </c>
      <c r="P22" s="133">
        <f t="shared" si="10"/>
        <v>0</v>
      </c>
      <c r="Q22" s="133">
        <f t="shared" si="10"/>
        <v>0</v>
      </c>
      <c r="R22" s="133">
        <f t="shared" si="10"/>
        <v>0</v>
      </c>
      <c r="S22" s="133">
        <f t="shared" si="10"/>
        <v>0</v>
      </c>
      <c r="T22" s="133">
        <f t="shared" si="10"/>
        <v>0</v>
      </c>
      <c r="U22" s="133">
        <f t="shared" si="10"/>
        <v>0</v>
      </c>
      <c r="V22" s="133">
        <f t="shared" si="10"/>
        <v>0</v>
      </c>
      <c r="W22" s="133">
        <f t="shared" si="10"/>
        <v>191.41104693163842</v>
      </c>
      <c r="X22" s="133">
        <f t="shared" si="10"/>
        <v>388.14003869493467</v>
      </c>
      <c r="Y22" s="133">
        <f t="shared" si="10"/>
        <v>590.33802590331231</v>
      </c>
      <c r="Z22" s="133">
        <f t="shared" si="10"/>
        <v>798.16042093396788</v>
      </c>
      <c r="AA22" s="133">
        <f t="shared" si="10"/>
        <v>1011.7671253856901</v>
      </c>
      <c r="AB22" s="133">
        <f t="shared" si="10"/>
        <v>1231.3226612925139</v>
      </c>
      <c r="AC22" s="133">
        <f t="shared" si="10"/>
        <v>1456.9963062045233</v>
      </c>
      <c r="AD22" s="133">
        <f t="shared" si="10"/>
        <v>1688.9622322504333</v>
      </c>
      <c r="AE22" s="133">
        <f t="shared" si="10"/>
        <v>1735.9886023683537</v>
      </c>
      <c r="AF22" s="133">
        <f t="shared" si="10"/>
        <v>1975.7639605844581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218</v>
      </c>
      <c r="B24" s="137">
        <f>IF(B13&lt;0,0,B21+B16)</f>
        <v>262.9393721640227</v>
      </c>
      <c r="C24" s="137">
        <f t="shared" ref="C24:AF24" si="11">IF(C13&lt;0,0,C21+C16)</f>
        <v>405.07244044497685</v>
      </c>
      <c r="D24" s="137">
        <f t="shared" si="11"/>
        <v>466.19248440047892</v>
      </c>
      <c r="E24" s="137">
        <f t="shared" si="11"/>
        <v>520.47258430592808</v>
      </c>
      <c r="F24" s="137">
        <f t="shared" si="11"/>
        <v>569.26114183453569</v>
      </c>
      <c r="G24" s="137">
        <f t="shared" si="11"/>
        <v>640.76905869016173</v>
      </c>
      <c r="H24" s="137">
        <f t="shared" si="11"/>
        <v>679.32487684144598</v>
      </c>
      <c r="I24" s="137">
        <f t="shared" si="11"/>
        <v>675.15020606047153</v>
      </c>
      <c r="J24" s="137">
        <f t="shared" si="11"/>
        <v>672.22772170129667</v>
      </c>
      <c r="K24" s="137">
        <f t="shared" si="11"/>
        <v>667.85287541540424</v>
      </c>
      <c r="L24" s="137">
        <f t="shared" si="11"/>
        <v>664.72446506914969</v>
      </c>
      <c r="M24" s="137">
        <f t="shared" si="11"/>
        <v>660.13777489521101</v>
      </c>
      <c r="N24" s="137">
        <f t="shared" si="11"/>
        <v>656.79143042048702</v>
      </c>
      <c r="O24" s="137">
        <f t="shared" si="11"/>
        <v>651.98053847196729</v>
      </c>
      <c r="P24" s="137">
        <f t="shared" si="11"/>
        <v>648.40354195472275</v>
      </c>
      <c r="Q24" s="137">
        <f t="shared" si="11"/>
        <v>843.28222204897531</v>
      </c>
      <c r="R24" s="137">
        <f t="shared" si="11"/>
        <v>1038.0371086144321</v>
      </c>
      <c r="S24" s="137">
        <f t="shared" si="11"/>
        <v>1033.4132018702901</v>
      </c>
      <c r="T24" s="137">
        <f t="shared" si="11"/>
        <v>1028.6582655237728</v>
      </c>
      <c r="U24" s="137">
        <f t="shared" si="11"/>
        <v>1023.7685224388072</v>
      </c>
      <c r="V24" s="137">
        <f t="shared" si="11"/>
        <v>299.58638846260885</v>
      </c>
      <c r="W24" s="137">
        <f t="shared" si="11"/>
        <v>0</v>
      </c>
      <c r="X24" s="137">
        <f t="shared" si="11"/>
        <v>0</v>
      </c>
      <c r="Y24" s="137">
        <f t="shared" si="11"/>
        <v>0</v>
      </c>
      <c r="Z24" s="137">
        <f t="shared" si="11"/>
        <v>0</v>
      </c>
      <c r="AA24" s="137">
        <f t="shared" si="11"/>
        <v>0</v>
      </c>
      <c r="AB24" s="137">
        <f t="shared" si="11"/>
        <v>0</v>
      </c>
      <c r="AC24" s="137">
        <f t="shared" si="11"/>
        <v>0</v>
      </c>
      <c r="AD24" s="137">
        <f t="shared" si="11"/>
        <v>0</v>
      </c>
      <c r="AE24" s="137">
        <f t="shared" si="11"/>
        <v>0</v>
      </c>
      <c r="AF24" s="137">
        <f t="shared" si="11"/>
        <v>0</v>
      </c>
    </row>
    <row r="25" spans="1:32">
      <c r="A25" s="43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9" t="s">
        <v>77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72</v>
      </c>
      <c r="B28" s="19">
        <f>B13</f>
        <v>3756.2767452003236</v>
      </c>
      <c r="C28" s="19">
        <f t="shared" ref="C28:AF28" si="12">C13</f>
        <v>5786.7491492139543</v>
      </c>
      <c r="D28" s="19">
        <f t="shared" si="12"/>
        <v>6659.8926342925552</v>
      </c>
      <c r="E28" s="19">
        <f t="shared" si="12"/>
        <v>7435.3226329418285</v>
      </c>
      <c r="F28" s="19">
        <f t="shared" si="12"/>
        <v>8132.3020262076516</v>
      </c>
      <c r="G28" s="19">
        <f t="shared" si="12"/>
        <v>9153.8436955737379</v>
      </c>
      <c r="H28" s="19">
        <f t="shared" si="12"/>
        <v>9704.6410977349424</v>
      </c>
      <c r="I28" s="19">
        <f t="shared" si="12"/>
        <v>9645.0029437210214</v>
      </c>
      <c r="J28" s="19">
        <f t="shared" si="12"/>
        <v>9603.2531671613797</v>
      </c>
      <c r="K28" s="19">
        <f t="shared" si="12"/>
        <v>9540.7553630772018</v>
      </c>
      <c r="L28" s="19">
        <f t="shared" si="12"/>
        <v>9496.0637867021378</v>
      </c>
      <c r="M28" s="19">
        <f t="shared" si="12"/>
        <v>9430.5396413601557</v>
      </c>
      <c r="N28" s="19">
        <f t="shared" si="12"/>
        <v>9382.7347202926703</v>
      </c>
      <c r="O28" s="19">
        <f t="shared" si="12"/>
        <v>9314.0076924566747</v>
      </c>
      <c r="P28" s="19">
        <f t="shared" si="12"/>
        <v>9262.9077422103237</v>
      </c>
      <c r="Q28" s="19">
        <f t="shared" si="12"/>
        <v>12046.888886413932</v>
      </c>
      <c r="R28" s="19">
        <f t="shared" si="12"/>
        <v>14829.101551634742</v>
      </c>
      <c r="S28" s="19">
        <f t="shared" si="12"/>
        <v>14763.045741004144</v>
      </c>
      <c r="T28" s="19">
        <f t="shared" si="12"/>
        <v>14695.118078911039</v>
      </c>
      <c r="U28" s="19">
        <f t="shared" si="12"/>
        <v>14625.264606268673</v>
      </c>
      <c r="V28" s="19">
        <f t="shared" si="12"/>
        <v>4279.8055494658402</v>
      </c>
      <c r="W28" s="19">
        <f t="shared" si="12"/>
        <v>-2734.4435275948344</v>
      </c>
      <c r="X28" s="19">
        <f t="shared" si="12"/>
        <v>-2810.4141680470893</v>
      </c>
      <c r="Y28" s="19">
        <f t="shared" si="12"/>
        <v>-2888.5426744053948</v>
      </c>
      <c r="Z28" s="19">
        <f t="shared" si="12"/>
        <v>-2968.8913575807937</v>
      </c>
      <c r="AA28" s="19">
        <f t="shared" si="12"/>
        <v>-3051.5243493103162</v>
      </c>
      <c r="AB28" s="19">
        <f t="shared" si="12"/>
        <v>-3136.507655811768</v>
      </c>
      <c r="AC28" s="19">
        <f t="shared" si="12"/>
        <v>-3223.9092130287054</v>
      </c>
      <c r="AD28" s="19">
        <f t="shared" si="12"/>
        <v>-3313.7989435130003</v>
      </c>
      <c r="AE28" s="19">
        <f t="shared" si="12"/>
        <v>-3406.2488149936944</v>
      </c>
      <c r="AF28" s="19">
        <f t="shared" si="12"/>
        <v>-3501.3329006823164</v>
      </c>
    </row>
    <row r="29" spans="1:32" ht="15">
      <c r="A29" s="21" t="s">
        <v>78</v>
      </c>
      <c r="B29" s="135">
        <f>-B24</f>
        <v>-262.9393721640227</v>
      </c>
      <c r="C29" s="135">
        <f t="shared" ref="C29:AF29" si="13">-C24</f>
        <v>-405.07244044497685</v>
      </c>
      <c r="D29" s="135">
        <f t="shared" si="13"/>
        <v>-466.19248440047892</v>
      </c>
      <c r="E29" s="135">
        <f t="shared" si="13"/>
        <v>-520.47258430592808</v>
      </c>
      <c r="F29" s="135">
        <f t="shared" si="13"/>
        <v>-569.26114183453569</v>
      </c>
      <c r="G29" s="135">
        <f t="shared" si="13"/>
        <v>-640.76905869016173</v>
      </c>
      <c r="H29" s="135">
        <f t="shared" si="13"/>
        <v>-679.32487684144598</v>
      </c>
      <c r="I29" s="135">
        <f t="shared" si="13"/>
        <v>-675.15020606047153</v>
      </c>
      <c r="J29" s="135">
        <f t="shared" si="13"/>
        <v>-672.22772170129667</v>
      </c>
      <c r="K29" s="135">
        <f t="shared" si="13"/>
        <v>-667.85287541540424</v>
      </c>
      <c r="L29" s="135">
        <f t="shared" si="13"/>
        <v>-664.72446506914969</v>
      </c>
      <c r="M29" s="135">
        <f t="shared" si="13"/>
        <v>-660.13777489521101</v>
      </c>
      <c r="N29" s="135">
        <f t="shared" si="13"/>
        <v>-656.79143042048702</v>
      </c>
      <c r="O29" s="135">
        <f t="shared" si="13"/>
        <v>-651.98053847196729</v>
      </c>
      <c r="P29" s="135">
        <f t="shared" si="13"/>
        <v>-648.40354195472275</v>
      </c>
      <c r="Q29" s="135">
        <f t="shared" si="13"/>
        <v>-843.28222204897531</v>
      </c>
      <c r="R29" s="135">
        <f t="shared" si="13"/>
        <v>-1038.0371086144321</v>
      </c>
      <c r="S29" s="135">
        <f t="shared" si="13"/>
        <v>-1033.4132018702901</v>
      </c>
      <c r="T29" s="135">
        <f t="shared" si="13"/>
        <v>-1028.6582655237728</v>
      </c>
      <c r="U29" s="135">
        <f t="shared" si="13"/>
        <v>-1023.7685224388072</v>
      </c>
      <c r="V29" s="135">
        <f t="shared" si="13"/>
        <v>-299.58638846260885</v>
      </c>
      <c r="W29" s="135">
        <f t="shared" si="13"/>
        <v>0</v>
      </c>
      <c r="X29" s="135">
        <f t="shared" si="13"/>
        <v>0</v>
      </c>
      <c r="Y29" s="135">
        <f t="shared" si="13"/>
        <v>0</v>
      </c>
      <c r="Z29" s="135">
        <f t="shared" si="13"/>
        <v>0</v>
      </c>
      <c r="AA29" s="135">
        <f t="shared" si="13"/>
        <v>0</v>
      </c>
      <c r="AB29" s="135">
        <f t="shared" si="13"/>
        <v>0</v>
      </c>
      <c r="AC29" s="135">
        <f t="shared" si="13"/>
        <v>0</v>
      </c>
      <c r="AD29" s="135">
        <f t="shared" si="13"/>
        <v>0</v>
      </c>
      <c r="AE29" s="135">
        <f t="shared" si="13"/>
        <v>0</v>
      </c>
      <c r="AF29" s="135">
        <f t="shared" si="13"/>
        <v>0</v>
      </c>
    </row>
    <row r="30" spans="1:32">
      <c r="A30" s="130" t="s">
        <v>217</v>
      </c>
      <c r="B30" s="44">
        <f t="shared" ref="B30:AF30" si="14">SUM(B28:B29)</f>
        <v>3493.337373036301</v>
      </c>
      <c r="C30" s="44">
        <f t="shared" si="14"/>
        <v>5381.6767087689777</v>
      </c>
      <c r="D30" s="44">
        <f t="shared" si="14"/>
        <v>6193.7001498920763</v>
      </c>
      <c r="E30" s="44">
        <f t="shared" si="14"/>
        <v>6914.8500486359007</v>
      </c>
      <c r="F30" s="44">
        <f t="shared" si="14"/>
        <v>7563.0408843731157</v>
      </c>
      <c r="G30" s="44">
        <f t="shared" si="14"/>
        <v>8513.0746368835753</v>
      </c>
      <c r="H30" s="44">
        <f t="shared" si="14"/>
        <v>9025.3162208934955</v>
      </c>
      <c r="I30" s="44">
        <f t="shared" si="14"/>
        <v>8969.8527376605507</v>
      </c>
      <c r="J30" s="44">
        <f t="shared" si="14"/>
        <v>8931.0254454600836</v>
      </c>
      <c r="K30" s="44">
        <f t="shared" si="14"/>
        <v>8872.9024876617968</v>
      </c>
      <c r="L30" s="44">
        <f t="shared" si="14"/>
        <v>8831.3393216329878</v>
      </c>
      <c r="M30" s="44">
        <f t="shared" si="14"/>
        <v>8770.4018664649448</v>
      </c>
      <c r="N30" s="44">
        <f t="shared" si="14"/>
        <v>8725.9432898721825</v>
      </c>
      <c r="O30" s="44">
        <f t="shared" si="14"/>
        <v>8662.0271539847072</v>
      </c>
      <c r="P30" s="44">
        <f t="shared" si="14"/>
        <v>8614.5042002556002</v>
      </c>
      <c r="Q30" s="44">
        <f t="shared" si="14"/>
        <v>11203.606664364956</v>
      </c>
      <c r="R30" s="44">
        <f t="shared" si="14"/>
        <v>13791.06444302031</v>
      </c>
      <c r="S30" s="44">
        <f t="shared" si="14"/>
        <v>13729.632539133854</v>
      </c>
      <c r="T30" s="44">
        <f t="shared" si="14"/>
        <v>13666.459813387266</v>
      </c>
      <c r="U30" s="44">
        <f t="shared" si="14"/>
        <v>13601.496083829865</v>
      </c>
      <c r="V30" s="44">
        <f t="shared" si="14"/>
        <v>3980.2191610032314</v>
      </c>
      <c r="W30" s="44">
        <f t="shared" si="14"/>
        <v>-2734.4435275948344</v>
      </c>
      <c r="X30" s="44">
        <f t="shared" si="14"/>
        <v>-2810.4141680470893</v>
      </c>
      <c r="Y30" s="44">
        <f t="shared" si="14"/>
        <v>-2888.5426744053948</v>
      </c>
      <c r="Z30" s="44">
        <f t="shared" si="14"/>
        <v>-2968.8913575807937</v>
      </c>
      <c r="AA30" s="44">
        <f t="shared" si="14"/>
        <v>-3051.5243493103162</v>
      </c>
      <c r="AB30" s="44">
        <f t="shared" si="14"/>
        <v>-3136.507655811768</v>
      </c>
      <c r="AC30" s="44">
        <f t="shared" si="14"/>
        <v>-3223.9092130287054</v>
      </c>
      <c r="AD30" s="44">
        <f t="shared" si="14"/>
        <v>-3313.7989435130003</v>
      </c>
      <c r="AE30" s="44">
        <f t="shared" si="14"/>
        <v>-3406.2488149936944</v>
      </c>
      <c r="AF30" s="44">
        <f t="shared" si="14"/>
        <v>-3501.3329006823164</v>
      </c>
    </row>
    <row r="31" spans="1:32">
      <c r="A31" s="130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79</v>
      </c>
      <c r="B32" s="136">
        <f>Assumptions!$N$50</f>
        <v>0.35</v>
      </c>
      <c r="C32" s="136">
        <f>Assumptions!$N$50</f>
        <v>0.35</v>
      </c>
      <c r="D32" s="136">
        <f>Assumptions!$N$50</f>
        <v>0.35</v>
      </c>
      <c r="E32" s="136">
        <f>Assumptions!$N$50</f>
        <v>0.35</v>
      </c>
      <c r="F32" s="136">
        <f>Assumptions!$N$50</f>
        <v>0.35</v>
      </c>
      <c r="G32" s="136">
        <f>Assumptions!$N$50</f>
        <v>0.35</v>
      </c>
      <c r="H32" s="136">
        <f>Assumptions!$N$50</f>
        <v>0.35</v>
      </c>
      <c r="I32" s="136">
        <f>Assumptions!$N$50</f>
        <v>0.35</v>
      </c>
      <c r="J32" s="136">
        <f>Assumptions!$N$50</f>
        <v>0.35</v>
      </c>
      <c r="K32" s="136">
        <f>Assumptions!$N$50</f>
        <v>0.35</v>
      </c>
      <c r="L32" s="136">
        <f>Assumptions!$N$50</f>
        <v>0.35</v>
      </c>
      <c r="M32" s="136">
        <f>Assumptions!$N$50</f>
        <v>0.35</v>
      </c>
      <c r="N32" s="136">
        <f>Assumptions!$N$50</f>
        <v>0.35</v>
      </c>
      <c r="O32" s="136">
        <f>Assumptions!$N$50</f>
        <v>0.35</v>
      </c>
      <c r="P32" s="136">
        <f>Assumptions!$N$50</f>
        <v>0.35</v>
      </c>
      <c r="Q32" s="136">
        <f>Assumptions!$N$50</f>
        <v>0.35</v>
      </c>
      <c r="R32" s="136">
        <f>Assumptions!$N$50</f>
        <v>0.35</v>
      </c>
      <c r="S32" s="136">
        <f>Assumptions!$N$50</f>
        <v>0.35</v>
      </c>
      <c r="T32" s="136">
        <f>Assumptions!$N$50</f>
        <v>0.35</v>
      </c>
      <c r="U32" s="136">
        <f>Assumptions!$N$50</f>
        <v>0.35</v>
      </c>
      <c r="V32" s="136">
        <f>Assumptions!$N$50</f>
        <v>0.35</v>
      </c>
      <c r="W32" s="136">
        <f>Assumptions!$N$50</f>
        <v>0.35</v>
      </c>
      <c r="X32" s="136">
        <f>Assumptions!$N$50</f>
        <v>0.35</v>
      </c>
      <c r="Y32" s="136">
        <f>Assumptions!$N$50</f>
        <v>0.35</v>
      </c>
      <c r="Z32" s="136">
        <f>Assumptions!$N$50</f>
        <v>0.35</v>
      </c>
      <c r="AA32" s="136">
        <f>Assumptions!$N$50</f>
        <v>0.35</v>
      </c>
      <c r="AB32" s="136">
        <f>Assumptions!$N$50</f>
        <v>0.35</v>
      </c>
      <c r="AC32" s="136">
        <f>Assumptions!$N$50</f>
        <v>0.35</v>
      </c>
      <c r="AD32" s="136">
        <f>Assumptions!$N$50</f>
        <v>0.35</v>
      </c>
      <c r="AE32" s="136">
        <f>Assumptions!$N$50</f>
        <v>0.35</v>
      </c>
      <c r="AF32" s="136">
        <f>Assumptions!$N$50</f>
        <v>0.35</v>
      </c>
    </row>
    <row r="33" spans="1:32">
      <c r="A33" s="21" t="s">
        <v>80</v>
      </c>
      <c r="B33" s="19">
        <f>B30*B32</f>
        <v>1222.6680805627052</v>
      </c>
      <c r="C33" s="19">
        <f t="shared" ref="C33:W33" si="15">C30*C32</f>
        <v>1883.586848069142</v>
      </c>
      <c r="D33" s="19">
        <f t="shared" si="15"/>
        <v>2167.7950524622265</v>
      </c>
      <c r="E33" s="19">
        <f t="shared" si="15"/>
        <v>2420.1975170225651</v>
      </c>
      <c r="F33" s="19">
        <f t="shared" si="15"/>
        <v>2647.0643095305904</v>
      </c>
      <c r="G33" s="19">
        <f t="shared" si="15"/>
        <v>2979.5761229092514</v>
      </c>
      <c r="H33" s="19">
        <f t="shared" si="15"/>
        <v>3158.8606773127231</v>
      </c>
      <c r="I33" s="19">
        <f t="shared" si="15"/>
        <v>3139.4484581811926</v>
      </c>
      <c r="J33" s="19">
        <f t="shared" si="15"/>
        <v>3125.8589059110291</v>
      </c>
      <c r="K33" s="19">
        <f t="shared" si="15"/>
        <v>3105.5158706816287</v>
      </c>
      <c r="L33" s="19">
        <f t="shared" si="15"/>
        <v>3090.9687625715455</v>
      </c>
      <c r="M33" s="19">
        <f t="shared" si="15"/>
        <v>3069.6406532627307</v>
      </c>
      <c r="N33" s="19">
        <f t="shared" si="15"/>
        <v>3054.0801514552636</v>
      </c>
      <c r="O33" s="19">
        <f t="shared" si="15"/>
        <v>3031.7095038946472</v>
      </c>
      <c r="P33" s="19">
        <f t="shared" si="15"/>
        <v>3015.0764700894597</v>
      </c>
      <c r="Q33" s="19">
        <f t="shared" si="15"/>
        <v>3921.2623325277341</v>
      </c>
      <c r="R33" s="19">
        <f t="shared" si="15"/>
        <v>4826.872555057108</v>
      </c>
      <c r="S33" s="19">
        <f t="shared" si="15"/>
        <v>4805.371388696849</v>
      </c>
      <c r="T33" s="19">
        <f t="shared" si="15"/>
        <v>4783.2609346855425</v>
      </c>
      <c r="U33" s="19">
        <f t="shared" si="15"/>
        <v>4760.5236293404523</v>
      </c>
      <c r="V33" s="19">
        <f t="shared" si="15"/>
        <v>1393.076706351131</v>
      </c>
      <c r="W33" s="19">
        <f t="shared" si="15"/>
        <v>-957.05523465819203</v>
      </c>
      <c r="X33" s="19">
        <f t="shared" ref="X33:AF33" si="16">X30*X32</f>
        <v>-983.64495881648122</v>
      </c>
      <c r="Y33" s="19">
        <f t="shared" si="16"/>
        <v>-1010.9899360418881</v>
      </c>
      <c r="Z33" s="19">
        <f t="shared" si="16"/>
        <v>-1039.1119751532779</v>
      </c>
      <c r="AA33" s="19">
        <f t="shared" si="16"/>
        <v>-1068.0335222586107</v>
      </c>
      <c r="AB33" s="19">
        <f t="shared" si="16"/>
        <v>-1097.7776795341188</v>
      </c>
      <c r="AC33" s="19">
        <f t="shared" si="16"/>
        <v>-1128.3682245600469</v>
      </c>
      <c r="AD33" s="19">
        <f t="shared" si="16"/>
        <v>-1159.82963022955</v>
      </c>
      <c r="AE33" s="19">
        <f t="shared" si="16"/>
        <v>-1192.187085247793</v>
      </c>
      <c r="AF33" s="19">
        <f t="shared" si="16"/>
        <v>-1225.4665152388106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74</v>
      </c>
      <c r="B35" s="19">
        <v>0</v>
      </c>
      <c r="C35" s="19">
        <f t="shared" ref="C35:S35" si="17">B39</f>
        <v>0</v>
      </c>
      <c r="D35" s="19">
        <f t="shared" si="17"/>
        <v>0</v>
      </c>
      <c r="E35" s="19">
        <f t="shared" si="17"/>
        <v>0</v>
      </c>
      <c r="F35" s="19">
        <f t="shared" si="17"/>
        <v>0</v>
      </c>
      <c r="G35" s="19">
        <f t="shared" si="17"/>
        <v>0</v>
      </c>
      <c r="H35" s="19">
        <f t="shared" si="17"/>
        <v>0</v>
      </c>
      <c r="I35" s="19">
        <f t="shared" si="17"/>
        <v>0</v>
      </c>
      <c r="J35" s="19">
        <f t="shared" si="17"/>
        <v>0</v>
      </c>
      <c r="K35" s="19">
        <f t="shared" si="17"/>
        <v>0</v>
      </c>
      <c r="L35" s="19">
        <f t="shared" si="17"/>
        <v>0</v>
      </c>
      <c r="M35" s="19">
        <f t="shared" si="17"/>
        <v>0</v>
      </c>
      <c r="N35" s="19">
        <f t="shared" si="17"/>
        <v>0</v>
      </c>
      <c r="O35" s="19">
        <f t="shared" si="17"/>
        <v>0</v>
      </c>
      <c r="P35" s="19">
        <f t="shared" si="17"/>
        <v>0</v>
      </c>
      <c r="Q35" s="19">
        <f t="shared" si="17"/>
        <v>0</v>
      </c>
      <c r="R35" s="19">
        <f t="shared" si="17"/>
        <v>0</v>
      </c>
      <c r="S35" s="19">
        <f t="shared" si="17"/>
        <v>0</v>
      </c>
      <c r="T35" s="19">
        <v>0</v>
      </c>
      <c r="U35" s="19">
        <f t="shared" ref="U35:AF35" si="18">T39</f>
        <v>0</v>
      </c>
      <c r="V35" s="19">
        <f t="shared" si="18"/>
        <v>0</v>
      </c>
      <c r="W35" s="19">
        <f t="shared" si="18"/>
        <v>0</v>
      </c>
      <c r="X35" s="19">
        <f t="shared" si="18"/>
        <v>957.05523465819203</v>
      </c>
      <c r="Y35" s="19">
        <f t="shared" si="18"/>
        <v>1940.7001934746731</v>
      </c>
      <c r="Z35" s="19">
        <f t="shared" si="18"/>
        <v>2951.6901295165612</v>
      </c>
      <c r="AA35" s="19">
        <f t="shared" si="18"/>
        <v>3990.8021046698391</v>
      </c>
      <c r="AB35" s="19">
        <f t="shared" si="18"/>
        <v>5058.8356269284495</v>
      </c>
      <c r="AC35" s="19">
        <f t="shared" si="18"/>
        <v>6156.6133064625683</v>
      </c>
      <c r="AD35" s="19">
        <f t="shared" si="18"/>
        <v>7284.9815310226149</v>
      </c>
      <c r="AE35" s="19">
        <f t="shared" si="18"/>
        <v>8444.8111612521643</v>
      </c>
      <c r="AF35" s="19">
        <f t="shared" si="18"/>
        <v>9636.9982464999575</v>
      </c>
    </row>
    <row r="36" spans="1:32">
      <c r="A36" s="21" t="s">
        <v>75</v>
      </c>
      <c r="B36" s="140">
        <f>IF(B33&lt;0,-B33,0)</f>
        <v>0</v>
      </c>
      <c r="C36" s="140">
        <f t="shared" ref="C36:AF36" si="19">IF(C33&lt;0,-C33,0)</f>
        <v>0</v>
      </c>
      <c r="D36" s="140">
        <f t="shared" si="19"/>
        <v>0</v>
      </c>
      <c r="E36" s="140">
        <f t="shared" si="19"/>
        <v>0</v>
      </c>
      <c r="F36" s="140">
        <f t="shared" si="19"/>
        <v>0</v>
      </c>
      <c r="G36" s="140">
        <f t="shared" si="19"/>
        <v>0</v>
      </c>
      <c r="H36" s="140">
        <f t="shared" si="19"/>
        <v>0</v>
      </c>
      <c r="I36" s="140">
        <f t="shared" si="19"/>
        <v>0</v>
      </c>
      <c r="J36" s="140">
        <f t="shared" si="19"/>
        <v>0</v>
      </c>
      <c r="K36" s="140">
        <f t="shared" si="19"/>
        <v>0</v>
      </c>
      <c r="L36" s="140">
        <f t="shared" si="19"/>
        <v>0</v>
      </c>
      <c r="M36" s="140">
        <f t="shared" si="19"/>
        <v>0</v>
      </c>
      <c r="N36" s="140">
        <f t="shared" si="19"/>
        <v>0</v>
      </c>
      <c r="O36" s="140">
        <f t="shared" si="19"/>
        <v>0</v>
      </c>
      <c r="P36" s="140">
        <f t="shared" si="19"/>
        <v>0</v>
      </c>
      <c r="Q36" s="140">
        <f t="shared" si="19"/>
        <v>0</v>
      </c>
      <c r="R36" s="140">
        <f t="shared" si="19"/>
        <v>0</v>
      </c>
      <c r="S36" s="140">
        <f t="shared" si="19"/>
        <v>0</v>
      </c>
      <c r="T36" s="140">
        <f t="shared" si="19"/>
        <v>0</v>
      </c>
      <c r="U36" s="140">
        <f t="shared" si="19"/>
        <v>0</v>
      </c>
      <c r="V36" s="140">
        <f t="shared" si="19"/>
        <v>0</v>
      </c>
      <c r="W36" s="140">
        <f t="shared" si="19"/>
        <v>957.05523465819203</v>
      </c>
      <c r="X36" s="140">
        <f t="shared" si="19"/>
        <v>983.64495881648122</v>
      </c>
      <c r="Y36" s="140">
        <f t="shared" si="19"/>
        <v>1010.9899360418881</v>
      </c>
      <c r="Z36" s="140">
        <f t="shared" si="19"/>
        <v>1039.1119751532779</v>
      </c>
      <c r="AA36" s="140">
        <f t="shared" si="19"/>
        <v>1068.0335222586107</v>
      </c>
      <c r="AB36" s="140">
        <f t="shared" si="19"/>
        <v>1097.7776795341188</v>
      </c>
      <c r="AC36" s="140">
        <f t="shared" si="19"/>
        <v>1128.3682245600469</v>
      </c>
      <c r="AD36" s="140">
        <f t="shared" si="19"/>
        <v>1159.82963022955</v>
      </c>
      <c r="AE36" s="140">
        <f t="shared" si="19"/>
        <v>1192.187085247793</v>
      </c>
      <c r="AF36" s="140">
        <f t="shared" si="19"/>
        <v>1225.4665152388106</v>
      </c>
    </row>
    <row r="37" spans="1:32">
      <c r="A37" s="13" t="s">
        <v>295</v>
      </c>
      <c r="B37" s="473">
        <v>0</v>
      </c>
      <c r="C37" s="474">
        <v>0</v>
      </c>
      <c r="D37" s="474">
        <v>0</v>
      </c>
      <c r="E37" s="474">
        <v>0</v>
      </c>
      <c r="F37" s="474">
        <v>0</v>
      </c>
      <c r="G37" s="474">
        <v>0</v>
      </c>
      <c r="H37" s="474">
        <v>0</v>
      </c>
      <c r="I37" s="474">
        <v>0</v>
      </c>
      <c r="J37" s="474">
        <v>0</v>
      </c>
      <c r="K37" s="474">
        <v>0</v>
      </c>
      <c r="L37" s="474">
        <v>0</v>
      </c>
      <c r="M37" s="474">
        <v>0</v>
      </c>
      <c r="N37" s="474">
        <v>0</v>
      </c>
      <c r="O37" s="474">
        <v>0</v>
      </c>
      <c r="P37" s="475">
        <v>0</v>
      </c>
      <c r="Q37" s="476">
        <f>IF(-SUM(B38:P38, B37:P37)&gt;B36,0,-B36-SUM(B38:P38,B37:P37))</f>
        <v>0</v>
      </c>
      <c r="R37" s="476">
        <f t="shared" ref="R37:AF37" si="20">IF(-SUM(C38:Q38, C37:Q37)&gt;C36,0,-C36-SUM(C38:Q38,C37:Q37))</f>
        <v>0</v>
      </c>
      <c r="S37" s="476">
        <f t="shared" si="20"/>
        <v>0</v>
      </c>
      <c r="T37" s="476">
        <f t="shared" si="20"/>
        <v>0</v>
      </c>
      <c r="U37" s="476">
        <f t="shared" si="20"/>
        <v>0</v>
      </c>
      <c r="V37" s="476">
        <f t="shared" si="20"/>
        <v>0</v>
      </c>
      <c r="W37" s="476">
        <f t="shared" si="20"/>
        <v>0</v>
      </c>
      <c r="X37" s="476">
        <f t="shared" si="20"/>
        <v>0</v>
      </c>
      <c r="Y37" s="476">
        <f t="shared" si="20"/>
        <v>0</v>
      </c>
      <c r="Z37" s="476">
        <f t="shared" si="20"/>
        <v>0</v>
      </c>
      <c r="AA37" s="476">
        <f t="shared" si="20"/>
        <v>0</v>
      </c>
      <c r="AB37" s="476">
        <f t="shared" si="20"/>
        <v>0</v>
      </c>
      <c r="AC37" s="476">
        <f t="shared" si="20"/>
        <v>0</v>
      </c>
      <c r="AD37" s="476">
        <f t="shared" si="20"/>
        <v>0</v>
      </c>
      <c r="AE37" s="476">
        <f t="shared" si="20"/>
        <v>0</v>
      </c>
      <c r="AF37" s="476">
        <f t="shared" si="20"/>
        <v>0</v>
      </c>
    </row>
    <row r="38" spans="1:32">
      <c r="A38" s="13" t="s">
        <v>296</v>
      </c>
      <c r="B38" s="133">
        <f>IF(B33&lt;0,0,IF(B35&gt;B33,-B33,-B35))</f>
        <v>0</v>
      </c>
      <c r="C38" s="133">
        <f t="shared" ref="C38:V38" si="21">IF(C33&lt;0,0,IF(C35&gt;C33,-C33,-C35))</f>
        <v>0</v>
      </c>
      <c r="D38" s="133">
        <f t="shared" si="21"/>
        <v>0</v>
      </c>
      <c r="E38" s="133">
        <f t="shared" si="21"/>
        <v>0</v>
      </c>
      <c r="F38" s="133">
        <f t="shared" si="21"/>
        <v>0</v>
      </c>
      <c r="G38" s="133">
        <f t="shared" si="21"/>
        <v>0</v>
      </c>
      <c r="H38" s="133">
        <f t="shared" si="21"/>
        <v>0</v>
      </c>
      <c r="I38" s="133">
        <f t="shared" si="21"/>
        <v>0</v>
      </c>
      <c r="J38" s="133">
        <f t="shared" si="21"/>
        <v>0</v>
      </c>
      <c r="K38" s="133">
        <f t="shared" si="21"/>
        <v>0</v>
      </c>
      <c r="L38" s="133">
        <f t="shared" si="21"/>
        <v>0</v>
      </c>
      <c r="M38" s="133">
        <f t="shared" si="21"/>
        <v>0</v>
      </c>
      <c r="N38" s="133">
        <f t="shared" si="21"/>
        <v>0</v>
      </c>
      <c r="O38" s="133">
        <f t="shared" si="21"/>
        <v>0</v>
      </c>
      <c r="P38" s="133">
        <f t="shared" si="21"/>
        <v>0</v>
      </c>
      <c r="Q38" s="133">
        <f t="shared" si="21"/>
        <v>0</v>
      </c>
      <c r="R38" s="133">
        <f t="shared" si="21"/>
        <v>0</v>
      </c>
      <c r="S38" s="133">
        <f t="shared" si="21"/>
        <v>0</v>
      </c>
      <c r="T38" s="133">
        <f t="shared" si="21"/>
        <v>0</v>
      </c>
      <c r="U38" s="133">
        <f t="shared" si="21"/>
        <v>0</v>
      </c>
      <c r="V38" s="133">
        <f t="shared" si="21"/>
        <v>0</v>
      </c>
      <c r="W38" s="133">
        <f>IF(W33&lt;0,0,IF(W35&gt;W33,-W33,-W35))</f>
        <v>0</v>
      </c>
      <c r="X38" s="133">
        <f t="shared" ref="X38:AF38" si="22">IF(X33&lt;0,0,IF(X35&gt;X33,-X33,-X35))</f>
        <v>0</v>
      </c>
      <c r="Y38" s="133">
        <f t="shared" si="22"/>
        <v>0</v>
      </c>
      <c r="Z38" s="133">
        <f t="shared" si="22"/>
        <v>0</v>
      </c>
      <c r="AA38" s="133">
        <f t="shared" si="22"/>
        <v>0</v>
      </c>
      <c r="AB38" s="133">
        <f t="shared" si="22"/>
        <v>0</v>
      </c>
      <c r="AC38" s="133">
        <f t="shared" si="22"/>
        <v>0</v>
      </c>
      <c r="AD38" s="133">
        <f t="shared" si="22"/>
        <v>0</v>
      </c>
      <c r="AE38" s="133">
        <f t="shared" si="22"/>
        <v>0</v>
      </c>
      <c r="AF38" s="133">
        <f t="shared" si="22"/>
        <v>0</v>
      </c>
    </row>
    <row r="39" spans="1:32">
      <c r="A39" s="13" t="s">
        <v>76</v>
      </c>
      <c r="B39" s="133">
        <f t="shared" ref="B39:AF39" si="23">SUM(B35:B38)</f>
        <v>0</v>
      </c>
      <c r="C39" s="133">
        <f t="shared" si="23"/>
        <v>0</v>
      </c>
      <c r="D39" s="133">
        <f t="shared" si="23"/>
        <v>0</v>
      </c>
      <c r="E39" s="133">
        <f t="shared" si="23"/>
        <v>0</v>
      </c>
      <c r="F39" s="133">
        <f t="shared" si="23"/>
        <v>0</v>
      </c>
      <c r="G39" s="133">
        <f t="shared" si="23"/>
        <v>0</v>
      </c>
      <c r="H39" s="133">
        <f t="shared" si="23"/>
        <v>0</v>
      </c>
      <c r="I39" s="133">
        <f t="shared" si="23"/>
        <v>0</v>
      </c>
      <c r="J39" s="133">
        <f t="shared" si="23"/>
        <v>0</v>
      </c>
      <c r="K39" s="133">
        <f t="shared" si="23"/>
        <v>0</v>
      </c>
      <c r="L39" s="133">
        <f t="shared" si="23"/>
        <v>0</v>
      </c>
      <c r="M39" s="133">
        <f t="shared" si="23"/>
        <v>0</v>
      </c>
      <c r="N39" s="133">
        <f t="shared" si="23"/>
        <v>0</v>
      </c>
      <c r="O39" s="133">
        <f t="shared" si="23"/>
        <v>0</v>
      </c>
      <c r="P39" s="133">
        <f t="shared" si="23"/>
        <v>0</v>
      </c>
      <c r="Q39" s="133">
        <f t="shared" si="23"/>
        <v>0</v>
      </c>
      <c r="R39" s="133">
        <f t="shared" si="23"/>
        <v>0</v>
      </c>
      <c r="S39" s="133">
        <f t="shared" si="23"/>
        <v>0</v>
      </c>
      <c r="T39" s="133">
        <f t="shared" si="23"/>
        <v>0</v>
      </c>
      <c r="U39" s="133">
        <f t="shared" si="23"/>
        <v>0</v>
      </c>
      <c r="V39" s="133">
        <f t="shared" si="23"/>
        <v>0</v>
      </c>
      <c r="W39" s="133">
        <f t="shared" si="23"/>
        <v>957.05523465819203</v>
      </c>
      <c r="X39" s="133">
        <f t="shared" si="23"/>
        <v>1940.7001934746731</v>
      </c>
      <c r="Y39" s="133">
        <f t="shared" si="23"/>
        <v>2951.6901295165612</v>
      </c>
      <c r="Z39" s="133">
        <f t="shared" si="23"/>
        <v>3990.8021046698391</v>
      </c>
      <c r="AA39" s="133">
        <f t="shared" si="23"/>
        <v>5058.8356269284495</v>
      </c>
      <c r="AB39" s="133">
        <f t="shared" si="23"/>
        <v>6156.6133064625683</v>
      </c>
      <c r="AC39" s="133">
        <f t="shared" si="23"/>
        <v>7284.9815310226149</v>
      </c>
      <c r="AD39" s="133">
        <f t="shared" si="23"/>
        <v>8444.8111612521643</v>
      </c>
      <c r="AE39" s="133">
        <f t="shared" si="23"/>
        <v>9636.9982464999575</v>
      </c>
      <c r="AF39" s="133">
        <f t="shared" si="23"/>
        <v>10862.464761738767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218</v>
      </c>
      <c r="B41" s="137">
        <f>IF(B30&lt;0,0,B38+B33)</f>
        <v>1222.6680805627052</v>
      </c>
      <c r="C41" s="137">
        <f t="shared" ref="C41:AF41" si="24">IF(C30&lt;0,0,C38+C33)</f>
        <v>1883.586848069142</v>
      </c>
      <c r="D41" s="137">
        <f t="shared" si="24"/>
        <v>2167.7950524622265</v>
      </c>
      <c r="E41" s="137">
        <f t="shared" si="24"/>
        <v>2420.1975170225651</v>
      </c>
      <c r="F41" s="137">
        <f t="shared" si="24"/>
        <v>2647.0643095305904</v>
      </c>
      <c r="G41" s="137">
        <f t="shared" si="24"/>
        <v>2979.5761229092514</v>
      </c>
      <c r="H41" s="137">
        <f t="shared" si="24"/>
        <v>3158.8606773127231</v>
      </c>
      <c r="I41" s="137">
        <f t="shared" si="24"/>
        <v>3139.4484581811926</v>
      </c>
      <c r="J41" s="137">
        <f t="shared" si="24"/>
        <v>3125.8589059110291</v>
      </c>
      <c r="K41" s="137">
        <f t="shared" si="24"/>
        <v>3105.5158706816287</v>
      </c>
      <c r="L41" s="137">
        <f t="shared" si="24"/>
        <v>3090.9687625715455</v>
      </c>
      <c r="M41" s="137">
        <f t="shared" si="24"/>
        <v>3069.6406532627307</v>
      </c>
      <c r="N41" s="137">
        <f t="shared" si="24"/>
        <v>3054.0801514552636</v>
      </c>
      <c r="O41" s="137">
        <f t="shared" si="24"/>
        <v>3031.7095038946472</v>
      </c>
      <c r="P41" s="137">
        <f t="shared" si="24"/>
        <v>3015.0764700894597</v>
      </c>
      <c r="Q41" s="137">
        <f t="shared" si="24"/>
        <v>3921.2623325277341</v>
      </c>
      <c r="R41" s="137">
        <f t="shared" si="24"/>
        <v>4826.872555057108</v>
      </c>
      <c r="S41" s="137">
        <f t="shared" si="24"/>
        <v>4805.371388696849</v>
      </c>
      <c r="T41" s="137">
        <f t="shared" si="24"/>
        <v>4783.2609346855425</v>
      </c>
      <c r="U41" s="137">
        <f t="shared" si="24"/>
        <v>4760.5236293404523</v>
      </c>
      <c r="V41" s="137">
        <f t="shared" si="24"/>
        <v>1393.076706351131</v>
      </c>
      <c r="W41" s="137">
        <f t="shared" si="24"/>
        <v>0</v>
      </c>
      <c r="X41" s="137">
        <f t="shared" si="24"/>
        <v>0</v>
      </c>
      <c r="Y41" s="137">
        <f t="shared" si="24"/>
        <v>0</v>
      </c>
      <c r="Z41" s="137">
        <f t="shared" si="24"/>
        <v>0</v>
      </c>
      <c r="AA41" s="137">
        <f t="shared" si="24"/>
        <v>0</v>
      </c>
      <c r="AB41" s="137">
        <f t="shared" si="24"/>
        <v>0</v>
      </c>
      <c r="AC41" s="137">
        <f t="shared" si="24"/>
        <v>0</v>
      </c>
      <c r="AD41" s="137">
        <f t="shared" si="24"/>
        <v>0</v>
      </c>
      <c r="AE41" s="137">
        <f t="shared" si="24"/>
        <v>0</v>
      </c>
      <c r="AF41" s="137">
        <f t="shared" si="24"/>
        <v>0</v>
      </c>
    </row>
    <row r="42" spans="1:32">
      <c r="A42" s="43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92"/>
      <c r="Y42" s="92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1"/>
      <c r="Y43" s="91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topLeftCell="C1" zoomScale="75" zoomScaleNormal="75" workbookViewId="0">
      <selection activeCell="L41" sqref="L41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7" t="str">
        <f>Assumptions!A3</f>
        <v>PROJECT NAME: Calpine</v>
      </c>
    </row>
    <row r="4" spans="1:25" ht="18.75">
      <c r="A4" s="61" t="s">
        <v>195</v>
      </c>
      <c r="B4" s="219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25">
      <c r="A6" s="63" t="s">
        <v>356</v>
      </c>
      <c r="B6" s="236"/>
      <c r="C6" s="449">
        <f>Assumptions!C22</f>
        <v>27189</v>
      </c>
      <c r="D6" s="237"/>
      <c r="E6" s="237"/>
      <c r="F6" s="237"/>
      <c r="G6" s="237"/>
      <c r="H6" s="237"/>
      <c r="I6" s="238"/>
      <c r="J6" s="237"/>
      <c r="K6" s="237"/>
      <c r="L6" s="237"/>
      <c r="M6" s="237"/>
      <c r="N6" s="237"/>
      <c r="O6" s="238"/>
      <c r="P6" s="237"/>
      <c r="Q6" s="237"/>
      <c r="R6" s="237"/>
      <c r="S6" s="237"/>
      <c r="T6" s="237"/>
      <c r="U6" s="238"/>
      <c r="V6" s="237"/>
      <c r="W6" s="237"/>
      <c r="X6" s="240"/>
      <c r="Y6" s="240"/>
    </row>
    <row r="7" spans="1:25">
      <c r="A7" s="63" t="s">
        <v>202</v>
      </c>
      <c r="B7" s="236"/>
      <c r="C7" s="459">
        <f>Assumptions!H16</f>
        <v>8</v>
      </c>
      <c r="D7" s="237"/>
      <c r="E7" s="237"/>
      <c r="F7" s="237"/>
      <c r="G7" s="237"/>
      <c r="H7" s="237"/>
      <c r="I7" s="238"/>
      <c r="J7" s="237"/>
      <c r="K7" s="237"/>
      <c r="L7" s="237"/>
      <c r="M7" s="237"/>
      <c r="N7" s="237"/>
      <c r="O7" s="238"/>
      <c r="P7" s="237"/>
      <c r="Q7" s="237"/>
      <c r="R7" s="237"/>
      <c r="S7" s="237"/>
      <c r="T7" s="237"/>
      <c r="U7" s="238"/>
      <c r="V7" s="237"/>
      <c r="W7" s="237"/>
      <c r="X7" s="240"/>
      <c r="Y7" s="240"/>
    </row>
    <row r="8" spans="1:25">
      <c r="A8" s="63" t="s">
        <v>200</v>
      </c>
      <c r="B8" s="236"/>
      <c r="C8" s="532">
        <f>Assumptions!H39</f>
        <v>8.5000000000000006E-2</v>
      </c>
      <c r="D8" s="245">
        <f>C8/360</f>
        <v>2.3611111111111112E-4</v>
      </c>
      <c r="E8" s="237"/>
      <c r="F8" s="237"/>
      <c r="G8" s="237"/>
      <c r="H8" s="237"/>
      <c r="I8" s="238"/>
      <c r="J8" s="237"/>
      <c r="K8" s="237"/>
      <c r="L8" s="237"/>
      <c r="M8" s="237"/>
      <c r="N8" s="237"/>
      <c r="O8" s="238"/>
      <c r="P8" s="237"/>
      <c r="Q8" s="237"/>
      <c r="R8" s="237"/>
      <c r="S8" s="237"/>
      <c r="T8" s="237"/>
      <c r="U8" s="238"/>
      <c r="V8" s="237"/>
      <c r="W8" s="237"/>
      <c r="X8" s="240"/>
      <c r="Y8" s="240"/>
    </row>
    <row r="9" spans="1:25">
      <c r="A9" s="63"/>
      <c r="B9" s="236"/>
      <c r="C9" s="244" t="s">
        <v>201</v>
      </c>
      <c r="D9" s="244" t="s">
        <v>237</v>
      </c>
      <c r="E9" s="237"/>
      <c r="F9" s="237"/>
      <c r="G9" s="237"/>
      <c r="H9" s="237"/>
      <c r="I9" s="238"/>
      <c r="J9" s="237"/>
      <c r="K9" s="237"/>
      <c r="L9" s="237"/>
      <c r="M9" s="237"/>
      <c r="N9" s="237"/>
      <c r="O9" s="238"/>
      <c r="P9" s="237"/>
      <c r="Q9" s="237"/>
      <c r="R9" s="237"/>
      <c r="S9" s="237"/>
      <c r="T9" s="237"/>
      <c r="U9" s="238"/>
      <c r="V9" s="237"/>
      <c r="W9" s="237"/>
      <c r="X9" s="240"/>
      <c r="Y9" s="240"/>
    </row>
    <row r="10" spans="1:25">
      <c r="A10" s="63"/>
      <c r="B10" s="236"/>
      <c r="C10" s="244"/>
      <c r="D10" s="244"/>
      <c r="E10" s="237"/>
      <c r="F10" s="237"/>
      <c r="G10" s="237"/>
      <c r="H10" s="237"/>
      <c r="I10" s="238"/>
      <c r="J10" s="237"/>
      <c r="K10" s="237"/>
      <c r="L10" s="237"/>
      <c r="M10" s="237"/>
      <c r="N10" s="237"/>
      <c r="O10" s="238"/>
      <c r="P10" s="237"/>
      <c r="Q10" s="237"/>
      <c r="R10" s="237"/>
      <c r="S10" s="237"/>
      <c r="T10" s="237"/>
      <c r="U10" s="238"/>
      <c r="V10" s="237"/>
      <c r="W10" s="237"/>
      <c r="X10" s="240"/>
      <c r="Y10" s="240"/>
    </row>
    <row r="11" spans="1:25">
      <c r="A11" s="63"/>
      <c r="B11" s="236"/>
      <c r="C11" s="244"/>
      <c r="D11" s="244"/>
      <c r="E11" s="237"/>
      <c r="F11" s="237"/>
      <c r="G11" s="237"/>
      <c r="H11" s="237"/>
      <c r="I11" s="238"/>
      <c r="J11" s="237"/>
      <c r="K11" s="237"/>
      <c r="L11" s="237"/>
      <c r="M11" s="237"/>
      <c r="N11" s="237"/>
      <c r="O11" s="238"/>
      <c r="P11" s="237"/>
      <c r="Q11" s="237"/>
      <c r="R11" s="237"/>
      <c r="S11" s="237"/>
      <c r="T11" s="237"/>
      <c r="U11" s="238"/>
      <c r="V11" s="237"/>
      <c r="W11" s="237"/>
      <c r="X11" s="240"/>
      <c r="Y11" s="240"/>
    </row>
    <row r="12" spans="1:25">
      <c r="A12" s="5"/>
      <c r="B12" s="233"/>
      <c r="C12" s="233"/>
      <c r="D12" s="234" t="s">
        <v>189</v>
      </c>
      <c r="E12" s="232" t="s">
        <v>196</v>
      </c>
      <c r="F12" s="233"/>
      <c r="G12" s="233"/>
      <c r="H12" s="233"/>
      <c r="I12" s="233"/>
      <c r="J12" s="228"/>
    </row>
    <row r="13" spans="1:25">
      <c r="A13" s="232" t="s">
        <v>186</v>
      </c>
      <c r="B13" s="5"/>
      <c r="C13" s="5"/>
      <c r="D13" s="234" t="s">
        <v>197</v>
      </c>
      <c r="E13" s="234" t="s">
        <v>190</v>
      </c>
      <c r="F13" s="234" t="s">
        <v>191</v>
      </c>
      <c r="G13" s="239" t="s">
        <v>192</v>
      </c>
      <c r="H13" s="234" t="s">
        <v>193</v>
      </c>
      <c r="I13" s="234" t="s">
        <v>194</v>
      </c>
      <c r="J13" s="66"/>
    </row>
    <row r="14" spans="1:25">
      <c r="A14" s="229" t="s">
        <v>187</v>
      </c>
      <c r="B14" s="229" t="s">
        <v>135</v>
      </c>
      <c r="C14" s="229" t="s">
        <v>188</v>
      </c>
      <c r="D14" s="229" t="s">
        <v>199</v>
      </c>
      <c r="E14" s="229" t="s">
        <v>199</v>
      </c>
      <c r="F14" s="229" t="s">
        <v>199</v>
      </c>
      <c r="G14" s="229" t="s">
        <v>199</v>
      </c>
      <c r="H14" s="229" t="s">
        <v>199</v>
      </c>
      <c r="I14" s="229" t="s">
        <v>199</v>
      </c>
      <c r="J14" s="66"/>
    </row>
    <row r="15" spans="1:25">
      <c r="A15" s="230">
        <v>1</v>
      </c>
      <c r="B15" s="231">
        <v>36617</v>
      </c>
      <c r="C15" s="272">
        <f>HLOOKUP(Assumptions!$H$12,IDC!$H$40:$L$56,2+F42)</f>
        <v>0.12</v>
      </c>
      <c r="D15" s="241">
        <f>D59*Assumptions!H12</f>
        <v>57041.798429326831</v>
      </c>
      <c r="E15" s="242">
        <f t="shared" ref="E15:E33" si="0">C15*$C$6</f>
        <v>3262.68</v>
      </c>
      <c r="F15" s="242">
        <f t="shared" ref="F15:F33" si="1">+E15+D15</f>
        <v>60304.478429326831</v>
      </c>
      <c r="G15" s="242">
        <f>F15+H15</f>
        <v>60304.478429326831</v>
      </c>
      <c r="H15" s="242">
        <v>0</v>
      </c>
      <c r="I15" s="242">
        <v>0</v>
      </c>
      <c r="K15" s="447"/>
    </row>
    <row r="16" spans="1:25">
      <c r="A16" s="230">
        <f t="shared" ref="A16:A33" si="2">A15+1</f>
        <v>2</v>
      </c>
      <c r="B16" s="231">
        <v>36647</v>
      </c>
      <c r="C16" s="272">
        <f>HLOOKUP(Assumptions!$H$12,IDC!$H$40:$L$56,2+F43)</f>
        <v>0.12</v>
      </c>
      <c r="D16" s="241">
        <v>0</v>
      </c>
      <c r="E16" s="242">
        <f t="shared" si="0"/>
        <v>3262.68</v>
      </c>
      <c r="F16" s="242">
        <f t="shared" si="1"/>
        <v>3262.68</v>
      </c>
      <c r="G16" s="242">
        <f t="shared" ref="G16:G33" si="3">F16+G15+H16</f>
        <v>63994.31515153456</v>
      </c>
      <c r="H16" s="242">
        <f>IF(A16&gt;$C$7+1,0,G15*(B16-B15)*$D$8)</f>
        <v>427.15672220773178</v>
      </c>
      <c r="I16" s="242">
        <f>IF(A16&lt;=$C$7+1,H16+I15,I15)</f>
        <v>427.15672220773178</v>
      </c>
      <c r="K16" s="447"/>
    </row>
    <row r="17" spans="1:11">
      <c r="A17" s="230">
        <f t="shared" si="2"/>
        <v>3</v>
      </c>
      <c r="B17" s="231">
        <v>36678</v>
      </c>
      <c r="C17" s="272">
        <f>HLOOKUP(Assumptions!$H$12,IDC!$H$40:$L$56,2+F44)</f>
        <v>0.1</v>
      </c>
      <c r="D17" s="241">
        <v>0</v>
      </c>
      <c r="E17" s="242">
        <f t="shared" si="0"/>
        <v>2718.9</v>
      </c>
      <c r="F17" s="242">
        <f t="shared" si="1"/>
        <v>2718.9</v>
      </c>
      <c r="G17" s="242">
        <f t="shared" si="3"/>
        <v>67181.617986046491</v>
      </c>
      <c r="H17" s="242">
        <f t="shared" ref="H17:H33" si="4">IF(A17&gt;$C$7+1,0,G16*(B17-B16)*$D$8)</f>
        <v>468.40283451192659</v>
      </c>
      <c r="I17" s="242">
        <f t="shared" ref="I17:I33" si="5">IF(A17&lt;=$C$7+1,H17+I16,I16)</f>
        <v>895.5595567196583</v>
      </c>
      <c r="K17" s="447"/>
    </row>
    <row r="18" spans="1:11">
      <c r="A18" s="230">
        <f t="shared" si="2"/>
        <v>4</v>
      </c>
      <c r="B18" s="231">
        <v>36708</v>
      </c>
      <c r="C18" s="272">
        <f>HLOOKUP(Assumptions!$H$12,IDC!$H$40:$L$56,2+F45)</f>
        <v>0.13</v>
      </c>
      <c r="D18" s="241">
        <v>0</v>
      </c>
      <c r="E18" s="242">
        <f t="shared" si="0"/>
        <v>3534.57</v>
      </c>
      <c r="F18" s="242">
        <f t="shared" si="1"/>
        <v>3534.57</v>
      </c>
      <c r="G18" s="242">
        <f t="shared" si="3"/>
        <v>71192.057780114323</v>
      </c>
      <c r="H18" s="242">
        <f t="shared" si="4"/>
        <v>475.86979406782933</v>
      </c>
      <c r="I18" s="242">
        <f t="shared" si="5"/>
        <v>1371.4293507874877</v>
      </c>
      <c r="K18" s="447"/>
    </row>
    <row r="19" spans="1:11">
      <c r="A19" s="230">
        <f t="shared" si="2"/>
        <v>5</v>
      </c>
      <c r="B19" s="231">
        <v>36739</v>
      </c>
      <c r="C19" s="272">
        <f>HLOOKUP(Assumptions!$H$12,IDC!$H$40:$L$56,2+F46)</f>
        <v>0.13</v>
      </c>
      <c r="D19" s="241">
        <v>0</v>
      </c>
      <c r="E19" s="242">
        <f t="shared" si="0"/>
        <v>3534.57</v>
      </c>
      <c r="F19" s="242">
        <f t="shared" si="1"/>
        <v>3534.57</v>
      </c>
      <c r="G19" s="242">
        <f t="shared" si="3"/>
        <v>75247.71409192156</v>
      </c>
      <c r="H19" s="242">
        <f t="shared" si="4"/>
        <v>521.08631180722568</v>
      </c>
      <c r="I19" s="242">
        <f t="shared" si="5"/>
        <v>1892.5156625947134</v>
      </c>
      <c r="K19" s="447"/>
    </row>
    <row r="20" spans="1:11">
      <c r="A20" s="230">
        <f t="shared" si="2"/>
        <v>6</v>
      </c>
      <c r="B20" s="231">
        <v>36770</v>
      </c>
      <c r="C20" s="272">
        <f>HLOOKUP(Assumptions!$H$12,IDC!$H$40:$L$56,2+F47)</f>
        <v>0.11</v>
      </c>
      <c r="D20" s="241">
        <v>0</v>
      </c>
      <c r="E20" s="242">
        <f t="shared" si="0"/>
        <v>2990.79</v>
      </c>
      <c r="F20" s="242">
        <f t="shared" si="1"/>
        <v>2990.79</v>
      </c>
      <c r="G20" s="242">
        <f t="shared" si="3"/>
        <v>78789.275554788808</v>
      </c>
      <c r="H20" s="242">
        <f t="shared" si="4"/>
        <v>550.77146286725917</v>
      </c>
      <c r="I20" s="242">
        <f t="shared" si="5"/>
        <v>2443.2871254619727</v>
      </c>
      <c r="K20" s="447"/>
    </row>
    <row r="21" spans="1:11">
      <c r="A21" s="230">
        <f t="shared" si="2"/>
        <v>7</v>
      </c>
      <c r="B21" s="231">
        <v>36800</v>
      </c>
      <c r="C21" s="272">
        <f>HLOOKUP(Assumptions!$H$12,IDC!$H$40:$L$56,2+F48)</f>
        <v>0.14000000000000001</v>
      </c>
      <c r="D21" s="241">
        <v>0</v>
      </c>
      <c r="E21" s="242">
        <f t="shared" si="0"/>
        <v>3806.4600000000005</v>
      </c>
      <c r="F21" s="242">
        <f t="shared" si="1"/>
        <v>3806.4600000000005</v>
      </c>
      <c r="G21" s="242">
        <f t="shared" si="3"/>
        <v>83153.826256635235</v>
      </c>
      <c r="H21" s="242">
        <f t="shared" si="4"/>
        <v>558.09070184642076</v>
      </c>
      <c r="I21" s="242">
        <f t="shared" si="5"/>
        <v>3001.3778273083935</v>
      </c>
      <c r="K21" s="447"/>
    </row>
    <row r="22" spans="1:11">
      <c r="A22" s="230">
        <f t="shared" si="2"/>
        <v>8</v>
      </c>
      <c r="B22" s="231">
        <v>36831</v>
      </c>
      <c r="C22" s="272">
        <f>HLOOKUP(Assumptions!$H$12,IDC!$H$40:$L$56,2+F49)</f>
        <v>0.15</v>
      </c>
      <c r="D22" s="241">
        <v>0</v>
      </c>
      <c r="E22" s="242">
        <f t="shared" si="0"/>
        <v>4078.35</v>
      </c>
      <c r="F22" s="242">
        <f t="shared" si="1"/>
        <v>4078.35</v>
      </c>
      <c r="G22" s="242">
        <f t="shared" si="3"/>
        <v>87840.816068263666</v>
      </c>
      <c r="H22" s="242">
        <f t="shared" si="4"/>
        <v>608.63981162842742</v>
      </c>
      <c r="I22" s="242">
        <f t="shared" si="5"/>
        <v>3610.0176389368207</v>
      </c>
      <c r="K22" s="447"/>
    </row>
    <row r="23" spans="1:11">
      <c r="A23" s="230">
        <f t="shared" si="2"/>
        <v>9</v>
      </c>
      <c r="B23" s="231">
        <v>36861</v>
      </c>
      <c r="C23" s="272">
        <f>HLOOKUP(Assumptions!$H$12,IDC!$H$40:$L$56,2+F50)</f>
        <v>0</v>
      </c>
      <c r="D23" s="241">
        <v>0</v>
      </c>
      <c r="E23" s="242">
        <f t="shared" si="0"/>
        <v>0</v>
      </c>
      <c r="F23" s="242">
        <f t="shared" si="1"/>
        <v>0</v>
      </c>
      <c r="G23" s="242">
        <f t="shared" si="3"/>
        <v>88463.021848747201</v>
      </c>
      <c r="H23" s="242">
        <f t="shared" si="4"/>
        <v>622.20578048353434</v>
      </c>
      <c r="I23" s="242">
        <f t="shared" si="5"/>
        <v>4232.2234194203547</v>
      </c>
      <c r="K23" s="447"/>
    </row>
    <row r="24" spans="1:11">
      <c r="A24" s="230">
        <f t="shared" si="2"/>
        <v>10</v>
      </c>
      <c r="B24" s="231">
        <v>36892</v>
      </c>
      <c r="C24" s="272">
        <f>HLOOKUP(Assumptions!$H$12,IDC!$H$40:$L$56,2+F51)</f>
        <v>0</v>
      </c>
      <c r="D24" s="241">
        <v>0</v>
      </c>
      <c r="E24" s="242">
        <f t="shared" si="0"/>
        <v>0</v>
      </c>
      <c r="F24" s="242">
        <f t="shared" si="1"/>
        <v>0</v>
      </c>
      <c r="G24" s="242">
        <f t="shared" si="3"/>
        <v>88463.021848747201</v>
      </c>
      <c r="H24" s="242">
        <f t="shared" si="4"/>
        <v>0</v>
      </c>
      <c r="I24" s="242">
        <f t="shared" si="5"/>
        <v>4232.2234194203547</v>
      </c>
      <c r="K24" s="447"/>
    </row>
    <row r="25" spans="1:11">
      <c r="A25" s="230">
        <f t="shared" si="2"/>
        <v>11</v>
      </c>
      <c r="B25" s="231">
        <v>36923</v>
      </c>
      <c r="C25" s="272">
        <f>HLOOKUP(Assumptions!$H$12,IDC!$H$40:$L$56,2+F52)</f>
        <v>0</v>
      </c>
      <c r="D25" s="241">
        <v>0</v>
      </c>
      <c r="E25" s="242">
        <f t="shared" si="0"/>
        <v>0</v>
      </c>
      <c r="F25" s="242">
        <f t="shared" si="1"/>
        <v>0</v>
      </c>
      <c r="G25" s="242">
        <f t="shared" si="3"/>
        <v>88463.021848747201</v>
      </c>
      <c r="H25" s="242">
        <f t="shared" si="4"/>
        <v>0</v>
      </c>
      <c r="I25" s="242">
        <f t="shared" si="5"/>
        <v>4232.2234194203547</v>
      </c>
      <c r="K25" s="447"/>
    </row>
    <row r="26" spans="1:11">
      <c r="A26" s="230">
        <f t="shared" si="2"/>
        <v>12</v>
      </c>
      <c r="B26" s="231">
        <v>36951</v>
      </c>
      <c r="C26" s="272">
        <f>HLOOKUP(Assumptions!$H$12,IDC!$H$40:$L$56,2+F53)</f>
        <v>0</v>
      </c>
      <c r="D26" s="241">
        <v>0</v>
      </c>
      <c r="E26" s="242">
        <f t="shared" si="0"/>
        <v>0</v>
      </c>
      <c r="F26" s="242">
        <f t="shared" si="1"/>
        <v>0</v>
      </c>
      <c r="G26" s="242">
        <f t="shared" si="3"/>
        <v>88463.021848747201</v>
      </c>
      <c r="H26" s="242">
        <f t="shared" si="4"/>
        <v>0</v>
      </c>
      <c r="I26" s="242">
        <f t="shared" si="5"/>
        <v>4232.2234194203547</v>
      </c>
      <c r="K26" s="447"/>
    </row>
    <row r="27" spans="1:11">
      <c r="A27" s="230">
        <f t="shared" si="2"/>
        <v>13</v>
      </c>
      <c r="B27" s="231">
        <v>36982</v>
      </c>
      <c r="C27" s="272">
        <f>HLOOKUP(Assumptions!$H$12,IDC!$H$40:$L$56,2+F54)</f>
        <v>0</v>
      </c>
      <c r="D27" s="241">
        <v>0</v>
      </c>
      <c r="E27" s="242">
        <f t="shared" si="0"/>
        <v>0</v>
      </c>
      <c r="F27" s="242">
        <f t="shared" si="1"/>
        <v>0</v>
      </c>
      <c r="G27" s="242">
        <f t="shared" si="3"/>
        <v>88463.021848747201</v>
      </c>
      <c r="H27" s="242">
        <f t="shared" si="4"/>
        <v>0</v>
      </c>
      <c r="I27" s="242">
        <f t="shared" si="5"/>
        <v>4232.2234194203547</v>
      </c>
      <c r="K27" s="447"/>
    </row>
    <row r="28" spans="1:11">
      <c r="A28" s="230">
        <f t="shared" si="2"/>
        <v>14</v>
      </c>
      <c r="B28" s="231">
        <v>37012</v>
      </c>
      <c r="C28" s="272">
        <f>HLOOKUP(Assumptions!$H$12,IDC!$H$40:$L$56,2+F55)</f>
        <v>0</v>
      </c>
      <c r="D28" s="241">
        <v>0</v>
      </c>
      <c r="E28" s="242">
        <f t="shared" si="0"/>
        <v>0</v>
      </c>
      <c r="F28" s="242">
        <f t="shared" si="1"/>
        <v>0</v>
      </c>
      <c r="G28" s="242">
        <f t="shared" si="3"/>
        <v>88463.021848747201</v>
      </c>
      <c r="H28" s="242">
        <f t="shared" si="4"/>
        <v>0</v>
      </c>
      <c r="I28" s="242">
        <f t="shared" si="5"/>
        <v>4232.2234194203547</v>
      </c>
      <c r="K28" s="447"/>
    </row>
    <row r="29" spans="1:11">
      <c r="A29" s="230">
        <f t="shared" si="2"/>
        <v>15</v>
      </c>
      <c r="B29" s="231">
        <v>37043</v>
      </c>
      <c r="C29" s="272">
        <f>HLOOKUP(Assumptions!$H$12,IDC!$H$40:$L$56,2+F56)</f>
        <v>0</v>
      </c>
      <c r="D29" s="241">
        <v>0</v>
      </c>
      <c r="E29" s="242">
        <f t="shared" si="0"/>
        <v>0</v>
      </c>
      <c r="F29" s="242">
        <f t="shared" si="1"/>
        <v>0</v>
      </c>
      <c r="G29" s="242">
        <f t="shared" si="3"/>
        <v>88463.021848747201</v>
      </c>
      <c r="H29" s="242">
        <f t="shared" si="4"/>
        <v>0</v>
      </c>
      <c r="I29" s="242">
        <f t="shared" si="5"/>
        <v>4232.2234194203547</v>
      </c>
      <c r="K29" s="447"/>
    </row>
    <row r="30" spans="1:11">
      <c r="A30" s="230">
        <f t="shared" si="2"/>
        <v>16</v>
      </c>
      <c r="B30" s="231">
        <v>37073</v>
      </c>
      <c r="C30" s="272">
        <v>0</v>
      </c>
      <c r="D30" s="241">
        <v>0</v>
      </c>
      <c r="E30" s="242">
        <f t="shared" si="0"/>
        <v>0</v>
      </c>
      <c r="F30" s="242">
        <f t="shared" si="1"/>
        <v>0</v>
      </c>
      <c r="G30" s="242">
        <f t="shared" si="3"/>
        <v>88463.021848747201</v>
      </c>
      <c r="H30" s="242">
        <f t="shared" si="4"/>
        <v>0</v>
      </c>
      <c r="I30" s="242">
        <f t="shared" si="5"/>
        <v>4232.2234194203547</v>
      </c>
      <c r="K30" s="447"/>
    </row>
    <row r="31" spans="1:11">
      <c r="A31" s="230">
        <f t="shared" si="2"/>
        <v>17</v>
      </c>
      <c r="B31" s="231">
        <v>37104</v>
      </c>
      <c r="C31" s="272">
        <v>0</v>
      </c>
      <c r="D31" s="241">
        <v>0</v>
      </c>
      <c r="E31" s="242">
        <f t="shared" si="0"/>
        <v>0</v>
      </c>
      <c r="F31" s="242">
        <f t="shared" si="1"/>
        <v>0</v>
      </c>
      <c r="G31" s="242">
        <f t="shared" si="3"/>
        <v>88463.021848747201</v>
      </c>
      <c r="H31" s="242">
        <f t="shared" si="4"/>
        <v>0</v>
      </c>
      <c r="I31" s="242">
        <f t="shared" si="5"/>
        <v>4232.2234194203547</v>
      </c>
      <c r="K31" s="447"/>
    </row>
    <row r="32" spans="1:11">
      <c r="A32" s="230">
        <f t="shared" si="2"/>
        <v>18</v>
      </c>
      <c r="B32" s="231">
        <v>37135</v>
      </c>
      <c r="C32" s="272">
        <v>0</v>
      </c>
      <c r="D32" s="241">
        <v>0</v>
      </c>
      <c r="E32" s="242">
        <f t="shared" si="0"/>
        <v>0</v>
      </c>
      <c r="F32" s="242">
        <f t="shared" si="1"/>
        <v>0</v>
      </c>
      <c r="G32" s="242">
        <f t="shared" si="3"/>
        <v>88463.021848747201</v>
      </c>
      <c r="H32" s="242">
        <f t="shared" si="4"/>
        <v>0</v>
      </c>
      <c r="I32" s="242">
        <f t="shared" si="5"/>
        <v>4232.2234194203547</v>
      </c>
      <c r="K32" s="447"/>
    </row>
    <row r="33" spans="1:12">
      <c r="A33" s="230">
        <f t="shared" si="2"/>
        <v>19</v>
      </c>
      <c r="B33" s="231">
        <v>37165</v>
      </c>
      <c r="C33" s="446">
        <v>0</v>
      </c>
      <c r="D33" s="246">
        <v>0</v>
      </c>
      <c r="E33" s="247">
        <f t="shared" si="0"/>
        <v>0</v>
      </c>
      <c r="F33" s="247">
        <f t="shared" si="1"/>
        <v>0</v>
      </c>
      <c r="G33" s="247">
        <f t="shared" si="3"/>
        <v>88463.021848747201</v>
      </c>
      <c r="H33" s="247">
        <f t="shared" si="4"/>
        <v>0</v>
      </c>
      <c r="I33" s="247">
        <f t="shared" si="5"/>
        <v>4232.2234194203547</v>
      </c>
      <c r="K33" s="447"/>
    </row>
    <row r="34" spans="1:12">
      <c r="C34" s="235">
        <f>SUM(C15:C33)</f>
        <v>1</v>
      </c>
      <c r="D34" s="243">
        <f>SUM(D15:D33)</f>
        <v>57041.798429326831</v>
      </c>
      <c r="E34" s="243">
        <f>SUM(E15:E33)</f>
        <v>27188.999999999996</v>
      </c>
      <c r="F34" s="243">
        <f>SUM(F15:F33)</f>
        <v>84230.798429326853</v>
      </c>
      <c r="G34" s="18"/>
      <c r="H34" s="243">
        <f>SUM(H15:H33)</f>
        <v>4232.2234194203547</v>
      </c>
      <c r="I34" s="243"/>
    </row>
    <row r="38" spans="1:12" ht="18.75">
      <c r="A38" s="61" t="s">
        <v>233</v>
      </c>
      <c r="B38" s="288"/>
      <c r="F38"/>
      <c r="G38"/>
      <c r="H38"/>
      <c r="I38"/>
      <c r="J38"/>
      <c r="K38"/>
      <c r="L38"/>
    </row>
    <row r="39" spans="1:12" ht="13.5" thickBot="1">
      <c r="F39" s="411" t="s">
        <v>434</v>
      </c>
    </row>
    <row r="40" spans="1:12">
      <c r="F40" s="429"/>
      <c r="G40" s="425" t="s">
        <v>342</v>
      </c>
      <c r="H40" s="425">
        <v>2</v>
      </c>
      <c r="I40" s="425">
        <v>3</v>
      </c>
      <c r="J40" s="548">
        <v>4</v>
      </c>
      <c r="K40" s="425">
        <v>5</v>
      </c>
      <c r="L40" s="426">
        <v>6</v>
      </c>
    </row>
    <row r="41" spans="1:12" ht="13.5" thickBot="1">
      <c r="A41" s="232" t="s">
        <v>343</v>
      </c>
      <c r="B41" s="232" t="s">
        <v>345</v>
      </c>
      <c r="C41" s="232" t="s">
        <v>347</v>
      </c>
      <c r="D41" s="232" t="s">
        <v>232</v>
      </c>
      <c r="F41" s="430" t="s">
        <v>187</v>
      </c>
      <c r="G41" s="427" t="s">
        <v>352</v>
      </c>
      <c r="H41" s="427">
        <v>7</v>
      </c>
      <c r="I41" s="427">
        <v>7.5</v>
      </c>
      <c r="J41" s="549">
        <v>8</v>
      </c>
      <c r="K41" s="427">
        <v>8.5</v>
      </c>
      <c r="L41" s="428">
        <v>9</v>
      </c>
    </row>
    <row r="42" spans="1:12" ht="13.5" thickBot="1">
      <c r="A42" s="232" t="s">
        <v>344</v>
      </c>
      <c r="B42" s="232" t="s">
        <v>346</v>
      </c>
      <c r="C42" s="232" t="s">
        <v>348</v>
      </c>
      <c r="D42" s="232" t="s">
        <v>349</v>
      </c>
      <c r="F42" s="431">
        <v>1</v>
      </c>
      <c r="G42" s="417"/>
      <c r="H42" s="529">
        <v>0.1</v>
      </c>
      <c r="I42" s="529">
        <v>0.1</v>
      </c>
      <c r="J42" s="550">
        <v>0.12</v>
      </c>
      <c r="K42" s="418">
        <v>0.1</v>
      </c>
      <c r="L42" s="419">
        <v>0.1</v>
      </c>
    </row>
    <row r="43" spans="1:12">
      <c r="A43" s="435" t="s">
        <v>231</v>
      </c>
      <c r="B43" s="436">
        <v>3</v>
      </c>
      <c r="C43" s="437">
        <v>36737</v>
      </c>
      <c r="D43" s="438">
        <v>36829</v>
      </c>
      <c r="F43" s="432">
        <v>2</v>
      </c>
      <c r="G43" s="181"/>
      <c r="H43" s="530">
        <v>0.04</v>
      </c>
      <c r="I43" s="530">
        <v>0.04</v>
      </c>
      <c r="J43" s="551">
        <v>0.12</v>
      </c>
      <c r="K43" s="420">
        <v>0.04</v>
      </c>
      <c r="L43" s="421">
        <v>0.04</v>
      </c>
    </row>
    <row r="44" spans="1:12">
      <c r="A44" s="439" t="s">
        <v>230</v>
      </c>
      <c r="B44" s="433">
        <v>3</v>
      </c>
      <c r="C44" s="434">
        <v>36768</v>
      </c>
      <c r="D44" s="440">
        <v>36829</v>
      </c>
      <c r="F44" s="432">
        <v>3</v>
      </c>
      <c r="G44" s="181"/>
      <c r="H44" s="530">
        <v>0.08</v>
      </c>
      <c r="I44" s="530">
        <v>0.08</v>
      </c>
      <c r="J44" s="551">
        <v>0.1</v>
      </c>
      <c r="K44" s="420">
        <v>0.08</v>
      </c>
      <c r="L44" s="421">
        <v>0.08</v>
      </c>
    </row>
    <row r="45" spans="1:12">
      <c r="A45" s="439" t="s">
        <v>229</v>
      </c>
      <c r="B45" s="433">
        <v>2</v>
      </c>
      <c r="C45" s="434">
        <v>36799</v>
      </c>
      <c r="D45" s="440">
        <v>36829</v>
      </c>
      <c r="F45" s="432">
        <v>4</v>
      </c>
      <c r="G45" s="181"/>
      <c r="H45" s="530">
        <v>0.12</v>
      </c>
      <c r="I45" s="530">
        <v>0.12</v>
      </c>
      <c r="J45" s="551">
        <v>0.13</v>
      </c>
      <c r="K45" s="420">
        <v>0.1</v>
      </c>
      <c r="L45" s="421">
        <v>0.1</v>
      </c>
    </row>
    <row r="46" spans="1:12">
      <c r="A46" s="439" t="s">
        <v>228</v>
      </c>
      <c r="B46" s="433">
        <v>3</v>
      </c>
      <c r="C46" s="434">
        <v>36829</v>
      </c>
      <c r="D46" s="440">
        <v>36829</v>
      </c>
      <c r="F46" s="432">
        <v>5</v>
      </c>
      <c r="G46" s="181"/>
      <c r="H46" s="530">
        <v>0.12</v>
      </c>
      <c r="I46" s="530">
        <v>0.12</v>
      </c>
      <c r="J46" s="551">
        <v>0.13</v>
      </c>
      <c r="K46" s="420">
        <v>0.11</v>
      </c>
      <c r="L46" s="421">
        <v>0.1</v>
      </c>
    </row>
    <row r="47" spans="1:12">
      <c r="A47" s="439" t="s">
        <v>227</v>
      </c>
      <c r="B47" s="433">
        <v>2</v>
      </c>
      <c r="C47" s="434">
        <v>36860</v>
      </c>
      <c r="D47" s="440">
        <v>36860</v>
      </c>
      <c r="F47" s="432">
        <v>6</v>
      </c>
      <c r="G47" s="181"/>
      <c r="H47" s="530">
        <v>0.12</v>
      </c>
      <c r="I47" s="530">
        <v>0.12</v>
      </c>
      <c r="J47" s="551">
        <v>0.11</v>
      </c>
      <c r="K47" s="420">
        <v>0.11</v>
      </c>
      <c r="L47" s="421">
        <v>0.1</v>
      </c>
    </row>
    <row r="48" spans="1:12">
      <c r="A48" s="441" t="s">
        <v>226</v>
      </c>
      <c r="B48" s="433">
        <v>2</v>
      </c>
      <c r="C48" s="434">
        <v>36890</v>
      </c>
      <c r="D48" s="440">
        <v>36890</v>
      </c>
      <c r="F48" s="432">
        <v>7</v>
      </c>
      <c r="G48" s="181"/>
      <c r="H48" s="530">
        <v>0.1</v>
      </c>
      <c r="I48" s="530">
        <v>0.1</v>
      </c>
      <c r="J48" s="551">
        <v>0.14000000000000001</v>
      </c>
      <c r="K48" s="420">
        <v>0.1</v>
      </c>
      <c r="L48" s="421">
        <v>0.08</v>
      </c>
    </row>
    <row r="49" spans="1:12">
      <c r="A49" s="441" t="s">
        <v>225</v>
      </c>
      <c r="B49" s="433">
        <v>3</v>
      </c>
      <c r="C49" s="434">
        <v>36555</v>
      </c>
      <c r="D49" s="440">
        <v>36555</v>
      </c>
      <c r="F49" s="432">
        <v>8</v>
      </c>
      <c r="G49" s="181"/>
      <c r="H49" s="530">
        <v>0.08</v>
      </c>
      <c r="I49" s="530">
        <v>0.08</v>
      </c>
      <c r="J49" s="551">
        <v>0.15</v>
      </c>
      <c r="K49" s="420">
        <v>0.08</v>
      </c>
      <c r="L49" s="421">
        <v>0.08</v>
      </c>
    </row>
    <row r="50" spans="1:12">
      <c r="A50" s="441" t="s">
        <v>224</v>
      </c>
      <c r="B50" s="433">
        <v>2</v>
      </c>
      <c r="C50" s="434">
        <v>36950</v>
      </c>
      <c r="D50" s="440">
        <v>36950</v>
      </c>
      <c r="F50" s="432">
        <v>9</v>
      </c>
      <c r="G50" s="181"/>
      <c r="H50" s="530">
        <v>0.06</v>
      </c>
      <c r="I50" s="530">
        <v>0.06</v>
      </c>
      <c r="J50" s="551">
        <v>0</v>
      </c>
      <c r="K50" s="420">
        <v>0.06</v>
      </c>
      <c r="L50" s="421">
        <v>0.06</v>
      </c>
    </row>
    <row r="51" spans="1:12">
      <c r="A51" s="441" t="s">
        <v>223</v>
      </c>
      <c r="B51" s="433">
        <v>2</v>
      </c>
      <c r="C51" s="434">
        <v>36980</v>
      </c>
      <c r="D51" s="440">
        <v>36980</v>
      </c>
      <c r="F51" s="432">
        <v>10</v>
      </c>
      <c r="G51" s="181"/>
      <c r="H51" s="530">
        <v>0.06</v>
      </c>
      <c r="I51" s="530">
        <v>0.06</v>
      </c>
      <c r="J51" s="551">
        <v>0</v>
      </c>
      <c r="K51" s="420">
        <v>0.06</v>
      </c>
      <c r="L51" s="421">
        <v>0.06</v>
      </c>
    </row>
    <row r="52" spans="1:12" ht="13.5" thickBot="1">
      <c r="A52" s="442" t="s">
        <v>222</v>
      </c>
      <c r="B52" s="443">
        <v>2</v>
      </c>
      <c r="C52" s="444">
        <v>37011</v>
      </c>
      <c r="D52" s="445">
        <v>37011</v>
      </c>
      <c r="F52" s="432">
        <v>11</v>
      </c>
      <c r="G52" s="181"/>
      <c r="H52" s="530">
        <v>0.03</v>
      </c>
      <c r="I52" s="530">
        <v>0.03</v>
      </c>
      <c r="J52" s="551">
        <v>0</v>
      </c>
      <c r="K52" s="420">
        <v>0.03</v>
      </c>
      <c r="L52" s="421">
        <v>0.03</v>
      </c>
    </row>
    <row r="53" spans="1:12">
      <c r="F53" s="432">
        <v>12</v>
      </c>
      <c r="G53" s="181"/>
      <c r="H53" s="530">
        <v>0.04</v>
      </c>
      <c r="I53" s="530">
        <v>0.04</v>
      </c>
      <c r="J53" s="551">
        <v>0</v>
      </c>
      <c r="K53" s="420">
        <v>0.04</v>
      </c>
      <c r="L53" s="421">
        <v>0.04</v>
      </c>
    </row>
    <row r="54" spans="1:12" ht="13.5" thickBot="1">
      <c r="F54" s="432">
        <v>13</v>
      </c>
      <c r="G54" s="181"/>
      <c r="H54" s="530">
        <v>0.05</v>
      </c>
      <c r="I54" s="530">
        <v>0.05</v>
      </c>
      <c r="J54" s="551">
        <v>0</v>
      </c>
      <c r="K54" s="420">
        <v>0.04</v>
      </c>
      <c r="L54" s="421">
        <v>0.04</v>
      </c>
    </row>
    <row r="55" spans="1:12">
      <c r="A55" s="292" t="s">
        <v>350</v>
      </c>
      <c r="B55" s="38"/>
      <c r="C55" s="38"/>
      <c r="D55" s="289"/>
      <c r="F55" s="432">
        <v>14</v>
      </c>
      <c r="G55" s="181"/>
      <c r="H55" s="420">
        <v>0</v>
      </c>
      <c r="I55" s="420">
        <v>0</v>
      </c>
      <c r="J55" s="551">
        <v>0</v>
      </c>
      <c r="K55" s="420">
        <v>0.05</v>
      </c>
      <c r="L55" s="421">
        <v>0.04</v>
      </c>
    </row>
    <row r="56" spans="1:12" ht="13.5" thickBot="1">
      <c r="A56" s="41" t="s">
        <v>235</v>
      </c>
      <c r="B56" s="13"/>
      <c r="C56" s="13"/>
      <c r="D56" s="290">
        <v>13950</v>
      </c>
      <c r="F56" s="477">
        <v>15</v>
      </c>
      <c r="G56" s="422"/>
      <c r="H56" s="423">
        <v>0</v>
      </c>
      <c r="I56" s="423">
        <v>0</v>
      </c>
      <c r="J56" s="552">
        <v>0</v>
      </c>
      <c r="K56" s="423">
        <v>0</v>
      </c>
      <c r="L56" s="424">
        <v>0.05</v>
      </c>
    </row>
    <row r="57" spans="1:12" ht="13.5" thickBot="1">
      <c r="A57" s="41" t="s">
        <v>236</v>
      </c>
      <c r="B57" s="13"/>
      <c r="C57" s="13"/>
      <c r="D57" s="290">
        <v>289.6162739983738</v>
      </c>
      <c r="F57" s="448" t="s">
        <v>353</v>
      </c>
      <c r="G57" s="422"/>
      <c r="H57" s="423">
        <f>SUM(H42:H56)</f>
        <v>1.0000000000000002</v>
      </c>
      <c r="I57" s="423">
        <f>SUM(I42:I56)</f>
        <v>1.0000000000000002</v>
      </c>
      <c r="J57" s="552">
        <f>SUM(J42:J56)</f>
        <v>1</v>
      </c>
      <c r="K57" s="423">
        <f>SUM(K42:K56)</f>
        <v>1.0000000000000002</v>
      </c>
      <c r="L57" s="424">
        <f>SUM(L42:L56)</f>
        <v>1.0000000000000002</v>
      </c>
    </row>
    <row r="58" spans="1:12" ht="13.5" thickBot="1">
      <c r="A58" s="173" t="s">
        <v>234</v>
      </c>
      <c r="B58" s="42"/>
      <c r="C58" s="42"/>
      <c r="D58" s="291">
        <v>20.833333333333314</v>
      </c>
      <c r="E58" s="66"/>
    </row>
    <row r="59" spans="1:12" ht="13.5" thickBot="1">
      <c r="A59" s="293" t="s">
        <v>351</v>
      </c>
      <c r="B59" s="294"/>
      <c r="C59" s="294"/>
      <c r="D59" s="295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7" t="str">
        <f>Assumptions!A3</f>
        <v>PROJECT NAME: Calpine</v>
      </c>
    </row>
    <row r="4" spans="1:4" ht="18.75">
      <c r="A4" s="171" t="s">
        <v>126</v>
      </c>
    </row>
    <row r="6" spans="1:4" ht="13.5" thickBot="1"/>
    <row r="7" spans="1:4" ht="13.5" thickBot="1">
      <c r="A7" s="527"/>
      <c r="B7" s="483" t="s">
        <v>416</v>
      </c>
      <c r="C7" s="484" t="s">
        <v>0</v>
      </c>
      <c r="D7" s="485"/>
    </row>
    <row r="8" spans="1:4">
      <c r="A8" s="486"/>
      <c r="B8" s="298" t="s">
        <v>128</v>
      </c>
      <c r="C8" s="298" t="s">
        <v>2</v>
      </c>
      <c r="D8" s="487" t="s">
        <v>423</v>
      </c>
    </row>
    <row r="9" spans="1:4" ht="13.5" thickBot="1">
      <c r="A9" s="488" t="s">
        <v>125</v>
      </c>
      <c r="B9" s="489">
        <f>'Returns Analysis'!C39</f>
        <v>8.5890623927116383E-2</v>
      </c>
      <c r="C9" s="490">
        <f>Debt!E69</f>
        <v>1.299999999999998</v>
      </c>
      <c r="D9" s="491">
        <f>Debt!E68</f>
        <v>1.3014092027256943</v>
      </c>
    </row>
    <row r="10" spans="1:4">
      <c r="A10" s="63"/>
      <c r="C10" s="492"/>
      <c r="D10" s="492"/>
    </row>
    <row r="11" spans="1:4" ht="13.5" thickBot="1"/>
    <row r="12" spans="1:4">
      <c r="A12" s="493" t="s">
        <v>381</v>
      </c>
      <c r="B12" s="494">
        <f>B9</f>
        <v>8.5890623927116383E-2</v>
      </c>
      <c r="C12" s="495">
        <f>C9</f>
        <v>1.299999999999998</v>
      </c>
      <c r="D12" s="496">
        <f>D9</f>
        <v>1.3014092027256943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3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abSelected="1" topLeftCell="B47" zoomScale="75" zoomScaleNormal="75" workbookViewId="0">
      <selection activeCell="H54" sqref="H54"/>
    </sheetView>
  </sheetViews>
  <sheetFormatPr defaultRowHeight="12.75"/>
  <cols>
    <col min="1" max="1" width="52.71093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2" width="12.85546875" style="12" customWidth="1"/>
    <col min="23" max="23" width="16.2851562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8" t="s">
        <v>84</v>
      </c>
      <c r="I1" s="80"/>
      <c r="AL1" s="80"/>
    </row>
    <row r="2" spans="1:38" ht="13.5" customHeight="1">
      <c r="A2" s="248"/>
      <c r="I2" s="80"/>
      <c r="AL2" s="80"/>
    </row>
    <row r="3" spans="1:38" ht="19.5" customHeight="1">
      <c r="A3" s="180" t="s">
        <v>435</v>
      </c>
      <c r="I3" s="80"/>
      <c r="AL3" s="80"/>
    </row>
    <row r="4" spans="1:38" s="5" customFormat="1" ht="19.5" customHeight="1">
      <c r="A4" s="249"/>
      <c r="I4" s="178"/>
      <c r="AL4" s="178"/>
    </row>
    <row r="5" spans="1:38" ht="19.5" customHeight="1">
      <c r="A5" s="171" t="s">
        <v>3</v>
      </c>
      <c r="C5" s="5"/>
      <c r="D5" s="5"/>
    </row>
    <row r="7" spans="1:38" ht="13.5" thickBot="1"/>
    <row r="8" spans="1:38" ht="15.75">
      <c r="A8" s="95" t="s">
        <v>4</v>
      </c>
      <c r="B8" s="38"/>
      <c r="C8" s="38"/>
      <c r="D8" s="186"/>
      <c r="E8" s="13"/>
      <c r="F8" s="94" t="s">
        <v>92</v>
      </c>
      <c r="G8" s="114"/>
      <c r="H8" s="115"/>
      <c r="I8" s="203"/>
      <c r="J8" s="39"/>
      <c r="L8" s="95" t="s">
        <v>208</v>
      </c>
      <c r="M8" s="120"/>
      <c r="N8" s="38"/>
      <c r="O8" s="38"/>
      <c r="P8" s="39"/>
      <c r="U8" s="342" t="s">
        <v>241</v>
      </c>
      <c r="V8" s="343" t="s">
        <v>246</v>
      </c>
      <c r="W8" s="343" t="s">
        <v>250</v>
      </c>
      <c r="X8" s="343" t="s">
        <v>127</v>
      </c>
      <c r="Y8" s="343" t="s">
        <v>266</v>
      </c>
      <c r="Z8" s="343" t="s">
        <v>267</v>
      </c>
      <c r="AA8" s="343" t="s">
        <v>268</v>
      </c>
      <c r="AB8" s="365" t="s">
        <v>326</v>
      </c>
    </row>
    <row r="9" spans="1:38" ht="15.75">
      <c r="A9" s="41"/>
      <c r="B9" s="13"/>
      <c r="C9" s="13"/>
      <c r="D9" s="40"/>
      <c r="E9" s="13"/>
      <c r="F9" s="117"/>
      <c r="G9" s="177"/>
      <c r="H9" s="177"/>
      <c r="I9" s="13"/>
      <c r="J9" s="40"/>
      <c r="L9" s="119" t="s">
        <v>314</v>
      </c>
      <c r="M9" s="13"/>
      <c r="N9" s="13"/>
      <c r="O9" s="13"/>
      <c r="P9" s="40"/>
      <c r="U9" s="332" t="s">
        <v>245</v>
      </c>
      <c r="V9" s="333" t="s">
        <v>247</v>
      </c>
      <c r="W9" s="333" t="s">
        <v>320</v>
      </c>
      <c r="X9" s="333" t="s">
        <v>262</v>
      </c>
      <c r="Y9" s="333" t="s">
        <v>271</v>
      </c>
      <c r="Z9" s="333" t="s">
        <v>269</v>
      </c>
      <c r="AA9" s="333" t="s">
        <v>269</v>
      </c>
      <c r="AB9" s="366" t="s">
        <v>329</v>
      </c>
    </row>
    <row r="10" spans="1:38" ht="15.75">
      <c r="A10" s="96" t="s">
        <v>6</v>
      </c>
      <c r="B10" s="97" t="s">
        <v>7</v>
      </c>
      <c r="C10" s="196" t="s">
        <v>8</v>
      </c>
      <c r="D10" s="351" t="s">
        <v>203</v>
      </c>
      <c r="E10" s="13"/>
      <c r="F10" s="117" t="s">
        <v>106</v>
      </c>
      <c r="G10" s="13"/>
      <c r="H10" s="222" t="s">
        <v>120</v>
      </c>
      <c r="I10" s="13"/>
      <c r="J10" s="40"/>
      <c r="L10" s="41"/>
      <c r="M10" s="13"/>
      <c r="N10" s="13"/>
      <c r="O10" s="13"/>
      <c r="P10" s="40"/>
      <c r="U10" s="296" t="s">
        <v>242</v>
      </c>
      <c r="V10" s="208" t="s">
        <v>248</v>
      </c>
      <c r="W10" s="208" t="s">
        <v>321</v>
      </c>
      <c r="X10" s="208" t="s">
        <v>260</v>
      </c>
      <c r="Y10" s="208" t="s">
        <v>335</v>
      </c>
      <c r="Z10" s="208" t="s">
        <v>270</v>
      </c>
      <c r="AA10" s="208" t="s">
        <v>270</v>
      </c>
      <c r="AB10" s="367" t="s">
        <v>327</v>
      </c>
    </row>
    <row r="11" spans="1:38" ht="15.75">
      <c r="A11" s="99" t="s">
        <v>9</v>
      </c>
      <c r="B11" s="273">
        <f>C11/C14</f>
        <v>1</v>
      </c>
      <c r="C11" s="197">
        <f>C58-C12</f>
        <v>99861.798429326824</v>
      </c>
      <c r="D11" s="352">
        <f>C11/$H$68</f>
        <v>525.5884127859307</v>
      </c>
      <c r="E11" s="13"/>
      <c r="F11" s="117" t="s">
        <v>220</v>
      </c>
      <c r="G11" s="13"/>
      <c r="H11" s="287">
        <v>14260.449607331708</v>
      </c>
      <c r="I11" s="13"/>
      <c r="J11" s="40"/>
      <c r="L11" s="119" t="s">
        <v>133</v>
      </c>
      <c r="M11" s="13"/>
      <c r="N11" s="264">
        <v>0.03</v>
      </c>
      <c r="O11" s="224"/>
      <c r="P11" s="40"/>
      <c r="U11" s="296" t="s">
        <v>39</v>
      </c>
      <c r="V11" s="208" t="s">
        <v>245</v>
      </c>
      <c r="W11" s="208"/>
      <c r="X11" s="208" t="s">
        <v>322</v>
      </c>
      <c r="Y11" s="208"/>
      <c r="Z11" s="208"/>
      <c r="AA11" s="208"/>
      <c r="AB11" s="367" t="s">
        <v>328</v>
      </c>
    </row>
    <row r="12" spans="1:38" ht="15.75">
      <c r="A12" s="99" t="s">
        <v>87</v>
      </c>
      <c r="B12" s="152">
        <f>C12/C14</f>
        <v>0</v>
      </c>
      <c r="C12" s="197">
        <f>IF(C66="Yes",0,Debt!B19)</f>
        <v>0</v>
      </c>
      <c r="D12" s="352">
        <f>C12/$H$68</f>
        <v>0</v>
      </c>
      <c r="E12" s="13"/>
      <c r="F12" s="117" t="s">
        <v>11</v>
      </c>
      <c r="G12" s="177"/>
      <c r="H12" s="254">
        <v>4</v>
      </c>
      <c r="I12" s="111"/>
      <c r="J12" s="40"/>
      <c r="L12" s="102"/>
      <c r="M12" s="13"/>
      <c r="N12" s="13"/>
      <c r="O12" s="224"/>
      <c r="P12" s="40"/>
      <c r="U12" s="344"/>
      <c r="V12" s="208" t="s">
        <v>39</v>
      </c>
      <c r="W12" s="13"/>
      <c r="X12" s="208" t="s">
        <v>265</v>
      </c>
      <c r="Y12" s="13"/>
      <c r="Z12" s="13"/>
      <c r="AA12" s="13"/>
      <c r="AB12" s="338"/>
    </row>
    <row r="13" spans="1:38" ht="15.75">
      <c r="A13" s="100"/>
      <c r="B13" s="250"/>
      <c r="C13" s="197"/>
      <c r="D13" s="352"/>
      <c r="E13" s="13"/>
      <c r="F13" s="117" t="s">
        <v>274</v>
      </c>
      <c r="G13" s="177"/>
      <c r="H13" s="255">
        <v>47.5</v>
      </c>
      <c r="I13" s="111"/>
      <c r="J13" s="40"/>
      <c r="L13" s="119" t="s">
        <v>89</v>
      </c>
      <c r="M13" s="13"/>
      <c r="N13" s="98"/>
      <c r="O13" s="224"/>
      <c r="P13" s="40"/>
      <c r="U13" s="332">
        <v>1</v>
      </c>
      <c r="V13" s="333">
        <v>1</v>
      </c>
      <c r="W13" s="333">
        <v>1</v>
      </c>
      <c r="X13" s="333">
        <v>1</v>
      </c>
      <c r="Y13" s="333">
        <v>2</v>
      </c>
      <c r="Z13" s="333">
        <v>1</v>
      </c>
      <c r="AA13" s="333">
        <f>IF(C28&gt;0,1,2)</f>
        <v>1</v>
      </c>
      <c r="AB13" s="366">
        <v>1</v>
      </c>
    </row>
    <row r="14" spans="1:38" ht="15.75">
      <c r="A14" s="101" t="s">
        <v>10</v>
      </c>
      <c r="B14" s="149">
        <f>C14/$C$14</f>
        <v>1</v>
      </c>
      <c r="C14" s="198">
        <f>SUM(C11:C12)</f>
        <v>99861.798429326824</v>
      </c>
      <c r="D14" s="458">
        <f>C14/$H$68</f>
        <v>525.5884127859307</v>
      </c>
      <c r="E14" s="13"/>
      <c r="F14" s="117" t="s">
        <v>384</v>
      </c>
      <c r="G14" s="177"/>
      <c r="H14" s="254">
        <v>10100</v>
      </c>
      <c r="I14" s="13"/>
      <c r="J14" s="40"/>
      <c r="L14" s="41"/>
      <c r="M14" s="13"/>
      <c r="N14" s="276" t="s">
        <v>205</v>
      </c>
      <c r="O14" s="207" t="s">
        <v>179</v>
      </c>
      <c r="P14" s="204" t="s">
        <v>431</v>
      </c>
      <c r="U14" s="297" t="str">
        <f>CHOOSE(U13,U9,U10,U11)</f>
        <v>Index</v>
      </c>
      <c r="V14" s="298" t="str">
        <f>CHOOSE(V13,V9,V10,V11,V12)</f>
        <v>Base</v>
      </c>
      <c r="W14" s="298" t="str">
        <f>CHOOSE(W13,W9,W10,W11,W12)</f>
        <v>Pass-through</v>
      </c>
      <c r="X14" s="298" t="str">
        <f>CHOOSE(X13,X9,X10,X11,X12)</f>
        <v>EBITDA Exit Multiple</v>
      </c>
      <c r="Y14" s="298">
        <f>IF(Y13=1,1,2)</f>
        <v>2</v>
      </c>
      <c r="Z14" s="298">
        <f>IF(C32&gt;0,10,20)</f>
        <v>10</v>
      </c>
      <c r="AA14" s="298" t="str">
        <f>CHOOSE(AA13,AA9,AA10,AA11,AA12)</f>
        <v>Yes</v>
      </c>
      <c r="AB14" s="334" t="str">
        <f>CHOOSE(AB13,AB9,AB10,AB11,AB12)</f>
        <v>Bank LT Debt</v>
      </c>
    </row>
    <row r="15" spans="1:38" ht="15.75">
      <c r="A15" s="41"/>
      <c r="B15" s="13"/>
      <c r="C15" s="13"/>
      <c r="D15" s="354"/>
      <c r="E15" s="13"/>
      <c r="F15" s="117" t="s">
        <v>385</v>
      </c>
      <c r="G15" s="177"/>
      <c r="H15" s="254">
        <v>10200</v>
      </c>
      <c r="I15" s="111"/>
      <c r="J15" s="40"/>
      <c r="L15" s="102" t="s">
        <v>206</v>
      </c>
      <c r="M15" s="13"/>
      <c r="N15" s="539">
        <v>153.19999999999999</v>
      </c>
      <c r="O15" s="225"/>
      <c r="P15" s="265">
        <v>0.59</v>
      </c>
    </row>
    <row r="16" spans="1:38" ht="15.75">
      <c r="A16" s="41"/>
      <c r="B16" s="13"/>
      <c r="C16" s="13"/>
      <c r="D16" s="354"/>
      <c r="E16" s="13"/>
      <c r="F16" s="117" t="s">
        <v>198</v>
      </c>
      <c r="G16" s="13"/>
      <c r="H16" s="558">
        <v>8</v>
      </c>
      <c r="I16" s="13"/>
      <c r="J16" s="40"/>
      <c r="L16" s="105" t="s">
        <v>254</v>
      </c>
      <c r="M16" s="13"/>
      <c r="N16" s="540">
        <v>576.9</v>
      </c>
      <c r="O16" s="301"/>
      <c r="P16" s="302">
        <v>1.64</v>
      </c>
      <c r="U16" s="336"/>
      <c r="V16" s="57" t="s">
        <v>275</v>
      </c>
      <c r="W16" s="337" t="s">
        <v>276</v>
      </c>
    </row>
    <row r="17" spans="1:23" ht="15.75">
      <c r="A17" s="96" t="s">
        <v>105</v>
      </c>
      <c r="B17" s="97"/>
      <c r="C17" s="199"/>
      <c r="D17" s="352"/>
      <c r="E17" s="13"/>
      <c r="F17" s="117" t="s">
        <v>108</v>
      </c>
      <c r="G17" s="177"/>
      <c r="H17" s="257">
        <v>37043</v>
      </c>
      <c r="I17" s="13"/>
      <c r="J17" s="40"/>
      <c r="L17" s="117" t="s">
        <v>251</v>
      </c>
      <c r="M17" s="6"/>
      <c r="N17" s="279">
        <f>SUM(N15:N16)</f>
        <v>730.09999999999991</v>
      </c>
      <c r="O17" s="226"/>
      <c r="P17" s="303">
        <f>SUM(P15:P16)</f>
        <v>2.23</v>
      </c>
      <c r="U17" s="55" t="s">
        <v>271</v>
      </c>
      <c r="V17" s="13">
        <v>11</v>
      </c>
      <c r="W17" s="338">
        <v>21</v>
      </c>
    </row>
    <row r="18" spans="1:23" ht="15.75">
      <c r="A18" s="187"/>
      <c r="B18" s="168"/>
      <c r="C18" s="13"/>
      <c r="D18" s="354"/>
      <c r="E18" s="13"/>
      <c r="F18" s="102" t="s">
        <v>136</v>
      </c>
      <c r="G18" s="98"/>
      <c r="H18" s="279">
        <f>13-MONTH(H17)</f>
        <v>7</v>
      </c>
      <c r="I18" s="111"/>
      <c r="J18" s="40"/>
      <c r="L18" s="41"/>
      <c r="M18" s="13"/>
      <c r="N18" s="13"/>
      <c r="O18" s="13"/>
      <c r="P18" s="555" t="s">
        <v>448</v>
      </c>
      <c r="U18" s="339" t="s">
        <v>272</v>
      </c>
      <c r="V18" s="58">
        <v>12</v>
      </c>
      <c r="W18" s="299">
        <v>22</v>
      </c>
    </row>
    <row r="19" spans="1:23" ht="15.75">
      <c r="A19" s="99" t="s">
        <v>425</v>
      </c>
      <c r="B19" s="13"/>
      <c r="C19" s="13"/>
      <c r="D19" s="354"/>
      <c r="E19" s="13"/>
      <c r="F19" s="117" t="s">
        <v>107</v>
      </c>
      <c r="G19" s="13"/>
      <c r="H19" s="254">
        <v>20</v>
      </c>
      <c r="I19" s="111"/>
      <c r="J19" s="40"/>
      <c r="L19" s="102" t="s">
        <v>207</v>
      </c>
      <c r="M19" s="13"/>
      <c r="N19" s="256">
        <v>652</v>
      </c>
      <c r="O19" s="275">
        <f t="shared" ref="O19:O25" si="0">N19/$H$68</f>
        <v>3.4315789473684211</v>
      </c>
      <c r="P19" s="40"/>
    </row>
    <row r="20" spans="1:23" ht="15.75">
      <c r="A20" s="102" t="s">
        <v>426</v>
      </c>
      <c r="B20" s="169">
        <f t="shared" ref="B20:B33" si="1">C20/$C$58</f>
        <v>0.57120740189448793</v>
      </c>
      <c r="C20" s="200">
        <f>H11*H12</f>
        <v>57041.798429326831</v>
      </c>
      <c r="D20" s="352">
        <f t="shared" ref="D20:D33" si="2">C20/$H$68</f>
        <v>300.21999173329908</v>
      </c>
      <c r="E20" s="13"/>
      <c r="F20" s="117" t="s">
        <v>308</v>
      </c>
      <c r="G20" s="13"/>
      <c r="H20" s="341" t="s">
        <v>449</v>
      </c>
      <c r="I20" s="111"/>
      <c r="J20" s="40"/>
      <c r="L20" s="102" t="s">
        <v>35</v>
      </c>
      <c r="M20" s="13"/>
      <c r="N20" s="256">
        <v>112</v>
      </c>
      <c r="O20" s="275">
        <f t="shared" si="0"/>
        <v>0.58947368421052626</v>
      </c>
      <c r="P20" s="40"/>
    </row>
    <row r="21" spans="1:23" ht="15.75">
      <c r="A21" s="102" t="s">
        <v>263</v>
      </c>
      <c r="B21" s="169">
        <f t="shared" si="1"/>
        <v>2.4834321422271604E-3</v>
      </c>
      <c r="C21" s="200">
        <f>62*H12</f>
        <v>248</v>
      </c>
      <c r="D21" s="352">
        <f t="shared" si="2"/>
        <v>1.3052631578947369</v>
      </c>
      <c r="E21" s="13"/>
      <c r="F21" s="41"/>
      <c r="G21" s="13"/>
      <c r="H21" s="13"/>
      <c r="I21" s="13"/>
      <c r="J21" s="40"/>
      <c r="L21" s="102" t="s">
        <v>36</v>
      </c>
      <c r="M21" s="13"/>
      <c r="N21" s="256">
        <v>180</v>
      </c>
      <c r="O21" s="275">
        <f t="shared" si="0"/>
        <v>0.94736842105263153</v>
      </c>
      <c r="P21" s="40"/>
    </row>
    <row r="22" spans="1:23" ht="15.75">
      <c r="A22" s="102" t="s">
        <v>181</v>
      </c>
      <c r="B22" s="169">
        <f t="shared" si="1"/>
        <v>0.27226627627021882</v>
      </c>
      <c r="C22" s="252">
        <v>27189</v>
      </c>
      <c r="D22" s="352">
        <f t="shared" si="2"/>
        <v>143.1</v>
      </c>
      <c r="E22" s="13"/>
      <c r="F22" s="116" t="s">
        <v>261</v>
      </c>
      <c r="G22" s="13"/>
      <c r="H22" s="331"/>
      <c r="I22" s="13"/>
      <c r="J22" s="40"/>
      <c r="L22" s="102" t="s">
        <v>357</v>
      </c>
      <c r="M22" s="13"/>
      <c r="N22" s="256">
        <v>0</v>
      </c>
      <c r="O22" s="275">
        <f t="shared" si="0"/>
        <v>0</v>
      </c>
      <c r="P22" s="40"/>
    </row>
    <row r="23" spans="1:23" ht="15.75">
      <c r="A23" s="102" t="s">
        <v>110</v>
      </c>
      <c r="B23" s="169">
        <f t="shared" si="1"/>
        <v>0</v>
      </c>
      <c r="C23" s="252">
        <v>0</v>
      </c>
      <c r="D23" s="352">
        <f t="shared" si="2"/>
        <v>0</v>
      </c>
      <c r="E23" s="13"/>
      <c r="F23" s="330" t="s">
        <v>262</v>
      </c>
      <c r="G23" s="177"/>
      <c r="H23" s="329">
        <v>5</v>
      </c>
      <c r="I23" s="363"/>
      <c r="J23" s="40"/>
      <c r="L23" s="102" t="s">
        <v>45</v>
      </c>
      <c r="M23" s="13"/>
      <c r="N23" s="256">
        <v>0</v>
      </c>
      <c r="O23" s="275">
        <f t="shared" si="0"/>
        <v>0</v>
      </c>
      <c r="P23" s="40"/>
    </row>
    <row r="24" spans="1:23" ht="15.75">
      <c r="A24" s="102" t="s">
        <v>111</v>
      </c>
      <c r="B24" s="169">
        <f t="shared" si="1"/>
        <v>1.1365707586402528E-2</v>
      </c>
      <c r="C24" s="252">
        <v>1135</v>
      </c>
      <c r="D24" s="352">
        <f t="shared" si="2"/>
        <v>5.9736842105263159</v>
      </c>
      <c r="E24" s="13"/>
      <c r="F24" s="330" t="s">
        <v>383</v>
      </c>
      <c r="G24" s="13"/>
      <c r="H24" s="362">
        <v>0.2</v>
      </c>
      <c r="I24" s="111"/>
      <c r="J24" s="40"/>
      <c r="L24" s="102" t="s">
        <v>37</v>
      </c>
      <c r="M24" s="13"/>
      <c r="N24" s="256">
        <v>0</v>
      </c>
      <c r="O24" s="275">
        <f t="shared" si="0"/>
        <v>0</v>
      </c>
      <c r="P24" s="40"/>
    </row>
    <row r="25" spans="1:23" ht="16.5" thickBot="1">
      <c r="A25" s="102" t="s">
        <v>112</v>
      </c>
      <c r="B25" s="169">
        <f t="shared" si="1"/>
        <v>4.8066428559235361E-2</v>
      </c>
      <c r="C25" s="252">
        <v>4800</v>
      </c>
      <c r="D25" s="352">
        <f t="shared" si="2"/>
        <v>25.263157894736842</v>
      </c>
      <c r="E25" s="13"/>
      <c r="F25" s="251" t="s">
        <v>203</v>
      </c>
      <c r="G25" s="42"/>
      <c r="H25" s="361">
        <v>200</v>
      </c>
      <c r="I25" s="42"/>
      <c r="J25" s="81"/>
      <c r="L25" s="105" t="s">
        <v>38</v>
      </c>
      <c r="M25" s="220"/>
      <c r="N25" s="300">
        <v>200</v>
      </c>
      <c r="O25" s="304">
        <f t="shared" si="0"/>
        <v>1.0526315789473684</v>
      </c>
      <c r="P25" s="40"/>
    </row>
    <row r="26" spans="1:23" ht="16.5" thickBot="1">
      <c r="A26" s="102" t="s">
        <v>113</v>
      </c>
      <c r="B26" s="169">
        <f t="shared" si="1"/>
        <v>0</v>
      </c>
      <c r="C26" s="252">
        <v>0</v>
      </c>
      <c r="D26" s="352">
        <f t="shared" si="2"/>
        <v>0</v>
      </c>
      <c r="E26" s="13"/>
      <c r="L26" s="117" t="s">
        <v>252</v>
      </c>
      <c r="M26" s="6"/>
      <c r="N26" s="279">
        <f>SUM(N19:N25)</f>
        <v>1144</v>
      </c>
      <c r="O26" s="305">
        <f>SUM(O19:O25)</f>
        <v>6.0210526315789474</v>
      </c>
      <c r="P26" s="368"/>
    </row>
    <row r="27" spans="1:23" ht="15.75">
      <c r="A27" s="102" t="s">
        <v>114</v>
      </c>
      <c r="B27" s="169">
        <f t="shared" si="1"/>
        <v>0</v>
      </c>
      <c r="C27" s="252">
        <v>0</v>
      </c>
      <c r="D27" s="352">
        <f t="shared" si="2"/>
        <v>0</v>
      </c>
      <c r="E27" s="13"/>
      <c r="F27" s="95" t="s">
        <v>119</v>
      </c>
      <c r="G27" s="38"/>
      <c r="H27" s="38"/>
      <c r="I27" s="84"/>
      <c r="J27" s="39"/>
      <c r="L27" s="41"/>
      <c r="M27" s="13"/>
      <c r="N27" s="13"/>
      <c r="O27" s="13"/>
      <c r="P27" s="40"/>
      <c r="R27" s="3"/>
    </row>
    <row r="28" spans="1:23" ht="15.75">
      <c r="A28" s="102" t="s">
        <v>340</v>
      </c>
      <c r="B28" s="169">
        <f t="shared" si="1"/>
        <v>6.1585111591520312E-3</v>
      </c>
      <c r="C28" s="252">
        <v>615</v>
      </c>
      <c r="D28" s="352">
        <f t="shared" si="2"/>
        <v>3.236842105263158</v>
      </c>
      <c r="E28" s="13"/>
      <c r="F28" s="359" t="s">
        <v>117</v>
      </c>
      <c r="G28" s="360"/>
      <c r="H28" s="360" t="s">
        <v>325</v>
      </c>
      <c r="I28" s="181"/>
      <c r="J28" s="335"/>
      <c r="L28" s="119" t="s">
        <v>90</v>
      </c>
      <c r="M28" s="13"/>
      <c r="N28" s="162"/>
      <c r="O28" s="226"/>
      <c r="P28" s="40"/>
      <c r="R28" s="3"/>
    </row>
    <row r="29" spans="1:23" ht="15.75">
      <c r="A29" s="102" t="s">
        <v>115</v>
      </c>
      <c r="B29" s="169">
        <f t="shared" si="1"/>
        <v>0</v>
      </c>
      <c r="C29" s="252">
        <v>0</v>
      </c>
      <c r="D29" s="352">
        <f t="shared" si="2"/>
        <v>0</v>
      </c>
      <c r="E29" s="13"/>
      <c r="F29" s="330" t="s">
        <v>85</v>
      </c>
      <c r="G29" s="257">
        <v>36800</v>
      </c>
      <c r="H29" s="358"/>
      <c r="I29" s="181"/>
      <c r="J29" s="335"/>
      <c r="L29" s="102" t="s">
        <v>241</v>
      </c>
      <c r="M29" s="13"/>
      <c r="N29" s="279">
        <f>IS!C16</f>
        <v>8847.9611255</v>
      </c>
      <c r="O29" s="226">
        <f>N29/$H$68</f>
        <v>46.568216450000001</v>
      </c>
      <c r="P29" s="40"/>
      <c r="R29" s="346"/>
    </row>
    <row r="30" spans="1:23" ht="15.75">
      <c r="A30" s="102" t="s">
        <v>182</v>
      </c>
      <c r="B30" s="169">
        <f t="shared" si="1"/>
        <v>0</v>
      </c>
      <c r="C30" s="252">
        <v>0</v>
      </c>
      <c r="D30" s="352">
        <f t="shared" si="2"/>
        <v>0</v>
      </c>
      <c r="E30" s="13"/>
      <c r="F30" s="330" t="s">
        <v>129</v>
      </c>
      <c r="G30" s="257">
        <v>36571</v>
      </c>
      <c r="H30" s="358"/>
      <c r="I30" s="181"/>
      <c r="J30" s="335"/>
      <c r="L30" s="102" t="s">
        <v>219</v>
      </c>
      <c r="M30" s="13"/>
      <c r="N30" s="279">
        <f>IS!C23/IS!C6</f>
        <v>685.71428571428567</v>
      </c>
      <c r="O30" s="226">
        <f>N30/$H$68</f>
        <v>3.6090225563909772</v>
      </c>
      <c r="P30" s="556">
        <v>0.02</v>
      </c>
      <c r="R30" s="3"/>
    </row>
    <row r="31" spans="1:23" ht="15.75">
      <c r="A31" s="102" t="s">
        <v>183</v>
      </c>
      <c r="B31" s="169">
        <f t="shared" si="1"/>
        <v>1.0013839283174034E-3</v>
      </c>
      <c r="C31" s="252">
        <v>100</v>
      </c>
      <c r="D31" s="352">
        <f t="shared" si="2"/>
        <v>0.52631578947368418</v>
      </c>
      <c r="E31" s="13"/>
      <c r="F31" s="41"/>
      <c r="G31" s="13"/>
      <c r="H31" s="6"/>
      <c r="I31" s="181"/>
      <c r="J31" s="335"/>
      <c r="L31" s="102" t="s">
        <v>209</v>
      </c>
      <c r="M31" s="13"/>
      <c r="N31" s="279">
        <f>IS!C24/IS!C6</f>
        <v>0</v>
      </c>
      <c r="O31" s="226">
        <f>N31/$H$68</f>
        <v>0</v>
      </c>
      <c r="P31" s="40"/>
      <c r="R31" s="3"/>
    </row>
    <row r="32" spans="1:23" ht="15.75">
      <c r="A32" s="102" t="s">
        <v>432</v>
      </c>
      <c r="B32" s="169">
        <f t="shared" si="1"/>
        <v>4.0666201328969753E-2</v>
      </c>
      <c r="C32" s="252">
        <v>4061</v>
      </c>
      <c r="D32" s="352">
        <f t="shared" si="2"/>
        <v>21.373684210526317</v>
      </c>
      <c r="E32" s="13"/>
      <c r="F32" s="106" t="s">
        <v>14</v>
      </c>
      <c r="G32" s="107">
        <f>Debt!B19</f>
        <v>75505.500901236432</v>
      </c>
      <c r="H32" s="107"/>
      <c r="I32" s="181"/>
      <c r="J32" s="335"/>
      <c r="L32" s="102" t="s">
        <v>213</v>
      </c>
      <c r="M32" s="13"/>
      <c r="N32" s="279">
        <f>IS!C25/IS!C6</f>
        <v>0</v>
      </c>
      <c r="O32" s="226">
        <f>N32/$H$68</f>
        <v>0</v>
      </c>
      <c r="P32" s="40"/>
      <c r="Q32" s="66"/>
      <c r="R32" s="3"/>
    </row>
    <row r="33" spans="1:18" ht="16.5" thickBot="1">
      <c r="A33" s="105" t="s">
        <v>116</v>
      </c>
      <c r="B33" s="185">
        <f t="shared" si="1"/>
        <v>1.3017991068126244E-2</v>
      </c>
      <c r="C33" s="253">
        <v>1300</v>
      </c>
      <c r="D33" s="353">
        <f t="shared" si="2"/>
        <v>6.8421052631578947</v>
      </c>
      <c r="E33" s="13"/>
      <c r="F33" s="106" t="s">
        <v>15</v>
      </c>
      <c r="G33" s="258">
        <v>20</v>
      </c>
      <c r="H33" s="107"/>
      <c r="I33" s="181"/>
      <c r="J33" s="335"/>
      <c r="L33" s="104" t="s">
        <v>433</v>
      </c>
      <c r="M33" s="42"/>
      <c r="N33" s="282">
        <f>IS!C26/IS!C6</f>
        <v>0</v>
      </c>
      <c r="O33" s="227">
        <f>N33/$H$68</f>
        <v>0</v>
      </c>
      <c r="P33" s="81"/>
      <c r="R33" s="3"/>
    </row>
    <row r="34" spans="1:18" ht="16.5" thickBot="1">
      <c r="A34" s="102" t="s">
        <v>109</v>
      </c>
      <c r="B34" s="169">
        <f>SUM(B20:B33)</f>
        <v>0.96623333393713717</v>
      </c>
      <c r="C34" s="200">
        <f>SUM(C20:C33)</f>
        <v>96489.798429326824</v>
      </c>
      <c r="D34" s="352">
        <f>SUM(D20:D33)</f>
        <v>507.84104436487803</v>
      </c>
      <c r="E34" s="13"/>
      <c r="F34" s="106" t="s">
        <v>16</v>
      </c>
      <c r="G34" s="358">
        <v>42826</v>
      </c>
      <c r="H34" s="358"/>
      <c r="I34" s="181"/>
      <c r="J34" s="335"/>
      <c r="N34" s="202"/>
      <c r="R34" s="3"/>
    </row>
    <row r="35" spans="1:18" ht="15.75">
      <c r="A35" s="41"/>
      <c r="B35" s="13"/>
      <c r="C35" s="13"/>
      <c r="D35" s="354"/>
      <c r="E35" s="13"/>
      <c r="F35" s="106" t="s">
        <v>17</v>
      </c>
      <c r="G35" s="122">
        <f>Debt!E66</f>
        <v>-5.7736679479986934</v>
      </c>
      <c r="H35" s="387" t="str">
        <f>IF(H32,Debt!#REF!," ")</f>
        <v xml:space="preserve"> </v>
      </c>
      <c r="I35" s="181"/>
      <c r="J35" s="335"/>
      <c r="L35" s="94" t="s">
        <v>22</v>
      </c>
      <c r="M35" s="115"/>
      <c r="N35" s="266"/>
      <c r="O35" s="120"/>
      <c r="P35" s="39"/>
      <c r="R35" s="5"/>
    </row>
    <row r="36" spans="1:18" ht="15.75">
      <c r="A36" s="99" t="s">
        <v>386</v>
      </c>
      <c r="B36" s="13"/>
      <c r="C36" s="13"/>
      <c r="D36" s="355"/>
      <c r="E36" s="13"/>
      <c r="F36" s="106"/>
      <c r="G36" s="13"/>
      <c r="H36" s="13"/>
      <c r="I36" s="181"/>
      <c r="J36" s="335"/>
      <c r="L36" s="41"/>
      <c r="M36" s="170"/>
      <c r="N36" s="13"/>
      <c r="O36" s="13"/>
      <c r="P36" s="40"/>
      <c r="R36" s="5"/>
    </row>
    <row r="37" spans="1:18" ht="15.75">
      <c r="A37" s="99" t="s">
        <v>168</v>
      </c>
      <c r="B37" s="169">
        <f t="shared" ref="B37:B49" si="3">C37/$C$58</f>
        <v>0</v>
      </c>
      <c r="C37" s="252">
        <v>0</v>
      </c>
      <c r="D37" s="352">
        <f t="shared" ref="D37:D50" si="4">C37/$H$68</f>
        <v>0</v>
      </c>
      <c r="E37" s="13"/>
      <c r="F37" s="102" t="s">
        <v>18</v>
      </c>
      <c r="G37" s="259">
        <v>6.5000000000000002E-2</v>
      </c>
      <c r="H37" s="259">
        <v>6.5000000000000002E-2</v>
      </c>
      <c r="I37" s="181"/>
      <c r="J37" s="335"/>
      <c r="L37" s="102"/>
      <c r="M37" s="13"/>
      <c r="N37" s="148" t="s">
        <v>23</v>
      </c>
      <c r="O37" s="148" t="s">
        <v>24</v>
      </c>
      <c r="P37" s="172" t="s">
        <v>25</v>
      </c>
      <c r="R37" s="13"/>
    </row>
    <row r="38" spans="1:18" ht="15.75">
      <c r="A38" s="99" t="s">
        <v>176</v>
      </c>
      <c r="B38" s="169">
        <f t="shared" si="3"/>
        <v>0</v>
      </c>
      <c r="C38" s="252">
        <v>0</v>
      </c>
      <c r="D38" s="352">
        <f t="shared" si="4"/>
        <v>0</v>
      </c>
      <c r="E38" s="13"/>
      <c r="F38" s="102" t="s">
        <v>19</v>
      </c>
      <c r="G38" s="260">
        <v>0.02</v>
      </c>
      <c r="H38" s="260">
        <v>0.02</v>
      </c>
      <c r="I38" s="181"/>
      <c r="J38" s="335"/>
      <c r="L38" s="116" t="s">
        <v>26</v>
      </c>
      <c r="M38" s="13"/>
      <c r="N38" s="267"/>
      <c r="O38" s="267"/>
      <c r="P38" s="103"/>
      <c r="R38" s="13"/>
    </row>
    <row r="39" spans="1:18" ht="15.75">
      <c r="A39" s="99" t="s">
        <v>169</v>
      </c>
      <c r="B39" s="169">
        <f t="shared" si="3"/>
        <v>0</v>
      </c>
      <c r="C39" s="252">
        <v>0</v>
      </c>
      <c r="D39" s="352">
        <f t="shared" si="4"/>
        <v>0</v>
      </c>
      <c r="E39" s="13"/>
      <c r="F39" s="106" t="s">
        <v>330</v>
      </c>
      <c r="G39" s="108">
        <f>Debt!E64</f>
        <v>8.5000000000000006E-2</v>
      </c>
      <c r="H39" s="108">
        <f>SUM(H37:H38)</f>
        <v>8.5000000000000006E-2</v>
      </c>
      <c r="I39" s="181"/>
      <c r="J39" s="335"/>
      <c r="L39" s="117" t="s">
        <v>27</v>
      </c>
      <c r="M39" s="13"/>
      <c r="N39" s="277">
        <v>15</v>
      </c>
      <c r="O39" s="268" t="s">
        <v>28</v>
      </c>
      <c r="P39" s="191">
        <v>0</v>
      </c>
      <c r="R39" s="3"/>
    </row>
    <row r="40" spans="1:18" ht="15.75">
      <c r="A40" s="102" t="s">
        <v>170</v>
      </c>
      <c r="B40" s="169">
        <f t="shared" si="3"/>
        <v>0</v>
      </c>
      <c r="C40" s="252">
        <v>0</v>
      </c>
      <c r="D40" s="352">
        <f t="shared" si="4"/>
        <v>0</v>
      </c>
      <c r="E40" s="13"/>
      <c r="F40" s="102"/>
      <c r="G40" s="98"/>
      <c r="H40" s="98"/>
      <c r="I40" s="98"/>
      <c r="J40" s="189"/>
      <c r="L40" s="117" t="s">
        <v>257</v>
      </c>
      <c r="M40" s="13"/>
      <c r="N40" s="277">
        <v>5</v>
      </c>
      <c r="O40" s="268" t="s">
        <v>30</v>
      </c>
      <c r="P40" s="191">
        <v>0</v>
      </c>
      <c r="R40" s="3"/>
    </row>
    <row r="41" spans="1:18" ht="15.75">
      <c r="A41" s="99" t="s">
        <v>171</v>
      </c>
      <c r="B41" s="169">
        <f t="shared" si="3"/>
        <v>0</v>
      </c>
      <c r="C41" s="252">
        <v>0</v>
      </c>
      <c r="D41" s="352">
        <f t="shared" si="4"/>
        <v>0</v>
      </c>
      <c r="E41" s="13"/>
      <c r="F41" s="102" t="s">
        <v>130</v>
      </c>
      <c r="G41" s="258">
        <v>0</v>
      </c>
      <c r="H41" s="258">
        <v>6</v>
      </c>
      <c r="I41" s="98" t="s">
        <v>131</v>
      </c>
      <c r="J41" s="190"/>
      <c r="L41" s="117" t="s">
        <v>29</v>
      </c>
      <c r="M41" s="13"/>
      <c r="N41" s="277">
        <v>20</v>
      </c>
      <c r="O41" s="268" t="s">
        <v>30</v>
      </c>
      <c r="P41" s="191">
        <v>0</v>
      </c>
      <c r="R41" s="346"/>
    </row>
    <row r="42" spans="1:18" ht="15.75">
      <c r="A42" s="99" t="s">
        <v>180</v>
      </c>
      <c r="B42" s="169">
        <f t="shared" si="3"/>
        <v>1.0013839283174035E-2</v>
      </c>
      <c r="C42" s="252">
        <v>1000</v>
      </c>
      <c r="D42" s="352">
        <f t="shared" si="4"/>
        <v>5.2631578947368425</v>
      </c>
      <c r="E42" s="13"/>
      <c r="F42" s="102" t="s">
        <v>20</v>
      </c>
      <c r="G42" s="261">
        <v>0.02</v>
      </c>
      <c r="H42" s="98"/>
      <c r="I42" s="98"/>
      <c r="J42" s="190"/>
      <c r="L42" s="117"/>
      <c r="M42" s="13"/>
      <c r="N42" s="269"/>
      <c r="O42" s="269"/>
      <c r="P42" s="270"/>
      <c r="R42" s="228"/>
    </row>
    <row r="43" spans="1:18" ht="15.75">
      <c r="A43" s="99" t="s">
        <v>172</v>
      </c>
      <c r="B43" s="169">
        <f t="shared" si="3"/>
        <v>0</v>
      </c>
      <c r="C43" s="252">
        <v>0</v>
      </c>
      <c r="D43" s="352">
        <f t="shared" si="4"/>
        <v>0</v>
      </c>
      <c r="E43" s="13"/>
      <c r="F43" s="102" t="s">
        <v>21</v>
      </c>
      <c r="G43" s="261">
        <v>0</v>
      </c>
      <c r="H43" s="13"/>
      <c r="I43" s="13"/>
      <c r="J43" s="40"/>
      <c r="L43" s="116" t="s">
        <v>31</v>
      </c>
      <c r="M43" s="13"/>
      <c r="N43" s="269"/>
      <c r="O43" s="269"/>
      <c r="P43" s="192"/>
    </row>
    <row r="44" spans="1:18" ht="15.75">
      <c r="A44" s="99" t="s">
        <v>173</v>
      </c>
      <c r="B44" s="169">
        <f t="shared" si="3"/>
        <v>0</v>
      </c>
      <c r="C44" s="252">
        <v>0</v>
      </c>
      <c r="D44" s="352">
        <f t="shared" si="4"/>
        <v>0</v>
      </c>
      <c r="E44" s="13"/>
      <c r="F44" s="41"/>
      <c r="G44" s="13"/>
      <c r="H44" s="13"/>
      <c r="I44" s="13"/>
      <c r="J44" s="40"/>
      <c r="L44" s="117" t="s">
        <v>27</v>
      </c>
      <c r="M44" s="13"/>
      <c r="N44" s="277">
        <v>30</v>
      </c>
      <c r="O44" s="268" t="s">
        <v>30</v>
      </c>
      <c r="P44" s="192">
        <v>0.1</v>
      </c>
    </row>
    <row r="45" spans="1:18" ht="15.75">
      <c r="A45" s="99" t="s">
        <v>177</v>
      </c>
      <c r="B45" s="169">
        <f t="shared" si="3"/>
        <v>2.0027678566348069E-4</v>
      </c>
      <c r="C45" s="252">
        <v>20</v>
      </c>
      <c r="D45" s="352">
        <f t="shared" si="4"/>
        <v>0.10526315789473684</v>
      </c>
      <c r="E45" s="13"/>
      <c r="F45" s="359" t="s">
        <v>118</v>
      </c>
      <c r="G45" s="13"/>
      <c r="H45" s="13"/>
      <c r="I45" s="13"/>
      <c r="J45" s="40"/>
      <c r="L45" s="117" t="s">
        <v>257</v>
      </c>
      <c r="M45" s="13"/>
      <c r="N45" s="277">
        <v>5</v>
      </c>
      <c r="O45" s="268" t="s">
        <v>30</v>
      </c>
      <c r="P45" s="191">
        <v>0</v>
      </c>
    </row>
    <row r="46" spans="1:18" ht="16.5" thickBot="1">
      <c r="A46" s="102" t="s">
        <v>221</v>
      </c>
      <c r="B46" s="169">
        <f t="shared" si="3"/>
        <v>0</v>
      </c>
      <c r="C46" s="200">
        <f>IF(C12=0,0,IDC!H34)</f>
        <v>0</v>
      </c>
      <c r="D46" s="352">
        <f t="shared" si="4"/>
        <v>0</v>
      </c>
      <c r="E46" s="13"/>
      <c r="F46" s="330" t="s">
        <v>86</v>
      </c>
      <c r="G46" s="257">
        <v>36617</v>
      </c>
      <c r="H46" s="13"/>
      <c r="I46" s="13"/>
      <c r="J46" s="40"/>
      <c r="L46" s="118" t="s">
        <v>29</v>
      </c>
      <c r="M46" s="42"/>
      <c r="N46" s="278">
        <v>20</v>
      </c>
      <c r="O46" s="271" t="s">
        <v>30</v>
      </c>
      <c r="P46" s="193">
        <v>0</v>
      </c>
    </row>
    <row r="47" spans="1:18" ht="16.5" thickBot="1">
      <c r="A47" s="102" t="s">
        <v>184</v>
      </c>
      <c r="B47" s="169">
        <f t="shared" si="3"/>
        <v>0</v>
      </c>
      <c r="C47" s="252">
        <v>0</v>
      </c>
      <c r="D47" s="352">
        <f t="shared" si="4"/>
        <v>0</v>
      </c>
      <c r="E47" s="13"/>
      <c r="F47" s="102" t="s">
        <v>12</v>
      </c>
      <c r="G47" s="262">
        <v>0</v>
      </c>
      <c r="H47" s="145">
        <f>G47*C11</f>
        <v>0</v>
      </c>
      <c r="I47" s="13"/>
      <c r="J47" s="40"/>
    </row>
    <row r="48" spans="1:18" ht="16.5" thickBot="1">
      <c r="A48" s="102" t="s">
        <v>279</v>
      </c>
      <c r="B48" s="169">
        <f t="shared" si="3"/>
        <v>2.355254999402533E-2</v>
      </c>
      <c r="C48" s="200">
        <f>SUM(C22:C33)*N55</f>
        <v>2352</v>
      </c>
      <c r="D48" s="352">
        <f t="shared" si="4"/>
        <v>12.378947368421052</v>
      </c>
      <c r="E48" s="64"/>
      <c r="F48" s="104" t="s">
        <v>13</v>
      </c>
      <c r="G48" s="274">
        <f>1-G47</f>
        <v>1</v>
      </c>
      <c r="H48" s="146">
        <f>G48*C11</f>
        <v>99861.798429326824</v>
      </c>
      <c r="I48" s="42"/>
      <c r="J48" s="81"/>
      <c r="L48" s="94" t="s">
        <v>387</v>
      </c>
      <c r="M48" s="115"/>
      <c r="N48" s="284"/>
      <c r="O48" s="285"/>
      <c r="P48" s="369"/>
    </row>
    <row r="49" spans="1:16" ht="16.5" thickBot="1">
      <c r="A49" s="96" t="s">
        <v>185</v>
      </c>
      <c r="B49" s="185">
        <f t="shared" si="3"/>
        <v>0</v>
      </c>
      <c r="C49" s="253">
        <v>0</v>
      </c>
      <c r="D49" s="353">
        <f t="shared" si="4"/>
        <v>0</v>
      </c>
      <c r="E49" s="43"/>
      <c r="L49" s="183"/>
      <c r="M49" s="177"/>
      <c r="N49" s="158"/>
      <c r="O49" s="6"/>
      <c r="P49" s="368"/>
    </row>
    <row r="50" spans="1:16" ht="15.75">
      <c r="A50" s="102" t="s">
        <v>109</v>
      </c>
      <c r="B50" s="169">
        <f>SUM(B37:B49)</f>
        <v>3.3766666062862848E-2</v>
      </c>
      <c r="C50" s="200">
        <f>SUM(C37:C49)</f>
        <v>3372</v>
      </c>
      <c r="D50" s="352">
        <f t="shared" si="4"/>
        <v>17.747368421052631</v>
      </c>
      <c r="E50" s="13"/>
      <c r="F50" s="94" t="s">
        <v>204</v>
      </c>
      <c r="G50" s="114"/>
      <c r="H50" s="120"/>
      <c r="I50" s="205"/>
      <c r="J50" s="39"/>
      <c r="L50" s="117" t="s">
        <v>134</v>
      </c>
      <c r="M50" s="6"/>
      <c r="N50" s="267">
        <v>0.35</v>
      </c>
      <c r="O50" s="6"/>
      <c r="P50" s="368"/>
    </row>
    <row r="51" spans="1:16" ht="15.75">
      <c r="A51" s="41"/>
      <c r="B51" s="13"/>
      <c r="C51" s="200"/>
      <c r="D51" s="355"/>
      <c r="E51" s="85"/>
      <c r="F51" s="41"/>
      <c r="G51" s="13"/>
      <c r="H51" s="13"/>
      <c r="I51" s="111"/>
      <c r="J51" s="40"/>
      <c r="L51" s="117" t="s">
        <v>293</v>
      </c>
      <c r="M51" s="6"/>
      <c r="N51" s="264">
        <v>7.0000000000000007E-2</v>
      </c>
      <c r="O51" s="370" t="s">
        <v>239</v>
      </c>
      <c r="P51" s="368"/>
    </row>
    <row r="52" spans="1:16" ht="15.75">
      <c r="A52" s="99" t="s">
        <v>102</v>
      </c>
      <c r="B52" s="13"/>
      <c r="C52" s="200"/>
      <c r="D52" s="354"/>
      <c r="E52" s="85"/>
      <c r="F52" s="105" t="s">
        <v>309</v>
      </c>
      <c r="G52" s="13"/>
      <c r="H52" s="13"/>
      <c r="I52" s="13"/>
      <c r="J52" s="40"/>
      <c r="L52" s="117" t="s">
        <v>259</v>
      </c>
      <c r="M52" s="6"/>
      <c r="N52" s="264">
        <v>0</v>
      </c>
      <c r="O52" s="370" t="s">
        <v>239</v>
      </c>
      <c r="P52" s="368"/>
    </row>
    <row r="53" spans="1:16" ht="15.75">
      <c r="A53" s="99" t="s">
        <v>174</v>
      </c>
      <c r="B53" s="169">
        <f>C53/$C$58</f>
        <v>0</v>
      </c>
      <c r="C53" s="252">
        <v>0</v>
      </c>
      <c r="D53" s="352">
        <f>C53/$H$68</f>
        <v>0</v>
      </c>
      <c r="E53" s="13"/>
      <c r="F53" s="102" t="s">
        <v>311</v>
      </c>
      <c r="G53" s="13"/>
      <c r="H53" s="256">
        <v>20</v>
      </c>
      <c r="I53" s="111"/>
      <c r="J53" s="40"/>
      <c r="L53" s="117" t="s">
        <v>214</v>
      </c>
      <c r="M53" s="6"/>
      <c r="N53" s="264">
        <v>0</v>
      </c>
      <c r="O53" s="370" t="s">
        <v>239</v>
      </c>
      <c r="P53" s="368"/>
    </row>
    <row r="54" spans="1:16" ht="15.75">
      <c r="A54" s="99" t="s">
        <v>175</v>
      </c>
      <c r="B54" s="169">
        <f>C54/$C$58</f>
        <v>0</v>
      </c>
      <c r="C54" s="252">
        <v>0</v>
      </c>
      <c r="D54" s="352">
        <f>C54/$H$68</f>
        <v>0</v>
      </c>
      <c r="E54" s="13"/>
      <c r="F54" s="102" t="s">
        <v>422</v>
      </c>
      <c r="G54" s="13"/>
      <c r="H54" s="554">
        <v>7.55</v>
      </c>
      <c r="I54" s="13"/>
      <c r="J54" s="40"/>
      <c r="L54" s="117" t="s">
        <v>244</v>
      </c>
      <c r="M54" s="13"/>
      <c r="N54" s="264">
        <v>1.4999999999999999E-2</v>
      </c>
      <c r="O54" s="370" t="s">
        <v>239</v>
      </c>
      <c r="P54" s="40"/>
    </row>
    <row r="55" spans="1:16" ht="16.5" thickBot="1">
      <c r="A55" s="105" t="s">
        <v>103</v>
      </c>
      <c r="B55" s="185">
        <f>C55/$C$58</f>
        <v>0</v>
      </c>
      <c r="C55" s="253">
        <v>0</v>
      </c>
      <c r="D55" s="352">
        <f>C55/$H$68</f>
        <v>0</v>
      </c>
      <c r="E55" s="13"/>
      <c r="F55" s="41"/>
      <c r="G55" s="13"/>
      <c r="H55" s="13"/>
      <c r="I55" s="13"/>
      <c r="J55" s="40"/>
      <c r="L55" s="118" t="s">
        <v>280</v>
      </c>
      <c r="M55" s="42"/>
      <c r="N55" s="280">
        <v>0.06</v>
      </c>
      <c r="O55" s="371" t="s">
        <v>239</v>
      </c>
      <c r="P55" s="81"/>
    </row>
    <row r="56" spans="1:16" ht="15.75">
      <c r="A56" s="102" t="s">
        <v>109</v>
      </c>
      <c r="B56" s="169">
        <f>SUM(B53:B55)</f>
        <v>0</v>
      </c>
      <c r="C56" s="112">
        <f>SUM(C53:C55)</f>
        <v>0</v>
      </c>
      <c r="D56" s="352">
        <f>C56/$H$68</f>
        <v>0</v>
      </c>
      <c r="E56" s="13"/>
      <c r="F56" s="105" t="s">
        <v>312</v>
      </c>
      <c r="G56" s="13"/>
      <c r="H56" s="13"/>
      <c r="I56" s="13"/>
      <c r="J56" s="40"/>
    </row>
    <row r="57" spans="1:16" ht="15.75">
      <c r="A57" s="41"/>
      <c r="B57" s="13"/>
      <c r="C57" s="13"/>
      <c r="D57" s="355"/>
      <c r="E57" s="13"/>
      <c r="F57" s="102" t="s">
        <v>311</v>
      </c>
      <c r="G57" s="13"/>
      <c r="H57" s="279">
        <f>H19-H53</f>
        <v>0</v>
      </c>
      <c r="I57" s="111"/>
      <c r="J57" s="40"/>
    </row>
    <row r="58" spans="1:16" ht="16.5" thickBot="1">
      <c r="A58" s="188" t="s">
        <v>104</v>
      </c>
      <c r="B58" s="184">
        <f>B56+B50+B34</f>
        <v>1</v>
      </c>
      <c r="C58" s="201">
        <f>C56+C50+C34</f>
        <v>99861.798429326824</v>
      </c>
      <c r="D58" s="356">
        <f>C58/$H$68</f>
        <v>525.5884127859307</v>
      </c>
      <c r="E58" s="13"/>
      <c r="F58" s="102" t="s">
        <v>422</v>
      </c>
      <c r="G58" s="98"/>
      <c r="H58" s="155"/>
      <c r="I58" s="111"/>
      <c r="J58" s="40"/>
    </row>
    <row r="59" spans="1:16" ht="13.5" thickBot="1">
      <c r="A59" s="13"/>
      <c r="B59" s="13"/>
      <c r="C59" s="82"/>
      <c r="D59" s="13"/>
      <c r="E59" s="13"/>
      <c r="F59" s="41"/>
      <c r="G59" s="13"/>
      <c r="H59" s="13"/>
      <c r="I59" s="13"/>
      <c r="J59" s="40"/>
    </row>
    <row r="60" spans="1:16" ht="15.75">
      <c r="A60" s="95" t="s">
        <v>32</v>
      </c>
      <c r="B60" s="120"/>
      <c r="C60" s="205"/>
      <c r="D60" s="121"/>
      <c r="E60" s="13"/>
      <c r="F60" s="102" t="s">
        <v>430</v>
      </c>
      <c r="G60" s="98"/>
      <c r="H60" s="155">
        <f>P17</f>
        <v>2.23</v>
      </c>
      <c r="I60" s="111"/>
      <c r="J60" s="40"/>
    </row>
    <row r="61" spans="1:16" ht="15.75">
      <c r="A61" s="41"/>
      <c r="B61" s="13"/>
      <c r="C61" s="13"/>
      <c r="D61" s="40"/>
      <c r="E61" s="13"/>
      <c r="F61" s="102"/>
      <c r="G61" s="13"/>
      <c r="H61" s="267"/>
      <c r="I61" s="111"/>
      <c r="J61" s="40"/>
    </row>
    <row r="62" spans="1:16" ht="16.5" thickBot="1">
      <c r="A62" s="347" t="s">
        <v>277</v>
      </c>
      <c r="B62" s="348"/>
      <c r="C62" s="349">
        <f>D58</f>
        <v>525.5884127859307</v>
      </c>
      <c r="D62" s="40"/>
      <c r="E62" s="13"/>
      <c r="F62" s="104" t="s">
        <v>447</v>
      </c>
      <c r="G62" s="42"/>
      <c r="H62" s="281">
        <f>H68*H72</f>
        <v>266000</v>
      </c>
      <c r="I62" s="206"/>
      <c r="J62" s="81"/>
    </row>
    <row r="63" spans="1:16" ht="13.5" thickBot="1">
      <c r="A63" s="528"/>
      <c r="B63" s="181"/>
      <c r="C63" s="181"/>
      <c r="D63" s="40"/>
      <c r="E63" s="13"/>
    </row>
    <row r="64" spans="1:16" ht="15.75">
      <c r="A64" s="102"/>
      <c r="B64" s="98"/>
      <c r="C64" s="97" t="s">
        <v>34</v>
      </c>
      <c r="D64" s="172" t="s">
        <v>33</v>
      </c>
      <c r="E64" s="13"/>
      <c r="F64" s="94" t="s">
        <v>5</v>
      </c>
      <c r="G64" s="203"/>
      <c r="H64" s="205"/>
      <c r="I64" s="38"/>
      <c r="J64" s="39"/>
    </row>
    <row r="65" spans="1:10" ht="15.75">
      <c r="A65" s="105" t="s">
        <v>0</v>
      </c>
      <c r="B65" s="109"/>
      <c r="C65" s="110">
        <f>Debt!E68</f>
        <v>1.3014092027256943</v>
      </c>
      <c r="D65" s="357">
        <f>Debt!E69</f>
        <v>1.299999999999998</v>
      </c>
      <c r="E65" s="13"/>
      <c r="F65" s="183"/>
      <c r="G65" s="153"/>
      <c r="H65" s="111"/>
      <c r="I65" s="13"/>
      <c r="J65" s="40"/>
    </row>
    <row r="66" spans="1:10" ht="15.75">
      <c r="A66" s="102" t="s">
        <v>450</v>
      </c>
      <c r="B66" s="98"/>
      <c r="C66" s="557" t="s">
        <v>269</v>
      </c>
      <c r="D66" s="40"/>
      <c r="E66" s="13"/>
      <c r="F66" s="102" t="s">
        <v>132</v>
      </c>
      <c r="G66" s="13"/>
      <c r="H66" s="223">
        <f>H12*H13</f>
        <v>190</v>
      </c>
      <c r="I66" s="13"/>
      <c r="J66" s="40"/>
    </row>
    <row r="67" spans="1:10" ht="15.75">
      <c r="D67" s="40"/>
      <c r="E67" s="13"/>
      <c r="F67" s="105" t="s">
        <v>91</v>
      </c>
      <c r="G67" s="13"/>
      <c r="H67" s="345">
        <v>0</v>
      </c>
      <c r="I67" s="13"/>
      <c r="J67" s="40"/>
    </row>
    <row r="68" spans="1:10" ht="15.75">
      <c r="A68" s="105" t="s">
        <v>341</v>
      </c>
      <c r="B68" s="13"/>
      <c r="C68" s="13"/>
      <c r="D68" s="40"/>
      <c r="E68" s="13"/>
      <c r="F68" s="119" t="s">
        <v>315</v>
      </c>
      <c r="G68" s="43"/>
      <c r="H68" s="364">
        <f>SUM(H66:H67)</f>
        <v>190</v>
      </c>
      <c r="I68" s="13"/>
      <c r="J68" s="40"/>
    </row>
    <row r="69" spans="1:10" ht="15.75">
      <c r="A69" s="102" t="s">
        <v>382</v>
      </c>
      <c r="B69" s="98"/>
      <c r="C69" s="147">
        <f>'Returns Analysis'!C39</f>
        <v>8.5890623927116383E-2</v>
      </c>
      <c r="D69" s="103"/>
      <c r="E69" s="13"/>
      <c r="F69" s="41"/>
      <c r="G69" s="13"/>
      <c r="H69" s="13"/>
      <c r="I69" s="13"/>
      <c r="J69" s="40"/>
    </row>
    <row r="70" spans="1:10" ht="15.75">
      <c r="A70" s="102" t="str">
        <f>CONCATENATE("30 Yrs After-Tax Cashflow with ",H23,"x EBITDA Exit Multiple Residual Value")</f>
        <v>30 Yrs After-Tax Cashflow with 5x EBITDA Exit Multiple Residual Value</v>
      </c>
      <c r="B70" s="13"/>
      <c r="C70" s="147">
        <f>'Returns Analysis'!C46</f>
        <v>9.0187850594520572E-2</v>
      </c>
      <c r="D70" s="103"/>
      <c r="E70" s="13"/>
      <c r="F70" s="102" t="s">
        <v>358</v>
      </c>
      <c r="G70" s="13"/>
      <c r="H70" s="254">
        <v>140</v>
      </c>
      <c r="I70" s="13"/>
      <c r="J70" s="40"/>
    </row>
    <row r="71" spans="1:10" ht="15.75">
      <c r="A71" s="102" t="str">
        <f>CONCATENATE("30 Yrs After-Tax Cashflow with ",H24*100,"% Initial Project Cost Residual Value")</f>
        <v>30 Yrs After-Tax Cashflow with 20% Initial Project Cost Residual Value</v>
      </c>
      <c r="B71" s="13"/>
      <c r="C71" s="553">
        <f>'Returns Analysis'!C53</f>
        <v>8.9916852116584803E-2</v>
      </c>
      <c r="D71" s="103"/>
      <c r="E71" s="13"/>
      <c r="F71" s="102" t="s">
        <v>273</v>
      </c>
      <c r="G71" s="13"/>
      <c r="H71" s="254">
        <v>400</v>
      </c>
      <c r="I71" s="13"/>
      <c r="J71" s="40"/>
    </row>
    <row r="72" spans="1:10" ht="16.5" thickBot="1">
      <c r="A72" s="102" t="str">
        <f>CONCATENATE("30 Yrs After-Tax Cashflow with $",H25,"/kW Residual Value")</f>
        <v>30 Yrs After-Tax Cashflow with $200/kW Residual Value</v>
      </c>
      <c r="B72" s="13"/>
      <c r="C72" s="147">
        <f>'Returns Analysis'!C60</f>
        <v>9.3201145529747009E-2</v>
      </c>
      <c r="D72" s="40"/>
      <c r="E72" s="13"/>
      <c r="F72" s="104" t="s">
        <v>178</v>
      </c>
      <c r="G72" s="42"/>
      <c r="H72" s="263">
        <v>1400</v>
      </c>
      <c r="I72" s="42"/>
      <c r="J72" s="81"/>
    </row>
    <row r="74" spans="1:10" ht="15.75">
      <c r="A74" s="105" t="s">
        <v>88</v>
      </c>
      <c r="B74" s="97">
        <f>IS!C7</f>
        <v>2001</v>
      </c>
      <c r="C74" s="97">
        <f>IS!D7</f>
        <v>2002</v>
      </c>
      <c r="D74" s="172">
        <f>IS!E7</f>
        <v>2003</v>
      </c>
      <c r="E74" s="98"/>
    </row>
    <row r="75" spans="1:10" ht="15.75">
      <c r="A75" s="102" t="s">
        <v>99</v>
      </c>
      <c r="B75" s="112">
        <f>IS!C32</f>
        <v>8974.1666666666642</v>
      </c>
      <c r="C75" s="112">
        <f>IS!D32</f>
        <v>15627.680000000002</v>
      </c>
      <c r="D75" s="167">
        <f>IS!E32</f>
        <v>15584.170399999999</v>
      </c>
      <c r="E75" s="98"/>
    </row>
    <row r="76" spans="1:10" ht="15.75">
      <c r="A76" s="102" t="s">
        <v>100</v>
      </c>
      <c r="B76" s="112">
        <f>IS!C45</f>
        <v>4166.3319948657572</v>
      </c>
      <c r="C76" s="112">
        <f>IS!D45</f>
        <v>7289.41526548416</v>
      </c>
      <c r="D76" s="167">
        <f>IS!E45</f>
        <v>7263.1137122841583</v>
      </c>
      <c r="E76" s="13"/>
    </row>
    <row r="77" spans="1:10" ht="15.75">
      <c r="A77" s="102" t="s">
        <v>101</v>
      </c>
      <c r="B77" s="112">
        <f>'Returns Analysis'!C13</f>
        <v>8974.1666666666642</v>
      </c>
      <c r="C77" s="112">
        <f>'Returns Analysis'!D13</f>
        <v>15627.680000000002</v>
      </c>
      <c r="D77" s="167">
        <f>'Returns Analysis'!E13</f>
        <v>15584.170399999999</v>
      </c>
      <c r="E77" s="13"/>
    </row>
    <row r="78" spans="1:10" ht="16.5" thickBot="1">
      <c r="A78" s="104" t="s">
        <v>371</v>
      </c>
      <c r="B78" s="113">
        <f>'Returns Analysis'!C21</f>
        <v>7488.5592139399359</v>
      </c>
      <c r="C78" s="113">
        <f>'Returns Analysis'!D21</f>
        <v>13339.020711485882</v>
      </c>
      <c r="D78" s="194">
        <f>'Returns Analysis'!E21</f>
        <v>12950.182863137294</v>
      </c>
      <c r="E78" s="13"/>
    </row>
    <row r="79" spans="1:10">
      <c r="E79" s="13"/>
    </row>
    <row r="80" spans="1:10">
      <c r="E80" s="13"/>
    </row>
    <row r="81" spans="5:9">
      <c r="E81" s="13"/>
    </row>
    <row r="82" spans="5:9">
      <c r="E82" s="13"/>
    </row>
    <row r="83" spans="5:9">
      <c r="E83" s="13"/>
    </row>
    <row r="84" spans="5:9" ht="15.75">
      <c r="E84" s="46"/>
    </row>
    <row r="86" spans="5:9" ht="15.75">
      <c r="E86" s="98"/>
    </row>
    <row r="87" spans="5:9" ht="15.75">
      <c r="E87" s="98"/>
    </row>
    <row r="88" spans="5:9" ht="15.75">
      <c r="E88" s="98"/>
    </row>
    <row r="89" spans="5:9" ht="15.75">
      <c r="E89" s="98"/>
    </row>
    <row r="90" spans="5:9">
      <c r="E90" s="13"/>
    </row>
    <row r="91" spans="5:9" ht="15.75">
      <c r="E91" s="98"/>
    </row>
    <row r="92" spans="5:9" ht="15.75">
      <c r="E92" s="98"/>
    </row>
    <row r="93" spans="5:9">
      <c r="E93" s="13"/>
    </row>
    <row r="94" spans="5:9" ht="15.75">
      <c r="E94" s="13"/>
      <c r="I94" s="160"/>
    </row>
    <row r="95" spans="5:9" ht="15.75">
      <c r="E95" s="98"/>
    </row>
    <row r="96" spans="5:9" ht="15.75">
      <c r="E96" s="98"/>
    </row>
    <row r="97" spans="5:5" ht="15.75">
      <c r="E97" s="98"/>
    </row>
    <row r="98" spans="5:5" ht="15.75">
      <c r="E98" s="97"/>
    </row>
    <row r="99" spans="5:5" ht="15.75">
      <c r="E99" s="112"/>
    </row>
    <row r="100" spans="5:5" ht="15.75">
      <c r="E100" s="112"/>
    </row>
    <row r="101" spans="5:5" ht="15.75">
      <c r="E101" s="112"/>
    </row>
    <row r="102" spans="5:5" ht="15.75">
      <c r="E102" s="112"/>
    </row>
    <row r="118" spans="9:9" ht="15.75">
      <c r="I118" s="160"/>
    </row>
    <row r="119" spans="9:9" ht="15.75">
      <c r="I119" s="160"/>
    </row>
    <row r="120" spans="9:9" ht="15.75">
      <c r="I120" s="160"/>
    </row>
    <row r="121" spans="9:9" ht="15.75">
      <c r="I121" s="160"/>
    </row>
    <row r="122" spans="9:9" ht="15.75">
      <c r="I122" s="160"/>
    </row>
    <row r="123" spans="9:9" ht="15.75">
      <c r="I123" s="160"/>
    </row>
    <row r="124" spans="9:9" ht="15.75">
      <c r="I124" s="160"/>
    </row>
    <row r="125" spans="9:9" ht="15.75">
      <c r="I125" s="160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61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6"/>
      <c r="M136" s="155"/>
      <c r="N136" s="155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5"/>
      <c r="K137" s="155"/>
      <c r="L137" s="154"/>
      <c r="M137" s="157"/>
      <c r="N137" s="157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7"/>
      <c r="K138" s="157"/>
      <c r="L138" s="159"/>
      <c r="M138" s="158"/>
      <c r="N138" s="158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8"/>
      <c r="K139" s="158"/>
      <c r="L139" s="159"/>
      <c r="M139" s="158"/>
      <c r="N139" s="158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8"/>
      <c r="K140" s="158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61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5"/>
    </row>
    <row r="151" spans="10:10" ht="15.75">
      <c r="J151" s="157"/>
    </row>
    <row r="152" spans="10:10" ht="15.75">
      <c r="J152" s="158"/>
    </row>
    <row r="153" spans="10:10" ht="15.75">
      <c r="J153" s="158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9525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0"/>
  <sheetViews>
    <sheetView zoomScale="75" zoomScaleNormal="75" workbookViewId="0">
      <selection activeCell="B19" sqref="B19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7" t="str">
        <f>Assumptions!A3</f>
        <v>PROJECT NAME: Calpine</v>
      </c>
    </row>
    <row r="3" spans="1:63" ht="12" customHeight="1">
      <c r="B3" s="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</row>
    <row r="4" spans="1:63" ht="18.75">
      <c r="B4" s="171" t="s">
        <v>408</v>
      </c>
      <c r="C4" s="67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1:63" ht="18.75">
      <c r="B5" s="210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</row>
    <row r="6" spans="1:63">
      <c r="B6" s="139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</row>
    <row r="7" spans="1:63">
      <c r="B7" s="138"/>
      <c r="C7" s="98"/>
      <c r="D7" s="215">
        <f>(Assumptions!H18/12)</f>
        <v>0.58333333333333337</v>
      </c>
      <c r="E7" s="215">
        <f>D7+1</f>
        <v>1.5833333333333335</v>
      </c>
      <c r="F7" s="215">
        <f t="shared" ref="F7:Y7" si="0">E7+1</f>
        <v>2.5833333333333335</v>
      </c>
      <c r="G7" s="215">
        <f t="shared" si="0"/>
        <v>3.5833333333333335</v>
      </c>
      <c r="H7" s="215">
        <f t="shared" si="0"/>
        <v>4.5833333333333339</v>
      </c>
      <c r="I7" s="215">
        <f t="shared" si="0"/>
        <v>5.5833333333333339</v>
      </c>
      <c r="J7" s="215">
        <f t="shared" si="0"/>
        <v>6.5833333333333339</v>
      </c>
      <c r="K7" s="215">
        <f t="shared" si="0"/>
        <v>7.5833333333333339</v>
      </c>
      <c r="L7" s="215">
        <f t="shared" si="0"/>
        <v>8.5833333333333339</v>
      </c>
      <c r="M7" s="215">
        <f t="shared" si="0"/>
        <v>9.5833333333333339</v>
      </c>
      <c r="N7" s="215">
        <f t="shared" si="0"/>
        <v>10.583333333333334</v>
      </c>
      <c r="O7" s="215">
        <f t="shared" si="0"/>
        <v>11.583333333333334</v>
      </c>
      <c r="P7" s="215">
        <f t="shared" si="0"/>
        <v>12.583333333333334</v>
      </c>
      <c r="Q7" s="215">
        <f t="shared" si="0"/>
        <v>13.583333333333334</v>
      </c>
      <c r="R7" s="215">
        <f t="shared" si="0"/>
        <v>14.583333333333334</v>
      </c>
      <c r="S7" s="215">
        <f t="shared" si="0"/>
        <v>15.583333333333334</v>
      </c>
      <c r="T7" s="215">
        <f t="shared" si="0"/>
        <v>16.583333333333336</v>
      </c>
      <c r="U7" s="215">
        <f t="shared" si="0"/>
        <v>17.583333333333336</v>
      </c>
      <c r="V7" s="215">
        <f t="shared" si="0"/>
        <v>18.583333333333336</v>
      </c>
      <c r="W7" s="215">
        <f t="shared" si="0"/>
        <v>19.583333333333336</v>
      </c>
      <c r="X7" s="215">
        <f t="shared" si="0"/>
        <v>20.583333333333336</v>
      </c>
      <c r="Y7" s="215">
        <f t="shared" si="0"/>
        <v>21.583333333333336</v>
      </c>
      <c r="Z7" s="215">
        <f t="shared" ref="Z7:AG7" si="1">Y7+1</f>
        <v>22.583333333333336</v>
      </c>
      <c r="AA7" s="215">
        <f t="shared" si="1"/>
        <v>23.583333333333336</v>
      </c>
      <c r="AB7" s="215">
        <f t="shared" si="1"/>
        <v>24.583333333333336</v>
      </c>
      <c r="AC7" s="215">
        <f t="shared" si="1"/>
        <v>25.583333333333336</v>
      </c>
      <c r="AD7" s="215">
        <f t="shared" si="1"/>
        <v>26.583333333333336</v>
      </c>
      <c r="AE7" s="215">
        <f t="shared" si="1"/>
        <v>27.583333333333336</v>
      </c>
      <c r="AF7" s="215">
        <f t="shared" si="1"/>
        <v>28.583333333333336</v>
      </c>
      <c r="AG7" s="215">
        <f t="shared" si="1"/>
        <v>29.583333333333336</v>
      </c>
      <c r="AH7" s="215">
        <f>AG7+1</f>
        <v>30.583333333333336</v>
      </c>
    </row>
    <row r="8" spans="1:63" ht="16.5" thickBot="1">
      <c r="B8" s="212"/>
      <c r="C8" s="212"/>
      <c r="D8" s="520">
        <f>YEAR(Assumptions!H17)</f>
        <v>2001</v>
      </c>
      <c r="E8" s="520">
        <f t="shared" ref="E8:X8" si="2">D8+1</f>
        <v>2002</v>
      </c>
      <c r="F8" s="520">
        <f t="shared" si="2"/>
        <v>2003</v>
      </c>
      <c r="G8" s="520">
        <f t="shared" si="2"/>
        <v>2004</v>
      </c>
      <c r="H8" s="520">
        <f t="shared" si="2"/>
        <v>2005</v>
      </c>
      <c r="I8" s="520">
        <f t="shared" si="2"/>
        <v>2006</v>
      </c>
      <c r="J8" s="520">
        <f t="shared" si="2"/>
        <v>2007</v>
      </c>
      <c r="K8" s="520">
        <f t="shared" si="2"/>
        <v>2008</v>
      </c>
      <c r="L8" s="520">
        <f t="shared" si="2"/>
        <v>2009</v>
      </c>
      <c r="M8" s="520">
        <f t="shared" si="2"/>
        <v>2010</v>
      </c>
      <c r="N8" s="520">
        <f t="shared" si="2"/>
        <v>2011</v>
      </c>
      <c r="O8" s="520">
        <f t="shared" si="2"/>
        <v>2012</v>
      </c>
      <c r="P8" s="520">
        <f t="shared" si="2"/>
        <v>2013</v>
      </c>
      <c r="Q8" s="520">
        <f t="shared" si="2"/>
        <v>2014</v>
      </c>
      <c r="R8" s="520">
        <f t="shared" si="2"/>
        <v>2015</v>
      </c>
      <c r="S8" s="520">
        <f t="shared" si="2"/>
        <v>2016</v>
      </c>
      <c r="T8" s="520">
        <f t="shared" si="2"/>
        <v>2017</v>
      </c>
      <c r="U8" s="520">
        <f t="shared" si="2"/>
        <v>2018</v>
      </c>
      <c r="V8" s="520">
        <f t="shared" si="2"/>
        <v>2019</v>
      </c>
      <c r="W8" s="520">
        <f t="shared" si="2"/>
        <v>2020</v>
      </c>
      <c r="X8" s="520">
        <f t="shared" si="2"/>
        <v>2021</v>
      </c>
      <c r="Y8" s="520">
        <f>X8+1</f>
        <v>2022</v>
      </c>
      <c r="Z8" s="520">
        <f t="shared" ref="Z8:AG8" si="3">Y8+1</f>
        <v>2023</v>
      </c>
      <c r="AA8" s="520">
        <f t="shared" si="3"/>
        <v>2024</v>
      </c>
      <c r="AB8" s="520">
        <f t="shared" si="3"/>
        <v>2025</v>
      </c>
      <c r="AC8" s="520">
        <f t="shared" si="3"/>
        <v>2026</v>
      </c>
      <c r="AD8" s="520">
        <f t="shared" si="3"/>
        <v>2027</v>
      </c>
      <c r="AE8" s="520">
        <f t="shared" si="3"/>
        <v>2028</v>
      </c>
      <c r="AF8" s="520">
        <f t="shared" si="3"/>
        <v>2029</v>
      </c>
      <c r="AG8" s="520">
        <f t="shared" si="3"/>
        <v>2030</v>
      </c>
      <c r="AH8" s="520">
        <f>AG8+1</f>
        <v>2031</v>
      </c>
    </row>
    <row r="9" spans="1:63">
      <c r="B9" s="98"/>
      <c r="C9" s="98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63">
      <c r="A10" s="12"/>
      <c r="B10" s="497" t="s">
        <v>421</v>
      </c>
      <c r="C10" s="13"/>
      <c r="D10" s="363"/>
      <c r="E10" s="363"/>
      <c r="F10" s="363"/>
      <c r="G10" s="363"/>
      <c r="H10" s="363"/>
      <c r="I10" s="363"/>
      <c r="J10" s="363"/>
      <c r="K10" s="363"/>
      <c r="L10" s="363"/>
      <c r="M10" s="363"/>
      <c r="N10" s="363"/>
      <c r="O10" s="363"/>
      <c r="P10" s="363"/>
      <c r="Q10" s="363"/>
      <c r="R10" s="363"/>
      <c r="S10" s="363"/>
      <c r="T10" s="363"/>
      <c r="U10" s="363"/>
      <c r="V10" s="363"/>
      <c r="W10" s="363"/>
      <c r="X10" s="363"/>
      <c r="Y10" s="363"/>
      <c r="Z10" s="363"/>
      <c r="AA10" s="363"/>
      <c r="AB10" s="363"/>
      <c r="AC10" s="363"/>
      <c r="AD10" s="363"/>
      <c r="AE10" s="363"/>
      <c r="AF10" s="363"/>
      <c r="AG10" s="363"/>
      <c r="AH10" s="363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98"/>
      <c r="C11" s="13"/>
      <c r="D11" s="363"/>
      <c r="E11" s="363"/>
      <c r="F11" s="363"/>
      <c r="G11" s="363"/>
      <c r="H11" s="363"/>
      <c r="I11" s="363"/>
      <c r="J11" s="363"/>
      <c r="K11" s="363"/>
      <c r="L11" s="363"/>
      <c r="M11" s="363"/>
      <c r="N11" s="363"/>
      <c r="O11" s="363"/>
      <c r="P11" s="363"/>
      <c r="Q11" s="363"/>
      <c r="R11" s="363"/>
      <c r="S11" s="363"/>
      <c r="T11" s="363"/>
      <c r="U11" s="363"/>
      <c r="V11" s="363"/>
      <c r="W11" s="363"/>
      <c r="X11" s="363"/>
      <c r="Y11" s="363"/>
      <c r="Z11" s="363"/>
      <c r="AA11" s="363"/>
      <c r="AB11" s="363"/>
      <c r="AC11" s="363"/>
      <c r="AD11" s="363"/>
      <c r="AE11" s="363"/>
      <c r="AF11" s="363"/>
      <c r="AG11" s="363"/>
      <c r="AH11" s="363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20" t="s">
        <v>310</v>
      </c>
      <c r="C12" s="13"/>
      <c r="D12" s="499">
        <f>Assumptions!$H$54</f>
        <v>7.55</v>
      </c>
      <c r="E12" s="499">
        <f>Assumptions!$H$54</f>
        <v>7.55</v>
      </c>
      <c r="F12" s="499">
        <f>Assumptions!$H$54</f>
        <v>7.55</v>
      </c>
      <c r="G12" s="499">
        <f>Assumptions!$H$54</f>
        <v>7.55</v>
      </c>
      <c r="H12" s="499">
        <f>Assumptions!$H$54</f>
        <v>7.55</v>
      </c>
      <c r="I12" s="499">
        <f>Assumptions!$H$54</f>
        <v>7.55</v>
      </c>
      <c r="J12" s="499">
        <f>Assumptions!$H$54</f>
        <v>7.55</v>
      </c>
      <c r="K12" s="499">
        <f>Assumptions!$H$54</f>
        <v>7.55</v>
      </c>
      <c r="L12" s="499">
        <f>Assumptions!$H$54</f>
        <v>7.55</v>
      </c>
      <c r="M12" s="499">
        <f>Assumptions!$H$54</f>
        <v>7.55</v>
      </c>
      <c r="N12" s="499">
        <f>Assumptions!$H$54</f>
        <v>7.55</v>
      </c>
      <c r="O12" s="499">
        <f>Assumptions!$H$54</f>
        <v>7.55</v>
      </c>
      <c r="P12" s="499">
        <f>Assumptions!$H$54</f>
        <v>7.55</v>
      </c>
      <c r="Q12" s="499">
        <f>Assumptions!$H$54</f>
        <v>7.55</v>
      </c>
      <c r="R12" s="499">
        <f>Assumptions!$H$54</f>
        <v>7.55</v>
      </c>
      <c r="S12" s="499">
        <f>Assumptions!$H$54</f>
        <v>7.55</v>
      </c>
      <c r="T12" s="499">
        <f>Assumptions!$H$54</f>
        <v>7.55</v>
      </c>
      <c r="U12" s="499">
        <f>Assumptions!$H$54</f>
        <v>7.55</v>
      </c>
      <c r="V12" s="499">
        <f>Assumptions!$H$54</f>
        <v>7.55</v>
      </c>
      <c r="W12" s="499">
        <f>Assumptions!$H$54</f>
        <v>7.55</v>
      </c>
      <c r="X12" s="499">
        <f>Assumptions!$H$54</f>
        <v>7.55</v>
      </c>
      <c r="Y12" s="499">
        <f>Assumptions!$H$54</f>
        <v>7.55</v>
      </c>
      <c r="Z12" s="499">
        <f>Assumptions!$H$54</f>
        <v>7.55</v>
      </c>
      <c r="AA12" s="499">
        <f>Assumptions!$H$54</f>
        <v>7.55</v>
      </c>
      <c r="AB12" s="499">
        <f>Assumptions!$H$54</f>
        <v>7.55</v>
      </c>
      <c r="AC12" s="499">
        <f>Assumptions!$H$54</f>
        <v>7.55</v>
      </c>
      <c r="AD12" s="499">
        <f>Assumptions!$H$54</f>
        <v>7.55</v>
      </c>
      <c r="AE12" s="499">
        <f>Assumptions!$H$54</f>
        <v>7.55</v>
      </c>
      <c r="AF12" s="499">
        <f>Assumptions!$H$54</f>
        <v>7.55</v>
      </c>
      <c r="AG12" s="499">
        <f>Assumptions!$H$54</f>
        <v>7.55</v>
      </c>
      <c r="AH12" s="499">
        <f>Assumptions!$H$54</f>
        <v>7.55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20"/>
      <c r="C13" s="13"/>
      <c r="D13" s="363"/>
      <c r="E13" s="363"/>
      <c r="F13" s="363"/>
      <c r="G13" s="363"/>
      <c r="H13" s="363"/>
      <c r="I13" s="363"/>
      <c r="J13" s="363"/>
      <c r="K13" s="363"/>
      <c r="L13" s="363"/>
      <c r="M13" s="363"/>
      <c r="N13" s="363"/>
      <c r="O13" s="363"/>
      <c r="P13" s="363"/>
      <c r="Q13" s="363"/>
      <c r="R13" s="363"/>
      <c r="S13" s="363"/>
      <c r="T13" s="363"/>
      <c r="U13" s="363"/>
      <c r="V13" s="363"/>
      <c r="W13" s="363"/>
      <c r="X13" s="363"/>
      <c r="Y13" s="363"/>
      <c r="Z13" s="363"/>
      <c r="AA13" s="363"/>
      <c r="AB13" s="363"/>
      <c r="AC13" s="363"/>
      <c r="AD13" s="363"/>
      <c r="AE13" s="363"/>
      <c r="AF13" s="363"/>
      <c r="AG13" s="363"/>
      <c r="AH13" s="363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20" t="s">
        <v>319</v>
      </c>
      <c r="C14" s="13"/>
      <c r="D14" s="363"/>
      <c r="E14" s="363"/>
      <c r="F14" s="363"/>
      <c r="G14" s="363"/>
      <c r="H14" s="363"/>
      <c r="I14" s="363"/>
      <c r="J14" s="363"/>
      <c r="K14" s="363"/>
      <c r="L14" s="363"/>
      <c r="M14" s="363"/>
      <c r="N14" s="363"/>
      <c r="O14" s="363"/>
      <c r="P14" s="363"/>
      <c r="Q14" s="363"/>
      <c r="R14" s="363"/>
      <c r="S14" s="363"/>
      <c r="T14" s="363"/>
      <c r="U14" s="363"/>
      <c r="V14" s="363"/>
      <c r="W14" s="363"/>
      <c r="X14" s="363"/>
      <c r="Y14" s="363"/>
      <c r="Z14" s="363"/>
      <c r="AA14" s="363"/>
      <c r="AB14" s="363"/>
      <c r="AC14" s="363"/>
      <c r="AD14" s="363"/>
      <c r="AE14" s="363"/>
      <c r="AF14" s="363"/>
      <c r="AG14" s="363"/>
      <c r="AH14" s="363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247</v>
      </c>
      <c r="C15" s="12"/>
      <c r="D15" s="500">
        <v>5.4933333333333332</v>
      </c>
      <c r="E15" s="500">
        <v>5.6581333333333328</v>
      </c>
      <c r="F15" s="500">
        <v>5.6457561666666676</v>
      </c>
      <c r="G15" s="500">
        <v>5.7213364508333333</v>
      </c>
      <c r="H15" s="500">
        <v>5.6997641986416658</v>
      </c>
      <c r="I15" s="500">
        <v>5.7712527665568336</v>
      </c>
      <c r="J15" s="500">
        <v>5.8419008607681322</v>
      </c>
      <c r="K15" s="500">
        <v>5.9115937131422074</v>
      </c>
      <c r="L15" s="500">
        <v>6.088941524536474</v>
      </c>
      <c r="M15" s="500">
        <v>6.1596167386605574</v>
      </c>
      <c r="N15" s="500">
        <v>6.3444052408203753</v>
      </c>
      <c r="O15" s="500">
        <v>6.4159239908078041</v>
      </c>
      <c r="P15" s="500">
        <v>6.6084017105320383</v>
      </c>
      <c r="Q15" s="500">
        <v>6.680604618110074</v>
      </c>
      <c r="R15" s="500">
        <v>6.7511921386033125</v>
      </c>
      <c r="S15" s="500">
        <v>6.8200023661698452</v>
      </c>
      <c r="T15" s="500">
        <v>6.8868651344656273</v>
      </c>
      <c r="U15" s="500">
        <v>6.951601666729605</v>
      </c>
      <c r="V15" s="500">
        <v>7.014024212308402</v>
      </c>
      <c r="W15" s="500">
        <v>7.0739356691218687</v>
      </c>
      <c r="X15" s="500">
        <v>7.1311291915530655</v>
      </c>
      <c r="Y15" s="500">
        <v>7.1853877832279265</v>
      </c>
      <c r="Z15" s="500">
        <v>7.2396463749027831</v>
      </c>
      <c r="AA15" s="500">
        <v>7.2939049665776494</v>
      </c>
      <c r="AB15" s="500">
        <v>7.3481635582525087</v>
      </c>
      <c r="AC15" s="500">
        <v>7.402422149927367</v>
      </c>
      <c r="AD15" s="500">
        <v>7.4566807416022245</v>
      </c>
      <c r="AE15" s="500">
        <v>7.5109393332770908</v>
      </c>
      <c r="AF15" s="500">
        <v>7.5651979249519501</v>
      </c>
      <c r="AG15" s="500">
        <v>7.6194565166268085</v>
      </c>
      <c r="AH15" s="500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248</v>
      </c>
      <c r="C16" s="12"/>
      <c r="D16" s="500">
        <v>4.3775000000000004</v>
      </c>
      <c r="E16" s="500">
        <v>4.5088249999999999</v>
      </c>
      <c r="F16" s="500">
        <v>4.7351503333333334</v>
      </c>
      <c r="G16" s="500">
        <v>4.8772048433333328</v>
      </c>
      <c r="H16" s="500">
        <v>5.023520988633333</v>
      </c>
      <c r="I16" s="500">
        <v>5.1742266182923329</v>
      </c>
      <c r="J16" s="500">
        <v>5.3294534168411039</v>
      </c>
      <c r="K16" s="500">
        <v>5.2782086724483994</v>
      </c>
      <c r="L16" s="500">
        <v>5.2190927353169778</v>
      </c>
      <c r="M16" s="500">
        <v>5.0396864225404565</v>
      </c>
      <c r="N16" s="500">
        <v>4.9601713700959298</v>
      </c>
      <c r="O16" s="500">
        <v>4.8713496967244438</v>
      </c>
      <c r="P16" s="500">
        <v>4.8951123781718797</v>
      </c>
      <c r="Q16" s="500">
        <v>4.9159166057791106</v>
      </c>
      <c r="R16" s="500">
        <v>4.8037328678523572</v>
      </c>
      <c r="S16" s="500">
        <v>4.8141193172963614</v>
      </c>
      <c r="T16" s="500">
        <v>4.8208055941259396</v>
      </c>
      <c r="U16" s="500">
        <v>4.9654297619497179</v>
      </c>
      <c r="V16" s="500">
        <v>5.114392654808209</v>
      </c>
      <c r="W16" s="500">
        <v>5.117315164896671</v>
      </c>
      <c r="X16" s="500">
        <v>5.27083461984357</v>
      </c>
      <c r="Y16" s="500">
        <v>5.4289596584388775</v>
      </c>
      <c r="Z16" s="500">
        <v>5.5870846970341832</v>
      </c>
      <c r="AA16" s="500">
        <v>5.7452097356294916</v>
      </c>
      <c r="AB16" s="500">
        <v>5.9033347742247999</v>
      </c>
      <c r="AC16" s="500">
        <v>6.0614598128201083</v>
      </c>
      <c r="AD16" s="500">
        <v>6.2195848514154086</v>
      </c>
      <c r="AE16" s="500">
        <v>6.377709890010717</v>
      </c>
      <c r="AF16" s="500">
        <v>6.5358349286060253</v>
      </c>
      <c r="AG16" s="500">
        <v>6.6939599672013337</v>
      </c>
      <c r="AH16" s="500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245</v>
      </c>
      <c r="C17" s="12"/>
      <c r="D17" s="501">
        <v>0</v>
      </c>
      <c r="E17" s="501">
        <v>0</v>
      </c>
      <c r="F17" s="501">
        <v>0</v>
      </c>
      <c r="G17" s="501">
        <v>0</v>
      </c>
      <c r="H17" s="501">
        <v>0</v>
      </c>
      <c r="I17" s="501">
        <v>0</v>
      </c>
      <c r="J17" s="501">
        <v>0</v>
      </c>
      <c r="K17" s="501">
        <v>0</v>
      </c>
      <c r="L17" s="501">
        <v>0</v>
      </c>
      <c r="M17" s="501">
        <v>0</v>
      </c>
      <c r="N17" s="501">
        <v>0</v>
      </c>
      <c r="O17" s="501">
        <v>0</v>
      </c>
      <c r="P17" s="501">
        <v>0</v>
      </c>
      <c r="Q17" s="501">
        <v>0</v>
      </c>
      <c r="R17" s="501">
        <v>0</v>
      </c>
      <c r="S17" s="501">
        <v>0</v>
      </c>
      <c r="T17" s="501">
        <v>0</v>
      </c>
      <c r="U17" s="501">
        <v>0</v>
      </c>
      <c r="V17" s="501">
        <v>0</v>
      </c>
      <c r="W17" s="501">
        <v>0</v>
      </c>
      <c r="X17" s="501">
        <v>0</v>
      </c>
      <c r="Y17" s="501">
        <v>0</v>
      </c>
      <c r="Z17" s="501">
        <v>0</v>
      </c>
      <c r="AA17" s="501">
        <v>0</v>
      </c>
      <c r="AB17" s="501">
        <v>0</v>
      </c>
      <c r="AC17" s="501">
        <v>0</v>
      </c>
      <c r="AD17" s="501">
        <v>0</v>
      </c>
      <c r="AE17" s="501">
        <v>0</v>
      </c>
      <c r="AF17" s="501">
        <v>0</v>
      </c>
      <c r="AG17" s="501">
        <v>0</v>
      </c>
      <c r="AH17" s="501">
        <v>0</v>
      </c>
      <c r="AI17" s="502"/>
      <c r="AJ17" s="502"/>
      <c r="AK17" s="502"/>
      <c r="AL17" s="502"/>
      <c r="AM17" s="502"/>
      <c r="AN17" s="502"/>
      <c r="AO17" s="502"/>
      <c r="AP17" s="502"/>
      <c r="AQ17" s="502"/>
      <c r="AR17" s="50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39</v>
      </c>
      <c r="C18" s="12"/>
      <c r="D18" s="503">
        <v>0</v>
      </c>
      <c r="E18" s="503">
        <v>0</v>
      </c>
      <c r="F18" s="503">
        <v>0</v>
      </c>
      <c r="G18" s="503">
        <v>0</v>
      </c>
      <c r="H18" s="503">
        <v>0</v>
      </c>
      <c r="I18" s="503">
        <v>0</v>
      </c>
      <c r="J18" s="503">
        <v>0</v>
      </c>
      <c r="K18" s="503">
        <v>0</v>
      </c>
      <c r="L18" s="503">
        <v>0</v>
      </c>
      <c r="M18" s="503">
        <v>0</v>
      </c>
      <c r="N18" s="503">
        <v>0</v>
      </c>
      <c r="O18" s="503">
        <v>0</v>
      </c>
      <c r="P18" s="503">
        <v>0</v>
      </c>
      <c r="Q18" s="503">
        <v>0</v>
      </c>
      <c r="R18" s="503">
        <v>0</v>
      </c>
      <c r="S18" s="503">
        <v>0</v>
      </c>
      <c r="T18" s="503">
        <v>0</v>
      </c>
      <c r="U18" s="503">
        <v>0</v>
      </c>
      <c r="V18" s="503">
        <v>0</v>
      </c>
      <c r="W18" s="503">
        <v>0</v>
      </c>
      <c r="X18" s="503">
        <v>0</v>
      </c>
      <c r="Y18" s="503">
        <v>0</v>
      </c>
      <c r="Z18" s="503">
        <v>0</v>
      </c>
      <c r="AA18" s="503">
        <v>0</v>
      </c>
      <c r="AB18" s="503">
        <v>0</v>
      </c>
      <c r="AC18" s="503">
        <v>0</v>
      </c>
      <c r="AD18" s="503">
        <v>0</v>
      </c>
      <c r="AE18" s="503">
        <v>0</v>
      </c>
      <c r="AF18" s="503">
        <v>0</v>
      </c>
      <c r="AG18" s="503">
        <v>0</v>
      </c>
      <c r="AH18" s="503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504">
        <f>Assumptions!V13</f>
        <v>1</v>
      </c>
      <c r="B19" s="13" t="s">
        <v>124</v>
      </c>
      <c r="C19" s="505"/>
      <c r="D19" s="506">
        <f t="shared" ref="D19:AH19" si="4">CHOOSE($A$19,D15,D16,D17,D18)</f>
        <v>5.4933333333333332</v>
      </c>
      <c r="E19" s="506">
        <f t="shared" si="4"/>
        <v>5.6581333333333328</v>
      </c>
      <c r="F19" s="506">
        <f t="shared" si="4"/>
        <v>5.6457561666666676</v>
      </c>
      <c r="G19" s="506">
        <f t="shared" si="4"/>
        <v>5.7213364508333333</v>
      </c>
      <c r="H19" s="506">
        <f t="shared" si="4"/>
        <v>5.6997641986416658</v>
      </c>
      <c r="I19" s="506">
        <f t="shared" si="4"/>
        <v>5.7712527665568336</v>
      </c>
      <c r="J19" s="506">
        <f t="shared" si="4"/>
        <v>5.8419008607681322</v>
      </c>
      <c r="K19" s="506">
        <f t="shared" si="4"/>
        <v>5.9115937131422074</v>
      </c>
      <c r="L19" s="506">
        <f t="shared" si="4"/>
        <v>6.088941524536474</v>
      </c>
      <c r="M19" s="506">
        <f t="shared" si="4"/>
        <v>6.1596167386605574</v>
      </c>
      <c r="N19" s="506">
        <f t="shared" si="4"/>
        <v>6.3444052408203753</v>
      </c>
      <c r="O19" s="506">
        <f t="shared" si="4"/>
        <v>6.4159239908078041</v>
      </c>
      <c r="P19" s="506">
        <f t="shared" si="4"/>
        <v>6.6084017105320383</v>
      </c>
      <c r="Q19" s="506">
        <f t="shared" si="4"/>
        <v>6.680604618110074</v>
      </c>
      <c r="R19" s="506">
        <f t="shared" si="4"/>
        <v>6.7511921386033125</v>
      </c>
      <c r="S19" s="506">
        <f t="shared" si="4"/>
        <v>6.8200023661698452</v>
      </c>
      <c r="T19" s="506">
        <f t="shared" si="4"/>
        <v>6.8868651344656273</v>
      </c>
      <c r="U19" s="506">
        <f t="shared" si="4"/>
        <v>6.951601666729605</v>
      </c>
      <c r="V19" s="506">
        <f t="shared" si="4"/>
        <v>7.014024212308402</v>
      </c>
      <c r="W19" s="506">
        <f t="shared" si="4"/>
        <v>7.0739356691218687</v>
      </c>
      <c r="X19" s="506">
        <f t="shared" si="4"/>
        <v>7.1311291915530655</v>
      </c>
      <c r="Y19" s="506">
        <f t="shared" si="4"/>
        <v>7.1853877832279265</v>
      </c>
      <c r="Z19" s="506">
        <f t="shared" si="4"/>
        <v>7.2396463749027831</v>
      </c>
      <c r="AA19" s="506">
        <f t="shared" si="4"/>
        <v>7.2939049665776494</v>
      </c>
      <c r="AB19" s="506">
        <f t="shared" si="4"/>
        <v>7.3481635582525087</v>
      </c>
      <c r="AC19" s="506">
        <f t="shared" si="4"/>
        <v>7.402422149927367</v>
      </c>
      <c r="AD19" s="506">
        <f t="shared" si="4"/>
        <v>7.4566807416022245</v>
      </c>
      <c r="AE19" s="506">
        <f t="shared" si="4"/>
        <v>7.5109393332770908</v>
      </c>
      <c r="AF19" s="506">
        <f t="shared" si="4"/>
        <v>7.5651979249519501</v>
      </c>
      <c r="AG19" s="506">
        <f t="shared" si="4"/>
        <v>7.6194565166268085</v>
      </c>
      <c r="AH19" s="506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505"/>
      <c r="D20" s="507"/>
      <c r="E20" s="507"/>
      <c r="F20" s="507"/>
      <c r="G20" s="507"/>
      <c r="H20" s="507"/>
      <c r="I20" s="507"/>
      <c r="J20" s="507"/>
      <c r="K20" s="507"/>
      <c r="L20" s="507"/>
      <c r="M20" s="507"/>
      <c r="N20" s="507"/>
      <c r="O20" s="507"/>
      <c r="P20" s="507"/>
      <c r="Q20" s="507"/>
      <c r="R20" s="507"/>
      <c r="S20" s="507"/>
      <c r="T20" s="507"/>
      <c r="U20" s="507"/>
      <c r="V20" s="507"/>
      <c r="W20" s="507"/>
      <c r="X20" s="507"/>
      <c r="Y20" s="508"/>
      <c r="Z20" s="509"/>
      <c r="AA20" s="509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313</v>
      </c>
      <c r="C21" s="505"/>
      <c r="D21" s="510">
        <f>IF(AND(C7&lt;$D$7+Assumptions!$H$53,D7&lt;$D$7+Assumptions!$H$53),D12,IF(AND(C7&lt;$D$7+Assumptions!$H$53,D7&gt;$D$7+Assumptions!$H$53),D12*(1-$D$7)+D19*$D$7,D19))</f>
        <v>7.55</v>
      </c>
      <c r="E21" s="511">
        <f>IF(AND(D7&lt;$D$7+Assumptions!$H$53,E7&lt;$D$7+Assumptions!$H$53),E12,IF(AND(D7&lt;$D$7+Assumptions!$H$53,E7&gt;=$D$7+Assumptions!$H$53),E12*(1-$D$7)+E19*$D$7,E19))</f>
        <v>7.55</v>
      </c>
      <c r="F21" s="511">
        <f>IF(AND(E7&lt;$D$7+Assumptions!$H$53,F7&lt;$D$7+Assumptions!$H$53),F12,IF(AND(E7&lt;$D$7+Assumptions!$H$53,F7&gt;=$D$7+Assumptions!$H$53),F12*(1-$D$7)+F19*$D$7,F19))</f>
        <v>7.55</v>
      </c>
      <c r="G21" s="511">
        <f>IF(AND(F7&lt;$D$7+Assumptions!$H$53,G7&lt;$D$7+Assumptions!$H$53),G12,IF(AND(F7&lt;$D$7+Assumptions!$H$53,G7&gt;=$D$7+Assumptions!$H$53),G12*(1-$D$7)+G19*$D$7,G19))</f>
        <v>7.55</v>
      </c>
      <c r="H21" s="511">
        <f>IF(AND(G7&lt;$D$7+Assumptions!$H$53,H7&lt;$D$7+Assumptions!$H$53),H12,IF(AND(G7&lt;$D$7+Assumptions!$H$53,H7&gt;=$D$7+Assumptions!$H$53),H12*(1-$D$7)+H19*$D$7,H19))</f>
        <v>7.55</v>
      </c>
      <c r="I21" s="511">
        <f>IF(AND(H7&lt;$D$7+Assumptions!$H$53,I7&lt;$D$7+Assumptions!$H$53),I12,IF(AND(H7&lt;$D$7+Assumptions!$H$53,I7&gt;=$D$7+Assumptions!$H$53),I12*(1-$D$7)+I19*$D$7,I19))</f>
        <v>7.55</v>
      </c>
      <c r="J21" s="511">
        <f>IF(AND(I7&lt;$D$7+Assumptions!$H$53,J7&lt;$D$7+Assumptions!$H$53),J12,IF(AND(I7&lt;$D$7+Assumptions!$H$53,J7&gt;=$D$7+Assumptions!$H$53),J12*(1-$D$7)+J19*$D$7,J19))</f>
        <v>7.55</v>
      </c>
      <c r="K21" s="511">
        <f>IF(AND(J7&lt;$D$7+Assumptions!$H$53,K7&lt;$D$7+Assumptions!$H$53),K12,IF(AND(J7&lt;$D$7+Assumptions!$H$53,K7&gt;=$D$7+Assumptions!$H$53),K12*(1-$D$7)+K19*$D$7,K19))</f>
        <v>7.55</v>
      </c>
      <c r="L21" s="511">
        <f>IF(AND(K7&lt;$D$7+Assumptions!$H$53,L7&lt;$D$7+Assumptions!$H$53),L12,IF(AND(K7&lt;$D$7+Assumptions!$H$53,L7&gt;=$D$7+Assumptions!$H$53),L12*(1-$D$7)+L19*$D$7,L19))</f>
        <v>7.55</v>
      </c>
      <c r="M21" s="511">
        <f>IF(AND(L7&lt;$D$7+Assumptions!$H$53,M7&lt;$D$7+Assumptions!$H$53),M12,IF(AND(L7&lt;$D$7+Assumptions!$H$53,M7&gt;=$D$7+Assumptions!$H$53),M12*(1-$D$7)+M19*$D$7,M19))</f>
        <v>7.55</v>
      </c>
      <c r="N21" s="511">
        <f>IF(AND(M7&lt;$D$7+Assumptions!$H$53,N7&lt;$D$7+Assumptions!$H$53),N12,IF(AND(M7&lt;$D$7+Assumptions!$H$53,N7&gt;=$D$7+Assumptions!$H$53),N12*(1-$D$7)+N19*$D$7,N19))</f>
        <v>7.55</v>
      </c>
      <c r="O21" s="511">
        <f>IF(AND(N7&lt;$D$7+Assumptions!$H$53,O7&lt;$D$7+Assumptions!$H$53),O12,IF(AND(N7&lt;$D$7+Assumptions!$H$53,O7&gt;=$D$7+Assumptions!$H$53),O12*(1-$D$7)+O19*$D$7,O19))</f>
        <v>7.55</v>
      </c>
      <c r="P21" s="511">
        <f>IF(AND(O7&lt;$D$7+Assumptions!$H$53,P7&lt;$D$7+Assumptions!$H$53),P12,IF(AND(O7&lt;$D$7+Assumptions!$H$53,P7&gt;=$D$7+Assumptions!$H$53),P12*(1-$D$7)+P19*$D$7,P19))</f>
        <v>7.55</v>
      </c>
      <c r="Q21" s="511">
        <f>IF(AND(P7&lt;$D$7+Assumptions!$H$53,Q7&lt;$D$7+Assumptions!$H$53),Q12,IF(AND(P7&lt;$D$7+Assumptions!$H$53,Q7&gt;=$D$7+Assumptions!$H$53),Q12*(1-$D$7)+Q19*$D$7,Q19))</f>
        <v>7.55</v>
      </c>
      <c r="R21" s="512">
        <f>IF(AND(Q7&lt;$D$7+Assumptions!$H$53,R7&lt;$D$7+Assumptions!$H$53),R12,IF(AND(Q7&lt;$D$7+Assumptions!$H$53,R7&gt;=$D$7+Assumptions!$H$53),R12*(1-$D$7)+R19*$D$7,R19))</f>
        <v>7.55</v>
      </c>
      <c r="S21" s="510">
        <f>IF(AND(R7&lt;$D$7+Assumptions!$H$53,S7&lt;$D$7+Assumptions!$H$53),S12,IF(AND(R7&lt;$D$7+Assumptions!$H$53,S7&gt;=$D$7+Assumptions!$H$53),S12*(1-$D$7)+S19*$D$7,S19))</f>
        <v>7.55</v>
      </c>
      <c r="T21" s="511">
        <f>IF(AND(S7&lt;$D$7+Assumptions!$H$53,T7&lt;$D$7+Assumptions!$H$53),T12,IF(AND(S7&lt;$D$7+Assumptions!$H$53,T7&gt;=$D$7+Assumptions!$H$53),T12*(1-$D$7)+T19*$D$7,T19))</f>
        <v>7.55</v>
      </c>
      <c r="U21" s="511">
        <f>IF(AND(T7&lt;$D$7+Assumptions!$H$53,U7&lt;$D$7+Assumptions!$H$53),U12,IF(AND(T7&lt;$D$7+Assumptions!$H$53,U7&gt;=$D$7+Assumptions!$H$53),U12*(1-$D$7)+U19*$D$7,U19))</f>
        <v>7.55</v>
      </c>
      <c r="V21" s="511">
        <f>IF(AND(U7&lt;$D$7+Assumptions!$H$53,V7&lt;$D$7+Assumptions!$H$53),V12,IF(AND(U7&lt;$D$7+Assumptions!$H$53,V7&gt;=$D$7+Assumptions!$H$53),V12*(1-$D$7)+V19*$D$7,V19))</f>
        <v>7.55</v>
      </c>
      <c r="W21" s="511">
        <f>IF(AND(V7&lt;$D$7+Assumptions!$H$53,W7&lt;$D$7+Assumptions!$H$53),W12,IF(AND(V7&lt;$D$7+Assumptions!$H$53,W7&gt;=$D$7+Assumptions!$H$53),W12*(1-$D$7)+W19*$D$7,W19))</f>
        <v>7.55</v>
      </c>
      <c r="X21" s="511">
        <f>IF(AND(W7&lt;$D$7+Assumptions!$H$53,X7&lt;$D$7+Assumptions!$H$53),X12,IF(AND(W7&lt;$D$7+Assumptions!$H$53,X7&gt;=$D$7+Assumptions!$H$53),X12*(1-$D$7)+X19*$D$7,X19))</f>
        <v>7.3056586950726219</v>
      </c>
      <c r="Y21" s="511">
        <f>IF(AND(X7&lt;$D$7+Assumptions!$H$53,Y7&lt;$D$7+Assumptions!$H$53),Y12,IF(AND(X7&lt;$D$7+Assumptions!$H$53,Y7&gt;=$D$7+Assumptions!$H$53),Y12*(1-$D$7)+Y19*$D$7,Y19))</f>
        <v>7.1853877832279265</v>
      </c>
      <c r="Z21" s="511">
        <f>IF(AND(Y7&lt;$D$7+Assumptions!$H$53,Z7&lt;$D$7+Assumptions!$H$53),Z12,IF(AND(Y7&lt;$D$7+Assumptions!$H$53,Z7&gt;=$D$7+Assumptions!$H$53),Z12*(1-$D$7)+Z19*$D$7,Z19))</f>
        <v>7.2396463749027831</v>
      </c>
      <c r="AA21" s="511">
        <f>IF(AND(Z7&lt;$D$7+Assumptions!$H$53,AA7&lt;$D$7+Assumptions!$H$53),AA12,IF(AND(Z7&lt;$D$7+Assumptions!$H$53,AA7&gt;=$D$7+Assumptions!$H$53),AA12*(1-$D$7)+AA19*$D$7,AA19))</f>
        <v>7.2939049665776494</v>
      </c>
      <c r="AB21" s="511">
        <f>IF(AND(AA7&lt;$D$7+Assumptions!$H$53,AB7&lt;$D$7+Assumptions!$H$53),AB12,IF(AND(AA7&lt;$D$7+Assumptions!$H$53,AB7&gt;=$D$7+Assumptions!$H$53),AB12*(1-$D$7)+AB19*$D$7,AB19))</f>
        <v>7.3481635582525087</v>
      </c>
      <c r="AC21" s="511">
        <f>IF(AND(AB7&lt;$D$7+Assumptions!$H$53,AC7&lt;$D$7+Assumptions!$H$53),AC12,IF(AND(AB7&lt;$D$7+Assumptions!$H$53,AC7&gt;=$D$7+Assumptions!$H$53),AC12*(1-$D$7)+AC19*$D$7,AC19))</f>
        <v>7.402422149927367</v>
      </c>
      <c r="AD21" s="511">
        <f>IF(AND(AC7&lt;$D$7+Assumptions!$H$53,AD7&lt;$D$7+Assumptions!$H$53),AD12,IF(AND(AC7&lt;$D$7+Assumptions!$H$53,AD7&gt;=$D$7+Assumptions!$H$53),AD12*(1-$D$7)+AD19*$D$7,AD19))</f>
        <v>7.4566807416022245</v>
      </c>
      <c r="AE21" s="511">
        <f>IF(AND(AD7&lt;$D$7+Assumptions!$H$53,AE7&lt;$D$7+Assumptions!$H$53),AE12,IF(AND(AD7&lt;$D$7+Assumptions!$H$53,AE7&gt;=$D$7+Assumptions!$H$53),AE12*(1-$D$7)+AE19*$D$7,AE19))</f>
        <v>7.5109393332770908</v>
      </c>
      <c r="AF21" s="511">
        <f>IF(AND(AE7&lt;$D$7+Assumptions!$H$53,AF7&lt;$D$7+Assumptions!$H$53),AF12,IF(AND(AE7&lt;$D$7+Assumptions!$H$53,AF7&gt;=$D$7+Assumptions!$H$53),AF12*(1-$D$7)+AF19*$D$7,AF19))</f>
        <v>7.5651979249519501</v>
      </c>
      <c r="AG21" s="511">
        <f>IF(AND(AF7&lt;$D$7+Assumptions!$H$53,AG7&lt;$D$7+Assumptions!$H$53),AG12,IF(AND(AF7&lt;$D$7+Assumptions!$H$53,AG7&gt;=$D$7+Assumptions!$H$53),AG12*(1-$D$7)+AG19*$D$7,AG19))</f>
        <v>7.6194565166268085</v>
      </c>
      <c r="AH21" s="512">
        <f>IF(AND(AG7&lt;$D$7+Assumptions!$H$53,AH7&lt;$D$7+Assumptions!$H$53),AH12,IF(AND(AG7&lt;$D$7+Assumptions!$H$53,AH7&gt;=$D$7+Assumptions!$H$53),AH12*(1-$D$7)+AH19*$D$7,AH19))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505"/>
      <c r="D22" s="507"/>
      <c r="E22" s="507"/>
      <c r="F22" s="507"/>
      <c r="G22" s="507"/>
      <c r="H22" s="507"/>
      <c r="I22" s="507"/>
      <c r="J22" s="507"/>
      <c r="K22" s="507"/>
      <c r="L22" s="507"/>
      <c r="M22" s="507"/>
      <c r="N22" s="507"/>
      <c r="O22" s="507"/>
      <c r="P22" s="507"/>
      <c r="Q22" s="507"/>
      <c r="R22" s="507"/>
      <c r="S22" s="507"/>
      <c r="T22" s="507"/>
      <c r="U22" s="507"/>
      <c r="V22" s="507"/>
      <c r="W22" s="507"/>
      <c r="X22" s="507"/>
      <c r="Y22" s="508"/>
      <c r="Z22" s="509"/>
      <c r="AA22" s="509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50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97" t="s">
        <v>398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439</v>
      </c>
      <c r="C25" s="513"/>
      <c r="D25" s="501">
        <f>GCurve!I8</f>
        <v>3.2287916666666665</v>
      </c>
      <c r="E25" s="501">
        <f>GCurve!I9</f>
        <v>3.1855000000000007</v>
      </c>
      <c r="F25" s="501">
        <f>GCurve!I10</f>
        <v>3.1967083333333335</v>
      </c>
      <c r="G25" s="501">
        <f>GCurve!I11</f>
        <v>3.2458750000000003</v>
      </c>
      <c r="H25" s="501">
        <f>GCurve!I12</f>
        <v>3.3050416666666664</v>
      </c>
      <c r="I25" s="501">
        <f>GCurve!I13</f>
        <v>3.3679583333333336</v>
      </c>
      <c r="J25" s="501">
        <f>GCurve!I14</f>
        <v>3.4329583333333336</v>
      </c>
      <c r="K25" s="501">
        <f>GCurve!I15</f>
        <v>3.5029583333333334</v>
      </c>
      <c r="L25" s="501">
        <f>GCurve!I16</f>
        <v>3.5779583333333336</v>
      </c>
      <c r="M25" s="501">
        <f>GCurve!I17</f>
        <v>3.6579583333333332</v>
      </c>
      <c r="N25" s="501">
        <f>GCurve!I18</f>
        <v>3.7429583333333336</v>
      </c>
      <c r="O25" s="501">
        <f>GCurve!I19</f>
        <v>3.8329583333333335</v>
      </c>
      <c r="P25" s="501">
        <f>GCurve!I20</f>
        <v>3.9279583333333328</v>
      </c>
      <c r="Q25" s="501">
        <f>GCurve!I21</f>
        <v>4.0279583333333333</v>
      </c>
      <c r="R25" s="501">
        <f>GCurve!I22</f>
        <v>4.1329583333333337</v>
      </c>
      <c r="S25" s="501">
        <f>GCurve!I23</f>
        <v>4.2429583333333332</v>
      </c>
      <c r="T25" s="501">
        <f>GCurve!I24</f>
        <v>4.3579583333333334</v>
      </c>
      <c r="U25" s="501">
        <f>GCurve!I25</f>
        <v>4.4779583333333335</v>
      </c>
      <c r="V25" s="501">
        <f>GCurve!I26</f>
        <v>4.6029583333333335</v>
      </c>
      <c r="W25" s="501">
        <f>GCurve!I27</f>
        <v>4.7180322916666668</v>
      </c>
      <c r="X25" s="501">
        <f>GCurve!I28</f>
        <v>4.8359830989583328</v>
      </c>
      <c r="Y25" s="501">
        <v>2.2000000000000002</v>
      </c>
      <c r="Z25" s="501">
        <v>2.2000000000000002</v>
      </c>
      <c r="AA25" s="501">
        <v>2.2000000000000002</v>
      </c>
      <c r="AB25" s="501">
        <v>2.2000000000000002</v>
      </c>
      <c r="AC25" s="501">
        <v>2.2000000000000002</v>
      </c>
      <c r="AD25" s="501">
        <v>2.2000000000000002</v>
      </c>
      <c r="AE25" s="501">
        <v>2.2000000000000002</v>
      </c>
      <c r="AF25" s="501">
        <v>2.2000000000000002</v>
      </c>
      <c r="AG25" s="501">
        <v>2.2000000000000002</v>
      </c>
      <c r="AH25" s="501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242</v>
      </c>
      <c r="C26" s="13"/>
      <c r="D26" s="501">
        <v>2.5</v>
      </c>
      <c r="E26" s="501">
        <v>2.5</v>
      </c>
      <c r="F26" s="501">
        <v>2.5</v>
      </c>
      <c r="G26" s="501">
        <v>2.5</v>
      </c>
      <c r="H26" s="501">
        <v>2.5</v>
      </c>
      <c r="I26" s="501">
        <v>2.5</v>
      </c>
      <c r="J26" s="501">
        <v>2.5</v>
      </c>
      <c r="K26" s="501">
        <v>2.5</v>
      </c>
      <c r="L26" s="501">
        <v>2.5</v>
      </c>
      <c r="M26" s="501">
        <v>2.5</v>
      </c>
      <c r="N26" s="501">
        <v>2.5</v>
      </c>
      <c r="O26" s="501">
        <v>2.5</v>
      </c>
      <c r="P26" s="501">
        <v>2.5</v>
      </c>
      <c r="Q26" s="501">
        <v>2.5</v>
      </c>
      <c r="R26" s="501">
        <v>2.5</v>
      </c>
      <c r="S26" s="501">
        <v>2.5</v>
      </c>
      <c r="T26" s="501">
        <v>2.5</v>
      </c>
      <c r="U26" s="501">
        <v>2.5</v>
      </c>
      <c r="V26" s="501">
        <v>2.5</v>
      </c>
      <c r="W26" s="501">
        <v>2.5</v>
      </c>
      <c r="X26" s="501">
        <v>2.5</v>
      </c>
      <c r="Y26" s="501">
        <v>2.5</v>
      </c>
      <c r="Z26" s="501">
        <v>2.5</v>
      </c>
      <c r="AA26" s="501">
        <v>2.5</v>
      </c>
      <c r="AB26" s="501">
        <v>2.5</v>
      </c>
      <c r="AC26" s="501">
        <v>2.5</v>
      </c>
      <c r="AD26" s="501">
        <v>2.5</v>
      </c>
      <c r="AE26" s="501">
        <v>2.5</v>
      </c>
      <c r="AF26" s="501">
        <v>2.5</v>
      </c>
      <c r="AG26" s="501">
        <v>2.5</v>
      </c>
      <c r="AH26" s="501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39</v>
      </c>
      <c r="C27" s="13"/>
      <c r="D27" s="514">
        <v>1.5</v>
      </c>
      <c r="E27" s="514">
        <v>1.5</v>
      </c>
      <c r="F27" s="514">
        <v>1.5</v>
      </c>
      <c r="G27" s="514">
        <v>1.5</v>
      </c>
      <c r="H27" s="514">
        <v>1.5</v>
      </c>
      <c r="I27" s="514">
        <v>1.5</v>
      </c>
      <c r="J27" s="514">
        <v>1.5</v>
      </c>
      <c r="K27" s="514">
        <v>1.5</v>
      </c>
      <c r="L27" s="514">
        <v>1.5</v>
      </c>
      <c r="M27" s="514">
        <v>1.5</v>
      </c>
      <c r="N27" s="514">
        <v>1.5</v>
      </c>
      <c r="O27" s="514">
        <v>1.5</v>
      </c>
      <c r="P27" s="514">
        <v>1.5</v>
      </c>
      <c r="Q27" s="514">
        <v>1.5</v>
      </c>
      <c r="R27" s="514">
        <v>1.5</v>
      </c>
      <c r="S27" s="514">
        <v>1.5</v>
      </c>
      <c r="T27" s="514">
        <v>1.5</v>
      </c>
      <c r="U27" s="514">
        <v>1.5</v>
      </c>
      <c r="V27" s="514">
        <v>1.5</v>
      </c>
      <c r="W27" s="514">
        <v>1.5</v>
      </c>
      <c r="X27" s="514">
        <v>1.5</v>
      </c>
      <c r="Y27" s="514">
        <v>1.5</v>
      </c>
      <c r="Z27" s="514">
        <v>1.5</v>
      </c>
      <c r="AA27" s="514">
        <v>1.5</v>
      </c>
      <c r="AB27" s="514">
        <v>1.5</v>
      </c>
      <c r="AC27" s="514">
        <v>1.5</v>
      </c>
      <c r="AD27" s="514">
        <v>1.5</v>
      </c>
      <c r="AE27" s="514">
        <v>1.5</v>
      </c>
      <c r="AF27" s="514">
        <v>1.5</v>
      </c>
      <c r="AG27" s="514">
        <v>1.5</v>
      </c>
      <c r="AH27" s="514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243</v>
      </c>
      <c r="C28" s="13"/>
      <c r="D28" s="515">
        <f>Assumptions!$N$54</f>
        <v>1.4999999999999999E-2</v>
      </c>
      <c r="E28" s="515">
        <f>Assumptions!$N$54</f>
        <v>1.4999999999999999E-2</v>
      </c>
      <c r="F28" s="515">
        <f>Assumptions!$N$54</f>
        <v>1.4999999999999999E-2</v>
      </c>
      <c r="G28" s="515">
        <f>Assumptions!$N$54</f>
        <v>1.4999999999999999E-2</v>
      </c>
      <c r="H28" s="515">
        <f>Assumptions!$N$54</f>
        <v>1.4999999999999999E-2</v>
      </c>
      <c r="I28" s="515">
        <f>Assumptions!$N$54</f>
        <v>1.4999999999999999E-2</v>
      </c>
      <c r="J28" s="515">
        <f>Assumptions!$N$54</f>
        <v>1.4999999999999999E-2</v>
      </c>
      <c r="K28" s="515">
        <f>Assumptions!$N$54</f>
        <v>1.4999999999999999E-2</v>
      </c>
      <c r="L28" s="515">
        <f>Assumptions!$N$54</f>
        <v>1.4999999999999999E-2</v>
      </c>
      <c r="M28" s="515">
        <f>Assumptions!$N$54</f>
        <v>1.4999999999999999E-2</v>
      </c>
      <c r="N28" s="515">
        <f>Assumptions!$N$54</f>
        <v>1.4999999999999999E-2</v>
      </c>
      <c r="O28" s="515">
        <f>Assumptions!$N$54</f>
        <v>1.4999999999999999E-2</v>
      </c>
      <c r="P28" s="515">
        <f>Assumptions!$N$54</f>
        <v>1.4999999999999999E-2</v>
      </c>
      <c r="Q28" s="515">
        <f>Assumptions!$N$54</f>
        <v>1.4999999999999999E-2</v>
      </c>
      <c r="R28" s="515">
        <f>Assumptions!$N$54</f>
        <v>1.4999999999999999E-2</v>
      </c>
      <c r="S28" s="515">
        <f>Assumptions!$N$54</f>
        <v>1.4999999999999999E-2</v>
      </c>
      <c r="T28" s="515">
        <f>Assumptions!$N$54</f>
        <v>1.4999999999999999E-2</v>
      </c>
      <c r="U28" s="515">
        <f>Assumptions!$N$54</f>
        <v>1.4999999999999999E-2</v>
      </c>
      <c r="V28" s="515">
        <f>Assumptions!$N$54</f>
        <v>1.4999999999999999E-2</v>
      </c>
      <c r="W28" s="515">
        <f>Assumptions!$N$54</f>
        <v>1.4999999999999999E-2</v>
      </c>
      <c r="X28" s="515">
        <f>Assumptions!$N$54</f>
        <v>1.4999999999999999E-2</v>
      </c>
      <c r="Y28" s="515">
        <f>Assumptions!$N$54</f>
        <v>1.4999999999999999E-2</v>
      </c>
      <c r="Z28" s="515">
        <f>Assumptions!$N$54</f>
        <v>1.4999999999999999E-2</v>
      </c>
      <c r="AA28" s="515">
        <f>Assumptions!$N$54</f>
        <v>1.4999999999999999E-2</v>
      </c>
      <c r="AB28" s="515">
        <f>Assumptions!$N$54</f>
        <v>1.4999999999999999E-2</v>
      </c>
      <c r="AC28" s="515">
        <f>Assumptions!$N$54</f>
        <v>1.4999999999999999E-2</v>
      </c>
      <c r="AD28" s="515">
        <f>Assumptions!$N$54</f>
        <v>1.4999999999999999E-2</v>
      </c>
      <c r="AE28" s="515">
        <f>Assumptions!$N$54</f>
        <v>1.4999999999999999E-2</v>
      </c>
      <c r="AF28" s="515">
        <f>Assumptions!$N$54</f>
        <v>1.4999999999999999E-2</v>
      </c>
      <c r="AG28" s="515">
        <f>Assumptions!$N$54</f>
        <v>1.4999999999999999E-2</v>
      </c>
      <c r="AH28" s="515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504">
        <f>Assumptions!U13</f>
        <v>1</v>
      </c>
      <c r="B30" s="43" t="s">
        <v>240</v>
      </c>
      <c r="C30" s="12"/>
      <c r="D30" s="516">
        <f>IF(Assumptions!$U$14="Index",'Price_Technical Assumption'!D25,IF(Assumptions!$U$14="Fixed",'Price_Technical Assumption'!D26*(1+'Price_Technical Assumption'!D28),'Price_Technical Assumption'!D27*(1+'Price_Technical Assumption'!D28)))</f>
        <v>3.2287916666666665</v>
      </c>
      <c r="E30" s="516">
        <f>IF(Assumptions!$U$14="Index",'Price_Technical Assumption'!E25,IF(Assumptions!$U$14="Fixed",'Price_Technical Assumption'!E26*(1+'Price_Technical Assumption'!E28),'Price_Technical Assumption'!E27*(1+'Price_Technical Assumption'!E28)))</f>
        <v>3.1855000000000007</v>
      </c>
      <c r="F30" s="516">
        <f>IF(Assumptions!$U$14="Index",'Price_Technical Assumption'!F25,IF(Assumptions!$U$14="Fixed",'Price_Technical Assumption'!F26*(1+'Price_Technical Assumption'!F28),'Price_Technical Assumption'!F27*(1+'Price_Technical Assumption'!F28)))</f>
        <v>3.1967083333333335</v>
      </c>
      <c r="G30" s="516">
        <f>IF(Assumptions!$U$14="Index",'Price_Technical Assumption'!G25,IF(Assumptions!$U$14="Fixed",'Price_Technical Assumption'!G26*(1+'Price_Technical Assumption'!G28),'Price_Technical Assumption'!G27*(1+'Price_Technical Assumption'!G28)))</f>
        <v>3.2458750000000003</v>
      </c>
      <c r="H30" s="516">
        <f>IF(Assumptions!$U$14="Index",'Price_Technical Assumption'!H25,IF(Assumptions!$U$14="Fixed",'Price_Technical Assumption'!H26*(1+'Price_Technical Assumption'!H28),'Price_Technical Assumption'!H27*(1+'Price_Technical Assumption'!H28)))</f>
        <v>3.3050416666666664</v>
      </c>
      <c r="I30" s="516">
        <f>IF(Assumptions!$U$14="Index",'Price_Technical Assumption'!I25,IF(Assumptions!$U$14="Fixed",'Price_Technical Assumption'!I26*(1+'Price_Technical Assumption'!I28),'Price_Technical Assumption'!I27*(1+'Price_Technical Assumption'!I28)))</f>
        <v>3.3679583333333336</v>
      </c>
      <c r="J30" s="516">
        <f>IF(Assumptions!$U$14="Index",'Price_Technical Assumption'!J25,IF(Assumptions!$U$14="Fixed",'Price_Technical Assumption'!J26*(1+'Price_Technical Assumption'!J28),'Price_Technical Assumption'!J27*(1+'Price_Technical Assumption'!J28)))</f>
        <v>3.4329583333333336</v>
      </c>
      <c r="K30" s="516">
        <f>IF(Assumptions!$U$14="Index",'Price_Technical Assumption'!K25,IF(Assumptions!$U$14="Fixed",'Price_Technical Assumption'!K26*(1+'Price_Technical Assumption'!K28),'Price_Technical Assumption'!K27*(1+'Price_Technical Assumption'!K28)))</f>
        <v>3.5029583333333334</v>
      </c>
      <c r="L30" s="516">
        <f>IF(Assumptions!$U$14="Index",'Price_Technical Assumption'!L25,IF(Assumptions!$U$14="Fixed",'Price_Technical Assumption'!L26*(1+'Price_Technical Assumption'!L28),'Price_Technical Assumption'!L27*(1+'Price_Technical Assumption'!L28)))</f>
        <v>3.5779583333333336</v>
      </c>
      <c r="M30" s="516">
        <f>IF(Assumptions!$U$14="Index",'Price_Technical Assumption'!M25,IF(Assumptions!$U$14="Fixed",'Price_Technical Assumption'!M26*(1+'Price_Technical Assumption'!M28),'Price_Technical Assumption'!M27*(1+'Price_Technical Assumption'!M28)))</f>
        <v>3.6579583333333332</v>
      </c>
      <c r="N30" s="516">
        <f>IF(Assumptions!$U$14="Index",'Price_Technical Assumption'!N25,IF(Assumptions!$U$14="Fixed",'Price_Technical Assumption'!N26*(1+'Price_Technical Assumption'!N28),'Price_Technical Assumption'!N27*(1+'Price_Technical Assumption'!N28)))</f>
        <v>3.7429583333333336</v>
      </c>
      <c r="O30" s="516">
        <f>IF(Assumptions!$U$14="Index",'Price_Technical Assumption'!O25,IF(Assumptions!$U$14="Fixed",'Price_Technical Assumption'!O26*(1+'Price_Technical Assumption'!O28),'Price_Technical Assumption'!O27*(1+'Price_Technical Assumption'!O28)))</f>
        <v>3.8329583333333335</v>
      </c>
      <c r="P30" s="516">
        <f>IF(Assumptions!$U$14="Index",'Price_Technical Assumption'!P25,IF(Assumptions!$U$14="Fixed",'Price_Technical Assumption'!P26*(1+'Price_Technical Assumption'!P28),'Price_Technical Assumption'!P27*(1+'Price_Technical Assumption'!P28)))</f>
        <v>3.9279583333333328</v>
      </c>
      <c r="Q30" s="516">
        <f>IF(Assumptions!$U$14="Index",'Price_Technical Assumption'!Q25,IF(Assumptions!$U$14="Fixed",'Price_Technical Assumption'!Q26*(1+'Price_Technical Assumption'!Q28),'Price_Technical Assumption'!Q27*(1+'Price_Technical Assumption'!Q28)))</f>
        <v>4.0279583333333333</v>
      </c>
      <c r="R30" s="516">
        <f>IF(Assumptions!$U$14="Index",'Price_Technical Assumption'!R25,IF(Assumptions!$U$14="Fixed",'Price_Technical Assumption'!R26*(1+'Price_Technical Assumption'!R28),'Price_Technical Assumption'!R27*(1+'Price_Technical Assumption'!R28)))</f>
        <v>4.1329583333333337</v>
      </c>
      <c r="S30" s="516">
        <f>IF(Assumptions!$U$14="Index",'Price_Technical Assumption'!S25,IF(Assumptions!$U$14="Fixed",'Price_Technical Assumption'!S26*(1+'Price_Technical Assumption'!S28),'Price_Technical Assumption'!S27*(1+'Price_Technical Assumption'!S28)))</f>
        <v>4.2429583333333332</v>
      </c>
      <c r="T30" s="516">
        <f>IF(Assumptions!$U$14="Index",'Price_Technical Assumption'!T25,IF(Assumptions!$U$14="Fixed",'Price_Technical Assumption'!T26*(1+'Price_Technical Assumption'!T28),'Price_Technical Assumption'!T27*(1+'Price_Technical Assumption'!T28)))</f>
        <v>4.3579583333333334</v>
      </c>
      <c r="U30" s="516">
        <f>IF(Assumptions!$U$14="Index",'Price_Technical Assumption'!U25,IF(Assumptions!$U$14="Fixed",'Price_Technical Assumption'!U26*(1+'Price_Technical Assumption'!U28),'Price_Technical Assumption'!U27*(1+'Price_Technical Assumption'!U28)))</f>
        <v>4.4779583333333335</v>
      </c>
      <c r="V30" s="516">
        <f>IF(Assumptions!$U$14="Index",'Price_Technical Assumption'!V25,IF(Assumptions!$U$14="Fixed",'Price_Technical Assumption'!V26*(1+'Price_Technical Assumption'!V28),'Price_Technical Assumption'!V27*(1+'Price_Technical Assumption'!V28)))</f>
        <v>4.6029583333333335</v>
      </c>
      <c r="W30" s="516">
        <f>IF(Assumptions!$U$14="Index",'Price_Technical Assumption'!W25,IF(Assumptions!$U$14="Fixed",'Price_Technical Assumption'!W26*(1+'Price_Technical Assumption'!W28),'Price_Technical Assumption'!W27*(1+'Price_Technical Assumption'!W28)))</f>
        <v>4.7180322916666668</v>
      </c>
      <c r="X30" s="516">
        <f>IF(Assumptions!$U$14="Index",'Price_Technical Assumption'!X25,IF(Assumptions!$U$14="Fixed",'Price_Technical Assumption'!X26*(1+'Price_Technical Assumption'!X28),'Price_Technical Assumption'!X27*(1+'Price_Technical Assumption'!X28)))</f>
        <v>4.8359830989583328</v>
      </c>
      <c r="Y30" s="516">
        <f>IF(Assumptions!$U$14="Index",'Price_Technical Assumption'!Y25,IF(Assumptions!$U$14="Fixed",'Price_Technical Assumption'!Y26*(1+'Price_Technical Assumption'!Y28),'Price_Technical Assumption'!Y27*(1+'Price_Technical Assumption'!Y28)))</f>
        <v>2.2000000000000002</v>
      </c>
      <c r="Z30" s="516">
        <f>IF(Assumptions!$U$14="Index",'Price_Technical Assumption'!Z25,IF(Assumptions!$U$14="Fixed",'Price_Technical Assumption'!Z26*(1+'Price_Technical Assumption'!Z28),'Price_Technical Assumption'!Z27*(1+'Price_Technical Assumption'!Z28)))</f>
        <v>2.2000000000000002</v>
      </c>
      <c r="AA30" s="516">
        <f>IF(Assumptions!$U$14="Index",'Price_Technical Assumption'!AA25,IF(Assumptions!$U$14="Fixed",'Price_Technical Assumption'!AA26*(1+'Price_Technical Assumption'!AA28),'Price_Technical Assumption'!AA27*(1+'Price_Technical Assumption'!AA28)))</f>
        <v>2.2000000000000002</v>
      </c>
      <c r="AB30" s="516">
        <f>IF(Assumptions!$U$14="Index",'Price_Technical Assumption'!AB25,IF(Assumptions!$U$14="Fixed",'Price_Technical Assumption'!AB26*(1+'Price_Technical Assumption'!AB28),'Price_Technical Assumption'!AB27*(1+'Price_Technical Assumption'!AB28)))</f>
        <v>2.2000000000000002</v>
      </c>
      <c r="AC30" s="516">
        <f>IF(Assumptions!$U$14="Index",'Price_Technical Assumption'!AC25,IF(Assumptions!$U$14="Fixed",'Price_Technical Assumption'!AC26*(1+'Price_Technical Assumption'!AC28),'Price_Technical Assumption'!AC27*(1+'Price_Technical Assumption'!AC28)))</f>
        <v>2.2000000000000002</v>
      </c>
      <c r="AD30" s="516">
        <f>IF(Assumptions!$U$14="Index",'Price_Technical Assumption'!AD25,IF(Assumptions!$U$14="Fixed",'Price_Technical Assumption'!AD26*(1+'Price_Technical Assumption'!AD28),'Price_Technical Assumption'!AD27*(1+'Price_Technical Assumption'!AD28)))</f>
        <v>2.2000000000000002</v>
      </c>
      <c r="AE30" s="516">
        <f>IF(Assumptions!$U$14="Index",'Price_Technical Assumption'!AE25,IF(Assumptions!$U$14="Fixed",'Price_Technical Assumption'!AE26*(1+'Price_Technical Assumption'!AE28),'Price_Technical Assumption'!AE27*(1+'Price_Technical Assumption'!AE28)))</f>
        <v>2.2000000000000002</v>
      </c>
      <c r="AF30" s="516">
        <f>IF(Assumptions!$U$14="Index",'Price_Technical Assumption'!AF25,IF(Assumptions!$U$14="Fixed",'Price_Technical Assumption'!AF26*(1+'Price_Technical Assumption'!AF28),'Price_Technical Assumption'!AF27*(1+'Price_Technical Assumption'!AF28)))</f>
        <v>2.2000000000000002</v>
      </c>
      <c r="AG30" s="516">
        <f>IF(Assumptions!$U$14="Index",'Price_Technical Assumption'!AG25,IF(Assumptions!$U$14="Fixed",'Price_Technical Assumption'!AG26*(1+'Price_Technical Assumption'!AG28),'Price_Technical Assumption'!AG27*(1+'Price_Technical Assumption'!AG28)))</f>
        <v>2.2000000000000002</v>
      </c>
      <c r="AH30" s="516">
        <f>IF(Assumptions!$U$14="Index",'Price_Technical Assumption'!AH25,IF(Assumptions!$U$14="Fixed",'Price_Technical Assumption'!AH26*(1+'Price_Technical Assumption'!AH28),'Price_Technical Assumption'!AH27*(1+'Price_Technical Assumption'!AH28)))</f>
        <v>2.2000000000000002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97" t="s">
        <v>399</v>
      </c>
      <c r="C33" s="13"/>
      <c r="D33" s="363"/>
      <c r="E33" s="363"/>
      <c r="F33" s="363"/>
      <c r="G33" s="363"/>
      <c r="H33" s="363"/>
      <c r="I33" s="363"/>
      <c r="J33" s="363"/>
      <c r="K33" s="363"/>
      <c r="L33" s="363"/>
      <c r="M33" s="363"/>
      <c r="N33" s="363"/>
      <c r="O33" s="363"/>
      <c r="P33" s="363"/>
      <c r="Q33" s="363"/>
      <c r="R33" s="363"/>
      <c r="S33" s="363"/>
      <c r="T33" s="363"/>
      <c r="U33" s="363"/>
      <c r="V33" s="363"/>
      <c r="W33" s="363"/>
      <c r="X33" s="363"/>
      <c r="Y33" s="363"/>
      <c r="Z33" s="363"/>
      <c r="AA33" s="363"/>
      <c r="AB33" s="363"/>
      <c r="AC33" s="363"/>
      <c r="AD33" s="363"/>
      <c r="AE33" s="363"/>
      <c r="AF33" s="363"/>
      <c r="AG33" s="363"/>
      <c r="AH33" s="363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241</v>
      </c>
      <c r="C34" s="12"/>
      <c r="D34" s="502">
        <f>D44*'Price_Technical Assumption'!D30/1000</f>
        <v>33.263011749999997</v>
      </c>
      <c r="E34" s="502">
        <f>E44*'Price_Technical Assumption'!E30/1000</f>
        <v>32.817021000000011</v>
      </c>
      <c r="F34" s="502">
        <f>F44*'Price_Technical Assumption'!F30/1000</f>
        <v>32.932489249999996</v>
      </c>
      <c r="G34" s="502">
        <f>G44*'Price_Technical Assumption'!G30/1000</f>
        <v>33.439004250000004</v>
      </c>
      <c r="H34" s="502">
        <f>H44*'Price_Technical Assumption'!H30/1000</f>
        <v>34.048539249999997</v>
      </c>
      <c r="I34" s="502">
        <f>I44*'Price_Technical Assumption'!I30/1000</f>
        <v>34.696706750000004</v>
      </c>
      <c r="J34" s="502">
        <f>J44*'Price_Technical Assumption'!J30/1000</f>
        <v>35.366336750000002</v>
      </c>
      <c r="K34" s="502">
        <f>K44*'Price_Technical Assumption'!K30/1000</f>
        <v>36.08747675</v>
      </c>
      <c r="L34" s="502">
        <f>L44*'Price_Technical Assumption'!L30/1000</f>
        <v>36.860126750000006</v>
      </c>
      <c r="M34" s="502">
        <f>M44*'Price_Technical Assumption'!M30/1000</f>
        <v>37.684286749999998</v>
      </c>
      <c r="N34" s="502">
        <f>N44*'Price_Technical Assumption'!N30/1000</f>
        <v>38.559956750000005</v>
      </c>
      <c r="O34" s="502">
        <f>O44*'Price_Technical Assumption'!O30/1000</f>
        <v>39.487136749999998</v>
      </c>
      <c r="P34" s="502">
        <f>P44*'Price_Technical Assumption'!P30/1000</f>
        <v>40.465826749999991</v>
      </c>
      <c r="Q34" s="502">
        <f>Q44*'Price_Technical Assumption'!Q30/1000</f>
        <v>41.496026749999999</v>
      </c>
      <c r="R34" s="502">
        <f>R44*'Price_Technical Assumption'!R30/1000</f>
        <v>42.577736750000007</v>
      </c>
      <c r="S34" s="502">
        <f>S44*'Price_Technical Assumption'!S30/1000</f>
        <v>43.710956749999994</v>
      </c>
      <c r="T34" s="502">
        <f>T44*'Price_Technical Assumption'!T30/1000</f>
        <v>44.895686750000003</v>
      </c>
      <c r="U34" s="502">
        <f>U44*'Price_Technical Assumption'!U30/1000</f>
        <v>46.131926749999998</v>
      </c>
      <c r="V34" s="502">
        <f>V44*'Price_Technical Assumption'!V30/1000</f>
        <v>47.419676750000001</v>
      </c>
      <c r="W34" s="502">
        <f>W44*'Price_Technical Assumption'!W30/1000</f>
        <v>48.605168668750004</v>
      </c>
      <c r="X34" s="502">
        <f>X44*'Price_Technical Assumption'!X30/1000</f>
        <v>49.820297885468747</v>
      </c>
      <c r="Y34" s="502">
        <f>Y44*'Price_Technical Assumption'!Y30/1000</f>
        <v>22.664400000000001</v>
      </c>
      <c r="Z34" s="502">
        <f>Z44*'Price_Technical Assumption'!Z30/1000</f>
        <v>22.664400000000001</v>
      </c>
      <c r="AA34" s="502">
        <f>AA44*'Price_Technical Assumption'!AA30/1000</f>
        <v>22.664400000000001</v>
      </c>
      <c r="AB34" s="502">
        <f>AB44*'Price_Technical Assumption'!AB30/1000</f>
        <v>22.664400000000001</v>
      </c>
      <c r="AC34" s="502">
        <f>AC44*'Price_Technical Assumption'!AC30/1000</f>
        <v>22.664400000000001</v>
      </c>
      <c r="AD34" s="502">
        <f>AD44*'Price_Technical Assumption'!AD30/1000</f>
        <v>22.664400000000001</v>
      </c>
      <c r="AE34" s="502">
        <f>AE44*'Price_Technical Assumption'!AE30/1000</f>
        <v>22.664400000000001</v>
      </c>
      <c r="AF34" s="502">
        <f>AF44*'Price_Technical Assumption'!AF30/1000</f>
        <v>22.664400000000001</v>
      </c>
      <c r="AG34" s="502">
        <f>AG44*'Price_Technical Assumption'!AG30/1000</f>
        <v>22.664400000000001</v>
      </c>
      <c r="AH34" s="502">
        <f>AH44*'Price_Technical Assumption'!AH30/1000</f>
        <v>22.664400000000001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418</v>
      </c>
      <c r="C35" s="482"/>
      <c r="D35" s="519">
        <f>Assumptions!$H$60*(1+Assumptions!$N$11)^(D7)</f>
        <v>2.2687844877166952</v>
      </c>
      <c r="E35" s="519">
        <f>Assumptions!$H$60*(1+Assumptions!$N$11)^(E7)</f>
        <v>2.3368480223481964</v>
      </c>
      <c r="F35" s="519">
        <f>Assumptions!$H$60*(1+Assumptions!$N$11)^(F7)</f>
        <v>2.4069534630186422</v>
      </c>
      <c r="G35" s="519">
        <f>Assumptions!$H$60*(1+Assumptions!$N$11)^(G7)</f>
        <v>2.4791620669092014</v>
      </c>
      <c r="H35" s="519">
        <f>Assumptions!$H$60*(1+Assumptions!$N$11)^(H7)</f>
        <v>2.5535369289164778</v>
      </c>
      <c r="I35" s="519">
        <f>Assumptions!$H$60*(1+Assumptions!$N$11)^(I7)</f>
        <v>2.6301430367839718</v>
      </c>
      <c r="J35" s="519">
        <f>Assumptions!$H$60*(1+Assumptions!$N$11)^(J7)</f>
        <v>2.7090473278874914</v>
      </c>
      <c r="K35" s="519">
        <f>Assumptions!$H$60*(1+Assumptions!$N$11)^(K7)</f>
        <v>2.790318747724116</v>
      </c>
      <c r="L35" s="519">
        <f>Assumptions!$H$60*(1+Assumptions!$N$11)^(L7)</f>
        <v>2.8740283101558397</v>
      </c>
      <c r="M35" s="519">
        <f>Assumptions!$H$60*(1+Assumptions!$N$11)^(M7)</f>
        <v>2.9602491594605151</v>
      </c>
      <c r="N35" s="519">
        <f>Assumptions!$H$60*(1+Assumptions!$N$11)^(N7)</f>
        <v>3.0490566342443306</v>
      </c>
      <c r="O35" s="519">
        <f>Assumptions!$H$60*(1+Assumptions!$N$11)^(O7)</f>
        <v>3.1405283332716607</v>
      </c>
      <c r="P35" s="519">
        <f>Assumptions!$H$60*(1+Assumptions!$N$11)^(P7)</f>
        <v>3.2347441832698105</v>
      </c>
      <c r="Q35" s="519">
        <f>Assumptions!$H$60*(1+Assumptions!$N$11)^(Q7)</f>
        <v>3.3317865087679044</v>
      </c>
      <c r="R35" s="519">
        <f>Assumptions!$H$60*(1+Assumptions!$N$11)^(R7)</f>
        <v>3.4317401040309417</v>
      </c>
      <c r="S35" s="519">
        <f>Assumptions!$H$60*(1+Assumptions!$N$11)^(S7)</f>
        <v>3.5346923071518703</v>
      </c>
      <c r="T35" s="519">
        <f>Assumptions!$H$60*(1+Assumptions!$N$11)^(T7)</f>
        <v>3.6407330763664265</v>
      </c>
      <c r="U35" s="519">
        <f>Assumptions!$H$60*(1+Assumptions!$N$11)^(U7)</f>
        <v>3.7499550686574197</v>
      </c>
      <c r="V35" s="519">
        <f>Assumptions!$H$60*(1+Assumptions!$N$11)^(V7)</f>
        <v>3.8624537207171423</v>
      </c>
      <c r="W35" s="519">
        <f>Assumptions!$H$60*(1+Assumptions!$N$11)^(W7)</f>
        <v>3.9783273323386568</v>
      </c>
      <c r="X35" s="519">
        <f>Assumptions!$H$60*(1+Assumptions!$N$11)^(X7)</f>
        <v>4.0976771523088162</v>
      </c>
      <c r="Y35" s="519">
        <f>Assumptions!$H$60*(1+Assumptions!$N$11)^(Y7)</f>
        <v>4.2206074668780813</v>
      </c>
      <c r="Z35" s="519">
        <f>Assumptions!$H$60*(1+Assumptions!$N$11)^(Z7)</f>
        <v>4.3472256908844233</v>
      </c>
      <c r="AA35" s="519">
        <f>Assumptions!$H$60*(1+Assumptions!$N$11)^(AA7)</f>
        <v>4.4776424616109569</v>
      </c>
      <c r="AB35" s="519">
        <f>Assumptions!$H$60*(1+Assumptions!$N$11)^(AB7)</f>
        <v>4.6119717354592851</v>
      </c>
      <c r="AC35" s="519">
        <f>Assumptions!$H$60*(1+Assumptions!$N$11)^(AC7)</f>
        <v>4.7503308875230639</v>
      </c>
      <c r="AD35" s="519">
        <f>Assumptions!$H$60*(1+Assumptions!$N$11)^(AD7)</f>
        <v>4.892840814148756</v>
      </c>
      <c r="AE35" s="519">
        <f>Assumptions!$H$60*(1+Assumptions!$N$11)^(AE7)</f>
        <v>5.0396260385732186</v>
      </c>
      <c r="AF35" s="519">
        <f>Assumptions!$H$60*(1+Assumptions!$N$11)^(AF7)</f>
        <v>5.1908148197304156</v>
      </c>
      <c r="AG35" s="519">
        <f>Assumptions!$H$60*(1+Assumptions!$N$11)^(AG7)</f>
        <v>5.3465392643223284</v>
      </c>
      <c r="AH35" s="519">
        <f>Assumptions!$H$60*(1+Assumptions!$N$11)^(AH7)</f>
        <v>5.506935442251998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427</v>
      </c>
      <c r="C36" s="12"/>
      <c r="D36" s="499">
        <f>SUM(D34:D35)</f>
        <v>35.531796237716691</v>
      </c>
      <c r="E36" s="499">
        <f t="shared" ref="E36:AH36" si="5">SUM(E34:E35)</f>
        <v>35.153869022348211</v>
      </c>
      <c r="F36" s="499">
        <f t="shared" si="5"/>
        <v>35.339442713018641</v>
      </c>
      <c r="G36" s="499">
        <f t="shared" si="5"/>
        <v>35.918166316909208</v>
      </c>
      <c r="H36" s="499">
        <f t="shared" si="5"/>
        <v>36.602076178916477</v>
      </c>
      <c r="I36" s="499">
        <f t="shared" si="5"/>
        <v>37.326849786783974</v>
      </c>
      <c r="J36" s="499">
        <f t="shared" si="5"/>
        <v>38.075384077887492</v>
      </c>
      <c r="K36" s="499">
        <f t="shared" si="5"/>
        <v>38.877795497724115</v>
      </c>
      <c r="L36" s="499">
        <f t="shared" si="5"/>
        <v>39.734155060155842</v>
      </c>
      <c r="M36" s="499">
        <f t="shared" si="5"/>
        <v>40.644535909460515</v>
      </c>
      <c r="N36" s="499">
        <f t="shared" si="5"/>
        <v>41.609013384244335</v>
      </c>
      <c r="O36" s="499">
        <f t="shared" si="5"/>
        <v>42.627665083271658</v>
      </c>
      <c r="P36" s="499">
        <f t="shared" si="5"/>
        <v>43.700570933269802</v>
      </c>
      <c r="Q36" s="499">
        <f t="shared" si="5"/>
        <v>44.827813258767904</v>
      </c>
      <c r="R36" s="499">
        <f t="shared" si="5"/>
        <v>46.00947685403095</v>
      </c>
      <c r="S36" s="499">
        <f t="shared" si="5"/>
        <v>47.245649057151866</v>
      </c>
      <c r="T36" s="499">
        <f t="shared" si="5"/>
        <v>48.536419826366426</v>
      </c>
      <c r="U36" s="499">
        <f t="shared" si="5"/>
        <v>49.881881818657419</v>
      </c>
      <c r="V36" s="499">
        <f t="shared" si="5"/>
        <v>51.282130470717142</v>
      </c>
      <c r="W36" s="499">
        <f t="shared" si="5"/>
        <v>52.583496001088662</v>
      </c>
      <c r="X36" s="499">
        <f t="shared" si="5"/>
        <v>53.917975037777566</v>
      </c>
      <c r="Y36" s="499">
        <f t="shared" si="5"/>
        <v>26.885007466878083</v>
      </c>
      <c r="Z36" s="499">
        <f t="shared" si="5"/>
        <v>27.011625690884422</v>
      </c>
      <c r="AA36" s="499">
        <f t="shared" si="5"/>
        <v>27.142042461610956</v>
      </c>
      <c r="AB36" s="499">
        <f t="shared" si="5"/>
        <v>27.276371735459286</v>
      </c>
      <c r="AC36" s="499">
        <f t="shared" si="5"/>
        <v>27.414730887523064</v>
      </c>
      <c r="AD36" s="499">
        <f t="shared" si="5"/>
        <v>27.557240814148756</v>
      </c>
      <c r="AE36" s="499">
        <f t="shared" si="5"/>
        <v>27.704026038573218</v>
      </c>
      <c r="AF36" s="499">
        <f t="shared" si="5"/>
        <v>27.855214819730417</v>
      </c>
      <c r="AG36" s="499">
        <f t="shared" si="5"/>
        <v>28.010939264322328</v>
      </c>
      <c r="AH36" s="499">
        <f t="shared" si="5"/>
        <v>28.171335442251998</v>
      </c>
      <c r="AI36" s="502"/>
      <c r="AJ36" s="50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502"/>
      <c r="E37" s="502"/>
      <c r="F37" s="502"/>
      <c r="G37" s="502"/>
      <c r="H37" s="502"/>
      <c r="I37" s="502"/>
      <c r="J37" s="502"/>
      <c r="K37" s="502"/>
      <c r="L37" s="502"/>
      <c r="M37" s="502"/>
      <c r="N37" s="502"/>
      <c r="O37" s="502"/>
      <c r="P37" s="502"/>
      <c r="Q37" s="502"/>
      <c r="R37" s="502"/>
      <c r="S37" s="502"/>
      <c r="T37" s="502"/>
      <c r="U37" s="502"/>
      <c r="V37" s="502"/>
      <c r="W37" s="502"/>
      <c r="X37" s="502"/>
      <c r="Y37" s="502"/>
      <c r="Z37" s="502"/>
      <c r="AA37" s="502"/>
      <c r="AB37" s="502"/>
      <c r="AC37" s="502"/>
      <c r="AD37" s="502"/>
      <c r="AE37" s="502"/>
      <c r="AF37" s="502"/>
      <c r="AG37" s="502"/>
      <c r="AH37" s="50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504" t="str">
        <f>Assumptions!W14</f>
        <v>Pass-through</v>
      </c>
      <c r="B38" s="43" t="s">
        <v>249</v>
      </c>
      <c r="C38" s="12"/>
      <c r="D38" s="516">
        <f>IF($A$38="Pass-through",D36,D34)</f>
        <v>35.531796237716691</v>
      </c>
      <c r="E38" s="517">
        <f t="shared" ref="E38:AH38" si="6">IF($A$38="Pass-through",E36,E34)</f>
        <v>35.153869022348211</v>
      </c>
      <c r="F38" s="517">
        <f t="shared" si="6"/>
        <v>35.339442713018641</v>
      </c>
      <c r="G38" s="517">
        <f t="shared" si="6"/>
        <v>35.918166316909208</v>
      </c>
      <c r="H38" s="517">
        <f t="shared" si="6"/>
        <v>36.602076178916477</v>
      </c>
      <c r="I38" s="517">
        <f t="shared" si="6"/>
        <v>37.326849786783974</v>
      </c>
      <c r="J38" s="517">
        <f t="shared" si="6"/>
        <v>38.075384077887492</v>
      </c>
      <c r="K38" s="517">
        <f t="shared" si="6"/>
        <v>38.877795497724115</v>
      </c>
      <c r="L38" s="517">
        <f t="shared" si="6"/>
        <v>39.734155060155842</v>
      </c>
      <c r="M38" s="517">
        <f t="shared" si="6"/>
        <v>40.644535909460515</v>
      </c>
      <c r="N38" s="517">
        <f t="shared" si="6"/>
        <v>41.609013384244335</v>
      </c>
      <c r="O38" s="517">
        <f t="shared" si="6"/>
        <v>42.627665083271658</v>
      </c>
      <c r="P38" s="517">
        <f t="shared" si="6"/>
        <v>43.700570933269802</v>
      </c>
      <c r="Q38" s="517">
        <f t="shared" si="6"/>
        <v>44.827813258767904</v>
      </c>
      <c r="R38" s="518">
        <f t="shared" si="6"/>
        <v>46.00947685403095</v>
      </c>
      <c r="S38" s="516">
        <f t="shared" si="6"/>
        <v>47.245649057151866</v>
      </c>
      <c r="T38" s="517">
        <f t="shared" si="6"/>
        <v>48.536419826366426</v>
      </c>
      <c r="U38" s="517">
        <f t="shared" si="6"/>
        <v>49.881881818657419</v>
      </c>
      <c r="V38" s="517">
        <f t="shared" si="6"/>
        <v>51.282130470717142</v>
      </c>
      <c r="W38" s="517">
        <f t="shared" si="6"/>
        <v>52.583496001088662</v>
      </c>
      <c r="X38" s="517">
        <f t="shared" si="6"/>
        <v>53.917975037777566</v>
      </c>
      <c r="Y38" s="517">
        <f t="shared" si="6"/>
        <v>26.885007466878083</v>
      </c>
      <c r="Z38" s="517">
        <f t="shared" si="6"/>
        <v>27.011625690884422</v>
      </c>
      <c r="AA38" s="517">
        <f t="shared" si="6"/>
        <v>27.142042461610956</v>
      </c>
      <c r="AB38" s="517">
        <f t="shared" si="6"/>
        <v>27.276371735459286</v>
      </c>
      <c r="AC38" s="517">
        <f t="shared" si="6"/>
        <v>27.414730887523064</v>
      </c>
      <c r="AD38" s="517">
        <f t="shared" si="6"/>
        <v>27.557240814148756</v>
      </c>
      <c r="AE38" s="517">
        <f t="shared" si="6"/>
        <v>27.704026038573218</v>
      </c>
      <c r="AF38" s="517">
        <f t="shared" si="6"/>
        <v>27.855214819730417</v>
      </c>
      <c r="AG38" s="517">
        <f t="shared" si="6"/>
        <v>28.010939264322328</v>
      </c>
      <c r="AH38" s="518">
        <f t="shared" si="6"/>
        <v>28.171335442251998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497" t="s">
        <v>409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 t="s">
        <v>410</v>
      </c>
      <c r="C42" s="12"/>
      <c r="D42" s="65">
        <f>Assumptions!$H$14</f>
        <v>10100</v>
      </c>
      <c r="E42" s="65">
        <f>Assumptions!$H$14</f>
        <v>10100</v>
      </c>
      <c r="F42" s="65">
        <f>Assumptions!$H$14</f>
        <v>10100</v>
      </c>
      <c r="G42" s="65">
        <f>Assumptions!$H$14</f>
        <v>10100</v>
      </c>
      <c r="H42" s="65">
        <f>Assumptions!$H$14</f>
        <v>10100</v>
      </c>
      <c r="I42" s="65">
        <f>Assumptions!$H$14</f>
        <v>10100</v>
      </c>
      <c r="J42" s="65">
        <f>Assumptions!$H$14</f>
        <v>10100</v>
      </c>
      <c r="K42" s="65">
        <f>Assumptions!$H$14</f>
        <v>10100</v>
      </c>
      <c r="L42" s="65">
        <f>Assumptions!$H$14</f>
        <v>10100</v>
      </c>
      <c r="M42" s="65">
        <f>Assumptions!$H$14</f>
        <v>10100</v>
      </c>
      <c r="N42" s="65">
        <f>Assumptions!$H$14</f>
        <v>10100</v>
      </c>
      <c r="O42" s="65">
        <f>Assumptions!$H$14</f>
        <v>10100</v>
      </c>
      <c r="P42" s="65">
        <f>Assumptions!$H$14</f>
        <v>10100</v>
      </c>
      <c r="Q42" s="65">
        <f>Assumptions!$H$14</f>
        <v>10100</v>
      </c>
      <c r="R42" s="65">
        <f>Assumptions!$H$14</f>
        <v>10100</v>
      </c>
      <c r="S42" s="65">
        <f>Assumptions!$H$14</f>
        <v>10100</v>
      </c>
      <c r="T42" s="65">
        <f>Assumptions!$H$14</f>
        <v>10100</v>
      </c>
      <c r="U42" s="65">
        <f>Assumptions!$H$14</f>
        <v>10100</v>
      </c>
      <c r="V42" s="65">
        <f>Assumptions!$H$14</f>
        <v>10100</v>
      </c>
      <c r="W42" s="65">
        <f>Assumptions!$H$14</f>
        <v>10100</v>
      </c>
      <c r="X42" s="65">
        <f>Assumptions!$H$14</f>
        <v>10100</v>
      </c>
      <c r="Y42" s="65">
        <f>Assumptions!$H$14</f>
        <v>10100</v>
      </c>
      <c r="Z42" s="65">
        <f>Assumptions!$H$14</f>
        <v>10100</v>
      </c>
      <c r="AA42" s="65">
        <f>Assumptions!$H$14</f>
        <v>10100</v>
      </c>
      <c r="AB42" s="65">
        <f>Assumptions!$H$14</f>
        <v>10100</v>
      </c>
      <c r="AC42" s="65">
        <f>Assumptions!$H$14</f>
        <v>10100</v>
      </c>
      <c r="AD42" s="65">
        <f>Assumptions!$H$14</f>
        <v>10100</v>
      </c>
      <c r="AE42" s="65">
        <f>Assumptions!$H$14</f>
        <v>10100</v>
      </c>
      <c r="AF42" s="65">
        <f>Assumptions!$H$14</f>
        <v>10100</v>
      </c>
      <c r="AG42" s="65">
        <f>Assumptions!$H$14</f>
        <v>10100</v>
      </c>
      <c r="AH42" s="65">
        <f>Assumptions!$H$14</f>
        <v>10100</v>
      </c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12" t="s">
        <v>412</v>
      </c>
      <c r="C43" s="12"/>
      <c r="D43" s="524">
        <v>0.02</v>
      </c>
      <c r="E43" s="524">
        <v>0.02</v>
      </c>
      <c r="F43" s="524">
        <v>0.02</v>
      </c>
      <c r="G43" s="524">
        <v>0.02</v>
      </c>
      <c r="H43" s="524">
        <v>0.02</v>
      </c>
      <c r="I43" s="524">
        <v>0.02</v>
      </c>
      <c r="J43" s="524">
        <v>0.02</v>
      </c>
      <c r="K43" s="524">
        <v>0.02</v>
      </c>
      <c r="L43" s="524">
        <v>0.02</v>
      </c>
      <c r="M43" s="524">
        <v>0.02</v>
      </c>
      <c r="N43" s="524">
        <v>0.02</v>
      </c>
      <c r="O43" s="524">
        <v>0.02</v>
      </c>
      <c r="P43" s="524">
        <v>0.02</v>
      </c>
      <c r="Q43" s="524">
        <v>0.02</v>
      </c>
      <c r="R43" s="524">
        <v>0.02</v>
      </c>
      <c r="S43" s="524">
        <v>0.02</v>
      </c>
      <c r="T43" s="524">
        <v>0.02</v>
      </c>
      <c r="U43" s="524">
        <v>0.02</v>
      </c>
      <c r="V43" s="524">
        <v>0.02</v>
      </c>
      <c r="W43" s="524">
        <v>0.02</v>
      </c>
      <c r="X43" s="524">
        <v>0.02</v>
      </c>
      <c r="Y43" s="524">
        <v>0.02</v>
      </c>
      <c r="Z43" s="524">
        <v>0.02</v>
      </c>
      <c r="AA43" s="524">
        <v>0.02</v>
      </c>
      <c r="AB43" s="524">
        <v>0.02</v>
      </c>
      <c r="AC43" s="524">
        <v>0.02</v>
      </c>
      <c r="AD43" s="524">
        <v>0.02</v>
      </c>
      <c r="AE43" s="524">
        <v>0.02</v>
      </c>
      <c r="AF43" s="524">
        <v>0.02</v>
      </c>
      <c r="AG43" s="524">
        <v>0.02</v>
      </c>
      <c r="AH43" s="524">
        <v>0.02</v>
      </c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411</v>
      </c>
      <c r="C44" s="12"/>
      <c r="D44" s="521">
        <f>D42*(1+D43)</f>
        <v>10302</v>
      </c>
      <c r="E44" s="522">
        <f t="shared" ref="E44:AH44" si="7">E42*(1+E43)</f>
        <v>10302</v>
      </c>
      <c r="F44" s="522">
        <f t="shared" si="7"/>
        <v>10302</v>
      </c>
      <c r="G44" s="522">
        <f t="shared" si="7"/>
        <v>10302</v>
      </c>
      <c r="H44" s="522">
        <f t="shared" si="7"/>
        <v>10302</v>
      </c>
      <c r="I44" s="522">
        <f t="shared" si="7"/>
        <v>10302</v>
      </c>
      <c r="J44" s="522">
        <f t="shared" si="7"/>
        <v>10302</v>
      </c>
      <c r="K44" s="522">
        <f t="shared" si="7"/>
        <v>10302</v>
      </c>
      <c r="L44" s="522">
        <f t="shared" si="7"/>
        <v>10302</v>
      </c>
      <c r="M44" s="522">
        <f t="shared" si="7"/>
        <v>10302</v>
      </c>
      <c r="N44" s="522">
        <f t="shared" si="7"/>
        <v>10302</v>
      </c>
      <c r="O44" s="522">
        <f t="shared" si="7"/>
        <v>10302</v>
      </c>
      <c r="P44" s="522">
        <f t="shared" si="7"/>
        <v>10302</v>
      </c>
      <c r="Q44" s="522">
        <f t="shared" si="7"/>
        <v>10302</v>
      </c>
      <c r="R44" s="523">
        <f t="shared" si="7"/>
        <v>10302</v>
      </c>
      <c r="S44" s="521">
        <f t="shared" si="7"/>
        <v>10302</v>
      </c>
      <c r="T44" s="522">
        <f t="shared" si="7"/>
        <v>10302</v>
      </c>
      <c r="U44" s="522">
        <f t="shared" si="7"/>
        <v>10302</v>
      </c>
      <c r="V44" s="522">
        <f t="shared" si="7"/>
        <v>10302</v>
      </c>
      <c r="W44" s="522">
        <f t="shared" si="7"/>
        <v>10302</v>
      </c>
      <c r="X44" s="522">
        <f t="shared" si="7"/>
        <v>10302</v>
      </c>
      <c r="Y44" s="522">
        <f t="shared" si="7"/>
        <v>10302</v>
      </c>
      <c r="Z44" s="522">
        <f t="shared" si="7"/>
        <v>10302</v>
      </c>
      <c r="AA44" s="522">
        <f t="shared" si="7"/>
        <v>10302</v>
      </c>
      <c r="AB44" s="522">
        <f t="shared" si="7"/>
        <v>10302</v>
      </c>
      <c r="AC44" s="522">
        <f t="shared" si="7"/>
        <v>10302</v>
      </c>
      <c r="AD44" s="522">
        <f t="shared" si="7"/>
        <v>10302</v>
      </c>
      <c r="AE44" s="522">
        <f t="shared" si="7"/>
        <v>10302</v>
      </c>
      <c r="AF44" s="522">
        <f t="shared" si="7"/>
        <v>10302</v>
      </c>
      <c r="AG44" s="522">
        <f t="shared" si="7"/>
        <v>10302</v>
      </c>
      <c r="AH44" s="523">
        <f t="shared" si="7"/>
        <v>10302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244"/>
  <sheetViews>
    <sheetView workbookViewId="0">
      <selection activeCell="I27" sqref="I27:I28"/>
    </sheetView>
  </sheetViews>
  <sheetFormatPr defaultRowHeight="12.75"/>
  <cols>
    <col min="3" max="3" width="10.140625" bestFit="1" customWidth="1"/>
    <col min="4" max="4" width="14.5703125" customWidth="1"/>
  </cols>
  <sheetData>
    <row r="3" spans="3:9">
      <c r="C3" s="535"/>
      <c r="D3" s="535" t="s">
        <v>436</v>
      </c>
    </row>
    <row r="4" spans="3:9">
      <c r="C4" s="535" t="s">
        <v>187</v>
      </c>
      <c r="D4" s="535" t="s">
        <v>437</v>
      </c>
    </row>
    <row r="5" spans="3:9">
      <c r="C5" s="536">
        <v>36586</v>
      </c>
      <c r="D5" s="537">
        <v>3.1789999999999998</v>
      </c>
    </row>
    <row r="6" spans="3:9">
      <c r="C6" s="536">
        <v>36617</v>
      </c>
      <c r="D6" s="537">
        <v>3.0345</v>
      </c>
    </row>
    <row r="7" spans="3:9">
      <c r="C7" s="536">
        <v>36647</v>
      </c>
      <c r="D7" s="537">
        <v>2.8849999999999998</v>
      </c>
      <c r="H7" s="538" t="s">
        <v>23</v>
      </c>
      <c r="I7" s="538" t="s">
        <v>438</v>
      </c>
    </row>
    <row r="8" spans="3:9">
      <c r="C8" s="536">
        <v>36678</v>
      </c>
      <c r="D8" s="537">
        <v>2.8755000000000002</v>
      </c>
      <c r="G8">
        <v>1</v>
      </c>
      <c r="H8">
        <v>2001</v>
      </c>
      <c r="I8" s="537">
        <f>E26</f>
        <v>3.2287916666666665</v>
      </c>
    </row>
    <row r="9" spans="3:9">
      <c r="C9" s="536">
        <v>36708</v>
      </c>
      <c r="D9" s="537">
        <v>2.948</v>
      </c>
      <c r="G9">
        <v>2</v>
      </c>
      <c r="H9">
        <v>2002</v>
      </c>
      <c r="I9" s="537">
        <f>E38</f>
        <v>3.1855000000000007</v>
      </c>
    </row>
    <row r="10" spans="3:9">
      <c r="C10" s="536">
        <v>36739</v>
      </c>
      <c r="D10" s="537">
        <v>2.9860000000000002</v>
      </c>
      <c r="G10">
        <v>3</v>
      </c>
      <c r="H10">
        <v>2003</v>
      </c>
      <c r="I10" s="537">
        <f>E50</f>
        <v>3.1967083333333335</v>
      </c>
    </row>
    <row r="11" spans="3:9">
      <c r="C11" s="536">
        <v>36770</v>
      </c>
      <c r="D11" s="537">
        <v>2.9119999999999999</v>
      </c>
      <c r="G11">
        <v>4</v>
      </c>
      <c r="H11">
        <v>2004</v>
      </c>
      <c r="I11" s="537">
        <f>E62</f>
        <v>3.2458750000000003</v>
      </c>
    </row>
    <row r="12" spans="3:9">
      <c r="C12" s="536">
        <v>36800</v>
      </c>
      <c r="D12" s="537">
        <v>2.9530000000000003</v>
      </c>
      <c r="G12">
        <v>5</v>
      </c>
      <c r="H12">
        <v>2005</v>
      </c>
      <c r="I12" s="537">
        <f>E74</f>
        <v>3.3050416666666664</v>
      </c>
    </row>
    <row r="13" spans="3:9">
      <c r="C13" s="536">
        <v>36831</v>
      </c>
      <c r="D13" s="537">
        <v>3.4805000000000001</v>
      </c>
      <c r="G13">
        <v>6</v>
      </c>
      <c r="H13">
        <v>2006</v>
      </c>
      <c r="I13" s="537">
        <f>E86</f>
        <v>3.3679583333333336</v>
      </c>
    </row>
    <row r="14" spans="3:9">
      <c r="C14" s="536">
        <v>36861</v>
      </c>
      <c r="D14" s="537">
        <v>3.9580000000000002</v>
      </c>
      <c r="G14">
        <v>7</v>
      </c>
      <c r="H14">
        <v>2007</v>
      </c>
      <c r="I14" s="537">
        <f>E98</f>
        <v>3.4329583333333336</v>
      </c>
    </row>
    <row r="15" spans="3:9">
      <c r="C15" s="536">
        <v>36892</v>
      </c>
      <c r="D15" s="537">
        <v>4.2229999999999999</v>
      </c>
      <c r="G15">
        <v>8</v>
      </c>
      <c r="H15">
        <v>2008</v>
      </c>
      <c r="I15" s="537">
        <f>E110</f>
        <v>3.5029583333333334</v>
      </c>
    </row>
    <row r="16" spans="3:9">
      <c r="C16" s="536">
        <v>36923</v>
      </c>
      <c r="D16" s="537">
        <v>4.0955000000000004</v>
      </c>
      <c r="G16">
        <v>9</v>
      </c>
      <c r="H16">
        <v>2009</v>
      </c>
      <c r="I16" s="537">
        <f>E122</f>
        <v>3.5779583333333336</v>
      </c>
    </row>
    <row r="17" spans="3:9">
      <c r="C17" s="536">
        <v>36951</v>
      </c>
      <c r="D17" s="537">
        <v>3.5080000000000005</v>
      </c>
      <c r="G17">
        <v>10</v>
      </c>
      <c r="H17">
        <v>2010</v>
      </c>
      <c r="I17" s="537">
        <f>E134</f>
        <v>3.6579583333333332</v>
      </c>
    </row>
    <row r="18" spans="3:9">
      <c r="C18" s="536">
        <v>36982</v>
      </c>
      <c r="D18" s="537">
        <v>2.9380000000000002</v>
      </c>
      <c r="G18">
        <v>11</v>
      </c>
      <c r="H18">
        <v>2011</v>
      </c>
      <c r="I18" s="537">
        <f>E146</f>
        <v>3.7429583333333336</v>
      </c>
    </row>
    <row r="19" spans="3:9">
      <c r="C19" s="536">
        <v>37012</v>
      </c>
      <c r="D19" s="537">
        <v>2.7885</v>
      </c>
      <c r="G19">
        <v>12</v>
      </c>
      <c r="H19">
        <v>2012</v>
      </c>
      <c r="I19" s="537">
        <f>E158</f>
        <v>3.8329583333333335</v>
      </c>
    </row>
    <row r="20" spans="3:9">
      <c r="C20" s="536">
        <v>37043</v>
      </c>
      <c r="D20" s="537">
        <v>2.7905000000000002</v>
      </c>
      <c r="G20">
        <v>13</v>
      </c>
      <c r="H20">
        <v>2013</v>
      </c>
      <c r="I20" s="537">
        <f>E170</f>
        <v>3.9279583333333328</v>
      </c>
    </row>
    <row r="21" spans="3:9">
      <c r="C21" s="536">
        <v>37073</v>
      </c>
      <c r="D21" s="537">
        <v>2.8034999999999997</v>
      </c>
      <c r="G21">
        <v>14</v>
      </c>
      <c r="H21">
        <v>2014</v>
      </c>
      <c r="I21" s="537">
        <f>E182</f>
        <v>4.0279583333333333</v>
      </c>
    </row>
    <row r="22" spans="3:9">
      <c r="C22" s="536">
        <v>37104</v>
      </c>
      <c r="D22" s="537">
        <v>2.8405</v>
      </c>
      <c r="G22">
        <v>15</v>
      </c>
      <c r="H22">
        <v>2015</v>
      </c>
      <c r="I22" s="537">
        <f>E194</f>
        <v>4.1329583333333337</v>
      </c>
    </row>
    <row r="23" spans="3:9">
      <c r="C23" s="536">
        <v>37135</v>
      </c>
      <c r="D23" s="537">
        <v>2.8134999999999999</v>
      </c>
      <c r="G23">
        <v>16</v>
      </c>
      <c r="H23">
        <v>2016</v>
      </c>
      <c r="I23" s="537">
        <f>E206</f>
        <v>4.2429583333333332</v>
      </c>
    </row>
    <row r="24" spans="3:9">
      <c r="C24" s="536">
        <v>37165</v>
      </c>
      <c r="D24" s="537">
        <v>2.8479999999999999</v>
      </c>
      <c r="G24">
        <v>17</v>
      </c>
      <c r="H24">
        <v>2017</v>
      </c>
      <c r="I24" s="537">
        <f>E218</f>
        <v>4.3579583333333334</v>
      </c>
    </row>
    <row r="25" spans="3:9">
      <c r="C25" s="536">
        <v>37196</v>
      </c>
      <c r="D25" s="537">
        <v>3.3245</v>
      </c>
      <c r="G25">
        <v>18</v>
      </c>
      <c r="H25">
        <v>2018</v>
      </c>
      <c r="I25" s="537">
        <f>E230</f>
        <v>4.4779583333333335</v>
      </c>
    </row>
    <row r="26" spans="3:9">
      <c r="C26" s="536">
        <v>37226</v>
      </c>
      <c r="D26" s="537">
        <v>3.7720000000000002</v>
      </c>
      <c r="E26" s="537">
        <f>AVERAGE(D15:D26)</f>
        <v>3.2287916666666665</v>
      </c>
      <c r="G26">
        <v>19</v>
      </c>
      <c r="H26">
        <v>2019</v>
      </c>
      <c r="I26" s="537">
        <f>E242</f>
        <v>4.6029583333333335</v>
      </c>
    </row>
    <row r="27" spans="3:9">
      <c r="C27" s="536">
        <v>37257</v>
      </c>
      <c r="D27" s="537">
        <v>4.2</v>
      </c>
      <c r="G27">
        <v>20</v>
      </c>
      <c r="H27">
        <v>2020</v>
      </c>
      <c r="I27" s="537">
        <f>I26*(1+0.025)</f>
        <v>4.7180322916666668</v>
      </c>
    </row>
    <row r="28" spans="3:9">
      <c r="C28" s="536">
        <v>37288</v>
      </c>
      <c r="D28" s="537">
        <v>3.9950000000000001</v>
      </c>
      <c r="G28">
        <v>21</v>
      </c>
      <c r="H28">
        <v>2021</v>
      </c>
      <c r="I28" s="537">
        <f>I27*(1+0.025)</f>
        <v>4.8359830989583328</v>
      </c>
    </row>
    <row r="29" spans="3:9">
      <c r="C29" s="536">
        <v>37316</v>
      </c>
      <c r="D29" s="537">
        <v>3.3730000000000002</v>
      </c>
    </row>
    <row r="30" spans="3:9">
      <c r="C30" s="536">
        <v>37347</v>
      </c>
      <c r="D30" s="537">
        <v>2.9039999999999999</v>
      </c>
    </row>
    <row r="31" spans="3:9">
      <c r="C31" s="536">
        <v>37377</v>
      </c>
      <c r="D31" s="537">
        <v>2.7774999999999999</v>
      </c>
    </row>
    <row r="32" spans="3:9">
      <c r="C32" s="536">
        <v>37408</v>
      </c>
      <c r="D32" s="537">
        <v>2.7795000000000001</v>
      </c>
    </row>
    <row r="33" spans="3:5">
      <c r="C33" s="536">
        <v>37438</v>
      </c>
      <c r="D33" s="537">
        <v>2.7864999999999998</v>
      </c>
    </row>
    <row r="34" spans="3:5">
      <c r="C34" s="536">
        <v>37469</v>
      </c>
      <c r="D34" s="537">
        <v>2.8275000000000001</v>
      </c>
    </row>
    <row r="35" spans="3:5">
      <c r="C35" s="536">
        <v>37500</v>
      </c>
      <c r="D35" s="537">
        <v>2.7995000000000001</v>
      </c>
    </row>
    <row r="36" spans="3:5">
      <c r="C36" s="536">
        <v>37530</v>
      </c>
      <c r="D36" s="537">
        <v>2.8330000000000002</v>
      </c>
    </row>
    <row r="37" spans="3:5">
      <c r="C37" s="536">
        <v>37561</v>
      </c>
      <c r="D37" s="537">
        <v>3.2790000000000004</v>
      </c>
    </row>
    <row r="38" spans="3:5">
      <c r="C38" s="536">
        <v>37591</v>
      </c>
      <c r="D38" s="537">
        <v>3.6715000000000009</v>
      </c>
      <c r="E38" s="537">
        <f>AVERAGE(D27:D38)</f>
        <v>3.1855000000000007</v>
      </c>
    </row>
    <row r="39" spans="3:5">
      <c r="C39" s="536">
        <v>37622</v>
      </c>
      <c r="D39" s="537">
        <v>4.1025</v>
      </c>
    </row>
    <row r="40" spans="3:5">
      <c r="C40" s="536">
        <v>37653</v>
      </c>
      <c r="D40" s="537">
        <v>3.9045000000000001</v>
      </c>
    </row>
    <row r="41" spans="3:5">
      <c r="C41" s="536">
        <v>37681</v>
      </c>
      <c r="D41" s="537">
        <v>3.3654999999999999</v>
      </c>
    </row>
    <row r="42" spans="3:5">
      <c r="C42" s="536">
        <v>37712</v>
      </c>
      <c r="D42" s="537">
        <v>2.9390000000000001</v>
      </c>
    </row>
    <row r="43" spans="3:5">
      <c r="C43" s="536">
        <v>37742</v>
      </c>
      <c r="D43" s="537">
        <v>2.8125</v>
      </c>
    </row>
    <row r="44" spans="3:5">
      <c r="C44" s="536">
        <v>37773</v>
      </c>
      <c r="D44" s="537">
        <v>2.8145000000000002</v>
      </c>
    </row>
    <row r="45" spans="3:5">
      <c r="C45" s="536">
        <v>37803</v>
      </c>
      <c r="D45" s="537">
        <v>2.8214999999999999</v>
      </c>
    </row>
    <row r="46" spans="3:5">
      <c r="C46" s="536">
        <v>37834</v>
      </c>
      <c r="D46" s="537">
        <v>2.8624999999999998</v>
      </c>
    </row>
    <row r="47" spans="3:5">
      <c r="C47" s="536">
        <v>37865</v>
      </c>
      <c r="D47" s="537">
        <v>2.8344999999999998</v>
      </c>
    </row>
    <row r="48" spans="3:5">
      <c r="C48" s="536">
        <v>37895</v>
      </c>
      <c r="D48" s="537">
        <v>2.8679999999999999</v>
      </c>
    </row>
    <row r="49" spans="3:5">
      <c r="C49" s="536">
        <v>37926</v>
      </c>
      <c r="D49" s="537">
        <v>3.319</v>
      </c>
    </row>
    <row r="50" spans="3:5">
      <c r="C50" s="536">
        <v>37956</v>
      </c>
      <c r="D50" s="537">
        <v>3.7165000000000008</v>
      </c>
      <c r="E50" s="537">
        <f>AVERAGE(D39:D50)</f>
        <v>3.1967083333333335</v>
      </c>
    </row>
    <row r="51" spans="3:5">
      <c r="C51" s="536">
        <v>37987</v>
      </c>
      <c r="D51" s="537">
        <v>4.1624999999999996</v>
      </c>
    </row>
    <row r="52" spans="3:5">
      <c r="C52" s="536">
        <v>38018</v>
      </c>
      <c r="D52" s="537">
        <v>3.9645000000000001</v>
      </c>
    </row>
    <row r="53" spans="3:5">
      <c r="C53" s="536">
        <v>38047</v>
      </c>
      <c r="D53" s="537">
        <v>3.4154999999999998</v>
      </c>
    </row>
    <row r="54" spans="3:5">
      <c r="C54" s="536">
        <v>38078</v>
      </c>
      <c r="D54" s="537">
        <v>2.9839999999999995</v>
      </c>
    </row>
    <row r="55" spans="3:5">
      <c r="C55" s="536">
        <v>38108</v>
      </c>
      <c r="D55" s="537">
        <v>2.8574999999999999</v>
      </c>
    </row>
    <row r="56" spans="3:5">
      <c r="C56" s="536">
        <v>38139</v>
      </c>
      <c r="D56" s="537">
        <v>2.8594999999999997</v>
      </c>
    </row>
    <row r="57" spans="3:5">
      <c r="C57" s="536">
        <v>38169</v>
      </c>
      <c r="D57" s="537">
        <v>2.8664999999999998</v>
      </c>
    </row>
    <row r="58" spans="3:5">
      <c r="C58" s="536">
        <v>38200</v>
      </c>
      <c r="D58" s="537">
        <v>2.9075000000000002</v>
      </c>
    </row>
    <row r="59" spans="3:5">
      <c r="C59" s="536">
        <v>38231</v>
      </c>
      <c r="D59" s="537">
        <v>2.8794999999999997</v>
      </c>
    </row>
    <row r="60" spans="3:5">
      <c r="C60" s="536">
        <v>38261</v>
      </c>
      <c r="D60" s="537">
        <v>2.9130000000000003</v>
      </c>
    </row>
    <row r="61" spans="3:5">
      <c r="C61" s="536">
        <v>38292</v>
      </c>
      <c r="D61" s="537">
        <v>3.3690000000000007</v>
      </c>
    </row>
    <row r="62" spans="3:5">
      <c r="C62" s="536">
        <v>38322</v>
      </c>
      <c r="D62" s="537">
        <v>3.7715000000000005</v>
      </c>
      <c r="E62" s="537">
        <f>AVERAGE(D51:D62)</f>
        <v>3.2458750000000003</v>
      </c>
    </row>
    <row r="63" spans="3:5">
      <c r="C63" s="536">
        <v>38353</v>
      </c>
      <c r="D63" s="537">
        <v>4.2324999999999999</v>
      </c>
    </row>
    <row r="64" spans="3:5">
      <c r="C64" s="536">
        <v>38384</v>
      </c>
      <c r="D64" s="537">
        <v>4.0344999999999995</v>
      </c>
    </row>
    <row r="65" spans="3:5">
      <c r="C65" s="536">
        <v>38412</v>
      </c>
      <c r="D65" s="537">
        <v>3.4755000000000003</v>
      </c>
    </row>
    <row r="66" spans="3:5">
      <c r="C66" s="536">
        <v>38443</v>
      </c>
      <c r="D66" s="537">
        <v>3.0389999999999997</v>
      </c>
    </row>
    <row r="67" spans="3:5">
      <c r="C67" s="536">
        <v>38473</v>
      </c>
      <c r="D67" s="537">
        <v>2.9125000000000001</v>
      </c>
    </row>
    <row r="68" spans="3:5">
      <c r="C68" s="536">
        <v>38504</v>
      </c>
      <c r="D68" s="537">
        <v>2.9144999999999999</v>
      </c>
    </row>
    <row r="69" spans="3:5">
      <c r="C69" s="536">
        <v>38534</v>
      </c>
      <c r="D69" s="537">
        <v>2.9214999999999995</v>
      </c>
    </row>
    <row r="70" spans="3:5">
      <c r="C70" s="536">
        <v>38565</v>
      </c>
      <c r="D70" s="537">
        <v>2.9624999999999999</v>
      </c>
    </row>
    <row r="71" spans="3:5">
      <c r="C71" s="536">
        <v>38596</v>
      </c>
      <c r="D71" s="537">
        <v>2.9344999999999999</v>
      </c>
    </row>
    <row r="72" spans="3:5">
      <c r="C72" s="536">
        <v>38626</v>
      </c>
      <c r="D72" s="537">
        <v>2.968</v>
      </c>
    </row>
    <row r="73" spans="3:5">
      <c r="C73" s="536">
        <v>38657</v>
      </c>
      <c r="D73" s="537">
        <v>3.4290000000000003</v>
      </c>
    </row>
    <row r="74" spans="3:5">
      <c r="C74" s="536">
        <v>38687</v>
      </c>
      <c r="D74" s="537">
        <v>3.8365000000000005</v>
      </c>
      <c r="E74" s="537">
        <f>AVERAGE(D63:D74)</f>
        <v>3.3050416666666664</v>
      </c>
    </row>
    <row r="75" spans="3:5">
      <c r="C75" s="536">
        <v>38718</v>
      </c>
      <c r="D75" s="537">
        <v>4.3075000000000001</v>
      </c>
    </row>
    <row r="76" spans="3:5">
      <c r="C76" s="536">
        <v>38749</v>
      </c>
      <c r="D76" s="537">
        <v>4.1094999999999997</v>
      </c>
    </row>
    <row r="77" spans="3:5">
      <c r="C77" s="536">
        <v>38777</v>
      </c>
      <c r="D77" s="537">
        <v>3.5405000000000002</v>
      </c>
    </row>
    <row r="78" spans="3:5">
      <c r="C78" s="536">
        <v>38808</v>
      </c>
      <c r="D78" s="537">
        <v>3.0989999999999998</v>
      </c>
    </row>
    <row r="79" spans="3:5">
      <c r="C79" s="536">
        <v>38838</v>
      </c>
      <c r="D79" s="537">
        <v>2.9725000000000001</v>
      </c>
    </row>
    <row r="80" spans="3:5">
      <c r="C80" s="536">
        <v>38869</v>
      </c>
      <c r="D80" s="537">
        <v>2.9744999999999999</v>
      </c>
    </row>
    <row r="81" spans="3:5">
      <c r="C81" s="536">
        <v>38899</v>
      </c>
      <c r="D81" s="537">
        <v>2.9814999999999996</v>
      </c>
    </row>
    <row r="82" spans="3:5">
      <c r="C82" s="536">
        <v>38930</v>
      </c>
      <c r="D82" s="537">
        <v>3.0225</v>
      </c>
    </row>
    <row r="83" spans="3:5">
      <c r="C83" s="536">
        <v>38961</v>
      </c>
      <c r="D83" s="537">
        <v>2.9944999999999999</v>
      </c>
    </row>
    <row r="84" spans="3:5">
      <c r="C84" s="536">
        <v>38991</v>
      </c>
      <c r="D84" s="537">
        <v>3.028</v>
      </c>
    </row>
    <row r="85" spans="3:5">
      <c r="C85" s="536">
        <v>39022</v>
      </c>
      <c r="D85" s="537">
        <v>3.4890000000000003</v>
      </c>
    </row>
    <row r="86" spans="3:5">
      <c r="C86" s="536">
        <v>39052</v>
      </c>
      <c r="D86" s="537">
        <v>3.8965000000000005</v>
      </c>
      <c r="E86" s="537">
        <f>AVERAGE(D75:D86)</f>
        <v>3.3679583333333336</v>
      </c>
    </row>
    <row r="87" spans="3:5">
      <c r="C87" s="536">
        <v>39083</v>
      </c>
      <c r="D87" s="537">
        <v>4.3724999999999996</v>
      </c>
    </row>
    <row r="88" spans="3:5">
      <c r="C88" s="536">
        <v>39114</v>
      </c>
      <c r="D88" s="537">
        <v>4.1744999999999992</v>
      </c>
    </row>
    <row r="89" spans="3:5">
      <c r="C89" s="536">
        <v>39142</v>
      </c>
      <c r="D89" s="537">
        <v>3.6055000000000001</v>
      </c>
    </row>
    <row r="90" spans="3:5">
      <c r="C90" s="536">
        <v>39173</v>
      </c>
      <c r="D90" s="537">
        <v>3.1640000000000001</v>
      </c>
    </row>
    <row r="91" spans="3:5">
      <c r="C91" s="536">
        <v>39203</v>
      </c>
      <c r="D91" s="537">
        <v>3.0375000000000001</v>
      </c>
    </row>
    <row r="92" spans="3:5">
      <c r="C92" s="536">
        <v>39234</v>
      </c>
      <c r="D92" s="537">
        <v>3.0394999999999999</v>
      </c>
    </row>
    <row r="93" spans="3:5">
      <c r="C93" s="536">
        <v>39264</v>
      </c>
      <c r="D93" s="537">
        <v>3.0465000000000004</v>
      </c>
    </row>
    <row r="94" spans="3:5">
      <c r="C94" s="536">
        <v>39295</v>
      </c>
      <c r="D94" s="537">
        <v>3.0874999999999999</v>
      </c>
    </row>
    <row r="95" spans="3:5">
      <c r="C95" s="536">
        <v>39326</v>
      </c>
      <c r="D95" s="537">
        <v>3.0594999999999999</v>
      </c>
    </row>
    <row r="96" spans="3:5">
      <c r="C96" s="536">
        <v>39356</v>
      </c>
      <c r="D96" s="537">
        <v>3.093</v>
      </c>
    </row>
    <row r="97" spans="3:5">
      <c r="C97" s="536">
        <v>39387</v>
      </c>
      <c r="D97" s="537">
        <v>3.5540000000000003</v>
      </c>
    </row>
    <row r="98" spans="3:5">
      <c r="C98" s="536">
        <v>39417</v>
      </c>
      <c r="D98" s="537">
        <v>3.9615000000000009</v>
      </c>
      <c r="E98" s="537">
        <f>AVERAGE(D87:D98)</f>
        <v>3.4329583333333336</v>
      </c>
    </row>
    <row r="99" spans="3:5">
      <c r="C99" s="536">
        <v>39448</v>
      </c>
      <c r="D99" s="537">
        <v>4.4424999999999999</v>
      </c>
    </row>
    <row r="100" spans="3:5">
      <c r="C100" s="536">
        <v>39479</v>
      </c>
      <c r="D100" s="537">
        <v>4.2444999999999995</v>
      </c>
    </row>
    <row r="101" spans="3:5">
      <c r="C101" s="536">
        <v>39508</v>
      </c>
      <c r="D101" s="537">
        <v>3.6755</v>
      </c>
    </row>
    <row r="102" spans="3:5">
      <c r="C102" s="536">
        <v>39539</v>
      </c>
      <c r="D102" s="537">
        <v>3.2340000000000004</v>
      </c>
    </row>
    <row r="103" spans="3:5">
      <c r="C103" s="536">
        <v>39569</v>
      </c>
      <c r="D103" s="537">
        <v>3.1074999999999999</v>
      </c>
    </row>
    <row r="104" spans="3:5">
      <c r="C104" s="536">
        <v>39600</v>
      </c>
      <c r="D104" s="537">
        <v>3.1094999999999997</v>
      </c>
    </row>
    <row r="105" spans="3:5">
      <c r="C105" s="536">
        <v>39630</v>
      </c>
      <c r="D105" s="537">
        <v>3.1165000000000003</v>
      </c>
    </row>
    <row r="106" spans="3:5">
      <c r="C106" s="536">
        <v>39661</v>
      </c>
      <c r="D106" s="537">
        <v>3.1575000000000002</v>
      </c>
    </row>
    <row r="107" spans="3:5">
      <c r="C107" s="536">
        <v>39692</v>
      </c>
      <c r="D107" s="537">
        <v>3.1294999999999997</v>
      </c>
    </row>
    <row r="108" spans="3:5">
      <c r="C108" s="536">
        <v>39722</v>
      </c>
      <c r="D108" s="537">
        <v>3.1630000000000003</v>
      </c>
    </row>
    <row r="109" spans="3:5">
      <c r="C109" s="536">
        <v>39753</v>
      </c>
      <c r="D109" s="537">
        <v>3.6240000000000006</v>
      </c>
    </row>
    <row r="110" spans="3:5">
      <c r="C110" s="536">
        <v>39783</v>
      </c>
      <c r="D110" s="537">
        <v>4.0315000000000003</v>
      </c>
      <c r="E110" s="537">
        <f>AVERAGE(D99:D110)</f>
        <v>3.5029583333333334</v>
      </c>
    </row>
    <row r="111" spans="3:5">
      <c r="C111" s="536">
        <v>39814</v>
      </c>
      <c r="D111" s="537">
        <v>4.5175000000000001</v>
      </c>
    </row>
    <row r="112" spans="3:5">
      <c r="C112" s="536">
        <v>39845</v>
      </c>
      <c r="D112" s="537">
        <v>4.3194999999999997</v>
      </c>
    </row>
    <row r="113" spans="3:5">
      <c r="C113" s="536">
        <v>39873</v>
      </c>
      <c r="D113" s="537">
        <v>3.7505000000000002</v>
      </c>
    </row>
    <row r="114" spans="3:5">
      <c r="C114" s="536">
        <v>39904</v>
      </c>
      <c r="D114" s="537">
        <v>3.3090000000000002</v>
      </c>
    </row>
    <row r="115" spans="3:5">
      <c r="C115" s="536">
        <v>39934</v>
      </c>
      <c r="D115" s="537">
        <v>3.1825000000000001</v>
      </c>
    </row>
    <row r="116" spans="3:5">
      <c r="C116" s="536">
        <v>39965</v>
      </c>
      <c r="D116" s="537">
        <v>3.1844999999999999</v>
      </c>
    </row>
    <row r="117" spans="3:5">
      <c r="C117" s="536">
        <v>39995</v>
      </c>
      <c r="D117" s="537">
        <v>3.1915000000000004</v>
      </c>
    </row>
    <row r="118" spans="3:5">
      <c r="C118" s="536">
        <v>40026</v>
      </c>
      <c r="D118" s="537">
        <v>3.2324999999999999</v>
      </c>
    </row>
    <row r="119" spans="3:5">
      <c r="C119" s="536">
        <v>40057</v>
      </c>
      <c r="D119" s="537">
        <v>3.2044999999999999</v>
      </c>
    </row>
    <row r="120" spans="3:5">
      <c r="C120" s="536">
        <v>40087</v>
      </c>
      <c r="D120" s="537">
        <v>3.238</v>
      </c>
    </row>
    <row r="121" spans="3:5">
      <c r="C121" s="536">
        <v>40118</v>
      </c>
      <c r="D121" s="537">
        <v>3.6990000000000003</v>
      </c>
    </row>
    <row r="122" spans="3:5">
      <c r="C122" s="536">
        <v>40148</v>
      </c>
      <c r="D122" s="537">
        <v>4.1065000000000005</v>
      </c>
      <c r="E122" s="537">
        <f>AVERAGE(D111:D122)</f>
        <v>3.5779583333333336</v>
      </c>
    </row>
    <row r="123" spans="3:5">
      <c r="C123" s="536">
        <v>40179</v>
      </c>
      <c r="D123" s="537">
        <v>4.5975000000000001</v>
      </c>
    </row>
    <row r="124" spans="3:5">
      <c r="C124" s="536">
        <v>40210</v>
      </c>
      <c r="D124" s="537">
        <v>4.3994999999999997</v>
      </c>
    </row>
    <row r="125" spans="3:5">
      <c r="C125" s="536">
        <v>40238</v>
      </c>
      <c r="D125" s="537">
        <v>3.8305000000000002</v>
      </c>
    </row>
    <row r="126" spans="3:5">
      <c r="C126" s="536">
        <v>40269</v>
      </c>
      <c r="D126" s="537">
        <v>3.3890000000000002</v>
      </c>
    </row>
    <row r="127" spans="3:5">
      <c r="C127" s="536">
        <v>40299</v>
      </c>
      <c r="D127" s="537">
        <v>3.2625000000000002</v>
      </c>
    </row>
    <row r="128" spans="3:5">
      <c r="C128" s="536">
        <v>40330</v>
      </c>
      <c r="D128" s="537">
        <v>3.2645</v>
      </c>
    </row>
    <row r="129" spans="3:5">
      <c r="C129" s="536">
        <v>40360</v>
      </c>
      <c r="D129" s="537">
        <v>3.2715000000000001</v>
      </c>
    </row>
    <row r="130" spans="3:5">
      <c r="C130" s="536">
        <v>40391</v>
      </c>
      <c r="D130" s="537">
        <v>3.3125</v>
      </c>
    </row>
    <row r="131" spans="3:5">
      <c r="C131" s="536">
        <v>40422</v>
      </c>
      <c r="D131" s="537">
        <v>3.2845</v>
      </c>
    </row>
    <row r="132" spans="3:5">
      <c r="C132" s="536">
        <v>40452</v>
      </c>
      <c r="D132" s="537">
        <v>3.3180000000000001</v>
      </c>
    </row>
    <row r="133" spans="3:5">
      <c r="C133" s="536">
        <v>40483</v>
      </c>
      <c r="D133" s="537">
        <v>3.7790000000000004</v>
      </c>
    </row>
    <row r="134" spans="3:5">
      <c r="C134" s="536">
        <v>40513</v>
      </c>
      <c r="D134" s="537">
        <v>4.1865000000000006</v>
      </c>
      <c r="E134" s="537">
        <f>AVERAGE(D123:D134)</f>
        <v>3.6579583333333332</v>
      </c>
    </row>
    <row r="135" spans="3:5">
      <c r="C135" s="536">
        <v>40544</v>
      </c>
      <c r="D135" s="537">
        <v>4.6825000000000001</v>
      </c>
    </row>
    <row r="136" spans="3:5">
      <c r="C136" s="536">
        <v>40575</v>
      </c>
      <c r="D136" s="537">
        <v>4.4844999999999997</v>
      </c>
    </row>
    <row r="137" spans="3:5">
      <c r="C137" s="536">
        <v>40603</v>
      </c>
      <c r="D137" s="537">
        <v>3.9155000000000002</v>
      </c>
    </row>
    <row r="138" spans="3:5">
      <c r="C138" s="536">
        <v>40634</v>
      </c>
      <c r="D138" s="537">
        <v>3.4740000000000002</v>
      </c>
    </row>
    <row r="139" spans="3:5">
      <c r="C139" s="536">
        <v>40664</v>
      </c>
      <c r="D139" s="537">
        <v>3.3475000000000001</v>
      </c>
    </row>
    <row r="140" spans="3:5">
      <c r="C140" s="536">
        <v>40695</v>
      </c>
      <c r="D140" s="537">
        <v>3.3494999999999999</v>
      </c>
    </row>
    <row r="141" spans="3:5">
      <c r="C141" s="536">
        <v>40725</v>
      </c>
      <c r="D141" s="537">
        <v>3.3565000000000005</v>
      </c>
    </row>
    <row r="142" spans="3:5">
      <c r="C142" s="536">
        <v>40756</v>
      </c>
      <c r="D142" s="537">
        <v>3.3975</v>
      </c>
    </row>
    <row r="143" spans="3:5">
      <c r="C143" s="536">
        <v>40787</v>
      </c>
      <c r="D143" s="537">
        <v>3.3694999999999999</v>
      </c>
    </row>
    <row r="144" spans="3:5">
      <c r="C144" s="536">
        <v>40817</v>
      </c>
      <c r="D144" s="537">
        <v>3.403</v>
      </c>
    </row>
    <row r="145" spans="3:5">
      <c r="C145" s="536">
        <v>40848</v>
      </c>
      <c r="D145" s="537">
        <v>3.8640000000000003</v>
      </c>
    </row>
    <row r="146" spans="3:5">
      <c r="C146" s="536">
        <v>40878</v>
      </c>
      <c r="D146" s="537">
        <v>4.2715000000000005</v>
      </c>
      <c r="E146" s="537">
        <f>AVERAGE(D135:D146)</f>
        <v>3.7429583333333336</v>
      </c>
    </row>
    <row r="147" spans="3:5">
      <c r="C147" s="536">
        <v>40909</v>
      </c>
      <c r="D147" s="537">
        <v>4.7725</v>
      </c>
    </row>
    <row r="148" spans="3:5">
      <c r="C148" s="536">
        <v>40940</v>
      </c>
      <c r="D148" s="537">
        <v>4.5744999999999996</v>
      </c>
    </row>
    <row r="149" spans="3:5">
      <c r="C149" s="536">
        <v>40969</v>
      </c>
      <c r="D149" s="537">
        <v>4.0054999999999996</v>
      </c>
    </row>
    <row r="150" spans="3:5">
      <c r="C150" s="536">
        <v>41000</v>
      </c>
      <c r="D150" s="537">
        <v>3.5640000000000005</v>
      </c>
    </row>
    <row r="151" spans="3:5">
      <c r="C151" s="536">
        <v>41030</v>
      </c>
      <c r="D151" s="537">
        <v>3.4375</v>
      </c>
    </row>
    <row r="152" spans="3:5">
      <c r="C152" s="536">
        <v>41061</v>
      </c>
      <c r="D152" s="537">
        <v>3.4394999999999998</v>
      </c>
    </row>
    <row r="153" spans="3:5">
      <c r="C153" s="536">
        <v>41091</v>
      </c>
      <c r="D153" s="537">
        <v>3.4465000000000003</v>
      </c>
    </row>
    <row r="154" spans="3:5">
      <c r="C154" s="536">
        <v>41122</v>
      </c>
      <c r="D154" s="537">
        <v>3.4874999999999998</v>
      </c>
    </row>
    <row r="155" spans="3:5">
      <c r="C155" s="536">
        <v>41153</v>
      </c>
      <c r="D155" s="537">
        <v>3.4594999999999998</v>
      </c>
    </row>
    <row r="156" spans="3:5">
      <c r="C156" s="536">
        <v>41183</v>
      </c>
      <c r="D156" s="537">
        <v>3.4929999999999999</v>
      </c>
    </row>
    <row r="157" spans="3:5">
      <c r="C157" s="536">
        <v>41214</v>
      </c>
      <c r="D157" s="537">
        <v>3.9540000000000006</v>
      </c>
    </row>
    <row r="158" spans="3:5">
      <c r="C158" s="536">
        <v>41244</v>
      </c>
      <c r="D158" s="537">
        <v>4.3615000000000004</v>
      </c>
      <c r="E158" s="537">
        <f>AVERAGE(D147:D158)</f>
        <v>3.8329583333333335</v>
      </c>
    </row>
    <row r="159" spans="3:5">
      <c r="C159" s="536">
        <v>41275</v>
      </c>
      <c r="D159" s="537">
        <v>4.8674999999999997</v>
      </c>
    </row>
    <row r="160" spans="3:5">
      <c r="C160" s="536">
        <v>41306</v>
      </c>
      <c r="D160" s="537">
        <v>4.6694999999999993</v>
      </c>
    </row>
    <row r="161" spans="3:5">
      <c r="C161" s="536">
        <v>41334</v>
      </c>
      <c r="D161" s="537">
        <v>4.1005000000000003</v>
      </c>
    </row>
    <row r="162" spans="3:5">
      <c r="C162" s="536">
        <v>41365</v>
      </c>
      <c r="D162" s="537">
        <v>3.6590000000000003</v>
      </c>
    </row>
    <row r="163" spans="3:5">
      <c r="C163" s="536">
        <v>41395</v>
      </c>
      <c r="D163" s="537">
        <v>3.5325000000000002</v>
      </c>
    </row>
    <row r="164" spans="3:5">
      <c r="C164" s="536">
        <v>41426</v>
      </c>
      <c r="D164" s="537">
        <v>3.5345</v>
      </c>
    </row>
    <row r="165" spans="3:5">
      <c r="C165" s="536">
        <v>41456</v>
      </c>
      <c r="D165" s="537">
        <v>3.5415000000000001</v>
      </c>
    </row>
    <row r="166" spans="3:5">
      <c r="C166" s="536">
        <v>41487</v>
      </c>
      <c r="D166" s="537">
        <v>3.5825</v>
      </c>
    </row>
    <row r="167" spans="3:5">
      <c r="C167" s="536">
        <v>41518</v>
      </c>
      <c r="D167" s="537">
        <v>3.5545</v>
      </c>
    </row>
    <row r="168" spans="3:5">
      <c r="C168" s="536">
        <v>41548</v>
      </c>
      <c r="D168" s="537">
        <v>3.5880000000000001</v>
      </c>
    </row>
    <row r="169" spans="3:5">
      <c r="C169" s="536">
        <v>41579</v>
      </c>
      <c r="D169" s="537">
        <v>4.0490000000000004</v>
      </c>
    </row>
    <row r="170" spans="3:5">
      <c r="C170" s="536">
        <v>41609</v>
      </c>
      <c r="D170" s="537">
        <v>4.4565000000000001</v>
      </c>
      <c r="E170" s="537">
        <f>AVERAGE(D159:D170)</f>
        <v>3.9279583333333328</v>
      </c>
    </row>
    <row r="171" spans="3:5">
      <c r="C171" s="536">
        <v>41640</v>
      </c>
      <c r="D171" s="537">
        <v>4.9675000000000002</v>
      </c>
    </row>
    <row r="172" spans="3:5">
      <c r="C172" s="536">
        <v>41671</v>
      </c>
      <c r="D172" s="537">
        <v>4.7694999999999999</v>
      </c>
    </row>
    <row r="173" spans="3:5">
      <c r="C173" s="536">
        <v>41699</v>
      </c>
      <c r="D173" s="537">
        <v>4.2005000000000008</v>
      </c>
    </row>
    <row r="174" spans="3:5">
      <c r="C174" s="536">
        <v>41730</v>
      </c>
      <c r="D174" s="537">
        <v>3.7590000000000003</v>
      </c>
    </row>
    <row r="175" spans="3:5">
      <c r="C175" s="536">
        <v>41760</v>
      </c>
      <c r="D175" s="537">
        <v>3.6324999999999998</v>
      </c>
    </row>
    <row r="176" spans="3:5">
      <c r="C176" s="536">
        <v>41791</v>
      </c>
      <c r="D176" s="537">
        <v>3.6345000000000001</v>
      </c>
    </row>
    <row r="177" spans="3:5">
      <c r="C177" s="536">
        <v>41821</v>
      </c>
      <c r="D177" s="537">
        <v>3.6415000000000002</v>
      </c>
    </row>
    <row r="178" spans="3:5">
      <c r="C178" s="536">
        <v>41852</v>
      </c>
      <c r="D178" s="537">
        <v>3.6825000000000001</v>
      </c>
    </row>
    <row r="179" spans="3:5">
      <c r="C179" s="536">
        <v>41883</v>
      </c>
      <c r="D179" s="537">
        <v>3.6545000000000001</v>
      </c>
    </row>
    <row r="180" spans="3:5">
      <c r="C180" s="536">
        <v>41913</v>
      </c>
      <c r="D180" s="537">
        <v>3.6880000000000002</v>
      </c>
    </row>
    <row r="181" spans="3:5">
      <c r="C181" s="536">
        <v>41944</v>
      </c>
      <c r="D181" s="537">
        <v>4.149</v>
      </c>
    </row>
    <row r="182" spans="3:5">
      <c r="C182" s="536">
        <v>41974</v>
      </c>
      <c r="D182" s="537">
        <v>4.5565000000000007</v>
      </c>
      <c r="E182" s="537">
        <f>AVERAGE(D171:D182)</f>
        <v>4.0279583333333333</v>
      </c>
    </row>
    <row r="183" spans="3:5">
      <c r="C183" s="536">
        <v>42005</v>
      </c>
      <c r="D183" s="537">
        <v>5.0724999999999998</v>
      </c>
    </row>
    <row r="184" spans="3:5">
      <c r="C184" s="536">
        <v>42036</v>
      </c>
      <c r="D184" s="537">
        <v>4.8744999999999994</v>
      </c>
    </row>
    <row r="185" spans="3:5">
      <c r="C185" s="536">
        <v>42064</v>
      </c>
      <c r="D185" s="537">
        <v>4.3055000000000003</v>
      </c>
    </row>
    <row r="186" spans="3:5">
      <c r="C186" s="536">
        <v>42095</v>
      </c>
      <c r="D186" s="537">
        <v>3.8640000000000003</v>
      </c>
    </row>
    <row r="187" spans="3:5">
      <c r="C187" s="536">
        <v>42125</v>
      </c>
      <c r="D187" s="537">
        <v>3.7374999999999998</v>
      </c>
    </row>
    <row r="188" spans="3:5">
      <c r="C188" s="536">
        <v>42156</v>
      </c>
      <c r="D188" s="537">
        <v>3.7395</v>
      </c>
    </row>
    <row r="189" spans="3:5">
      <c r="C189" s="536">
        <v>42186</v>
      </c>
      <c r="D189" s="537">
        <v>3.7465000000000002</v>
      </c>
    </row>
    <row r="190" spans="3:5">
      <c r="C190" s="536">
        <v>42217</v>
      </c>
      <c r="D190" s="537">
        <v>3.7875000000000001</v>
      </c>
    </row>
    <row r="191" spans="3:5">
      <c r="C191" s="536">
        <v>42248</v>
      </c>
      <c r="D191" s="537">
        <v>3.7595000000000001</v>
      </c>
    </row>
    <row r="192" spans="3:5">
      <c r="C192" s="536">
        <v>42278</v>
      </c>
      <c r="D192" s="537">
        <v>3.7930000000000001</v>
      </c>
    </row>
    <row r="193" spans="3:5">
      <c r="C193" s="536">
        <v>42309</v>
      </c>
      <c r="D193" s="537">
        <v>4.2540000000000004</v>
      </c>
    </row>
    <row r="194" spans="3:5">
      <c r="C194" s="536">
        <v>42339</v>
      </c>
      <c r="D194" s="537">
        <v>4.6615000000000002</v>
      </c>
      <c r="E194" s="537">
        <f>AVERAGE(D183:D194)</f>
        <v>4.1329583333333337</v>
      </c>
    </row>
    <row r="195" spans="3:5">
      <c r="C195" s="536">
        <v>42370</v>
      </c>
      <c r="D195" s="537">
        <v>5.1825000000000001</v>
      </c>
    </row>
    <row r="196" spans="3:5">
      <c r="C196" s="536">
        <v>42401</v>
      </c>
      <c r="D196" s="537">
        <v>4.9844999999999997</v>
      </c>
    </row>
    <row r="197" spans="3:5">
      <c r="C197" s="536">
        <v>42430</v>
      </c>
      <c r="D197" s="537">
        <v>4.4155000000000006</v>
      </c>
    </row>
    <row r="198" spans="3:5">
      <c r="C198" s="536">
        <v>42461</v>
      </c>
      <c r="D198" s="537">
        <v>3.9740000000000002</v>
      </c>
    </row>
    <row r="199" spans="3:5">
      <c r="C199" s="536">
        <v>42491</v>
      </c>
      <c r="D199" s="537">
        <v>3.8475000000000001</v>
      </c>
    </row>
    <row r="200" spans="3:5">
      <c r="C200" s="536">
        <v>42522</v>
      </c>
      <c r="D200" s="537">
        <v>3.8494999999999999</v>
      </c>
    </row>
    <row r="201" spans="3:5">
      <c r="C201" s="536">
        <v>42552</v>
      </c>
      <c r="D201" s="537">
        <v>3.8565000000000005</v>
      </c>
    </row>
    <row r="202" spans="3:5">
      <c r="C202" s="536">
        <v>42583</v>
      </c>
      <c r="D202" s="537">
        <v>3.8975</v>
      </c>
    </row>
    <row r="203" spans="3:5">
      <c r="C203" s="536">
        <v>42614</v>
      </c>
      <c r="D203" s="537">
        <v>3.8694999999999999</v>
      </c>
    </row>
    <row r="204" spans="3:5">
      <c r="C204" s="536">
        <v>42644</v>
      </c>
      <c r="D204" s="537">
        <v>3.903</v>
      </c>
    </row>
    <row r="205" spans="3:5">
      <c r="C205" s="536">
        <v>42675</v>
      </c>
      <c r="D205" s="537">
        <v>4.3639999999999999</v>
      </c>
    </row>
    <row r="206" spans="3:5">
      <c r="C206" s="536">
        <v>42705</v>
      </c>
      <c r="D206" s="537">
        <v>4.7715000000000005</v>
      </c>
      <c r="E206" s="537">
        <f>AVERAGE(D195:D206)</f>
        <v>4.2429583333333332</v>
      </c>
    </row>
    <row r="207" spans="3:5">
      <c r="C207" s="536">
        <v>42736</v>
      </c>
      <c r="D207" s="537">
        <v>5.2975000000000003</v>
      </c>
    </row>
    <row r="208" spans="3:5">
      <c r="C208" s="536">
        <v>42767</v>
      </c>
      <c r="D208" s="537">
        <v>5.0994999999999999</v>
      </c>
    </row>
    <row r="209" spans="3:5">
      <c r="C209" s="536">
        <v>42795</v>
      </c>
      <c r="D209" s="537">
        <v>4.5305000000000009</v>
      </c>
    </row>
    <row r="210" spans="3:5">
      <c r="C210" s="536">
        <v>42826</v>
      </c>
      <c r="D210" s="537">
        <v>4.0890000000000004</v>
      </c>
    </row>
    <row r="211" spans="3:5">
      <c r="C211" s="536">
        <v>42856</v>
      </c>
      <c r="D211" s="537">
        <v>3.9624999999999999</v>
      </c>
    </row>
    <row r="212" spans="3:5">
      <c r="C212" s="536">
        <v>42887</v>
      </c>
      <c r="D212" s="537">
        <v>3.9645000000000001</v>
      </c>
    </row>
    <row r="213" spans="3:5">
      <c r="C213" s="536">
        <v>42917</v>
      </c>
      <c r="D213" s="537">
        <v>3.9715000000000003</v>
      </c>
    </row>
    <row r="214" spans="3:5">
      <c r="C214" s="536">
        <v>42948</v>
      </c>
      <c r="D214" s="537">
        <v>4.0125000000000002</v>
      </c>
    </row>
    <row r="215" spans="3:5">
      <c r="C215" s="536">
        <v>42979</v>
      </c>
      <c r="D215" s="537">
        <v>3.9844999999999997</v>
      </c>
    </row>
    <row r="216" spans="3:5">
      <c r="C216" s="536">
        <v>43009</v>
      </c>
      <c r="D216" s="537">
        <v>4.0179999999999998</v>
      </c>
    </row>
    <row r="217" spans="3:5">
      <c r="C217" s="536">
        <v>43040</v>
      </c>
      <c r="D217" s="537">
        <v>4.4790000000000001</v>
      </c>
    </row>
    <row r="218" spans="3:5">
      <c r="C218" s="536">
        <v>43070</v>
      </c>
      <c r="D218" s="537">
        <v>4.8865000000000007</v>
      </c>
      <c r="E218" s="537">
        <f>AVERAGE(D207:D218)</f>
        <v>4.3579583333333334</v>
      </c>
    </row>
    <row r="219" spans="3:5">
      <c r="C219" s="536">
        <v>43101</v>
      </c>
      <c r="D219" s="537">
        <v>5.4175000000000004</v>
      </c>
    </row>
    <row r="220" spans="3:5">
      <c r="C220" s="536">
        <v>43132</v>
      </c>
      <c r="D220" s="537">
        <v>5.2194999999999991</v>
      </c>
    </row>
    <row r="221" spans="3:5">
      <c r="C221" s="536">
        <v>43160</v>
      </c>
      <c r="D221" s="537">
        <v>4.6505000000000001</v>
      </c>
    </row>
    <row r="222" spans="3:5">
      <c r="C222" s="536">
        <v>43191</v>
      </c>
      <c r="D222" s="537">
        <v>4.2090000000000005</v>
      </c>
    </row>
    <row r="223" spans="3:5">
      <c r="C223" s="536">
        <v>43221</v>
      </c>
      <c r="D223" s="537">
        <v>4.0824999999999996</v>
      </c>
    </row>
    <row r="224" spans="3:5">
      <c r="C224" s="536">
        <v>43252</v>
      </c>
      <c r="D224" s="537">
        <v>4.0844999999999994</v>
      </c>
    </row>
    <row r="225" spans="3:5">
      <c r="C225" s="536">
        <v>43282</v>
      </c>
      <c r="D225" s="537">
        <v>4.0914999999999999</v>
      </c>
    </row>
    <row r="226" spans="3:5">
      <c r="C226" s="536">
        <v>43313</v>
      </c>
      <c r="D226" s="537">
        <v>4.1325000000000003</v>
      </c>
    </row>
    <row r="227" spans="3:5">
      <c r="C227" s="536">
        <v>43344</v>
      </c>
      <c r="D227" s="537">
        <v>4.1044999999999998</v>
      </c>
    </row>
    <row r="228" spans="3:5">
      <c r="C228" s="536">
        <v>43374</v>
      </c>
      <c r="D228" s="537">
        <v>4.1379999999999999</v>
      </c>
    </row>
    <row r="229" spans="3:5">
      <c r="C229" s="536">
        <v>43405</v>
      </c>
      <c r="D229" s="537">
        <v>4.5990000000000002</v>
      </c>
    </row>
    <row r="230" spans="3:5">
      <c r="C230" s="536">
        <v>43435</v>
      </c>
      <c r="D230" s="537">
        <v>5.0065000000000008</v>
      </c>
      <c r="E230" s="537">
        <f>AVERAGE(D219:D230)</f>
        <v>4.4779583333333335</v>
      </c>
    </row>
    <row r="231" spans="3:5">
      <c r="C231" s="536">
        <v>43466</v>
      </c>
      <c r="D231" s="537">
        <v>5.5425000000000004</v>
      </c>
    </row>
    <row r="232" spans="3:5">
      <c r="C232" s="536">
        <v>43497</v>
      </c>
      <c r="D232" s="537">
        <v>5.3444999999999991</v>
      </c>
    </row>
    <row r="233" spans="3:5">
      <c r="C233" s="536">
        <v>43525</v>
      </c>
      <c r="D233" s="537">
        <v>4.7755000000000001</v>
      </c>
    </row>
    <row r="234" spans="3:5">
      <c r="C234" s="536">
        <v>43556</v>
      </c>
      <c r="D234" s="537">
        <v>4.3340000000000005</v>
      </c>
    </row>
    <row r="235" spans="3:5">
      <c r="C235" s="536">
        <v>43586</v>
      </c>
      <c r="D235" s="537">
        <v>4.2074999999999996</v>
      </c>
    </row>
    <row r="236" spans="3:5">
      <c r="C236" s="536">
        <v>43617</v>
      </c>
      <c r="D236" s="537">
        <v>4.2094999999999994</v>
      </c>
    </row>
    <row r="237" spans="3:5">
      <c r="C237" s="536">
        <v>43647</v>
      </c>
      <c r="D237" s="537">
        <v>4.2164999999999999</v>
      </c>
    </row>
    <row r="238" spans="3:5">
      <c r="C238" s="536">
        <v>43678</v>
      </c>
      <c r="D238" s="537">
        <v>4.2575000000000003</v>
      </c>
    </row>
    <row r="239" spans="3:5">
      <c r="C239" s="536">
        <v>43709</v>
      </c>
      <c r="D239" s="537">
        <v>4.2294999999999998</v>
      </c>
    </row>
    <row r="240" spans="3:5">
      <c r="C240" s="536">
        <v>43739</v>
      </c>
      <c r="D240" s="537">
        <v>4.2629999999999999</v>
      </c>
    </row>
    <row r="241" spans="3:5">
      <c r="C241" s="536">
        <v>43770</v>
      </c>
      <c r="D241" s="537">
        <v>4.7240000000000002</v>
      </c>
    </row>
    <row r="242" spans="3:5">
      <c r="C242" s="536">
        <v>43800</v>
      </c>
      <c r="D242" s="537">
        <v>5.1315000000000008</v>
      </c>
      <c r="E242" s="537">
        <f>AVERAGE(D231:D242)</f>
        <v>4.6029583333333335</v>
      </c>
    </row>
    <row r="243" spans="3:5">
      <c r="C243" s="536">
        <v>43831</v>
      </c>
      <c r="D243" s="537">
        <v>5.6725000000000003</v>
      </c>
    </row>
    <row r="244" spans="3:5">
      <c r="C244" s="536">
        <v>43862</v>
      </c>
      <c r="D244" s="537">
        <v>5.474499999999999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4"/>
  <sheetViews>
    <sheetView topLeftCell="A13" zoomScale="75" zoomScaleNormal="75" workbookViewId="0">
      <selection activeCell="C32" sqref="C32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33" ht="18.75">
      <c r="A2" s="87" t="str">
        <f>Assumptions!A3</f>
        <v>PROJECT NAME: Calpine</v>
      </c>
    </row>
    <row r="4" spans="1:33" ht="18.75">
      <c r="A4" s="60" t="s">
        <v>93</v>
      </c>
      <c r="B4" s="5"/>
    </row>
    <row r="6" spans="1:33">
      <c r="C6" s="215">
        <f>'Price_Technical Assumption'!D7</f>
        <v>0.58333333333333337</v>
      </c>
      <c r="D6" s="215">
        <f>'Price_Technical Assumption'!E7</f>
        <v>1.5833333333333335</v>
      </c>
      <c r="E6" s="215">
        <f>'Price_Technical Assumption'!F7</f>
        <v>2.5833333333333335</v>
      </c>
      <c r="F6" s="215">
        <f>'Price_Technical Assumption'!G7</f>
        <v>3.5833333333333335</v>
      </c>
      <c r="G6" s="215">
        <f>'Price_Technical Assumption'!H7</f>
        <v>4.5833333333333339</v>
      </c>
      <c r="H6" s="215">
        <f>'Price_Technical Assumption'!I7</f>
        <v>5.5833333333333339</v>
      </c>
      <c r="I6" s="215">
        <f>'Price_Technical Assumption'!J7</f>
        <v>6.5833333333333339</v>
      </c>
      <c r="J6" s="215">
        <f>'Price_Technical Assumption'!K7</f>
        <v>7.5833333333333339</v>
      </c>
      <c r="K6" s="215">
        <f>'Price_Technical Assumption'!L7</f>
        <v>8.5833333333333339</v>
      </c>
      <c r="L6" s="215">
        <f>'Price_Technical Assumption'!M7</f>
        <v>9.5833333333333339</v>
      </c>
      <c r="M6" s="215">
        <f>'Price_Technical Assumption'!N7</f>
        <v>10.583333333333334</v>
      </c>
      <c r="N6" s="215">
        <f>'Price_Technical Assumption'!O7</f>
        <v>11.583333333333334</v>
      </c>
      <c r="O6" s="215">
        <f>'Price_Technical Assumption'!P7</f>
        <v>12.583333333333334</v>
      </c>
      <c r="P6" s="215">
        <f>'Price_Technical Assumption'!Q7</f>
        <v>13.583333333333334</v>
      </c>
      <c r="Q6" s="215">
        <f>'Price_Technical Assumption'!R7</f>
        <v>14.583333333333334</v>
      </c>
      <c r="R6" s="215">
        <f>'Price_Technical Assumption'!S7</f>
        <v>15.583333333333334</v>
      </c>
      <c r="S6" s="215">
        <f>'Price_Technical Assumption'!T7</f>
        <v>16.583333333333336</v>
      </c>
      <c r="T6" s="215">
        <f>'Price_Technical Assumption'!U7</f>
        <v>17.583333333333336</v>
      </c>
      <c r="U6" s="215">
        <f>'Price_Technical Assumption'!V7</f>
        <v>18.583333333333336</v>
      </c>
      <c r="V6" s="215">
        <f>'Price_Technical Assumption'!W7</f>
        <v>19.583333333333336</v>
      </c>
      <c r="W6" s="215">
        <f>'Price_Technical Assumption'!X7</f>
        <v>20.583333333333336</v>
      </c>
      <c r="X6" s="215">
        <f>'Price_Technical Assumption'!Y7</f>
        <v>21.583333333333336</v>
      </c>
      <c r="Y6" s="215">
        <f>'Price_Technical Assumption'!Z7</f>
        <v>22.583333333333336</v>
      </c>
      <c r="Z6" s="215">
        <f>'Price_Technical Assumption'!AA7</f>
        <v>23.583333333333336</v>
      </c>
      <c r="AA6" s="215">
        <f>'Price_Technical Assumption'!AB7</f>
        <v>24.583333333333336</v>
      </c>
      <c r="AB6" s="215">
        <f>'Price_Technical Assumption'!AC7</f>
        <v>25.583333333333336</v>
      </c>
      <c r="AC6" s="215">
        <f>'Price_Technical Assumption'!AD7</f>
        <v>26.583333333333336</v>
      </c>
      <c r="AD6" s="215">
        <f>'Price_Technical Assumption'!AE7</f>
        <v>27.583333333333336</v>
      </c>
      <c r="AE6" s="215">
        <f>'Price_Technical Assumption'!AF7</f>
        <v>28.583333333333336</v>
      </c>
      <c r="AF6" s="215">
        <f>'Price_Technical Assumption'!AG7</f>
        <v>29.583333333333336</v>
      </c>
      <c r="AG6" s="215">
        <f>'Price_Technical Assumption'!AH7</f>
        <v>30.583333333333336</v>
      </c>
    </row>
    <row r="7" spans="1:33" s="6" customFormat="1" ht="13.5" thickBot="1">
      <c r="A7" s="123" t="s">
        <v>40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3">
      <c r="A8" s="2"/>
      <c r="C8" s="372">
        <v>37256</v>
      </c>
      <c r="D8" s="372">
        <v>37621</v>
      </c>
      <c r="E8" s="372">
        <v>37986</v>
      </c>
      <c r="F8" s="372">
        <v>38352</v>
      </c>
      <c r="G8" s="372">
        <v>38717</v>
      </c>
      <c r="H8" s="372">
        <v>39082</v>
      </c>
      <c r="I8" s="372">
        <v>39447</v>
      </c>
      <c r="J8" s="372">
        <v>39813</v>
      </c>
      <c r="K8" s="372">
        <v>40178</v>
      </c>
      <c r="L8" s="372">
        <v>40543</v>
      </c>
      <c r="M8" s="372">
        <v>40908</v>
      </c>
      <c r="N8" s="372">
        <v>41274</v>
      </c>
      <c r="O8" s="372">
        <v>41639</v>
      </c>
      <c r="P8" s="372">
        <v>42004</v>
      </c>
      <c r="Q8" s="372">
        <v>42369</v>
      </c>
      <c r="R8" s="372">
        <v>42735</v>
      </c>
      <c r="S8" s="372">
        <v>43100</v>
      </c>
      <c r="T8" s="372">
        <v>43465</v>
      </c>
      <c r="U8" s="372">
        <v>43830</v>
      </c>
      <c r="V8" s="372">
        <v>44196</v>
      </c>
      <c r="W8" s="372">
        <v>44561</v>
      </c>
      <c r="X8" s="372">
        <v>44926</v>
      </c>
      <c r="Y8" s="372">
        <v>45291</v>
      </c>
      <c r="Z8" s="372">
        <v>45657</v>
      </c>
      <c r="AA8" s="372">
        <v>46022</v>
      </c>
      <c r="AB8" s="372">
        <v>46387</v>
      </c>
      <c r="AC8" s="372">
        <v>46752</v>
      </c>
      <c r="AD8" s="372">
        <v>47118</v>
      </c>
      <c r="AE8" s="372">
        <v>47483</v>
      </c>
      <c r="AF8" s="372">
        <v>47848</v>
      </c>
      <c r="AG8" s="372">
        <v>48213</v>
      </c>
    </row>
    <row r="9" spans="1:33">
      <c r="A9" s="1" t="s">
        <v>41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33">
      <c r="A10" s="3" t="s">
        <v>121</v>
      </c>
      <c r="C10" s="74">
        <f>IF(C6&lt;Assumptions!$H$19,C6*12*'Price_Technical Assumption'!D21*Assumptions!$H$68,IF(AND(B6&lt;Assumptions!$H$19,C6&gt;Assumptions!$H$19),(1-$C$6)*12*'Price_Technical Assumption'!D21*Assumptions!$H$68,0))</f>
        <v>10041.5</v>
      </c>
      <c r="D10" s="74">
        <f>IF(D6&lt;Assumptions!$H$19,12*'Price_Technical Assumption'!E21*Assumptions!$H$68,IF(AND(C6&lt;Assumptions!$H$19,D6&gt;Assumptions!$H$19),(1-$C$6)*12*'Price_Technical Assumption'!E21*Assumptions!$H$68,0))</f>
        <v>17214</v>
      </c>
      <c r="E10" s="74">
        <f>IF(E6&lt;Assumptions!$H$19,12*'Price_Technical Assumption'!F21*Assumptions!$H$68,IF(AND(D6&lt;Assumptions!$H$19,E6&gt;Assumptions!$H$19),(1-$C$6)*12*'Price_Technical Assumption'!F21*Assumptions!$H$68,0))</f>
        <v>17214</v>
      </c>
      <c r="F10" s="74">
        <f>IF(F6&lt;Assumptions!$H$19,12*'Price_Technical Assumption'!G21*Assumptions!$H$68,IF(AND(E6&lt;Assumptions!$H$19,F6&gt;Assumptions!$H$19),(1-$C$6)*12*'Price_Technical Assumption'!G21*Assumptions!$H$68,0))</f>
        <v>17214</v>
      </c>
      <c r="G10" s="74">
        <f>IF(G6&lt;Assumptions!$H$19,12*'Price_Technical Assumption'!H21*Assumptions!$H$68,IF(AND(F6&lt;Assumptions!$H$19,G6&gt;Assumptions!$H$19),(1-$C$6)*12*'Price_Technical Assumption'!H21*Assumptions!$H$68,0))</f>
        <v>17214</v>
      </c>
      <c r="H10" s="74">
        <f>IF(H6&lt;Assumptions!$H$19,12*'Price_Technical Assumption'!I21*Assumptions!$H$68,IF(AND(G6&lt;Assumptions!$H$19,H6&gt;Assumptions!$H$19),(1-$C$6)*12*'Price_Technical Assumption'!I21*Assumptions!$H$68,0))</f>
        <v>17214</v>
      </c>
      <c r="I10" s="74">
        <f>IF(I6&lt;Assumptions!$H$19,12*'Price_Technical Assumption'!J21*Assumptions!$H$68,IF(AND(H6&lt;Assumptions!$H$19,I6&gt;Assumptions!$H$19),(1-$C$6)*12*'Price_Technical Assumption'!J21*Assumptions!$H$68,0))</f>
        <v>17214</v>
      </c>
      <c r="J10" s="74">
        <f>IF(J6&lt;Assumptions!$H$19,12*'Price_Technical Assumption'!K21*Assumptions!$H$68,IF(AND(I6&lt;Assumptions!$H$19,J6&gt;Assumptions!$H$19),(1-$C$6)*12*'Price_Technical Assumption'!K21*Assumptions!$H$68,0))</f>
        <v>17214</v>
      </c>
      <c r="K10" s="74">
        <f>IF(K6&lt;Assumptions!$H$19,12*'Price_Technical Assumption'!L21*Assumptions!$H$68,IF(AND(J6&lt;Assumptions!$H$19,K6&gt;Assumptions!$H$19),(1-$C$6)*12*'Price_Technical Assumption'!L21*Assumptions!$H$68,0))</f>
        <v>17214</v>
      </c>
      <c r="L10" s="74">
        <f>IF(L6&lt;Assumptions!$H$19,12*'Price_Technical Assumption'!M21*Assumptions!$H$68,IF(AND(K6&lt;Assumptions!$H$19,L6&gt;Assumptions!$H$19),(1-$C$6)*12*'Price_Technical Assumption'!M21*Assumptions!$H$68,0))</f>
        <v>17214</v>
      </c>
      <c r="M10" s="74">
        <f>IF(M6&lt;Assumptions!$H$19,12*'Price_Technical Assumption'!N21*Assumptions!$H$68,IF(AND(L6&lt;Assumptions!$H$19,M6&gt;Assumptions!$H$19),(1-$C$6)*12*'Price_Technical Assumption'!N21*Assumptions!$H$68,0))</f>
        <v>17214</v>
      </c>
      <c r="N10" s="74">
        <f>IF(N6&lt;Assumptions!$H$19,12*'Price_Technical Assumption'!O21*Assumptions!$H$68,IF(AND(M6&lt;Assumptions!$H$19,N6&gt;Assumptions!$H$19),(1-$C$6)*12*'Price_Technical Assumption'!O21*Assumptions!$H$68,0))</f>
        <v>17214</v>
      </c>
      <c r="O10" s="74">
        <f>IF(O6&lt;Assumptions!$H$19,12*'Price_Technical Assumption'!P21*Assumptions!$H$68,IF(AND(N6&lt;Assumptions!$H$19,O6&gt;Assumptions!$H$19),(1-$C$6)*12*'Price_Technical Assumption'!P21*Assumptions!$H$68,0))</f>
        <v>17214</v>
      </c>
      <c r="P10" s="74">
        <f>IF(P6&lt;Assumptions!$H$19,12*'Price_Technical Assumption'!Q21*Assumptions!$H$68,IF(AND(O6&lt;Assumptions!$H$19,P6&gt;Assumptions!$H$19),(1-$C$6)*12*'Price_Technical Assumption'!Q21*Assumptions!$H$68,0))</f>
        <v>17214</v>
      </c>
      <c r="Q10" s="74">
        <f>IF(Q6&lt;Assumptions!$H$19,12*'Price_Technical Assumption'!R21*Assumptions!$H$68,IF(AND(P6&lt;Assumptions!$H$19,Q6&gt;Assumptions!$H$19),(1-$C$6)*12*'Price_Technical Assumption'!R21*Assumptions!$H$68,0))</f>
        <v>17214</v>
      </c>
      <c r="R10" s="74">
        <f>IF(R6&lt;Assumptions!$H$19,12*'Price_Technical Assumption'!S21*Assumptions!$H$68,IF(AND(Q6&lt;Assumptions!$H$19,R6&gt;Assumptions!$H$19),(1-$C$6)*12*'Price_Technical Assumption'!S21*Assumptions!$H$68,0))</f>
        <v>17214</v>
      </c>
      <c r="S10" s="74">
        <f>IF(S6&lt;Assumptions!$H$19,12*'Price_Technical Assumption'!T21*Assumptions!$H$68,IF(AND(R6&lt;Assumptions!$H$19,S6&gt;Assumptions!$H$19),(1-$C$6)*12*'Price_Technical Assumption'!T21*Assumptions!$H$68,0))</f>
        <v>17214</v>
      </c>
      <c r="T10" s="74">
        <f>IF(T6&lt;Assumptions!$H$19,12*'Price_Technical Assumption'!U21*Assumptions!$H$68,IF(AND(S6&lt;Assumptions!$H$19,T6&gt;Assumptions!$H$19),(1-$C$6)*12*'Price_Technical Assumption'!U21*Assumptions!$H$68,0))</f>
        <v>17214</v>
      </c>
      <c r="U10" s="74">
        <f>IF(U6&lt;Assumptions!$H$19,12*'Price_Technical Assumption'!V21*Assumptions!$H$68,IF(AND(T6&lt;Assumptions!$H$19,U6&gt;Assumptions!$H$19),(1-$C$6)*12*'Price_Technical Assumption'!V21*Assumptions!$H$68,0))</f>
        <v>17214</v>
      </c>
      <c r="V10" s="74">
        <f>IF(V6&lt;Assumptions!$H$19,12*'Price_Technical Assumption'!W21*Assumptions!$H$68,IF(AND(U6&lt;Assumptions!$H$19,V6&gt;Assumptions!$H$19),(1-$C$6)*12*'Price_Technical Assumption'!W21*Assumptions!$H$68,0))</f>
        <v>17214</v>
      </c>
      <c r="W10" s="74">
        <f>IF(W6&lt;Assumptions!$H$19,12*'Price_Technical Assumption'!X21*Assumptions!$H$68,IF(AND(V6&lt;Assumptions!$H$19,W6&gt;Assumptions!$H$19),(1-$C$6)*12*'Price_Technical Assumption'!X21*Assumptions!$H$68,0))</f>
        <v>6940.3757603189906</v>
      </c>
      <c r="X10" s="74">
        <f>IF(X6&lt;Assumptions!$H$19,12*'Price_Technical Assumption'!Y21*Assumptions!$H$68,IF(AND(W6&lt;Assumptions!$H$19,X6&gt;Assumptions!$H$19),(1-$C$6)*12*'Price_Technical Assumption'!Y21*Assumptions!$H$68,0))</f>
        <v>0</v>
      </c>
      <c r="Y10" s="74">
        <f>IF(Y6&lt;Assumptions!$H$19,12*'Price_Technical Assumption'!Z21*Assumptions!$H$68,IF(AND(X6&lt;Assumptions!$H$19,Y6&gt;Assumptions!$H$19),(1-$C$6)*12*'Price_Technical Assumption'!Z21*Assumptions!$H$68,0))</f>
        <v>0</v>
      </c>
      <c r="Z10" s="74">
        <f>IF(Z6&lt;Assumptions!$H$19,12*'Price_Technical Assumption'!AA21*Assumptions!$H$68,IF(AND(Y6&lt;Assumptions!$H$19,Z6&gt;Assumptions!$H$19),(1-$C$6)*12*'Price_Technical Assumption'!AA21*Assumptions!$H$68,0))</f>
        <v>0</v>
      </c>
      <c r="AA10" s="74">
        <f>IF(AA6&lt;Assumptions!$H$19,12*'Price_Technical Assumption'!AB21*Assumptions!$H$68,IF(AND(Z6&lt;Assumptions!$H$19,AA6&gt;Assumptions!$H$19),(1-$C$6)*12*'Price_Technical Assumption'!AB21*Assumptions!$H$68,0))</f>
        <v>0</v>
      </c>
      <c r="AB10" s="74">
        <f>IF(AB6&lt;Assumptions!$H$19,12*'Price_Technical Assumption'!AC21*Assumptions!$H$68,IF(AND(AA6&lt;Assumptions!$H$19,AB6&gt;Assumptions!$H$19),(1-$C$6)*12*'Price_Technical Assumption'!AC21*Assumptions!$H$68,0))</f>
        <v>0</v>
      </c>
      <c r="AC10" s="74">
        <f>IF(AC6&lt;Assumptions!$H$19,12*'Price_Technical Assumption'!AD21*Assumptions!$H$68,IF(AND(AB6&lt;Assumptions!$H$19,AC6&gt;Assumptions!$H$19),(1-$C$6)*12*'Price_Technical Assumption'!AD21*Assumptions!$H$68,0))</f>
        <v>0</v>
      </c>
      <c r="AD10" s="74">
        <f>IF(AD6&lt;Assumptions!$H$19,12*'Price_Technical Assumption'!AE21*Assumptions!$H$68,IF(AND(AC6&lt;Assumptions!$H$19,AD6&gt;Assumptions!$H$19),(1-$C$6)*12*'Price_Technical Assumption'!AE21*Assumptions!$H$68,0))</f>
        <v>0</v>
      </c>
      <c r="AE10" s="74">
        <f>IF(AE6&lt;Assumptions!$H$19,12*'Price_Technical Assumption'!AF21*Assumptions!$H$68,IF(AND(AD6&lt;Assumptions!$H$19,AE6&gt;Assumptions!$H$19),(1-$C$6)*12*'Price_Technical Assumption'!AF21*Assumptions!$H$68,0))</f>
        <v>0</v>
      </c>
      <c r="AF10" s="74">
        <f>IF(AF6&lt;Assumptions!$H$19,12*'Price_Technical Assumption'!AG21*Assumptions!$H$68,IF(AND(AE6&lt;Assumptions!$H$19,AF6&gt;Assumptions!$H$19),(1-$C$6)*12*'Price_Technical Assumption'!AG21*Assumptions!$H$68,0))</f>
        <v>0</v>
      </c>
      <c r="AG10" s="74">
        <f>IF(AG6&lt;Assumptions!$H$19,12*'Price_Technical Assumption'!AH21*Assumptions!$H$68,IF(AND(AF6&lt;Assumptions!$H$19,AG6&gt;Assumptions!$H$19),(1-$C$6)*12*'Price_Technical Assumption'!AH21*Assumptions!$H$68,0))</f>
        <v>0</v>
      </c>
    </row>
    <row r="11" spans="1:33">
      <c r="A11" s="3" t="s">
        <v>122</v>
      </c>
      <c r="C11" s="74">
        <f>'Price_Technical Assumption'!D38*Assumptions!$H$62/1000</f>
        <v>9451.4577992326394</v>
      </c>
      <c r="D11" s="74">
        <f>'Price_Technical Assumption'!E38*Assumptions!$H$62/1000</f>
        <v>9350.9291599446242</v>
      </c>
      <c r="E11" s="74">
        <f>'Price_Technical Assumption'!F38*Assumptions!$H$62/1000</f>
        <v>9400.2917616629584</v>
      </c>
      <c r="F11" s="74">
        <f>'Price_Technical Assumption'!G38*Assumptions!$H$62/1000</f>
        <v>9554.232240297848</v>
      </c>
      <c r="G11" s="74">
        <f>'Price_Technical Assumption'!H38*Assumptions!$H$62/1000</f>
        <v>9736.1522635917827</v>
      </c>
      <c r="H11" s="74">
        <f>'Price_Technical Assumption'!I38*Assumptions!$H$62/1000</f>
        <v>9928.9420432845382</v>
      </c>
      <c r="I11" s="74">
        <f>'Price_Technical Assumption'!J38*Assumptions!$H$62/1000</f>
        <v>10128.052164718072</v>
      </c>
      <c r="J11" s="74">
        <f>'Price_Technical Assumption'!K38*Assumptions!$H$62/1000</f>
        <v>10341.493602394614</v>
      </c>
      <c r="K11" s="74">
        <f>'Price_Technical Assumption'!L38*Assumptions!$H$62/1000</f>
        <v>10569.285246001455</v>
      </c>
      <c r="L11" s="74">
        <f>'Price_Technical Assumption'!M38*Assumptions!$H$62/1000</f>
        <v>10811.446551916497</v>
      </c>
      <c r="M11" s="74">
        <f>'Price_Technical Assumption'!N38*Assumptions!$H$62/1000</f>
        <v>11067.997560208993</v>
      </c>
      <c r="N11" s="74">
        <f>'Price_Technical Assumption'!O38*Assumptions!$H$62/1000</f>
        <v>11338.958912150261</v>
      </c>
      <c r="O11" s="74">
        <f>'Price_Technical Assumption'!P38*Assumptions!$H$62/1000</f>
        <v>11624.351868249767</v>
      </c>
      <c r="P11" s="74">
        <f>'Price_Technical Assumption'!Q38*Assumptions!$H$62/1000</f>
        <v>11924.198326832262</v>
      </c>
      <c r="Q11" s="74">
        <f>'Price_Technical Assumption'!R38*Assumptions!$H$62/1000</f>
        <v>12238.520843172233</v>
      </c>
      <c r="R11" s="74">
        <f>'Price_Technical Assumption'!S38*Assumptions!$H$62/1000</f>
        <v>12567.342649202397</v>
      </c>
      <c r="S11" s="74">
        <f>'Price_Technical Assumption'!T38*Assumptions!$H$62/1000</f>
        <v>12910.687673813471</v>
      </c>
      <c r="T11" s="74">
        <f>'Price_Technical Assumption'!U38*Assumptions!$H$62/1000</f>
        <v>13268.580563762873</v>
      </c>
      <c r="U11" s="74">
        <f>'Price_Technical Assumption'!V38*Assumptions!$H$62/1000</f>
        <v>13641.04670521076</v>
      </c>
      <c r="V11" s="74">
        <f>'Price_Technical Assumption'!W38*Assumptions!$H$62/1000</f>
        <v>13987.209936289584</v>
      </c>
      <c r="W11" s="74">
        <f>'Price_Technical Assumption'!X38*Assumptions!$H$62/1000</f>
        <v>14342.181360048833</v>
      </c>
      <c r="X11" s="74">
        <f>'Price_Technical Assumption'!Y38*Assumptions!$H$62/1000</f>
        <v>7151.4119861895706</v>
      </c>
      <c r="Y11" s="74">
        <f>'Price_Technical Assumption'!Z38*Assumptions!$H$62/1000</f>
        <v>7185.0924337752567</v>
      </c>
      <c r="Z11" s="74">
        <f>'Price_Technical Assumption'!AA38*Assumptions!$H$62/1000</f>
        <v>7219.7832947885145</v>
      </c>
      <c r="AA11" s="74">
        <f>'Price_Technical Assumption'!AB38*Assumptions!$H$62/1000</f>
        <v>7255.5148816321698</v>
      </c>
      <c r="AB11" s="74">
        <f>'Price_Technical Assumption'!AC38*Assumptions!$H$62/1000</f>
        <v>7292.3184160811352</v>
      </c>
      <c r="AC11" s="74">
        <f>'Price_Technical Assumption'!AD38*Assumptions!$H$62/1000</f>
        <v>7330.2260565635688</v>
      </c>
      <c r="AD11" s="74">
        <f>'Price_Technical Assumption'!AE38*Assumptions!$H$62/1000</f>
        <v>7369.2709262604758</v>
      </c>
      <c r="AE11" s="74">
        <f>'Price_Technical Assumption'!AF38*Assumptions!$H$62/1000</f>
        <v>7409.4871420482905</v>
      </c>
      <c r="AF11" s="74">
        <f>'Price_Technical Assumption'!AG38*Assumptions!$H$62/1000</f>
        <v>7450.9098443097391</v>
      </c>
      <c r="AG11" s="74">
        <f>'Price_Technical Assumption'!AH38*Assumptions!$H$62/1000</f>
        <v>7493.5752276390313</v>
      </c>
    </row>
    <row r="12" spans="1:33">
      <c r="A12" s="211" t="s">
        <v>123</v>
      </c>
      <c r="C12" s="373">
        <v>0</v>
      </c>
      <c r="D12" s="373">
        <v>0</v>
      </c>
      <c r="E12" s="373">
        <v>0</v>
      </c>
      <c r="F12" s="373">
        <v>0</v>
      </c>
      <c r="G12" s="373">
        <v>0</v>
      </c>
      <c r="H12" s="373">
        <v>0</v>
      </c>
      <c r="I12" s="373">
        <v>0</v>
      </c>
      <c r="J12" s="373">
        <v>0</v>
      </c>
      <c r="K12" s="373">
        <v>0</v>
      </c>
      <c r="L12" s="373">
        <v>0</v>
      </c>
      <c r="M12" s="373">
        <v>0</v>
      </c>
      <c r="N12" s="373">
        <v>0</v>
      </c>
      <c r="O12" s="373">
        <v>0</v>
      </c>
      <c r="P12" s="373">
        <v>0</v>
      </c>
      <c r="Q12" s="373">
        <v>0</v>
      </c>
      <c r="R12" s="373">
        <v>0</v>
      </c>
      <c r="S12" s="373">
        <v>0</v>
      </c>
      <c r="T12" s="373">
        <v>0</v>
      </c>
      <c r="U12" s="373">
        <v>0</v>
      </c>
      <c r="V12" s="373">
        <v>0</v>
      </c>
      <c r="W12" s="373">
        <v>0</v>
      </c>
      <c r="X12" s="373">
        <v>0</v>
      </c>
      <c r="Y12" s="373">
        <v>0</v>
      </c>
      <c r="Z12" s="373">
        <v>0</v>
      </c>
      <c r="AA12" s="373">
        <v>0</v>
      </c>
      <c r="AB12" s="373">
        <v>0</v>
      </c>
      <c r="AC12" s="373">
        <v>0</v>
      </c>
      <c r="AD12" s="373">
        <v>0</v>
      </c>
      <c r="AE12" s="373">
        <v>0</v>
      </c>
      <c r="AF12" s="373">
        <v>0</v>
      </c>
      <c r="AG12" s="373">
        <v>0</v>
      </c>
    </row>
    <row r="13" spans="1:33">
      <c r="A13" s="174" t="s">
        <v>42</v>
      </c>
      <c r="C13" s="65">
        <f t="shared" ref="C13:AG13" si="0">SUM(C10:C12)</f>
        <v>19492.957799232638</v>
      </c>
      <c r="D13" s="65">
        <f t="shared" si="0"/>
        <v>26564.929159944622</v>
      </c>
      <c r="E13" s="65">
        <f t="shared" si="0"/>
        <v>26614.291761662957</v>
      </c>
      <c r="F13" s="65">
        <f t="shared" si="0"/>
        <v>26768.232240297846</v>
      </c>
      <c r="G13" s="65">
        <f t="shared" si="0"/>
        <v>26950.152263591783</v>
      </c>
      <c r="H13" s="65">
        <f t="shared" si="0"/>
        <v>27142.942043284536</v>
      </c>
      <c r="I13" s="65">
        <f t="shared" si="0"/>
        <v>27342.052164718072</v>
      </c>
      <c r="J13" s="65">
        <f t="shared" si="0"/>
        <v>27555.493602394614</v>
      </c>
      <c r="K13" s="65">
        <f t="shared" si="0"/>
        <v>27783.285246001455</v>
      </c>
      <c r="L13" s="65">
        <f t="shared" si="0"/>
        <v>28025.446551916495</v>
      </c>
      <c r="M13" s="65">
        <f t="shared" si="0"/>
        <v>28281.997560208991</v>
      </c>
      <c r="N13" s="65">
        <f t="shared" si="0"/>
        <v>28552.958912150261</v>
      </c>
      <c r="O13" s="65">
        <f t="shared" si="0"/>
        <v>28838.351868249767</v>
      </c>
      <c r="P13" s="65">
        <f t="shared" si="0"/>
        <v>29138.198326832262</v>
      </c>
      <c r="Q13" s="65">
        <f t="shared" si="0"/>
        <v>29452.520843172235</v>
      </c>
      <c r="R13" s="65">
        <f t="shared" si="0"/>
        <v>29781.342649202397</v>
      </c>
      <c r="S13" s="65">
        <f t="shared" si="0"/>
        <v>30124.687673813471</v>
      </c>
      <c r="T13" s="65">
        <f t="shared" si="0"/>
        <v>30482.580563762873</v>
      </c>
      <c r="U13" s="65">
        <f t="shared" si="0"/>
        <v>30855.04670521076</v>
      </c>
      <c r="V13" s="65">
        <f t="shared" si="0"/>
        <v>31201.209936289582</v>
      </c>
      <c r="W13" s="65">
        <f t="shared" si="0"/>
        <v>21282.557120367823</v>
      </c>
      <c r="X13" s="65">
        <f t="shared" si="0"/>
        <v>7151.4119861895706</v>
      </c>
      <c r="Y13" s="65">
        <f t="shared" si="0"/>
        <v>7185.0924337752567</v>
      </c>
      <c r="Z13" s="65">
        <f t="shared" si="0"/>
        <v>7219.7832947885145</v>
      </c>
      <c r="AA13" s="65">
        <f t="shared" si="0"/>
        <v>7255.5148816321698</v>
      </c>
      <c r="AB13" s="65">
        <f t="shared" si="0"/>
        <v>7292.3184160811352</v>
      </c>
      <c r="AC13" s="65">
        <f t="shared" si="0"/>
        <v>7330.2260565635688</v>
      </c>
      <c r="AD13" s="65">
        <f t="shared" si="0"/>
        <v>7369.2709262604758</v>
      </c>
      <c r="AE13" s="65">
        <f t="shared" si="0"/>
        <v>7409.4871420482905</v>
      </c>
      <c r="AF13" s="65">
        <f t="shared" si="0"/>
        <v>7450.9098443097391</v>
      </c>
      <c r="AG13" s="65">
        <f t="shared" si="0"/>
        <v>7493.5752276390313</v>
      </c>
    </row>
    <row r="14" spans="1:33">
      <c r="A14" s="6"/>
      <c r="Y14" s="12"/>
      <c r="Z14" s="12"/>
    </row>
    <row r="15" spans="1:33">
      <c r="A15" s="1" t="s">
        <v>43</v>
      </c>
      <c r="Y15" s="12"/>
      <c r="Z15" s="12"/>
    </row>
    <row r="16" spans="1:33">
      <c r="A16" s="3" t="s">
        <v>44</v>
      </c>
      <c r="C16" s="221">
        <f>Assumptions!$H$62*'Price_Technical Assumption'!D30*'Price_Technical Assumption'!D44/1000000</f>
        <v>8847.9611255</v>
      </c>
      <c r="D16" s="221">
        <f>Assumptions!$H$62*'Price_Technical Assumption'!E30*'Price_Technical Assumption'!E44/1000000</f>
        <v>8729.3275860000012</v>
      </c>
      <c r="E16" s="221">
        <f>Assumptions!$H$62*'Price_Technical Assumption'!F30*'Price_Technical Assumption'!F44/1000000</f>
        <v>8760.0421404999997</v>
      </c>
      <c r="F16" s="221">
        <f>Assumptions!$H$62*'Price_Technical Assumption'!G30*'Price_Technical Assumption'!G44/1000000</f>
        <v>8894.775130500002</v>
      </c>
      <c r="G16" s="221">
        <f>Assumptions!$H$62*'Price_Technical Assumption'!H30*'Price_Technical Assumption'!H44/1000000</f>
        <v>9056.9114405</v>
      </c>
      <c r="H16" s="221">
        <f>Assumptions!$H$62*'Price_Technical Assumption'!I30*'Price_Technical Assumption'!I44/1000000</f>
        <v>9229.3239955000008</v>
      </c>
      <c r="I16" s="221">
        <f>Assumptions!$H$62*'Price_Technical Assumption'!J30*'Price_Technical Assumption'!J44/1000000</f>
        <v>9407.4455754999999</v>
      </c>
      <c r="J16" s="221">
        <f>Assumptions!$H$62*'Price_Technical Assumption'!K30*'Price_Technical Assumption'!K44/1000000</f>
        <v>9599.2688154999996</v>
      </c>
      <c r="K16" s="221">
        <f>Assumptions!$H$62*'Price_Technical Assumption'!L30*'Price_Technical Assumption'!L44/1000000</f>
        <v>9804.7937155</v>
      </c>
      <c r="L16" s="221">
        <f>Assumptions!$H$62*'Price_Technical Assumption'!M30*'Price_Technical Assumption'!M44/1000000</f>
        <v>10024.020275499999</v>
      </c>
      <c r="M16" s="221">
        <f>Assumptions!$H$62*'Price_Technical Assumption'!N30*'Price_Technical Assumption'!N44/1000000</f>
        <v>10256.948495500001</v>
      </c>
      <c r="N16" s="221">
        <f>Assumptions!$H$62*'Price_Technical Assumption'!O30*'Price_Technical Assumption'!O44/1000000</f>
        <v>10503.578375499999</v>
      </c>
      <c r="O16" s="221">
        <f>Assumptions!$H$62*'Price_Technical Assumption'!P30*'Price_Technical Assumption'!P44/1000000</f>
        <v>10763.909915499999</v>
      </c>
      <c r="P16" s="221">
        <f>Assumptions!$H$62*'Price_Technical Assumption'!Q30*'Price_Technical Assumption'!Q44/1000000</f>
        <v>11037.9431155</v>
      </c>
      <c r="Q16" s="221">
        <f>Assumptions!$H$62*'Price_Technical Assumption'!R30*'Price_Technical Assumption'!R44/1000000</f>
        <v>11325.677975500001</v>
      </c>
      <c r="R16" s="221">
        <f>Assumptions!$H$62*'Price_Technical Assumption'!S30*'Price_Technical Assumption'!S44/1000000</f>
        <v>11627.114495499998</v>
      </c>
      <c r="S16" s="221">
        <f>Assumptions!$H$62*'Price_Technical Assumption'!T30*'Price_Technical Assumption'!T44/1000000</f>
        <v>11942.2526755</v>
      </c>
      <c r="T16" s="221">
        <f>Assumptions!$H$62*'Price_Technical Assumption'!U30*'Price_Technical Assumption'!U44/1000000</f>
        <v>12271.0925155</v>
      </c>
      <c r="U16" s="221">
        <f>Assumptions!$H$62*'Price_Technical Assumption'!V30*'Price_Technical Assumption'!V44/1000000</f>
        <v>12613.6340155</v>
      </c>
      <c r="V16" s="221">
        <f>Assumptions!$H$62*'Price_Technical Assumption'!W30*'Price_Technical Assumption'!W44/1000000</f>
        <v>12928.974865887501</v>
      </c>
      <c r="W16" s="221">
        <f>Assumptions!$H$62*'Price_Technical Assumption'!X30*'Price_Technical Assumption'!X44/1000000</f>
        <v>13252.199237534685</v>
      </c>
      <c r="X16" s="221">
        <f>Assumptions!$H$62*'Price_Technical Assumption'!Y30*'Price_Technical Assumption'!Y44/1000000</f>
        <v>6028.7304000000004</v>
      </c>
      <c r="Y16" s="221">
        <f>Assumptions!$H$62*'Price_Technical Assumption'!Z30*'Price_Technical Assumption'!Z44/1000000</f>
        <v>6028.7304000000004</v>
      </c>
      <c r="Z16" s="221">
        <f>Assumptions!$H$62*'Price_Technical Assumption'!AA30*'Price_Technical Assumption'!AA44/1000000</f>
        <v>6028.7304000000004</v>
      </c>
      <c r="AA16" s="221">
        <f>Assumptions!$H$62*'Price_Technical Assumption'!AB30*'Price_Technical Assumption'!AB44/1000000</f>
        <v>6028.7304000000004</v>
      </c>
      <c r="AB16" s="221">
        <f>Assumptions!$H$62*'Price_Technical Assumption'!AC30*'Price_Technical Assumption'!AC44/1000000</f>
        <v>6028.7304000000004</v>
      </c>
      <c r="AC16" s="221">
        <f>Assumptions!$H$62*'Price_Technical Assumption'!AD30*'Price_Technical Assumption'!AD44/1000000</f>
        <v>6028.7304000000004</v>
      </c>
      <c r="AD16" s="221">
        <f>Assumptions!$H$62*'Price_Technical Assumption'!AE30*'Price_Technical Assumption'!AE44/1000000</f>
        <v>6028.7304000000004</v>
      </c>
      <c r="AE16" s="221">
        <f>Assumptions!$H$62*'Price_Technical Assumption'!AF30*'Price_Technical Assumption'!AF44/1000000</f>
        <v>6028.7304000000004</v>
      </c>
      <c r="AF16" s="221">
        <f>Assumptions!$H$62*'Price_Technical Assumption'!AG30*'Price_Technical Assumption'!AG44/1000000</f>
        <v>6028.7304000000004</v>
      </c>
      <c r="AG16" s="221">
        <f>Assumptions!$H$62*'Price_Technical Assumption'!AH30*'Price_Technical Assumption'!AH44/1000000</f>
        <v>6028.7304000000004</v>
      </c>
    </row>
    <row r="17" spans="1:47">
      <c r="A17" s="3" t="s">
        <v>207</v>
      </c>
      <c r="C17" s="74">
        <f>Assumptions!$N19*C6</f>
        <v>380.33333333333337</v>
      </c>
      <c r="D17" s="74">
        <f>Assumptions!$N19*(1+Assumptions!$N$11)</f>
        <v>671.56000000000006</v>
      </c>
      <c r="E17" s="74">
        <f>D17*(1+Assumptions!$N$11)</f>
        <v>691.70680000000004</v>
      </c>
      <c r="F17" s="74">
        <f>E17*(1+Assumptions!$N$11)</f>
        <v>712.45800400000007</v>
      </c>
      <c r="G17" s="74">
        <f>F17*(1+Assumptions!$N$11)</f>
        <v>733.83174412000005</v>
      </c>
      <c r="H17" s="74">
        <f>G17*(1+Assumptions!$N$11)</f>
        <v>755.84669644360008</v>
      </c>
      <c r="I17" s="74">
        <f>H17*(1+Assumptions!$N$11)</f>
        <v>778.52209733690813</v>
      </c>
      <c r="J17" s="74">
        <f>I17*(1+Assumptions!$N$11)</f>
        <v>801.87776025701544</v>
      </c>
      <c r="K17" s="74">
        <f>J17*(1+Assumptions!$N$11)</f>
        <v>825.93409306472597</v>
      </c>
      <c r="L17" s="74">
        <f>K17*(1+Assumptions!$N$11)</f>
        <v>850.71211585666777</v>
      </c>
      <c r="M17" s="74">
        <f>L17*(1+Assumptions!$N$11)</f>
        <v>876.23347933236778</v>
      </c>
      <c r="N17" s="74">
        <f>M17*(1+Assumptions!$N$11)</f>
        <v>902.52048371233889</v>
      </c>
      <c r="O17" s="74">
        <f>N17*(1+Assumptions!$N$11)</f>
        <v>929.59609822370908</v>
      </c>
      <c r="P17" s="74">
        <f>O17*(1+Assumptions!$N$11)</f>
        <v>957.48398117042041</v>
      </c>
      <c r="Q17" s="74">
        <f>P17*(1+Assumptions!$N$11)</f>
        <v>986.208500605533</v>
      </c>
      <c r="R17" s="74">
        <f>Q17*(1+Assumptions!$N$11)</f>
        <v>1015.7947556236991</v>
      </c>
      <c r="S17" s="74">
        <f>R17*(1+Assumptions!$N$11)</f>
        <v>1046.2685982924102</v>
      </c>
      <c r="T17" s="74">
        <f>S17*(1+Assumptions!$N$11)</f>
        <v>1077.6566562411824</v>
      </c>
      <c r="U17" s="74">
        <f>T17*(1+Assumptions!$N$11)</f>
        <v>1109.9863559284179</v>
      </c>
      <c r="V17" s="74">
        <f>U17*(1+Assumptions!$N$11)</f>
        <v>1143.2859466062705</v>
      </c>
      <c r="W17" s="74">
        <f>V17*(1+Assumptions!$N$11)</f>
        <v>1177.5845250044586</v>
      </c>
      <c r="X17" s="74">
        <f>W17*(1+Assumptions!$N$11)</f>
        <v>1212.9120607545924</v>
      </c>
      <c r="Y17" s="74">
        <f>X17*(1+Assumptions!$N$11)</f>
        <v>1249.2994225772302</v>
      </c>
      <c r="Z17" s="74">
        <f>Y17*(1+Assumptions!$N$11)</f>
        <v>1286.7784052545471</v>
      </c>
      <c r="AA17" s="74">
        <f>Z17*(1+Assumptions!$N$11)</f>
        <v>1325.3817574121836</v>
      </c>
      <c r="AB17" s="74">
        <f>AA17*(1+Assumptions!$N$11)</f>
        <v>1365.143210134549</v>
      </c>
      <c r="AC17" s="74">
        <f>AB17*(1+Assumptions!$N$11)</f>
        <v>1406.0975064385855</v>
      </c>
      <c r="AD17" s="74">
        <f>AC17*(1+Assumptions!$N$11)</f>
        <v>1448.2804316317431</v>
      </c>
      <c r="AE17" s="74">
        <f>AD17*(1+Assumptions!$N$11)</f>
        <v>1491.7288445806955</v>
      </c>
      <c r="AF17" s="74">
        <f>AE17*(1+Assumptions!$N$11)</f>
        <v>1536.4807099181164</v>
      </c>
      <c r="AG17" s="74">
        <f>AF17*(1+Assumptions!$N$11)</f>
        <v>1582.5751312156599</v>
      </c>
    </row>
    <row r="18" spans="1:47">
      <c r="A18" s="3" t="s">
        <v>253</v>
      </c>
      <c r="C18" s="221">
        <f>+(Assumptions!$P$15*Assumptions!$H$62)/1000*(1+Assumptions!$N$11)^IS!C6</f>
        <v>159.66952354361351</v>
      </c>
      <c r="D18" s="74">
        <f>C18*(1+Assumptions!$N$11)</f>
        <v>164.45960924992193</v>
      </c>
      <c r="E18" s="74">
        <f>D18*(1+Assumptions!$N$11)</f>
        <v>169.39339752741958</v>
      </c>
      <c r="F18" s="74">
        <f>E18*(1+Assumptions!$N$11)</f>
        <v>174.47519945324217</v>
      </c>
      <c r="G18" s="74">
        <f>F18*(1+Assumptions!$N$11)</f>
        <v>179.70945543683945</v>
      </c>
      <c r="H18" s="74">
        <f>G18*(1+Assumptions!$N$11)</f>
        <v>185.10073909994463</v>
      </c>
      <c r="I18" s="74">
        <f>H18*(1+Assumptions!$N$11)</f>
        <v>190.65376127294297</v>
      </c>
      <c r="J18" s="74">
        <f>I18*(1+Assumptions!$N$11)</f>
        <v>196.37337411113126</v>
      </c>
      <c r="K18" s="74">
        <f>J18*(1+Assumptions!$N$11)</f>
        <v>202.26457533446521</v>
      </c>
      <c r="L18" s="74">
        <f>K18*(1+Assumptions!$N$11)</f>
        <v>208.33251259449918</v>
      </c>
      <c r="M18" s="74">
        <f>L18*(1+Assumptions!$N$11)</f>
        <v>214.58248797233415</v>
      </c>
      <c r="N18" s="74">
        <f>M18*(1+Assumptions!$N$11)</f>
        <v>221.01996261150418</v>
      </c>
      <c r="O18" s="74">
        <f>N18*(1+Assumptions!$N$11)</f>
        <v>227.65056148984931</v>
      </c>
      <c r="P18" s="74">
        <f>O18*(1+Assumptions!$N$11)</f>
        <v>234.4800783345448</v>
      </c>
      <c r="Q18" s="74">
        <f>P18*(1+Assumptions!$N$11)</f>
        <v>241.51448068458114</v>
      </c>
      <c r="R18" s="74">
        <f>Q18*(1+Assumptions!$N$11)</f>
        <v>248.75991510511858</v>
      </c>
      <c r="S18" s="74">
        <f>R18*(1+Assumptions!$N$11)</f>
        <v>256.22271255827212</v>
      </c>
      <c r="T18" s="74">
        <f>S18*(1+Assumptions!$N$11)</f>
        <v>263.90939393502032</v>
      </c>
      <c r="U18" s="74">
        <f>T18*(1+Assumptions!$N$11)</f>
        <v>271.82667575307096</v>
      </c>
      <c r="V18" s="74">
        <f>U18*(1+Assumptions!$N$11)</f>
        <v>279.98147602566308</v>
      </c>
      <c r="W18" s="74">
        <f>V18*(1+Assumptions!$N$11)</f>
        <v>288.38092030643298</v>
      </c>
      <c r="X18" s="74">
        <f>W18*(1+Assumptions!$N$11)</f>
        <v>297.03234791562596</v>
      </c>
      <c r="Y18" s="74">
        <f>X18*(1+Assumptions!$N$11)</f>
        <v>305.94331835309475</v>
      </c>
      <c r="Z18" s="74">
        <f>Y18*(1+Assumptions!$N$11)</f>
        <v>315.12161790368759</v>
      </c>
      <c r="AA18" s="74">
        <f>Z18*(1+Assumptions!$N$11)</f>
        <v>324.5752664407982</v>
      </c>
      <c r="AB18" s="74">
        <f>AA18*(1+Assumptions!$N$11)</f>
        <v>334.31252443402218</v>
      </c>
      <c r="AC18" s="74">
        <f>AB18*(1+Assumptions!$N$11)</f>
        <v>344.34190016704287</v>
      </c>
      <c r="AD18" s="74">
        <f>AC18*(1+Assumptions!$N$11)</f>
        <v>354.67215717205414</v>
      </c>
      <c r="AE18" s="74">
        <f>AD18*(1+Assumptions!$N$11)</f>
        <v>365.31232188721577</v>
      </c>
      <c r="AF18" s="74">
        <f>AE18*(1+Assumptions!$N$11)</f>
        <v>376.27169154383228</v>
      </c>
      <c r="AG18" s="74">
        <f>AF18*(1+Assumptions!$N$11)</f>
        <v>387.55984229014723</v>
      </c>
    </row>
    <row r="19" spans="1:47">
      <c r="A19" s="3" t="s">
        <v>254</v>
      </c>
      <c r="C19" s="74">
        <f>Assumptions!$P$16*Assumptions!$H$62/1000*(1+Assumptions!$N$11)^IS!C6</f>
        <v>443.82715018902741</v>
      </c>
      <c r="D19" s="74">
        <f>C19*(1+Assumptions!$N$11)</f>
        <v>457.14196469469823</v>
      </c>
      <c r="E19" s="74">
        <f>D19*(1+Assumptions!$N$11)</f>
        <v>470.85622363553921</v>
      </c>
      <c r="F19" s="74">
        <f>E19*(1+Assumptions!$N$11)</f>
        <v>484.98191034460541</v>
      </c>
      <c r="G19" s="74">
        <f>F19*(1+Assumptions!$N$11)</f>
        <v>499.53136765494361</v>
      </c>
      <c r="H19" s="74">
        <f>G19*(1+Assumptions!$N$11)</f>
        <v>514.51730868459197</v>
      </c>
      <c r="I19" s="74">
        <f>H19*(1+Assumptions!$N$11)</f>
        <v>529.95282794512968</v>
      </c>
      <c r="J19" s="74">
        <f>I19*(1+Assumptions!$N$11)</f>
        <v>545.85141278348362</v>
      </c>
      <c r="K19" s="74">
        <f>J19*(1+Assumptions!$N$11)</f>
        <v>562.22695516698809</v>
      </c>
      <c r="L19" s="74">
        <f>K19*(1+Assumptions!$N$11)</f>
        <v>579.09376382199775</v>
      </c>
      <c r="M19" s="74">
        <f>L19*(1+Assumptions!$N$11)</f>
        <v>596.46657673665766</v>
      </c>
      <c r="N19" s="74">
        <f>M19*(1+Assumptions!$N$11)</f>
        <v>614.36057403875736</v>
      </c>
      <c r="O19" s="74">
        <f>N19*(1+Assumptions!$N$11)</f>
        <v>632.79139125992015</v>
      </c>
      <c r="P19" s="74">
        <f>O19*(1+Assumptions!$N$11)</f>
        <v>651.77513299771772</v>
      </c>
      <c r="Q19" s="74">
        <f>P19*(1+Assumptions!$N$11)</f>
        <v>671.32838698764931</v>
      </c>
      <c r="R19" s="74">
        <f>Q19*(1+Assumptions!$N$11)</f>
        <v>691.46823859727886</v>
      </c>
      <c r="S19" s="74">
        <f>R19*(1+Assumptions!$N$11)</f>
        <v>712.21228575519729</v>
      </c>
      <c r="T19" s="74">
        <f>S19*(1+Assumptions!$N$11)</f>
        <v>733.5786543278532</v>
      </c>
      <c r="U19" s="74">
        <f>T19*(1+Assumptions!$N$11)</f>
        <v>755.58601395768881</v>
      </c>
      <c r="V19" s="74">
        <f>U19*(1+Assumptions!$N$11)</f>
        <v>778.25359437641953</v>
      </c>
      <c r="W19" s="74">
        <f>V19*(1+Assumptions!$N$11)</f>
        <v>801.60120220771216</v>
      </c>
      <c r="X19" s="74">
        <f>W19*(1+Assumptions!$N$11)</f>
        <v>825.64923827394352</v>
      </c>
      <c r="Y19" s="74">
        <f>X19*(1+Assumptions!$N$11)</f>
        <v>850.41871542216188</v>
      </c>
      <c r="Z19" s="74">
        <f>Y19*(1+Assumptions!$N$11)</f>
        <v>875.93127688482673</v>
      </c>
      <c r="AA19" s="74">
        <f>Z19*(1+Assumptions!$N$11)</f>
        <v>902.20921519137153</v>
      </c>
      <c r="AB19" s="74">
        <f>AA19*(1+Assumptions!$N$11)</f>
        <v>929.27549164711274</v>
      </c>
      <c r="AC19" s="74">
        <f>AB19*(1+Assumptions!$N$11)</f>
        <v>957.15375639652621</v>
      </c>
      <c r="AD19" s="74">
        <f>AC19*(1+Assumptions!$N$11)</f>
        <v>985.86836908842201</v>
      </c>
      <c r="AE19" s="74">
        <f>AD19*(1+Assumptions!$N$11)</f>
        <v>1015.4444201610747</v>
      </c>
      <c r="AF19" s="74">
        <f>AE19*(1+Assumptions!$N$11)</f>
        <v>1045.9077527659069</v>
      </c>
      <c r="AG19" s="74">
        <f>AF19*(1+Assumptions!$N$11)</f>
        <v>1077.2849853488842</v>
      </c>
    </row>
    <row r="20" spans="1:47">
      <c r="A20" s="3" t="s">
        <v>35</v>
      </c>
      <c r="C20" s="74">
        <f>Assumptions!$N20*Assumptions!H18/12</f>
        <v>65.333333333333329</v>
      </c>
      <c r="D20" s="74">
        <f>Assumptions!$N20*(1+Assumptions!$N$11)</f>
        <v>115.36</v>
      </c>
      <c r="E20" s="74">
        <f>D20*(1+Assumptions!$N$11)</f>
        <v>118.82080000000001</v>
      </c>
      <c r="F20" s="74">
        <f>E20*(1+Assumptions!$N$11)</f>
        <v>122.38542400000001</v>
      </c>
      <c r="G20" s="74">
        <f>F20*(1+Assumptions!$N$11)</f>
        <v>126.05698672000001</v>
      </c>
      <c r="H20" s="74">
        <f>G20*(1+Assumptions!$N$11)</f>
        <v>129.83869632160003</v>
      </c>
      <c r="I20" s="74">
        <f>H20*(1+Assumptions!$N$11)</f>
        <v>133.73385721124802</v>
      </c>
      <c r="J20" s="74">
        <f>I20*(1+Assumptions!$N$11)</f>
        <v>137.74587292758545</v>
      </c>
      <c r="K20" s="74">
        <f>J20*(1+Assumptions!$N$11)</f>
        <v>141.87824911541301</v>
      </c>
      <c r="L20" s="74">
        <f>K20*(1+Assumptions!$N$11)</f>
        <v>146.13459658887541</v>
      </c>
      <c r="M20" s="74">
        <f>L20*(1+Assumptions!$N$11)</f>
        <v>150.51863448654169</v>
      </c>
      <c r="N20" s="74">
        <f>M20*(1+Assumptions!$N$11)</f>
        <v>155.03419352113795</v>
      </c>
      <c r="O20" s="74">
        <f>N20*(1+Assumptions!$N$11)</f>
        <v>159.68521932677208</v>
      </c>
      <c r="P20" s="74">
        <f>O20*(1+Assumptions!$N$11)</f>
        <v>164.47577590657525</v>
      </c>
      <c r="Q20" s="74">
        <f>P20*(1+Assumptions!$N$11)</f>
        <v>169.41004918377251</v>
      </c>
      <c r="R20" s="74">
        <f>Q20*(1+Assumptions!$N$11)</f>
        <v>174.49235065928571</v>
      </c>
      <c r="S20" s="74">
        <f>R20*(1+Assumptions!$N$11)</f>
        <v>179.72712117906428</v>
      </c>
      <c r="T20" s="74">
        <f>S20*(1+Assumptions!$N$11)</f>
        <v>185.11893481443622</v>
      </c>
      <c r="U20" s="74">
        <f>T20*(1+Assumptions!$N$11)</f>
        <v>190.67250285886931</v>
      </c>
      <c r="V20" s="74">
        <f>U20*(1+Assumptions!$N$11)</f>
        <v>196.39267794463538</v>
      </c>
      <c r="W20" s="74">
        <f>V20*(1+Assumptions!$N$11)</f>
        <v>202.28445828297444</v>
      </c>
      <c r="X20" s="74">
        <f>W20*(1+Assumptions!$N$11)</f>
        <v>208.35299203146369</v>
      </c>
      <c r="Y20" s="74">
        <f>X20*(1+Assumptions!$N$11)</f>
        <v>214.6035817924076</v>
      </c>
      <c r="Z20" s="74">
        <f>Y20*(1+Assumptions!$N$11)</f>
        <v>221.04168924617983</v>
      </c>
      <c r="AA20" s="74">
        <f>Z20*(1+Assumptions!$N$11)</f>
        <v>227.67293992356522</v>
      </c>
      <c r="AB20" s="74">
        <f>AA20*(1+Assumptions!$N$11)</f>
        <v>234.5031281212722</v>
      </c>
      <c r="AC20" s="74">
        <f>AB20*(1+Assumptions!$N$11)</f>
        <v>241.53822196491038</v>
      </c>
      <c r="AD20" s="74">
        <f>AC20*(1+Assumptions!$N$11)</f>
        <v>248.78436862385769</v>
      </c>
      <c r="AE20" s="74">
        <f>AD20*(1+Assumptions!$N$11)</f>
        <v>256.2478996825734</v>
      </c>
      <c r="AF20" s="74">
        <f>AE20*(1+Assumptions!$N$11)</f>
        <v>263.93533667305059</v>
      </c>
      <c r="AG20" s="74">
        <f>AF20*(1+Assumptions!$N$11)</f>
        <v>271.85339677324208</v>
      </c>
    </row>
    <row r="21" spans="1:47">
      <c r="A21" s="3" t="s">
        <v>36</v>
      </c>
      <c r="C21" s="74">
        <f>Assumptions!$N21*Assumptions!H18/12</f>
        <v>105</v>
      </c>
      <c r="D21" s="74">
        <f>(Assumptions!$N21)*(1+Assumptions!$N$11)</f>
        <v>185.4</v>
      </c>
      <c r="E21" s="74">
        <f>D21*(1+Assumptions!$N$11)</f>
        <v>190.96200000000002</v>
      </c>
      <c r="F21" s="74">
        <f>E21*(1+Assumptions!$N$11)</f>
        <v>196.69086000000001</v>
      </c>
      <c r="G21" s="74">
        <f>F21*(1+Assumptions!$N$11)</f>
        <v>202.59158580000002</v>
      </c>
      <c r="H21" s="74">
        <f>G21*(1+Assumptions!$N$11)</f>
        <v>208.66933337400002</v>
      </c>
      <c r="I21" s="74">
        <f>H21*(1+Assumptions!$N$11)</f>
        <v>214.92941337522004</v>
      </c>
      <c r="J21" s="74">
        <f>I21*(1+Assumptions!$N$11)</f>
        <v>221.37729577647664</v>
      </c>
      <c r="K21" s="74">
        <f>J21*(1+Assumptions!$N$11)</f>
        <v>228.01861464977094</v>
      </c>
      <c r="L21" s="74">
        <f>K21*(1+Assumptions!$N$11)</f>
        <v>234.85917308926406</v>
      </c>
      <c r="M21" s="74">
        <f>L21*(1+Assumptions!$N$11)</f>
        <v>241.90494828194198</v>
      </c>
      <c r="N21" s="74">
        <f>M21*(1+Assumptions!$N$11)</f>
        <v>249.16209673040024</v>
      </c>
      <c r="O21" s="74">
        <f>N21*(1+Assumptions!$N$11)</f>
        <v>256.63695963231226</v>
      </c>
      <c r="P21" s="74">
        <f>O21*(1+Assumptions!$N$11)</f>
        <v>264.33606842128165</v>
      </c>
      <c r="Q21" s="74">
        <f>P21*(1+Assumptions!$N$11)</f>
        <v>272.26615047392011</v>
      </c>
      <c r="R21" s="74">
        <f>Q21*(1+Assumptions!$N$11)</f>
        <v>280.43413498813771</v>
      </c>
      <c r="S21" s="74">
        <f>R21*(1+Assumptions!$N$11)</f>
        <v>288.84715903778186</v>
      </c>
      <c r="T21" s="74">
        <f>S21*(1+Assumptions!$N$11)</f>
        <v>297.51257380891531</v>
      </c>
      <c r="U21" s="74">
        <f>T21*(1+Assumptions!$N$11)</f>
        <v>306.43795102318279</v>
      </c>
      <c r="V21" s="74">
        <f>U21*(1+Assumptions!$N$11)</f>
        <v>315.63108955387827</v>
      </c>
      <c r="W21" s="74">
        <f>V21*(1+Assumptions!$N$11)</f>
        <v>325.10002224049464</v>
      </c>
      <c r="X21" s="74">
        <f>W21*(1+Assumptions!$N$11)</f>
        <v>334.85302290770949</v>
      </c>
      <c r="Y21" s="74">
        <f>X21*(1+Assumptions!$N$11)</f>
        <v>344.8986135949408</v>
      </c>
      <c r="Z21" s="74">
        <f>Y21*(1+Assumptions!$N$11)</f>
        <v>355.245572002789</v>
      </c>
      <c r="AA21" s="74">
        <f>Z21*(1+Assumptions!$N$11)</f>
        <v>365.90293916287266</v>
      </c>
      <c r="AB21" s="74">
        <f>AA21*(1+Assumptions!$N$11)</f>
        <v>376.88002733775886</v>
      </c>
      <c r="AC21" s="74">
        <f>AB21*(1+Assumptions!$N$11)</f>
        <v>388.18642815789161</v>
      </c>
      <c r="AD21" s="74">
        <f>AC21*(1+Assumptions!$N$11)</f>
        <v>399.83202100262838</v>
      </c>
      <c r="AE21" s="74">
        <f>AD21*(1+Assumptions!$N$11)</f>
        <v>411.82698163270726</v>
      </c>
      <c r="AF21" s="74">
        <f>AE21*(1+Assumptions!$N$11)</f>
        <v>424.18179108168852</v>
      </c>
      <c r="AG21" s="74">
        <f>AF21*(1+Assumptions!$N$11)</f>
        <v>436.90724481413918</v>
      </c>
    </row>
    <row r="22" spans="1:47">
      <c r="A22" s="3" t="s">
        <v>357</v>
      </c>
      <c r="C22" s="74">
        <f>+Assumptions!N22</f>
        <v>0</v>
      </c>
      <c r="D22" s="74">
        <f>+Assumptions!N22*(1+Assumptions!$N$11)</f>
        <v>0</v>
      </c>
      <c r="E22" s="74">
        <f>D22*(1+Assumptions!$N$11)</f>
        <v>0</v>
      </c>
      <c r="F22" s="74">
        <f>E22*(1+Assumptions!$N$11)</f>
        <v>0</v>
      </c>
      <c r="G22" s="74">
        <f>F22*(1+Assumptions!$N$11)</f>
        <v>0</v>
      </c>
      <c r="H22" s="74">
        <f>G22*(1+Assumptions!$N$11)</f>
        <v>0</v>
      </c>
      <c r="I22" s="74">
        <f>H22*(1+Assumptions!$N$11)</f>
        <v>0</v>
      </c>
      <c r="J22" s="74">
        <f>I22*(1+Assumptions!$N$11)</f>
        <v>0</v>
      </c>
      <c r="K22" s="74">
        <f>J22*(1+Assumptions!$N$11)</f>
        <v>0</v>
      </c>
      <c r="L22" s="74">
        <f>K22*(1+Assumptions!$N$11)</f>
        <v>0</v>
      </c>
      <c r="M22" s="74">
        <f>L22*(1+Assumptions!$N$11)</f>
        <v>0</v>
      </c>
      <c r="N22" s="74">
        <f>M22*(1+Assumptions!$N$11)</f>
        <v>0</v>
      </c>
      <c r="O22" s="74">
        <f>N22*(1+Assumptions!$N$11)</f>
        <v>0</v>
      </c>
      <c r="P22" s="74">
        <f>O22*(1+Assumptions!$N$11)</f>
        <v>0</v>
      </c>
      <c r="Q22" s="74">
        <f>P22*(1+Assumptions!$N$11)</f>
        <v>0</v>
      </c>
      <c r="R22" s="74">
        <f>Q22*(1+Assumptions!$N$11)</f>
        <v>0</v>
      </c>
      <c r="S22" s="74">
        <f>R22*(1+Assumptions!$N$11)</f>
        <v>0</v>
      </c>
      <c r="T22" s="74">
        <f>S22*(1+Assumptions!$N$11)</f>
        <v>0</v>
      </c>
      <c r="U22" s="74">
        <f>T22*(1+Assumptions!$N$11)</f>
        <v>0</v>
      </c>
      <c r="V22" s="74">
        <f>U22*(1+Assumptions!$N$11)</f>
        <v>0</v>
      </c>
      <c r="W22" s="74">
        <f>V22*(1+Assumptions!$N$11)</f>
        <v>0</v>
      </c>
      <c r="X22" s="74">
        <f>W22*(1+Assumptions!$N$11)</f>
        <v>0</v>
      </c>
      <c r="Y22" s="74">
        <f>X22*(1+Assumptions!$N$11)</f>
        <v>0</v>
      </c>
      <c r="Z22" s="74">
        <f>Y22*(1+Assumptions!$N$11)</f>
        <v>0</v>
      </c>
      <c r="AA22" s="74">
        <f>Z22*(1+Assumptions!$N$11)</f>
        <v>0</v>
      </c>
      <c r="AB22" s="74">
        <f>AA22*(1+Assumptions!$N$11)</f>
        <v>0</v>
      </c>
      <c r="AC22" s="74">
        <f>AB22*(1+Assumptions!$N$11)</f>
        <v>0</v>
      </c>
      <c r="AD22" s="74">
        <f>AC22*(1+Assumptions!$N$11)</f>
        <v>0</v>
      </c>
      <c r="AE22" s="74">
        <f>AD22*(1+Assumptions!$N$11)</f>
        <v>0</v>
      </c>
      <c r="AF22" s="74">
        <f>AE22*(1+Assumptions!$N$11)</f>
        <v>0</v>
      </c>
      <c r="AG22" s="74">
        <f>AF22*(1+Assumptions!$N$11)</f>
        <v>0</v>
      </c>
    </row>
    <row r="23" spans="1:47" ht="14.25" customHeight="1">
      <c r="A23" s="3" t="s">
        <v>219</v>
      </c>
      <c r="C23" s="195">
        <v>400</v>
      </c>
      <c r="D23" s="195">
        <f>C23*(1+Assumptions!$P$30)</f>
        <v>408</v>
      </c>
      <c r="E23" s="195">
        <f>D23*(1+Assumptions!$P$30)</f>
        <v>416.16</v>
      </c>
      <c r="F23" s="195">
        <f>E23*(1+Assumptions!$P$30)</f>
        <v>424.48320000000001</v>
      </c>
      <c r="G23" s="195">
        <f>F23*(1+Assumptions!$P$30)</f>
        <v>432.97286400000002</v>
      </c>
      <c r="H23" s="195">
        <f>G23*(1+Assumptions!$P$30)</f>
        <v>441.63232128000004</v>
      </c>
      <c r="I23" s="195">
        <f>H23*(1+Assumptions!$P$30)</f>
        <v>450.46496770560003</v>
      </c>
      <c r="J23" s="195">
        <f>I23*(1+Assumptions!$P$30)</f>
        <v>459.47426705971202</v>
      </c>
      <c r="K23" s="195">
        <f>J23*(1+Assumptions!$P$30)</f>
        <v>468.66375240090628</v>
      </c>
      <c r="L23" s="195">
        <f>K23*(1+Assumptions!$P$30)</f>
        <v>478.03702744892439</v>
      </c>
      <c r="M23" s="195">
        <f>L23*(1+Assumptions!$P$30)</f>
        <v>487.59776799790291</v>
      </c>
      <c r="N23" s="195">
        <f>M23*(1+Assumptions!$P$30)</f>
        <v>497.34972335786097</v>
      </c>
      <c r="O23" s="195">
        <f>N23*(1+Assumptions!$P$30)</f>
        <v>507.29671782501822</v>
      </c>
      <c r="P23" s="195">
        <f>O23*(1+Assumptions!$P$30)</f>
        <v>517.44265218151861</v>
      </c>
      <c r="Q23" s="195">
        <f>P23*(1+Assumptions!$P$30)</f>
        <v>527.79150522514897</v>
      </c>
      <c r="R23" s="195">
        <f>Q23*(1+Assumptions!$P$30)</f>
        <v>538.34733532965197</v>
      </c>
      <c r="S23" s="195">
        <f>R23*(1+Assumptions!$P$30)</f>
        <v>549.11428203624507</v>
      </c>
      <c r="T23" s="195">
        <f>S23*(1+Assumptions!$P$30)</f>
        <v>560.09656767697004</v>
      </c>
      <c r="U23" s="195">
        <f>T23*(1+Assumptions!$P$30)</f>
        <v>571.29849903050945</v>
      </c>
      <c r="V23" s="195">
        <f>U23*(1+Assumptions!$P$30)</f>
        <v>582.7244690111196</v>
      </c>
      <c r="W23" s="195">
        <f>V23*(1+Assumptions!$P$30)</f>
        <v>594.37895839134205</v>
      </c>
      <c r="X23" s="195">
        <f>W23*(1+Assumptions!$P$30)</f>
        <v>606.26653755916891</v>
      </c>
      <c r="Y23" s="195">
        <f>X23*(1+Assumptions!$P$30)</f>
        <v>618.39186831035227</v>
      </c>
      <c r="Z23" s="195">
        <f>Y23*(1+Assumptions!$P$30)</f>
        <v>630.75970567655929</v>
      </c>
      <c r="AA23" s="195">
        <f>Z23*(1+Assumptions!$P$30)</f>
        <v>643.37489979009047</v>
      </c>
      <c r="AB23" s="195">
        <f>AA23*(1+Assumptions!$P$30)</f>
        <v>656.24239778589231</v>
      </c>
      <c r="AC23" s="195">
        <f>AB23*(1+Assumptions!$P$30)</f>
        <v>669.36724574161019</v>
      </c>
      <c r="AD23" s="195">
        <f>AC23*(1+Assumptions!$P$30)</f>
        <v>682.75459065644236</v>
      </c>
      <c r="AE23" s="195">
        <f>AD23*(1+Assumptions!$P$30)</f>
        <v>696.40968246957118</v>
      </c>
      <c r="AF23" s="195">
        <f>AE23*(1+Assumptions!$P$30)</f>
        <v>710.33787611896264</v>
      </c>
      <c r="AG23" s="195">
        <f>AF23*(1+Assumptions!$P$30)</f>
        <v>724.54463364134187</v>
      </c>
    </row>
    <row r="24" spans="1:47">
      <c r="A24" s="5" t="s">
        <v>209</v>
      </c>
      <c r="C24" s="74">
        <f>Assumptions!$N$52*Depreciation!D50*Assumptions!H18/12</f>
        <v>0</v>
      </c>
      <c r="D24" s="74">
        <f>Assumptions!$N$52*Depreciation!E50</f>
        <v>0</v>
      </c>
      <c r="E24" s="74">
        <f>Assumptions!$N$52*Depreciation!F50</f>
        <v>0</v>
      </c>
      <c r="F24" s="74">
        <f>Assumptions!$N$52*Depreciation!G50</f>
        <v>0</v>
      </c>
      <c r="G24" s="74">
        <f>Assumptions!$N$52*Depreciation!H50</f>
        <v>0</v>
      </c>
      <c r="H24" s="74">
        <f>Assumptions!$N$52*Depreciation!I50</f>
        <v>0</v>
      </c>
      <c r="I24" s="74">
        <f>Assumptions!$N$52*Depreciation!J50</f>
        <v>0</v>
      </c>
      <c r="J24" s="74">
        <f>Assumptions!$N$52*Depreciation!K50</f>
        <v>0</v>
      </c>
      <c r="K24" s="74">
        <f>Assumptions!$N$52*Depreciation!L50</f>
        <v>0</v>
      </c>
      <c r="L24" s="74">
        <f>Assumptions!$N$52*Depreciation!M50</f>
        <v>0</v>
      </c>
      <c r="M24" s="74">
        <f>Assumptions!$N$52*Depreciation!N50</f>
        <v>0</v>
      </c>
      <c r="N24" s="74">
        <f>Assumptions!$N$52*Depreciation!O50</f>
        <v>0</v>
      </c>
      <c r="O24" s="74">
        <f>Assumptions!$N$52*Depreciation!P50</f>
        <v>0</v>
      </c>
      <c r="P24" s="74">
        <f>Assumptions!$N$52*Depreciation!Q50</f>
        <v>0</v>
      </c>
      <c r="Q24" s="74">
        <f>Assumptions!$N$52*Depreciation!R50</f>
        <v>0</v>
      </c>
      <c r="R24" s="74">
        <f>Assumptions!$N$52*Depreciation!S50</f>
        <v>0</v>
      </c>
      <c r="S24" s="74">
        <f>Assumptions!$N$52*Depreciation!T50</f>
        <v>0</v>
      </c>
      <c r="T24" s="74">
        <f>Assumptions!$N$52*Depreciation!U50</f>
        <v>0</v>
      </c>
      <c r="U24" s="74">
        <f>Assumptions!$N$52*Depreciation!V50</f>
        <v>0</v>
      </c>
      <c r="V24" s="74">
        <f>Assumptions!$N$52*Depreciation!W50</f>
        <v>0</v>
      </c>
      <c r="W24" s="74">
        <f>Assumptions!$N$52*Depreciation!X50</f>
        <v>0</v>
      </c>
      <c r="X24" s="74">
        <f>Assumptions!$N$52*Depreciation!Y50</f>
        <v>0</v>
      </c>
      <c r="Y24" s="74">
        <f>Assumptions!$N$52*Depreciation!Z50</f>
        <v>0</v>
      </c>
      <c r="Z24" s="74">
        <f>Assumptions!$N$52*Depreciation!AA50</f>
        <v>0</v>
      </c>
      <c r="AA24" s="74">
        <f>Assumptions!$N$52*Depreciation!AB50</f>
        <v>0</v>
      </c>
      <c r="AB24" s="74">
        <f>Assumptions!$N$52*Depreciation!AC50</f>
        <v>0</v>
      </c>
      <c r="AC24" s="74">
        <f>Assumptions!$N$52*Depreciation!AD50</f>
        <v>0</v>
      </c>
      <c r="AD24" s="74">
        <f>Assumptions!$N$52*Depreciation!AE50</f>
        <v>0</v>
      </c>
      <c r="AE24" s="74">
        <f>Assumptions!$N$52*Depreciation!AF50</f>
        <v>0</v>
      </c>
      <c r="AF24" s="74">
        <f>Assumptions!$N$52*Depreciation!AG50</f>
        <v>0</v>
      </c>
      <c r="AG24" s="74">
        <f>Assumptions!$N$52*Depreciation!AH50</f>
        <v>0</v>
      </c>
    </row>
    <row r="25" spans="1:47">
      <c r="A25" s="5" t="s">
        <v>213</v>
      </c>
      <c r="C25" s="195">
        <v>0</v>
      </c>
      <c r="D25" s="195">
        <v>0</v>
      </c>
      <c r="E25" s="195">
        <v>0</v>
      </c>
      <c r="F25" s="195">
        <v>0</v>
      </c>
      <c r="G25" s="195">
        <v>0</v>
      </c>
      <c r="H25" s="195">
        <v>0</v>
      </c>
      <c r="I25" s="195">
        <v>0</v>
      </c>
      <c r="J25" s="195">
        <v>0</v>
      </c>
      <c r="K25" s="195">
        <v>0</v>
      </c>
      <c r="L25" s="195">
        <v>0</v>
      </c>
      <c r="M25" s="195">
        <v>0</v>
      </c>
      <c r="N25" s="195">
        <v>0</v>
      </c>
      <c r="O25" s="195">
        <v>0</v>
      </c>
      <c r="P25" s="195">
        <v>0</v>
      </c>
      <c r="Q25" s="195">
        <v>0</v>
      </c>
      <c r="R25" s="195">
        <v>0</v>
      </c>
      <c r="S25" s="195">
        <v>0</v>
      </c>
      <c r="T25" s="195">
        <v>0</v>
      </c>
      <c r="U25" s="195">
        <v>0</v>
      </c>
      <c r="V25" s="195">
        <v>0</v>
      </c>
      <c r="W25" s="195">
        <v>0</v>
      </c>
      <c r="X25" s="195">
        <v>0</v>
      </c>
      <c r="Y25" s="195">
        <v>0</v>
      </c>
      <c r="Z25" s="195">
        <v>0</v>
      </c>
      <c r="AA25" s="195">
        <v>0</v>
      </c>
      <c r="AB25" s="195">
        <v>0</v>
      </c>
      <c r="AC25" s="195">
        <v>0</v>
      </c>
      <c r="AD25" s="195">
        <v>0</v>
      </c>
      <c r="AE25" s="195">
        <v>0</v>
      </c>
      <c r="AF25" s="195">
        <v>0</v>
      </c>
      <c r="AG25" s="195">
        <v>0</v>
      </c>
    </row>
    <row r="26" spans="1:47">
      <c r="A26" s="13" t="s">
        <v>20</v>
      </c>
      <c r="C26" s="74">
        <f>IF(C8&lt;Assumptions!$G$34,Assumptions!$G$42*Assumptions!$G$41*C6,0)</f>
        <v>0</v>
      </c>
      <c r="D26" s="74">
        <f>IF(D8&lt;Assumptions!$G$34,Assumptions!$G$42*Assumptions!$G$41,IF(AND(D8&gt;Assumptions!$G$34,C8&lt;Assumptions!$G$34),Assumptions!$G$42*Assumptions!$G$41*(1-$C$6),0))</f>
        <v>0</v>
      </c>
      <c r="E26" s="74">
        <f>IF(E8&lt;Assumptions!$G$34,Assumptions!$G$42*Assumptions!$G$41,IF(AND(E8&gt;Assumptions!$G$34,D8&lt;Assumptions!$G$34),Assumptions!$G$42*Assumptions!$G$41*(1-$C$6),0))</f>
        <v>0</v>
      </c>
      <c r="F26" s="74">
        <f>IF(F8&lt;Assumptions!$G$34,Assumptions!$G$42*Assumptions!$G$41,IF(AND(F8&gt;Assumptions!$G$34,E8&lt;Assumptions!$G$34),Assumptions!$G$42*Assumptions!$G$41*(1-$C$6),0))</f>
        <v>0</v>
      </c>
      <c r="G26" s="74">
        <f>IF(G8&lt;Assumptions!$G$34,Assumptions!$G$42*Assumptions!$G$41,IF(AND(G8&gt;Assumptions!$G$34,F8&lt;Assumptions!$G$34),Assumptions!$G$42*Assumptions!$G$41*(1-$C$6),0))</f>
        <v>0</v>
      </c>
      <c r="H26" s="74">
        <f>IF(H8&lt;Assumptions!$G$34,Assumptions!$G$42*Assumptions!$G$41,IF(AND(H8&gt;Assumptions!$G$34,G8&lt;Assumptions!$G$34),Assumptions!$G$42*Assumptions!$G$41*(1-$C$6),0))</f>
        <v>0</v>
      </c>
      <c r="I26" s="74">
        <f>IF(I8&lt;Assumptions!$G$34,Assumptions!$G$42*Assumptions!$G$41,IF(AND(I8&gt;Assumptions!$G$34,H8&lt;Assumptions!$G$34),Assumptions!$G$42*Assumptions!$G$41*(1-$C$6),0))</f>
        <v>0</v>
      </c>
      <c r="J26" s="74">
        <f>IF(J8&lt;Assumptions!$G$34,Assumptions!$G$42*Assumptions!$G$41,IF(AND(J8&gt;Assumptions!$G$34,I8&lt;Assumptions!$G$34),Assumptions!$G$42*Assumptions!$G$41*(1-$C$6),0))</f>
        <v>0</v>
      </c>
      <c r="K26" s="74">
        <f>IF(K8&lt;Assumptions!$G$34,Assumptions!$G$42*Assumptions!$G$41,IF(AND(K8&gt;Assumptions!$G$34,J8&lt;Assumptions!$G$34),Assumptions!$G$42*Assumptions!$G$41*(1-$C$6),0))</f>
        <v>0</v>
      </c>
      <c r="L26" s="74">
        <f>IF(L8&lt;Assumptions!$G$34,Assumptions!$G$42*Assumptions!$G$41,IF(AND(L8&gt;Assumptions!$G$34,K8&lt;Assumptions!$G$34),Assumptions!$G$42*Assumptions!$G$41*(1-$C$6),0))</f>
        <v>0</v>
      </c>
      <c r="M26" s="74">
        <f>IF(M8&lt;Assumptions!$G$34,Assumptions!$G$42*Assumptions!$G$41,IF(AND(M8&gt;Assumptions!$G$34,L8&lt;Assumptions!$G$34),Assumptions!$G$42*Assumptions!$G$41*(1-$C$6),0))</f>
        <v>0</v>
      </c>
      <c r="N26" s="74">
        <f>IF(N8&lt;Assumptions!$G$34,Assumptions!$G$42*Assumptions!$G$41,IF(AND(N8&gt;Assumptions!$G$34,M8&lt;Assumptions!$G$34),Assumptions!$G$42*Assumptions!$G$41*(1-$C$6),0))</f>
        <v>0</v>
      </c>
      <c r="O26" s="74">
        <f>IF(O8&lt;Assumptions!$G$34,Assumptions!$G$42*Assumptions!$G$41,IF(AND(O8&gt;Assumptions!$G$34,N8&lt;Assumptions!$G$34),Assumptions!$G$42*Assumptions!$G$41*(1-$C$6),0))</f>
        <v>0</v>
      </c>
      <c r="P26" s="74">
        <f>IF(P8&lt;Assumptions!$G$34,Assumptions!$G$42*Assumptions!$G$41,IF(AND(P8&gt;Assumptions!$G$34,O8&lt;Assumptions!$G$34),Assumptions!$G$42*Assumptions!$G$41*(1-$C$6),0))</f>
        <v>0</v>
      </c>
      <c r="Q26" s="74">
        <f>IF(Q8&lt;Assumptions!$G$34,Assumptions!$G$42*Assumptions!$G$41,IF(AND(Q8&gt;Assumptions!$G$34,P8&lt;Assumptions!$G$34),Assumptions!$G$42*Assumptions!$G$41*(1-$C$6),0))</f>
        <v>0</v>
      </c>
      <c r="R26" s="74">
        <f>IF(R8&lt;Assumptions!$G$34,Assumptions!$G$42*Assumptions!$G$41,IF(AND(R8&gt;Assumptions!$G$34,Q8&lt;Assumptions!$G$34),Assumptions!$G$42*Assumptions!$G$41*(1-$C$6),0))</f>
        <v>0</v>
      </c>
      <c r="S26" s="74">
        <f>IF(S8&lt;Assumptions!$G$34,Assumptions!$G$42*Assumptions!$G$41,IF(AND(S8&gt;Assumptions!$G$34,R8&lt;Assumptions!$G$34),Assumptions!$G$42*Assumptions!$G$41*(1-$C$6),0))</f>
        <v>0</v>
      </c>
      <c r="T26" s="74">
        <f>IF(T8&lt;Assumptions!$G$34,Assumptions!$G$42*Assumptions!$G$41,IF(AND(T8&gt;Assumptions!$G$34,S8&lt;Assumptions!$G$34),Assumptions!$G$42*Assumptions!$G$41*(1-$C$6),0))</f>
        <v>0</v>
      </c>
      <c r="U26" s="74">
        <f>IF(U8&lt;Assumptions!$G$34,Assumptions!$G$42*Assumptions!$G$41,IF(AND(U8&gt;Assumptions!$G$34,T8&lt;Assumptions!$G$34),Assumptions!$G$42*Assumptions!$G$41*(1-$C$6),0))</f>
        <v>0</v>
      </c>
      <c r="V26" s="74">
        <f>IF(V8&lt;Assumptions!$G$34,Assumptions!$G$42*Assumptions!$G$41,IF(AND(V8&gt;Assumptions!$G$34,U8&lt;Assumptions!$G$34),Assumptions!$G$42*Assumptions!$G$41*(1-$C$6),0))</f>
        <v>0</v>
      </c>
      <c r="W26" s="74">
        <f>IF(W8&lt;Assumptions!$G$34,Assumptions!$G$42*Assumptions!$G$41,IF(AND(W8&gt;Assumptions!$G$34,V8&lt;Assumptions!$G$34),Assumptions!$G$42*Assumptions!$G$41*(1-$C$6),0))</f>
        <v>0</v>
      </c>
      <c r="X26" s="74">
        <f>IF(X8&lt;Assumptions!$G$34,Assumptions!$G$42*Assumptions!$G$41,IF(AND(X8&gt;Assumptions!$G$34,W8&lt;Assumptions!$G$34),Assumptions!$G$42*Assumptions!$G$41*(1-$C$6),0))</f>
        <v>0</v>
      </c>
      <c r="Y26" s="74">
        <f>IF(Y8&lt;Assumptions!$G$34,Assumptions!$G$42*Assumptions!$G$41,IF(AND(Y8&gt;Assumptions!$G$34,X8&lt;Assumptions!$G$34),Assumptions!$G$42*Assumptions!$G$41*(1-$C$6),0))</f>
        <v>0</v>
      </c>
      <c r="Z26" s="74">
        <f>IF(Z8&lt;Assumptions!$G$34,Assumptions!$G$42*Assumptions!$G$41,IF(AND(Z8&gt;Assumptions!$G$34,Y8&lt;Assumptions!$G$34),Assumptions!$G$42*Assumptions!$G$41*(1-$C$6),0))</f>
        <v>0</v>
      </c>
      <c r="AA26" s="74">
        <f>IF(AA8&lt;Assumptions!$G$34,Assumptions!$G$42*Assumptions!$G$41,IF(AND(AA8&gt;Assumptions!$G$34,Z8&lt;Assumptions!$G$34),Assumptions!$G$42*Assumptions!$G$41*(1-$C$6),0))</f>
        <v>0</v>
      </c>
      <c r="AB26" s="74">
        <f>IF(AB8&lt;Assumptions!$G$34,Assumptions!$G$42*Assumptions!$G$41,IF(AND(AB8&gt;Assumptions!$G$34,AA8&lt;Assumptions!$G$34),Assumptions!$G$42*Assumptions!$G$41*(1-$C$6),0))</f>
        <v>0</v>
      </c>
      <c r="AC26" s="74">
        <f>IF(AC8&lt;Assumptions!$G$34,Assumptions!$G$42*Assumptions!$G$41,IF(AND(AC8&gt;Assumptions!$G$34,AB8&lt;Assumptions!$G$34),Assumptions!$G$42*Assumptions!$G$41*(1-$C$6),0))</f>
        <v>0</v>
      </c>
      <c r="AD26" s="74">
        <f>IF(AD8&lt;Assumptions!$G$34,Assumptions!$G$42*Assumptions!$G$41,IF(AND(AD8&gt;Assumptions!$G$34,AC8&lt;Assumptions!$G$34),Assumptions!$G$42*Assumptions!$G$41*(1-$C$6),0))</f>
        <v>0</v>
      </c>
      <c r="AE26" s="74">
        <f>IF(AE8&lt;Assumptions!$G$34,Assumptions!$G$42*Assumptions!$G$41,IF(AND(AE8&gt;Assumptions!$G$34,AD8&lt;Assumptions!$G$34),Assumptions!$G$42*Assumptions!$G$41*(1-$C$6),0))</f>
        <v>0</v>
      </c>
      <c r="AF26" s="74">
        <f>IF(AF8&lt;Assumptions!$G$34,Assumptions!$G$42*Assumptions!$G$41,IF(AND(AF8&gt;Assumptions!$G$34,AE8&lt;Assumptions!$G$34),Assumptions!$G$42*Assumptions!$G$41*(1-$C$6),0))</f>
        <v>0</v>
      </c>
      <c r="AG26" s="74">
        <f>IF(AG8&lt;Assumptions!$G$34,Assumptions!$G$42*Assumptions!$G$41,IF(AND(AG8&gt;Assumptions!$G$34,AF8&lt;Assumptions!$G$34),Assumptions!$G$42*Assumptions!$G$41*(1-$C$6),0))</f>
        <v>0</v>
      </c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</row>
    <row r="27" spans="1:47">
      <c r="A27" s="13" t="s">
        <v>45</v>
      </c>
      <c r="C27" s="74">
        <f>Assumptions!$O$23*Assumptions!$H$68*Assumptions!H18/12</f>
        <v>0</v>
      </c>
      <c r="D27" s="74">
        <f>Assumptions!$O$23*Assumptions!$H$68*(1+Assumptions!$N$11)</f>
        <v>0</v>
      </c>
      <c r="E27" s="74">
        <f>Assumptions!$O$23*Assumptions!$H$68*(1+Assumptions!$N$11)</f>
        <v>0</v>
      </c>
      <c r="F27" s="74">
        <f>Assumptions!$O$23*Assumptions!$H$68*(1+Assumptions!$N$11)</f>
        <v>0</v>
      </c>
      <c r="G27" s="74">
        <f>Assumptions!$O$23*Assumptions!$H$68*(1+Assumptions!$N$11)</f>
        <v>0</v>
      </c>
      <c r="H27" s="74">
        <f>Assumptions!$O$23*Assumptions!$H$68*(1+Assumptions!$N$11)</f>
        <v>0</v>
      </c>
      <c r="I27" s="74">
        <f>Assumptions!$O$23*Assumptions!$H$68*(1+Assumptions!$N$11)</f>
        <v>0</v>
      </c>
      <c r="J27" s="74">
        <f>Assumptions!$O$23*Assumptions!$H$68*(1+Assumptions!$N$11)</f>
        <v>0</v>
      </c>
      <c r="K27" s="74">
        <f>Assumptions!$O$23*Assumptions!$H$68*(1+Assumptions!$N$11)</f>
        <v>0</v>
      </c>
      <c r="L27" s="74">
        <f>Assumptions!$O$23*Assumptions!$H$68*(1+Assumptions!$N$11)</f>
        <v>0</v>
      </c>
      <c r="M27" s="74">
        <f>Assumptions!$O$23*Assumptions!$H$68*(1+Assumptions!$N$11)</f>
        <v>0</v>
      </c>
      <c r="N27" s="74">
        <f>Assumptions!$O$23*Assumptions!$H$68*(1+Assumptions!$N$11)</f>
        <v>0</v>
      </c>
      <c r="O27" s="74">
        <f>Assumptions!$O$23*Assumptions!$H$68*(1+Assumptions!$N$11)</f>
        <v>0</v>
      </c>
      <c r="P27" s="74">
        <f>Assumptions!$O$23*Assumptions!$H$68*(1+Assumptions!$N$11)</f>
        <v>0</v>
      </c>
      <c r="Q27" s="74">
        <f>Assumptions!$O$23*Assumptions!$H$68*(1+Assumptions!$N$11)</f>
        <v>0</v>
      </c>
      <c r="R27" s="74">
        <f>Assumptions!$O$23*Assumptions!$H$68*(1+Assumptions!$N$11)</f>
        <v>0</v>
      </c>
      <c r="S27" s="74">
        <f>Assumptions!$O$23*Assumptions!$H$68*(1+Assumptions!$N$11)</f>
        <v>0</v>
      </c>
      <c r="T27" s="74">
        <f>Assumptions!$O$23*Assumptions!$H$68*(1+Assumptions!$N$11)</f>
        <v>0</v>
      </c>
      <c r="U27" s="74">
        <f>Assumptions!$O$23*Assumptions!$H$68*(1+Assumptions!$N$11)</f>
        <v>0</v>
      </c>
      <c r="V27" s="74">
        <f>Assumptions!$O$23*Assumptions!$H$68*(1+Assumptions!$N$11)</f>
        <v>0</v>
      </c>
      <c r="W27" s="74">
        <f>Assumptions!$O$23*Assumptions!$H$68*(1+Assumptions!$N$11)</f>
        <v>0</v>
      </c>
      <c r="X27" s="74">
        <f>Assumptions!$O$23*Assumptions!$H$68*(1+Assumptions!$N$11)</f>
        <v>0</v>
      </c>
      <c r="Y27" s="74">
        <f>Assumptions!$O$23*Assumptions!$H$68*(1+Assumptions!$N$11)</f>
        <v>0</v>
      </c>
      <c r="Z27" s="74">
        <f>Assumptions!$O$23*Assumptions!$H$68*(1+Assumptions!$N$11)</f>
        <v>0</v>
      </c>
      <c r="AA27" s="74">
        <f>Assumptions!$O$23*Assumptions!$H$68*(1+Assumptions!$N$11)</f>
        <v>0</v>
      </c>
      <c r="AB27" s="74">
        <f>Assumptions!$O$23*Assumptions!$H$68*(1+Assumptions!$N$11)</f>
        <v>0</v>
      </c>
      <c r="AC27" s="74">
        <f>Assumptions!$O$23*Assumptions!$H$68*(1+Assumptions!$N$11)</f>
        <v>0</v>
      </c>
      <c r="AD27" s="74">
        <f>Assumptions!$O$23*Assumptions!$H$68*(1+Assumptions!$N$11)</f>
        <v>0</v>
      </c>
      <c r="AE27" s="74">
        <f>Assumptions!$O$23*Assumptions!$H$68*(1+Assumptions!$N$11)</f>
        <v>0</v>
      </c>
      <c r="AF27" s="74">
        <f>Assumptions!$O$23*Assumptions!$H$68*(1+Assumptions!$N$11)</f>
        <v>0</v>
      </c>
      <c r="AG27" s="74">
        <f>Assumptions!$O$23*Assumptions!$H$68*(1+Assumptions!$N$11)</f>
        <v>0</v>
      </c>
    </row>
    <row r="28" spans="1:47">
      <c r="A28" s="3" t="s">
        <v>46</v>
      </c>
      <c r="C28" s="74">
        <f>Assumptions!$N24*Assumptions!H18/12</f>
        <v>0</v>
      </c>
      <c r="D28" s="74">
        <f>Assumptions!$N24*(1+Assumptions!$N$11)</f>
        <v>0</v>
      </c>
      <c r="E28" s="74">
        <f>D28*(1+Assumptions!$N$11)</f>
        <v>0</v>
      </c>
      <c r="F28" s="74">
        <f>E28*(1+Assumptions!$N$11)</f>
        <v>0</v>
      </c>
      <c r="G28" s="74">
        <f>F28*(1+Assumptions!$N$11)</f>
        <v>0</v>
      </c>
      <c r="H28" s="74">
        <f>G28*(1+Assumptions!$N$11)</f>
        <v>0</v>
      </c>
      <c r="I28" s="74">
        <f>H28*(1+Assumptions!$N$11)</f>
        <v>0</v>
      </c>
      <c r="J28" s="74">
        <f>I28*(1+Assumptions!$N$11)</f>
        <v>0</v>
      </c>
      <c r="K28" s="74">
        <f>J28*(1+Assumptions!$N$11)</f>
        <v>0</v>
      </c>
      <c r="L28" s="74">
        <f>K28*(1+Assumptions!$N$11)</f>
        <v>0</v>
      </c>
      <c r="M28" s="74">
        <f>L28*(1+Assumptions!$N$11)</f>
        <v>0</v>
      </c>
      <c r="N28" s="74">
        <f>M28*(1+Assumptions!$N$11)</f>
        <v>0</v>
      </c>
      <c r="O28" s="74">
        <f>N28*(1+Assumptions!$N$11)</f>
        <v>0</v>
      </c>
      <c r="P28" s="74">
        <f>O28*(1+Assumptions!$N$11)</f>
        <v>0</v>
      </c>
      <c r="Q28" s="74">
        <f>P28*(1+Assumptions!$N$11)</f>
        <v>0</v>
      </c>
      <c r="R28" s="74">
        <f>Q28*(1+Assumptions!$N$11)</f>
        <v>0</v>
      </c>
      <c r="S28" s="74">
        <f>R28*(1+Assumptions!$N$11)</f>
        <v>0</v>
      </c>
      <c r="T28" s="74">
        <f>S28*(1+Assumptions!$N$11)</f>
        <v>0</v>
      </c>
      <c r="U28" s="74">
        <f>T28*(1+Assumptions!$N$11)</f>
        <v>0</v>
      </c>
      <c r="V28" s="74">
        <f>U28*(1+Assumptions!$N$11)</f>
        <v>0</v>
      </c>
      <c r="W28" s="74">
        <f>V28*(1+Assumptions!$N$11)</f>
        <v>0</v>
      </c>
      <c r="X28" s="74">
        <f>W28*(1+Assumptions!$N$11)</f>
        <v>0</v>
      </c>
      <c r="Y28" s="74">
        <f>X28*(1+Assumptions!$N$11)</f>
        <v>0</v>
      </c>
      <c r="Z28" s="74">
        <f>Y28*(1+Assumptions!$N$11)</f>
        <v>0</v>
      </c>
      <c r="AA28" s="74">
        <f>Z28*(1+Assumptions!$N$11)</f>
        <v>0</v>
      </c>
      <c r="AB28" s="74">
        <f>AA28*(1+Assumptions!$N$11)</f>
        <v>0</v>
      </c>
      <c r="AC28" s="74">
        <f>AB28*(1+Assumptions!$N$11)</f>
        <v>0</v>
      </c>
      <c r="AD28" s="74">
        <f>AC28*(1+Assumptions!$N$11)</f>
        <v>0</v>
      </c>
      <c r="AE28" s="74">
        <f>AD28*(1+Assumptions!$N$11)</f>
        <v>0</v>
      </c>
      <c r="AF28" s="74">
        <f>AE28*(1+Assumptions!$N$11)</f>
        <v>0</v>
      </c>
      <c r="AG28" s="74">
        <f>AF28*(1+Assumptions!$N$11)</f>
        <v>0</v>
      </c>
    </row>
    <row r="29" spans="1:47">
      <c r="A29" s="3" t="s">
        <v>47</v>
      </c>
      <c r="C29" s="75">
        <f>Assumptions!$N25*Assumptions!H18/12</f>
        <v>116.66666666666667</v>
      </c>
      <c r="D29" s="75">
        <f>Assumptions!$N25*(1+Assumptions!$N$11)</f>
        <v>206</v>
      </c>
      <c r="E29" s="75">
        <f>D29*(1+Assumptions!$N$11)</f>
        <v>212.18</v>
      </c>
      <c r="F29" s="75">
        <f>E29*(1+Assumptions!$N$11)</f>
        <v>218.5454</v>
      </c>
      <c r="G29" s="75">
        <f>F29*(1+Assumptions!$N$11)</f>
        <v>225.10176200000001</v>
      </c>
      <c r="H29" s="75">
        <f>G29*(1+Assumptions!$N$11)</f>
        <v>231.85481486</v>
      </c>
      <c r="I29" s="75">
        <f>H29*(1+Assumptions!$N$11)</f>
        <v>238.81045930580001</v>
      </c>
      <c r="J29" s="75">
        <f>I29*(1+Assumptions!$N$11)</f>
        <v>245.974773084974</v>
      </c>
      <c r="K29" s="75">
        <f>J29*(1+Assumptions!$N$11)</f>
        <v>253.35401627752324</v>
      </c>
      <c r="L29" s="75">
        <f>K29*(1+Assumptions!$N$11)</f>
        <v>260.95463676584893</v>
      </c>
      <c r="M29" s="75">
        <f>L29*(1+Assumptions!$N$11)</f>
        <v>268.78327586882443</v>
      </c>
      <c r="N29" s="75">
        <f>M29*(1+Assumptions!$N$11)</f>
        <v>276.8467741448892</v>
      </c>
      <c r="O29" s="75">
        <f>N29*(1+Assumptions!$N$11)</f>
        <v>285.15217736923586</v>
      </c>
      <c r="P29" s="75">
        <f>O29*(1+Assumptions!$N$11)</f>
        <v>293.70674269031292</v>
      </c>
      <c r="Q29" s="75">
        <f>P29*(1+Assumptions!$N$11)</f>
        <v>302.5179449710223</v>
      </c>
      <c r="R29" s="75">
        <f>Q29*(1+Assumptions!$N$11)</f>
        <v>311.59348332015298</v>
      </c>
      <c r="S29" s="75">
        <f>R29*(1+Assumptions!$N$11)</f>
        <v>320.94128781975758</v>
      </c>
      <c r="T29" s="75">
        <f>S29*(1+Assumptions!$N$11)</f>
        <v>330.5695264543503</v>
      </c>
      <c r="U29" s="75">
        <f>T29*(1+Assumptions!$N$11)</f>
        <v>340.48661224798082</v>
      </c>
      <c r="V29" s="75">
        <f>U29*(1+Assumptions!$N$11)</f>
        <v>350.70121061542022</v>
      </c>
      <c r="W29" s="75">
        <f>V29*(1+Assumptions!$N$11)</f>
        <v>361.22224693388284</v>
      </c>
      <c r="X29" s="75">
        <f>W29*(1+Assumptions!$N$11)</f>
        <v>372.05891434189931</v>
      </c>
      <c r="Y29" s="75">
        <f>X29*(1+Assumptions!$N$11)</f>
        <v>383.2206817721563</v>
      </c>
      <c r="Z29" s="75">
        <f>Y29*(1+Assumptions!$N$11)</f>
        <v>394.71730222532102</v>
      </c>
      <c r="AA29" s="75">
        <f>Z29*(1+Assumptions!$N$11)</f>
        <v>406.55882129208067</v>
      </c>
      <c r="AB29" s="75">
        <f>AA29*(1+Assumptions!$N$11)</f>
        <v>418.7555859308431</v>
      </c>
      <c r="AC29" s="75">
        <f>AB29*(1+Assumptions!$N$11)</f>
        <v>431.31825350876841</v>
      </c>
      <c r="AD29" s="75">
        <f>AC29*(1+Assumptions!$N$11)</f>
        <v>444.25780111403145</v>
      </c>
      <c r="AE29" s="75">
        <f>AD29*(1+Assumptions!$N$11)</f>
        <v>457.58553514745239</v>
      </c>
      <c r="AF29" s="75">
        <f>AE29*(1+Assumptions!$N$11)</f>
        <v>471.31310120187595</v>
      </c>
      <c r="AG29" s="75">
        <f>AF29*(1+Assumptions!$N$11)</f>
        <v>485.45249423793223</v>
      </c>
    </row>
    <row r="30" spans="1:47">
      <c r="A30" s="3" t="s">
        <v>48</v>
      </c>
      <c r="C30" s="65">
        <f t="shared" ref="C30:X30" si="1">SUM(C16:C29)</f>
        <v>10518.791132565973</v>
      </c>
      <c r="D30" s="65">
        <f t="shared" si="1"/>
        <v>10937.24915994462</v>
      </c>
      <c r="E30" s="65">
        <f t="shared" si="1"/>
        <v>11030.121361662957</v>
      </c>
      <c r="F30" s="65">
        <f t="shared" si="1"/>
        <v>11228.795128297852</v>
      </c>
      <c r="G30" s="65">
        <f t="shared" si="1"/>
        <v>11456.707206231782</v>
      </c>
      <c r="H30" s="65">
        <f t="shared" si="1"/>
        <v>11696.783905563736</v>
      </c>
      <c r="I30" s="65">
        <f t="shared" si="1"/>
        <v>11944.512959652848</v>
      </c>
      <c r="J30" s="65">
        <f t="shared" si="1"/>
        <v>12207.943571500378</v>
      </c>
      <c r="K30" s="65">
        <f t="shared" si="1"/>
        <v>12487.133971509793</v>
      </c>
      <c r="L30" s="65">
        <f t="shared" si="1"/>
        <v>12782.144101666079</v>
      </c>
      <c r="M30" s="65">
        <f t="shared" si="1"/>
        <v>13093.035666176571</v>
      </c>
      <c r="N30" s="65">
        <f t="shared" si="1"/>
        <v>13419.87218361689</v>
      </c>
      <c r="O30" s="65">
        <f t="shared" si="1"/>
        <v>13762.719040626815</v>
      </c>
      <c r="P30" s="65">
        <f t="shared" si="1"/>
        <v>14121.643547202373</v>
      </c>
      <c r="Q30" s="65">
        <f t="shared" si="1"/>
        <v>14496.714993631629</v>
      </c>
      <c r="R30" s="65">
        <f t="shared" si="1"/>
        <v>14888.004709123325</v>
      </c>
      <c r="S30" s="65">
        <f t="shared" si="1"/>
        <v>15295.586122178729</v>
      </c>
      <c r="T30" s="65">
        <f t="shared" si="1"/>
        <v>15719.534822758729</v>
      </c>
      <c r="U30" s="65">
        <f t="shared" si="1"/>
        <v>16159.928626299721</v>
      </c>
      <c r="V30" s="65">
        <f t="shared" si="1"/>
        <v>16575.94533002091</v>
      </c>
      <c r="W30" s="65">
        <f t="shared" si="1"/>
        <v>17002.751570901983</v>
      </c>
      <c r="X30" s="65">
        <f t="shared" si="1"/>
        <v>9885.855513784405</v>
      </c>
      <c r="Y30" s="65">
        <f t="shared" ref="Y30:AG30" si="2">SUM(Y16:Y29)</f>
        <v>9995.5066018223461</v>
      </c>
      <c r="Z30" s="65">
        <f t="shared" si="2"/>
        <v>10108.325969193909</v>
      </c>
      <c r="AA30" s="65">
        <f t="shared" si="2"/>
        <v>10224.406239212964</v>
      </c>
      <c r="AB30" s="65">
        <f t="shared" si="2"/>
        <v>10343.842765391451</v>
      </c>
      <c r="AC30" s="65">
        <f t="shared" si="2"/>
        <v>10466.733712375337</v>
      </c>
      <c r="AD30" s="65">
        <f t="shared" si="2"/>
        <v>10593.180139289181</v>
      </c>
      <c r="AE30" s="65">
        <f t="shared" si="2"/>
        <v>10723.286085561291</v>
      </c>
      <c r="AF30" s="65">
        <f t="shared" si="2"/>
        <v>10857.158659303434</v>
      </c>
      <c r="AG30" s="65">
        <f t="shared" si="2"/>
        <v>10994.908128321347</v>
      </c>
    </row>
    <row r="31" spans="1:47">
      <c r="A31" s="4"/>
      <c r="C31" s="374"/>
      <c r="D31" s="374"/>
      <c r="E31" s="374"/>
      <c r="F31" s="374"/>
      <c r="G31" s="374"/>
      <c r="H31" s="374"/>
      <c r="I31" s="374"/>
      <c r="J31" s="374"/>
      <c r="K31" s="374"/>
      <c r="L31" s="374"/>
      <c r="M31" s="374"/>
      <c r="N31" s="374"/>
      <c r="O31" s="374"/>
      <c r="P31" s="374"/>
      <c r="Q31" s="374"/>
      <c r="R31" s="374"/>
      <c r="S31" s="374"/>
      <c r="T31" s="374"/>
      <c r="U31" s="374"/>
      <c r="V31" s="374"/>
      <c r="W31" s="374"/>
      <c r="X31" s="374"/>
      <c r="Y31" s="374"/>
      <c r="Z31" s="374"/>
      <c r="AA31" s="374"/>
      <c r="AB31" s="374"/>
      <c r="AC31" s="374"/>
      <c r="AD31" s="374"/>
      <c r="AE31" s="374"/>
      <c r="AF31" s="374"/>
      <c r="AG31" s="374"/>
    </row>
    <row r="32" spans="1:47">
      <c r="A32" s="1" t="s">
        <v>49</v>
      </c>
      <c r="C32" s="124">
        <f t="shared" ref="C32:X32" si="3">C13-C30</f>
        <v>8974.1666666666642</v>
      </c>
      <c r="D32" s="124">
        <f t="shared" si="3"/>
        <v>15627.680000000002</v>
      </c>
      <c r="E32" s="124">
        <f t="shared" si="3"/>
        <v>15584.170399999999</v>
      </c>
      <c r="F32" s="124">
        <f t="shared" si="3"/>
        <v>15539.437111999994</v>
      </c>
      <c r="G32" s="124">
        <f t="shared" si="3"/>
        <v>15493.445057360001</v>
      </c>
      <c r="H32" s="124">
        <f t="shared" si="3"/>
        <v>15446.1581377208</v>
      </c>
      <c r="I32" s="124">
        <f t="shared" si="3"/>
        <v>15397.539205065224</v>
      </c>
      <c r="J32" s="124">
        <f t="shared" si="3"/>
        <v>15347.550030894236</v>
      </c>
      <c r="K32" s="124">
        <f t="shared" si="3"/>
        <v>15296.151274491662</v>
      </c>
      <c r="L32" s="124">
        <f t="shared" si="3"/>
        <v>15243.302450250416</v>
      </c>
      <c r="M32" s="124">
        <f t="shared" si="3"/>
        <v>15188.96189403242</v>
      </c>
      <c r="N32" s="124">
        <f t="shared" si="3"/>
        <v>15133.086728533372</v>
      </c>
      <c r="O32" s="124">
        <f t="shared" si="3"/>
        <v>15075.632827622952</v>
      </c>
      <c r="P32" s="124">
        <f t="shared" si="3"/>
        <v>15016.554779629889</v>
      </c>
      <c r="Q32" s="124">
        <f t="shared" si="3"/>
        <v>14955.805849540606</v>
      </c>
      <c r="R32" s="124">
        <f t="shared" si="3"/>
        <v>14893.337940079073</v>
      </c>
      <c r="S32" s="124">
        <f t="shared" si="3"/>
        <v>14829.101551634742</v>
      </c>
      <c r="T32" s="124">
        <f t="shared" si="3"/>
        <v>14763.045741004144</v>
      </c>
      <c r="U32" s="124">
        <f t="shared" si="3"/>
        <v>14695.118078911039</v>
      </c>
      <c r="V32" s="124">
        <f t="shared" si="3"/>
        <v>14625.264606268673</v>
      </c>
      <c r="W32" s="124">
        <f t="shared" si="3"/>
        <v>4279.8055494658402</v>
      </c>
      <c r="X32" s="124">
        <f t="shared" si="3"/>
        <v>-2734.4435275948344</v>
      </c>
      <c r="Y32" s="124">
        <f t="shared" ref="Y32:AG32" si="4">Y13-Y30</f>
        <v>-2810.4141680470893</v>
      </c>
      <c r="Z32" s="124">
        <f t="shared" si="4"/>
        <v>-2888.5426744053948</v>
      </c>
      <c r="AA32" s="124">
        <f t="shared" si="4"/>
        <v>-2968.8913575807937</v>
      </c>
      <c r="AB32" s="124">
        <f t="shared" si="4"/>
        <v>-3051.5243493103162</v>
      </c>
      <c r="AC32" s="124">
        <f t="shared" si="4"/>
        <v>-3136.507655811768</v>
      </c>
      <c r="AD32" s="124">
        <f t="shared" si="4"/>
        <v>-3223.9092130287054</v>
      </c>
      <c r="AE32" s="124">
        <f t="shared" si="4"/>
        <v>-3313.7989435130003</v>
      </c>
      <c r="AF32" s="124">
        <f t="shared" si="4"/>
        <v>-3406.2488149936944</v>
      </c>
      <c r="AG32" s="124">
        <f t="shared" si="4"/>
        <v>-3501.332900682316</v>
      </c>
    </row>
    <row r="33" spans="1:33">
      <c r="A33" s="1"/>
      <c r="C33" s="374"/>
      <c r="D33" s="374"/>
      <c r="E33" s="374"/>
      <c r="F33" s="374"/>
      <c r="G33" s="374"/>
      <c r="H33" s="374"/>
      <c r="I33" s="374"/>
      <c r="J33" s="374"/>
      <c r="K33" s="374"/>
      <c r="L33" s="374"/>
      <c r="M33" s="374"/>
      <c r="N33" s="374"/>
      <c r="O33" s="374"/>
      <c r="P33" s="374"/>
      <c r="Q33" s="374"/>
      <c r="R33" s="374"/>
      <c r="S33" s="374"/>
      <c r="T33" s="374"/>
      <c r="U33" s="374"/>
      <c r="V33" s="374"/>
      <c r="W33" s="374"/>
      <c r="X33" s="374"/>
      <c r="Y33" s="374"/>
      <c r="Z33" s="374"/>
      <c r="AA33" s="374"/>
      <c r="AB33" s="374"/>
      <c r="AC33" s="374"/>
      <c r="AD33" s="374"/>
      <c r="AE33" s="374"/>
      <c r="AF33" s="374"/>
      <c r="AG33" s="374"/>
    </row>
    <row r="34" spans="1:33">
      <c r="A34" s="3" t="s">
        <v>50</v>
      </c>
      <c r="C34" s="65">
        <f>Depreciation!D48</f>
        <v>2081.9714725132194</v>
      </c>
      <c r="D34" s="65">
        <f>Depreciation!E48</f>
        <v>3569.0939528798049</v>
      </c>
      <c r="E34" s="65">
        <f>Depreciation!F48</f>
        <v>3569.0939528798049</v>
      </c>
      <c r="F34" s="65">
        <f>Depreciation!G48</f>
        <v>3569.0939528798049</v>
      </c>
      <c r="G34" s="65">
        <f>Depreciation!H48</f>
        <v>3569.0939528798049</v>
      </c>
      <c r="H34" s="65">
        <f>Depreciation!I48</f>
        <v>3175.6939528798048</v>
      </c>
      <c r="I34" s="65">
        <f>Depreciation!J48</f>
        <v>2894.6939528798048</v>
      </c>
      <c r="J34" s="65">
        <f>Depreciation!K48</f>
        <v>2894.6939528798048</v>
      </c>
      <c r="K34" s="65">
        <f>Depreciation!L48</f>
        <v>2894.6939528798048</v>
      </c>
      <c r="L34" s="65">
        <f>Depreciation!M48</f>
        <v>2894.6939528798048</v>
      </c>
      <c r="M34" s="65">
        <f>Depreciation!N48</f>
        <v>2894.6939528798048</v>
      </c>
      <c r="N34" s="65">
        <f>Depreciation!O48</f>
        <v>2894.6939528798048</v>
      </c>
      <c r="O34" s="65">
        <f>Depreciation!P48</f>
        <v>2894.6939528798048</v>
      </c>
      <c r="P34" s="65">
        <f>Depreciation!Q48</f>
        <v>2894.6939528798048</v>
      </c>
      <c r="Q34" s="65">
        <f>Depreciation!R48</f>
        <v>2894.6939528798048</v>
      </c>
      <c r="R34" s="65">
        <f>Depreciation!S48</f>
        <v>2894.6939528798048</v>
      </c>
      <c r="S34" s="65">
        <f>Depreciation!T48</f>
        <v>2894.6939528798048</v>
      </c>
      <c r="T34" s="65">
        <f>Depreciation!U48</f>
        <v>2894.6939528798048</v>
      </c>
      <c r="U34" s="65">
        <f>Depreciation!V48</f>
        <v>2894.6939528798048</v>
      </c>
      <c r="V34" s="65">
        <f>Depreciation!W48</f>
        <v>2894.6939528798048</v>
      </c>
      <c r="W34" s="65">
        <f>Depreciation!X48</f>
        <v>2894.6939528798048</v>
      </c>
      <c r="X34" s="65">
        <f>Depreciation!Y48</f>
        <v>2894.6939528798048</v>
      </c>
      <c r="Y34" s="65">
        <f>Depreciation!Z48</f>
        <v>2894.6939528798048</v>
      </c>
      <c r="Z34" s="65">
        <f>Depreciation!AA48</f>
        <v>2894.6939528798048</v>
      </c>
      <c r="AA34" s="65">
        <f>Depreciation!AB48</f>
        <v>2894.6939528798048</v>
      </c>
      <c r="AB34" s="65">
        <f>Depreciation!AC48</f>
        <v>2894.6939528798048</v>
      </c>
      <c r="AC34" s="65">
        <f>Depreciation!AD48</f>
        <v>2894.6939528798048</v>
      </c>
      <c r="AD34" s="65">
        <f>Depreciation!AE48</f>
        <v>2894.6939528798048</v>
      </c>
      <c r="AE34" s="65">
        <f>Depreciation!AF48</f>
        <v>2894.6939528798048</v>
      </c>
      <c r="AF34" s="65">
        <f>Depreciation!AG48</f>
        <v>2894.6939528798048</v>
      </c>
      <c r="AG34" s="65">
        <f>Depreciation!AH48</f>
        <v>1206.122480366585</v>
      </c>
    </row>
    <row r="35" spans="1:33">
      <c r="A35" s="3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</row>
    <row r="36" spans="1:33">
      <c r="A36" s="1" t="s">
        <v>51</v>
      </c>
      <c r="C36" s="124">
        <f>C32-C34</f>
        <v>6892.1951941534444</v>
      </c>
      <c r="D36" s="124">
        <f t="shared" ref="D36:X36" si="5">D32-D34</f>
        <v>12058.586047120198</v>
      </c>
      <c r="E36" s="124">
        <f t="shared" si="5"/>
        <v>12015.076447120195</v>
      </c>
      <c r="F36" s="124">
        <f t="shared" si="5"/>
        <v>11970.34315912019</v>
      </c>
      <c r="G36" s="124">
        <f t="shared" si="5"/>
        <v>11924.351104480196</v>
      </c>
      <c r="H36" s="124">
        <f t="shared" si="5"/>
        <v>12270.464184840996</v>
      </c>
      <c r="I36" s="124">
        <f t="shared" si="5"/>
        <v>12502.84525218542</v>
      </c>
      <c r="J36" s="124">
        <f t="shared" si="5"/>
        <v>12452.856078014431</v>
      </c>
      <c r="K36" s="124">
        <f t="shared" si="5"/>
        <v>12401.457321611857</v>
      </c>
      <c r="L36" s="124">
        <f t="shared" si="5"/>
        <v>12348.608497370611</v>
      </c>
      <c r="M36" s="124">
        <f t="shared" si="5"/>
        <v>12294.267941152615</v>
      </c>
      <c r="N36" s="124">
        <f t="shared" si="5"/>
        <v>12238.392775653567</v>
      </c>
      <c r="O36" s="124">
        <f t="shared" si="5"/>
        <v>12180.938874743148</v>
      </c>
      <c r="P36" s="124">
        <f t="shared" si="5"/>
        <v>12121.860826750084</v>
      </c>
      <c r="Q36" s="124">
        <f t="shared" si="5"/>
        <v>12061.111896660801</v>
      </c>
      <c r="R36" s="124">
        <f t="shared" si="5"/>
        <v>11998.643987199268</v>
      </c>
      <c r="S36" s="124">
        <f t="shared" si="5"/>
        <v>11934.407598754937</v>
      </c>
      <c r="T36" s="124">
        <f t="shared" si="5"/>
        <v>11868.351788124339</v>
      </c>
      <c r="U36" s="124">
        <f t="shared" si="5"/>
        <v>11800.424126031234</v>
      </c>
      <c r="V36" s="124">
        <f t="shared" si="5"/>
        <v>11730.570653388868</v>
      </c>
      <c r="W36" s="124">
        <f t="shared" si="5"/>
        <v>1385.1115965860354</v>
      </c>
      <c r="X36" s="124">
        <f t="shared" si="5"/>
        <v>-5629.1374804746392</v>
      </c>
      <c r="Y36" s="124">
        <f t="shared" ref="Y36:AG36" si="6">Y32-Y34</f>
        <v>-5705.1081209268941</v>
      </c>
      <c r="Z36" s="124">
        <f t="shared" si="6"/>
        <v>-5783.2366272851996</v>
      </c>
      <c r="AA36" s="124">
        <f t="shared" si="6"/>
        <v>-5863.5853104605985</v>
      </c>
      <c r="AB36" s="124">
        <f t="shared" si="6"/>
        <v>-5946.218302190121</v>
      </c>
      <c r="AC36" s="124">
        <f t="shared" si="6"/>
        <v>-6031.2016086915728</v>
      </c>
      <c r="AD36" s="124">
        <f t="shared" si="6"/>
        <v>-6118.6031659085102</v>
      </c>
      <c r="AE36" s="124">
        <f t="shared" si="6"/>
        <v>-6208.4928963928051</v>
      </c>
      <c r="AF36" s="124">
        <f t="shared" si="6"/>
        <v>-6300.9427678734992</v>
      </c>
      <c r="AG36" s="124">
        <f t="shared" si="6"/>
        <v>-4707.4553810489015</v>
      </c>
    </row>
    <row r="37" spans="1:33">
      <c r="A37" s="1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</row>
    <row r="38" spans="1:33">
      <c r="A38" s="3" t="s">
        <v>137</v>
      </c>
      <c r="C38" s="65">
        <f>IF(Assumptions!$C$12=0,0,Debt!B57)</f>
        <v>0</v>
      </c>
      <c r="D38" s="65">
        <f>IF(Assumptions!$C$12=0,0,Debt!C57)</f>
        <v>0</v>
      </c>
      <c r="E38" s="65">
        <f>IF(Assumptions!$C$12=0,0,Debt!D57)</f>
        <v>0</v>
      </c>
      <c r="F38" s="65">
        <f>IF(Assumptions!$C$12=0,0,Debt!E57)</f>
        <v>0</v>
      </c>
      <c r="G38" s="65">
        <f>IF(Assumptions!$C$12=0,0,Debt!F57)</f>
        <v>0</v>
      </c>
      <c r="H38" s="65">
        <f>IF(Assumptions!$C$12=0,0,Debt!G57)</f>
        <v>0</v>
      </c>
      <c r="I38" s="65">
        <f>IF(Assumptions!$C$12=0,0,Debt!H57)</f>
        <v>0</v>
      </c>
      <c r="J38" s="65">
        <f>IF(Assumptions!$C$12=0,0,Debt!I57)</f>
        <v>0</v>
      </c>
      <c r="K38" s="65">
        <f>IF(Assumptions!$C$12=0,0,Debt!J57)</f>
        <v>0</v>
      </c>
      <c r="L38" s="65">
        <f>IF(Assumptions!$C$12=0,0,Debt!K57)</f>
        <v>0</v>
      </c>
      <c r="M38" s="65">
        <f>IF(Assumptions!$C$12=0,0,Debt!L57)</f>
        <v>0</v>
      </c>
      <c r="N38" s="65">
        <f>IF(Assumptions!$C$12=0,0,Debt!M57)</f>
        <v>0</v>
      </c>
      <c r="O38" s="65">
        <f>IF(Assumptions!$C$12=0,0,Debt!N57)</f>
        <v>0</v>
      </c>
      <c r="P38" s="65">
        <f>IF(Assumptions!$C$12=0,0,Debt!O57)</f>
        <v>0</v>
      </c>
      <c r="Q38" s="65">
        <f>IF(Assumptions!$C$12=0,0,Debt!P57)</f>
        <v>0</v>
      </c>
      <c r="R38" s="65">
        <f>IF(Assumptions!$C$12=0,0,Debt!Q57)</f>
        <v>0</v>
      </c>
      <c r="S38" s="65">
        <f>IF(Assumptions!$C$12=0,0,Debt!R57)</f>
        <v>0</v>
      </c>
      <c r="T38" s="65">
        <f>IF(Assumptions!$C$12=0,0,Debt!S57)</f>
        <v>0</v>
      </c>
      <c r="U38" s="65">
        <f>IF(Assumptions!$C$12=0,0,Debt!T57)</f>
        <v>0</v>
      </c>
      <c r="V38" s="65">
        <f>IF(Assumptions!$C$12=0,0,Debt!U57)</f>
        <v>0</v>
      </c>
      <c r="W38" s="65">
        <f>IF(Assumptions!$C$12=0,0,Debt!V57)</f>
        <v>0</v>
      </c>
      <c r="X38" s="65">
        <f>IF(Assumptions!$C$12=0,0,Debt!W57)</f>
        <v>0</v>
      </c>
      <c r="Y38" s="65">
        <f>IF(Assumptions!$C$12=0,0,Debt!X57)</f>
        <v>0</v>
      </c>
      <c r="Z38" s="65">
        <f>IF(Assumptions!$C$12=0,0,Debt!Y57)</f>
        <v>0</v>
      </c>
      <c r="AA38" s="65">
        <f>IF(Assumptions!$C$12=0,0,Debt!Z57)</f>
        <v>0</v>
      </c>
      <c r="AB38" s="65">
        <f>IF(Assumptions!$C$12=0,0,Debt!AA57)</f>
        <v>0</v>
      </c>
      <c r="AC38" s="65">
        <f>IF(Assumptions!$C$12=0,0,Debt!AB57)</f>
        <v>0</v>
      </c>
      <c r="AD38" s="65">
        <f>IF(Assumptions!$C$12=0,0,Debt!AC57)</f>
        <v>0</v>
      </c>
      <c r="AE38" s="65">
        <f>IF(Assumptions!$C$12=0,0,Debt!AD57)</f>
        <v>0</v>
      </c>
      <c r="AF38" s="65">
        <f>IF(Assumptions!$C$12=0,0,Debt!AE57)</f>
        <v>0</v>
      </c>
      <c r="AG38" s="65">
        <f>IF(Assumptions!$C$12=0,0,Debt!AF57)</f>
        <v>0</v>
      </c>
    </row>
    <row r="39" spans="1:33" ht="12" customHeight="1">
      <c r="A39" s="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</row>
    <row r="40" spans="1:33">
      <c r="A40" s="1" t="s">
        <v>215</v>
      </c>
      <c r="C40" s="124">
        <f>C36-C38</f>
        <v>6892.1951941534444</v>
      </c>
      <c r="D40" s="124">
        <f t="shared" ref="D40:X40" si="7">D36-D38</f>
        <v>12058.586047120198</v>
      </c>
      <c r="E40" s="124">
        <f t="shared" si="7"/>
        <v>12015.076447120195</v>
      </c>
      <c r="F40" s="124">
        <f t="shared" si="7"/>
        <v>11970.34315912019</v>
      </c>
      <c r="G40" s="124">
        <f t="shared" si="7"/>
        <v>11924.351104480196</v>
      </c>
      <c r="H40" s="124">
        <f t="shared" si="7"/>
        <v>12270.464184840996</v>
      </c>
      <c r="I40" s="124">
        <f t="shared" si="7"/>
        <v>12502.84525218542</v>
      </c>
      <c r="J40" s="124">
        <f t="shared" si="7"/>
        <v>12452.856078014431</v>
      </c>
      <c r="K40" s="124">
        <f t="shared" si="7"/>
        <v>12401.457321611857</v>
      </c>
      <c r="L40" s="124">
        <f t="shared" si="7"/>
        <v>12348.608497370611</v>
      </c>
      <c r="M40" s="124">
        <f t="shared" si="7"/>
        <v>12294.267941152615</v>
      </c>
      <c r="N40" s="124">
        <f t="shared" si="7"/>
        <v>12238.392775653567</v>
      </c>
      <c r="O40" s="124">
        <f t="shared" si="7"/>
        <v>12180.938874743148</v>
      </c>
      <c r="P40" s="124">
        <f t="shared" si="7"/>
        <v>12121.860826750084</v>
      </c>
      <c r="Q40" s="124">
        <f t="shared" si="7"/>
        <v>12061.111896660801</v>
      </c>
      <c r="R40" s="124">
        <f t="shared" si="7"/>
        <v>11998.643987199268</v>
      </c>
      <c r="S40" s="124">
        <f t="shared" si="7"/>
        <v>11934.407598754937</v>
      </c>
      <c r="T40" s="124">
        <f t="shared" si="7"/>
        <v>11868.351788124339</v>
      </c>
      <c r="U40" s="124">
        <f t="shared" si="7"/>
        <v>11800.424126031234</v>
      </c>
      <c r="V40" s="124">
        <f t="shared" si="7"/>
        <v>11730.570653388868</v>
      </c>
      <c r="W40" s="124">
        <f t="shared" si="7"/>
        <v>1385.1115965860354</v>
      </c>
      <c r="X40" s="124">
        <f t="shared" si="7"/>
        <v>-5629.1374804746392</v>
      </c>
      <c r="Y40" s="124">
        <f t="shared" ref="Y40:AG40" si="8">Y36-Y38</f>
        <v>-5705.1081209268941</v>
      </c>
      <c r="Z40" s="124">
        <f t="shared" si="8"/>
        <v>-5783.2366272851996</v>
      </c>
      <c r="AA40" s="124">
        <f t="shared" si="8"/>
        <v>-5863.5853104605985</v>
      </c>
      <c r="AB40" s="124">
        <f t="shared" si="8"/>
        <v>-5946.218302190121</v>
      </c>
      <c r="AC40" s="124">
        <f t="shared" si="8"/>
        <v>-6031.2016086915728</v>
      </c>
      <c r="AD40" s="124">
        <f t="shared" si="8"/>
        <v>-6118.6031659085102</v>
      </c>
      <c r="AE40" s="124">
        <f t="shared" si="8"/>
        <v>-6208.4928963928051</v>
      </c>
      <c r="AF40" s="124">
        <f t="shared" si="8"/>
        <v>-6300.9427678734992</v>
      </c>
      <c r="AG40" s="124">
        <f t="shared" si="8"/>
        <v>-4707.4553810489015</v>
      </c>
    </row>
    <row r="41" spans="1:33">
      <c r="A41" s="1"/>
      <c r="C41" s="124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124"/>
      <c r="AA41" s="124"/>
      <c r="AB41" s="124"/>
      <c r="AC41" s="124"/>
      <c r="AD41" s="124"/>
      <c r="AE41" s="124"/>
      <c r="AF41" s="124"/>
      <c r="AG41" s="124"/>
    </row>
    <row r="42" spans="1:33">
      <c r="A42" s="3" t="s">
        <v>52</v>
      </c>
      <c r="B42" s="350">
        <f>Assumptions!N51</f>
        <v>7.0000000000000007E-2</v>
      </c>
      <c r="C42" s="74">
        <f>-C40*$B$42</f>
        <v>-482.45366359074114</v>
      </c>
      <c r="D42" s="74">
        <f t="shared" ref="D42:AG42" si="9">-D40*$B$42</f>
        <v>-844.10102329841391</v>
      </c>
      <c r="E42" s="74">
        <f t="shared" si="9"/>
        <v>-841.05535129841371</v>
      </c>
      <c r="F42" s="74">
        <f t="shared" si="9"/>
        <v>-837.92402113841331</v>
      </c>
      <c r="G42" s="74">
        <f t="shared" si="9"/>
        <v>-834.70457731361387</v>
      </c>
      <c r="H42" s="74">
        <f t="shared" si="9"/>
        <v>-858.93249293886981</v>
      </c>
      <c r="I42" s="74">
        <f t="shared" si="9"/>
        <v>-875.19916765297944</v>
      </c>
      <c r="J42" s="74">
        <f t="shared" si="9"/>
        <v>-871.69992546101025</v>
      </c>
      <c r="K42" s="74">
        <f t="shared" si="9"/>
        <v>-868.10201251283002</v>
      </c>
      <c r="L42" s="74">
        <f t="shared" si="9"/>
        <v>-864.40259481594285</v>
      </c>
      <c r="M42" s="74">
        <f t="shared" si="9"/>
        <v>-860.59875588068314</v>
      </c>
      <c r="N42" s="74">
        <f t="shared" si="9"/>
        <v>-856.68749429574973</v>
      </c>
      <c r="O42" s="74">
        <f t="shared" si="9"/>
        <v>-852.66572123202036</v>
      </c>
      <c r="P42" s="74">
        <f t="shared" si="9"/>
        <v>-848.53025787250601</v>
      </c>
      <c r="Q42" s="74">
        <f t="shared" si="9"/>
        <v>-844.2778327662561</v>
      </c>
      <c r="R42" s="74">
        <f t="shared" si="9"/>
        <v>-839.90507910394888</v>
      </c>
      <c r="S42" s="74">
        <f t="shared" si="9"/>
        <v>-835.40853191284566</v>
      </c>
      <c r="T42" s="74">
        <f t="shared" si="9"/>
        <v>-830.78462516870377</v>
      </c>
      <c r="U42" s="74">
        <f t="shared" si="9"/>
        <v>-826.02968882218647</v>
      </c>
      <c r="V42" s="74">
        <f t="shared" si="9"/>
        <v>-821.13994573722084</v>
      </c>
      <c r="W42" s="74">
        <f t="shared" si="9"/>
        <v>-96.957811761022484</v>
      </c>
      <c r="X42" s="74">
        <f t="shared" si="9"/>
        <v>394.03962363322478</v>
      </c>
      <c r="Y42" s="74">
        <f t="shared" si="9"/>
        <v>399.3575684648826</v>
      </c>
      <c r="Z42" s="74">
        <f t="shared" si="9"/>
        <v>404.82656390996402</v>
      </c>
      <c r="AA42" s="74">
        <f t="shared" si="9"/>
        <v>410.45097173224195</v>
      </c>
      <c r="AB42" s="74">
        <f t="shared" si="9"/>
        <v>416.23528115330851</v>
      </c>
      <c r="AC42" s="74">
        <f t="shared" si="9"/>
        <v>422.18411260841015</v>
      </c>
      <c r="AD42" s="74">
        <f t="shared" si="9"/>
        <v>428.30222161359575</v>
      </c>
      <c r="AE42" s="74">
        <f t="shared" si="9"/>
        <v>434.59450274749639</v>
      </c>
      <c r="AF42" s="74">
        <f t="shared" si="9"/>
        <v>441.06599375114496</v>
      </c>
      <c r="AG42" s="74">
        <f t="shared" si="9"/>
        <v>329.52187667342315</v>
      </c>
    </row>
    <row r="43" spans="1:33">
      <c r="A43" s="3" t="s">
        <v>53</v>
      </c>
      <c r="B43" s="350">
        <f>Assumptions!N50</f>
        <v>0.35</v>
      </c>
      <c r="C43" s="74">
        <f t="shared" ref="C43:AG43" si="10">(C40+C42)*-$B$43</f>
        <v>-2243.409535696946</v>
      </c>
      <c r="D43" s="74">
        <f t="shared" si="10"/>
        <v>-3925.0697583376241</v>
      </c>
      <c r="E43" s="74">
        <f t="shared" si="10"/>
        <v>-3910.907383537623</v>
      </c>
      <c r="F43" s="74">
        <f t="shared" si="10"/>
        <v>-3896.3466982936216</v>
      </c>
      <c r="G43" s="74">
        <f t="shared" si="10"/>
        <v>-3881.3762845083033</v>
      </c>
      <c r="H43" s="74">
        <f t="shared" si="10"/>
        <v>-3994.0360921657439</v>
      </c>
      <c r="I43" s="74">
        <f t="shared" si="10"/>
        <v>-4069.6761295863539</v>
      </c>
      <c r="J43" s="74">
        <f t="shared" si="10"/>
        <v>-4053.4046533936967</v>
      </c>
      <c r="K43" s="74">
        <f t="shared" si="10"/>
        <v>-4036.674358184659</v>
      </c>
      <c r="L43" s="74">
        <f t="shared" si="10"/>
        <v>-4019.4720658941333</v>
      </c>
      <c r="M43" s="74">
        <f t="shared" si="10"/>
        <v>-4001.7842148451759</v>
      </c>
      <c r="N43" s="74">
        <f t="shared" si="10"/>
        <v>-3983.5968484752357</v>
      </c>
      <c r="O43" s="74">
        <f t="shared" si="10"/>
        <v>-3964.895603728894</v>
      </c>
      <c r="P43" s="74">
        <f t="shared" si="10"/>
        <v>-3945.6656991071522</v>
      </c>
      <c r="Q43" s="74">
        <f t="shared" si="10"/>
        <v>-3925.8919223630905</v>
      </c>
      <c r="R43" s="74">
        <f t="shared" si="10"/>
        <v>-3905.5586178333615</v>
      </c>
      <c r="S43" s="74">
        <f t="shared" si="10"/>
        <v>-3884.6496733947315</v>
      </c>
      <c r="T43" s="74">
        <f t="shared" si="10"/>
        <v>-3863.148507034472</v>
      </c>
      <c r="U43" s="74">
        <f t="shared" si="10"/>
        <v>-3841.0380530231664</v>
      </c>
      <c r="V43" s="74">
        <f t="shared" si="10"/>
        <v>-3818.3007476780763</v>
      </c>
      <c r="W43" s="74">
        <f t="shared" si="10"/>
        <v>-450.85382468875451</v>
      </c>
      <c r="X43" s="74">
        <f t="shared" si="10"/>
        <v>1832.2842498944951</v>
      </c>
      <c r="Y43" s="74">
        <f t="shared" si="10"/>
        <v>1857.0126933617041</v>
      </c>
      <c r="Z43" s="74">
        <f t="shared" si="10"/>
        <v>1882.4435221813324</v>
      </c>
      <c r="AA43" s="74">
        <f t="shared" si="10"/>
        <v>1908.5970185549247</v>
      </c>
      <c r="AB43" s="74">
        <f t="shared" si="10"/>
        <v>1935.4940573628844</v>
      </c>
      <c r="AC43" s="74">
        <f t="shared" si="10"/>
        <v>1963.1561236291068</v>
      </c>
      <c r="AD43" s="74">
        <f t="shared" si="10"/>
        <v>1991.6053305032199</v>
      </c>
      <c r="AE43" s="74">
        <f t="shared" si="10"/>
        <v>2020.8644377758578</v>
      </c>
      <c r="AF43" s="74">
        <f t="shared" si="10"/>
        <v>2050.956870942824</v>
      </c>
      <c r="AG43" s="74">
        <f t="shared" si="10"/>
        <v>1532.2767265314174</v>
      </c>
    </row>
    <row r="44" spans="1:33">
      <c r="A44" s="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</row>
    <row r="45" spans="1:33" ht="15.75">
      <c r="A45" s="54" t="s">
        <v>54</v>
      </c>
      <c r="B45" s="46"/>
      <c r="C45" s="375">
        <f t="shared" ref="C45:AG45" si="11">C40+C42+C43</f>
        <v>4166.3319948657572</v>
      </c>
      <c r="D45" s="375">
        <f t="shared" si="11"/>
        <v>7289.41526548416</v>
      </c>
      <c r="E45" s="375">
        <f t="shared" si="11"/>
        <v>7263.1137122841583</v>
      </c>
      <c r="F45" s="375">
        <f t="shared" si="11"/>
        <v>7236.0724396881551</v>
      </c>
      <c r="G45" s="375">
        <f t="shared" si="11"/>
        <v>7208.2702426582782</v>
      </c>
      <c r="H45" s="375">
        <f t="shared" si="11"/>
        <v>7417.4955997363822</v>
      </c>
      <c r="I45" s="375">
        <f t="shared" si="11"/>
        <v>7557.9699549460856</v>
      </c>
      <c r="J45" s="375">
        <f t="shared" si="11"/>
        <v>7527.7514991597236</v>
      </c>
      <c r="K45" s="375">
        <f t="shared" si="11"/>
        <v>7496.6809509143677</v>
      </c>
      <c r="L45" s="375">
        <f t="shared" si="11"/>
        <v>7464.7338366605345</v>
      </c>
      <c r="M45" s="375">
        <f t="shared" si="11"/>
        <v>7431.8849704267559</v>
      </c>
      <c r="N45" s="375">
        <f t="shared" si="11"/>
        <v>7398.1084328825818</v>
      </c>
      <c r="O45" s="375">
        <f t="shared" si="11"/>
        <v>7363.3775497822335</v>
      </c>
      <c r="P45" s="375">
        <f t="shared" si="11"/>
        <v>7327.6648697704259</v>
      </c>
      <c r="Q45" s="375">
        <f t="shared" si="11"/>
        <v>7290.9421415314537</v>
      </c>
      <c r="R45" s="375">
        <f t="shared" si="11"/>
        <v>7253.1802902619584</v>
      </c>
      <c r="S45" s="375">
        <f t="shared" si="11"/>
        <v>7214.349393447359</v>
      </c>
      <c r="T45" s="375">
        <f t="shared" si="11"/>
        <v>7174.418655921163</v>
      </c>
      <c r="U45" s="375">
        <f t="shared" si="11"/>
        <v>7133.3563841858813</v>
      </c>
      <c r="V45" s="375">
        <f t="shared" si="11"/>
        <v>7091.1299599735703</v>
      </c>
      <c r="W45" s="375">
        <f t="shared" si="11"/>
        <v>837.29996013625851</v>
      </c>
      <c r="X45" s="375">
        <f t="shared" si="11"/>
        <v>-3402.8136069469197</v>
      </c>
      <c r="Y45" s="375">
        <f t="shared" si="11"/>
        <v>-3448.737859100308</v>
      </c>
      <c r="Z45" s="375">
        <f t="shared" si="11"/>
        <v>-3495.9665411939036</v>
      </c>
      <c r="AA45" s="375">
        <f t="shared" si="11"/>
        <v>-3544.5373201734319</v>
      </c>
      <c r="AB45" s="375">
        <f t="shared" si="11"/>
        <v>-3594.4889636739281</v>
      </c>
      <c r="AC45" s="375">
        <f t="shared" si="11"/>
        <v>-3645.861372454056</v>
      </c>
      <c r="AD45" s="375">
        <f t="shared" si="11"/>
        <v>-3698.6956137916941</v>
      </c>
      <c r="AE45" s="375">
        <f t="shared" si="11"/>
        <v>-3753.0339558694509</v>
      </c>
      <c r="AF45" s="375">
        <f t="shared" si="11"/>
        <v>-3808.9199031795306</v>
      </c>
      <c r="AG45" s="375">
        <f t="shared" si="11"/>
        <v>-2845.6567778440608</v>
      </c>
    </row>
    <row r="48" spans="1:33"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spans="1:33">
      <c r="A49" s="11"/>
      <c r="C49" s="376"/>
      <c r="D49" s="376"/>
      <c r="E49" s="376"/>
      <c r="F49" s="376"/>
      <c r="G49" s="376"/>
      <c r="H49" s="376"/>
      <c r="I49" s="376"/>
      <c r="J49" s="376"/>
      <c r="K49" s="376"/>
      <c r="L49" s="376"/>
      <c r="M49" s="376"/>
      <c r="N49" s="376"/>
      <c r="O49" s="376"/>
      <c r="P49" s="376"/>
      <c r="Q49" s="376"/>
      <c r="R49" s="376"/>
      <c r="S49" s="376"/>
      <c r="T49" s="376"/>
      <c r="U49" s="376"/>
      <c r="V49" s="376"/>
      <c r="W49" s="376"/>
      <c r="X49" s="376"/>
      <c r="Y49" s="376"/>
      <c r="Z49" s="376"/>
      <c r="AA49" s="376"/>
      <c r="AB49" s="376"/>
      <c r="AC49" s="376"/>
      <c r="AD49" s="376"/>
      <c r="AE49" s="376"/>
      <c r="AF49" s="376"/>
      <c r="AG49" s="376"/>
    </row>
    <row r="50" spans="1:33">
      <c r="A50" s="11"/>
      <c r="C50" s="376"/>
      <c r="D50" s="376"/>
      <c r="E50" s="376"/>
      <c r="F50" s="376"/>
      <c r="G50" s="376"/>
      <c r="H50" s="376"/>
      <c r="I50" s="376"/>
      <c r="J50" s="376"/>
      <c r="K50" s="376"/>
      <c r="L50" s="376"/>
      <c r="M50" s="376"/>
      <c r="N50" s="376"/>
      <c r="O50" s="376"/>
      <c r="P50" s="376"/>
      <c r="Q50" s="376"/>
      <c r="R50" s="376"/>
      <c r="S50" s="376"/>
      <c r="T50" s="376"/>
      <c r="U50" s="376"/>
      <c r="V50" s="376"/>
      <c r="W50" s="376"/>
      <c r="X50" s="376"/>
      <c r="Y50" s="376"/>
      <c r="Z50" s="376"/>
      <c r="AA50" s="376"/>
      <c r="AB50" s="376"/>
      <c r="AC50" s="376"/>
      <c r="AD50" s="376"/>
      <c r="AE50" s="376"/>
      <c r="AF50" s="376"/>
      <c r="AG50" s="376"/>
    </row>
    <row r="51" spans="1:33">
      <c r="C51" s="376"/>
      <c r="D51" s="376"/>
      <c r="E51" s="376"/>
      <c r="F51" s="376"/>
      <c r="G51" s="376"/>
    </row>
    <row r="52" spans="1:33">
      <c r="C52" s="6"/>
      <c r="D52" s="6"/>
      <c r="E52" s="6"/>
      <c r="F52" s="6"/>
      <c r="G52" s="6"/>
    </row>
    <row r="53" spans="1:33">
      <c r="C53" s="376"/>
      <c r="D53" s="376"/>
      <c r="E53" s="376"/>
      <c r="F53" s="376"/>
      <c r="G53" s="376"/>
    </row>
    <row r="54" spans="1:33">
      <c r="C54" s="376"/>
      <c r="D54" s="376"/>
      <c r="E54" s="376"/>
      <c r="F54" s="376"/>
      <c r="G54" s="376"/>
    </row>
    <row r="55" spans="1:33">
      <c r="C55" s="376"/>
      <c r="D55" s="376"/>
      <c r="E55" s="376"/>
      <c r="F55" s="376"/>
      <c r="G55" s="376"/>
    </row>
    <row r="56" spans="1:33">
      <c r="C56" s="376"/>
      <c r="D56" s="376"/>
      <c r="E56" s="376"/>
      <c r="F56" s="376"/>
      <c r="G56" s="376"/>
    </row>
    <row r="57" spans="1:33">
      <c r="C57" s="376"/>
      <c r="D57" s="376"/>
      <c r="E57" s="376"/>
      <c r="F57" s="376"/>
      <c r="G57" s="376"/>
    </row>
    <row r="58" spans="1:33">
      <c r="C58" s="6"/>
      <c r="D58" s="6"/>
      <c r="E58" s="6"/>
      <c r="F58" s="6"/>
      <c r="G58" s="6"/>
    </row>
    <row r="59" spans="1:33">
      <c r="C59" s="6"/>
      <c r="D59" s="6"/>
      <c r="E59" s="6"/>
      <c r="F59" s="6"/>
      <c r="G59" s="6"/>
    </row>
    <row r="60" spans="1:33">
      <c r="C60" s="377"/>
      <c r="D60" s="377"/>
      <c r="E60" s="377"/>
      <c r="F60" s="377"/>
      <c r="G60" s="6"/>
    </row>
    <row r="61" spans="1:33">
      <c r="C61" s="6"/>
      <c r="D61" s="6"/>
      <c r="E61" s="6"/>
      <c r="F61" s="6"/>
      <c r="G61" s="6"/>
    </row>
    <row r="62" spans="1:33">
      <c r="C62" s="377"/>
      <c r="D62" s="6"/>
      <c r="E62" s="6"/>
      <c r="F62" s="6"/>
      <c r="G62" s="6"/>
    </row>
    <row r="63" spans="1:33">
      <c r="C63" s="6"/>
      <c r="D63" s="6"/>
      <c r="E63" s="6"/>
      <c r="F63" s="6"/>
      <c r="G63" s="6"/>
    </row>
    <row r="64" spans="1:33">
      <c r="C64" s="6"/>
      <c r="D64" s="6"/>
      <c r="E64" s="6"/>
      <c r="F64" s="6"/>
      <c r="G64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8" customWidth="1"/>
    <col min="28" max="34" width="13.28515625" customWidth="1"/>
  </cols>
  <sheetData>
    <row r="2" spans="1:60" ht="18.75">
      <c r="A2" s="87" t="str">
        <f>Assumptions!A3</f>
        <v>PROJECT NAME: Calpine</v>
      </c>
    </row>
    <row r="4" spans="1:60" ht="18.75">
      <c r="A4" s="60" t="s">
        <v>139</v>
      </c>
      <c r="B4" s="8"/>
      <c r="C4" s="8"/>
    </row>
    <row r="6" spans="1:60">
      <c r="C6" s="320">
        <v>0</v>
      </c>
      <c r="D6" s="213">
        <f>'Price_Technical Assumption'!D7</f>
        <v>0.58333333333333337</v>
      </c>
      <c r="E6" s="213">
        <f>'Price_Technical Assumption'!E7</f>
        <v>1.5833333333333335</v>
      </c>
      <c r="F6" s="213">
        <f>'Price_Technical Assumption'!F7</f>
        <v>2.5833333333333335</v>
      </c>
      <c r="G6" s="213">
        <f>'Price_Technical Assumption'!G7</f>
        <v>3.5833333333333335</v>
      </c>
      <c r="H6" s="213">
        <f>'Price_Technical Assumption'!H7</f>
        <v>4.5833333333333339</v>
      </c>
      <c r="I6" s="213">
        <f>'Price_Technical Assumption'!I7</f>
        <v>5.5833333333333339</v>
      </c>
      <c r="J6" s="213">
        <f>'Price_Technical Assumption'!J7</f>
        <v>6.5833333333333339</v>
      </c>
      <c r="K6" s="213">
        <f>'Price_Technical Assumption'!K7</f>
        <v>7.5833333333333339</v>
      </c>
      <c r="L6" s="213">
        <f>'Price_Technical Assumption'!L7</f>
        <v>8.5833333333333339</v>
      </c>
      <c r="M6" s="213">
        <f>'Price_Technical Assumption'!M7</f>
        <v>9.5833333333333339</v>
      </c>
      <c r="N6" s="213">
        <f>'Price_Technical Assumption'!N7</f>
        <v>10.583333333333334</v>
      </c>
      <c r="O6" s="213">
        <f>'Price_Technical Assumption'!O7</f>
        <v>11.583333333333334</v>
      </c>
      <c r="P6" s="213">
        <f>'Price_Technical Assumption'!P7</f>
        <v>12.583333333333334</v>
      </c>
      <c r="Q6" s="213">
        <f>'Price_Technical Assumption'!Q7</f>
        <v>13.583333333333334</v>
      </c>
      <c r="R6" s="213">
        <f>'Price_Technical Assumption'!R7</f>
        <v>14.583333333333334</v>
      </c>
      <c r="S6" s="213">
        <f>'Price_Technical Assumption'!S7</f>
        <v>15.583333333333334</v>
      </c>
      <c r="T6" s="213">
        <f>'Price_Technical Assumption'!T7</f>
        <v>16.583333333333336</v>
      </c>
      <c r="U6" s="213">
        <f>'Price_Technical Assumption'!U7</f>
        <v>17.583333333333336</v>
      </c>
      <c r="V6" s="213">
        <f>'Price_Technical Assumption'!V7</f>
        <v>18.583333333333336</v>
      </c>
      <c r="W6" s="213">
        <f>'Price_Technical Assumption'!W7</f>
        <v>19.583333333333336</v>
      </c>
      <c r="X6" s="213">
        <f>'Price_Technical Assumption'!X7</f>
        <v>20.583333333333336</v>
      </c>
      <c r="Y6" s="213">
        <f>'Price_Technical Assumption'!Y7</f>
        <v>21.583333333333336</v>
      </c>
      <c r="Z6" s="213">
        <f>'Price_Technical Assumption'!Z7</f>
        <v>22.583333333333336</v>
      </c>
      <c r="AA6" s="213">
        <f>'Price_Technical Assumption'!AA7</f>
        <v>23.583333333333336</v>
      </c>
      <c r="AB6" s="213">
        <f>'Price_Technical Assumption'!AB7</f>
        <v>24.583333333333336</v>
      </c>
      <c r="AC6" s="213">
        <f>'Price_Technical Assumption'!AC7</f>
        <v>25.583333333333336</v>
      </c>
      <c r="AD6" s="213">
        <f>'Price_Technical Assumption'!AD7</f>
        <v>26.583333333333336</v>
      </c>
      <c r="AE6" s="213">
        <f>'Price_Technical Assumption'!AE7</f>
        <v>27.583333333333336</v>
      </c>
      <c r="AF6" s="213">
        <f>'Price_Technical Assumption'!AF7</f>
        <v>28.583333333333336</v>
      </c>
      <c r="AG6" s="213">
        <f>'Price_Technical Assumption'!AG7</f>
        <v>29.583333333333336</v>
      </c>
      <c r="AH6" s="213">
        <f>'Price_Technical Assumption'!AH7</f>
        <v>30.583333333333336</v>
      </c>
    </row>
    <row r="7" spans="1:60" s="6" customFormat="1" ht="13.5" thickBot="1">
      <c r="A7" s="123" t="s">
        <v>40</v>
      </c>
      <c r="B7" s="7"/>
      <c r="C7" s="321" t="s">
        <v>258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22"/>
      <c r="D8" s="214">
        <f>Assumptions!H17+365.25*Assumptions!H18/12</f>
        <v>37256.0625</v>
      </c>
      <c r="E8" s="214">
        <f t="shared" ref="E8:AH8" si="0">D8+365.25</f>
        <v>37621.3125</v>
      </c>
      <c r="F8" s="214">
        <f t="shared" si="0"/>
        <v>37986.5625</v>
      </c>
      <c r="G8" s="214">
        <f t="shared" si="0"/>
        <v>38351.8125</v>
      </c>
      <c r="H8" s="214">
        <f t="shared" si="0"/>
        <v>38717.0625</v>
      </c>
      <c r="I8" s="214">
        <f t="shared" si="0"/>
        <v>39082.3125</v>
      </c>
      <c r="J8" s="214">
        <f t="shared" si="0"/>
        <v>39447.5625</v>
      </c>
      <c r="K8" s="214">
        <f t="shared" si="0"/>
        <v>39812.8125</v>
      </c>
      <c r="L8" s="214">
        <f t="shared" si="0"/>
        <v>40178.0625</v>
      </c>
      <c r="M8" s="214">
        <f t="shared" si="0"/>
        <v>40543.3125</v>
      </c>
      <c r="N8" s="214">
        <f t="shared" si="0"/>
        <v>40908.5625</v>
      </c>
      <c r="O8" s="214">
        <f t="shared" si="0"/>
        <v>41273.8125</v>
      </c>
      <c r="P8" s="214">
        <f t="shared" si="0"/>
        <v>41639.0625</v>
      </c>
      <c r="Q8" s="214">
        <f t="shared" si="0"/>
        <v>42004.3125</v>
      </c>
      <c r="R8" s="214">
        <f t="shared" si="0"/>
        <v>42369.5625</v>
      </c>
      <c r="S8" s="214">
        <f t="shared" si="0"/>
        <v>42734.8125</v>
      </c>
      <c r="T8" s="214">
        <f t="shared" si="0"/>
        <v>43100.0625</v>
      </c>
      <c r="U8" s="214">
        <f t="shared" si="0"/>
        <v>43465.3125</v>
      </c>
      <c r="V8" s="214">
        <f t="shared" si="0"/>
        <v>43830.5625</v>
      </c>
      <c r="W8" s="214">
        <f t="shared" si="0"/>
        <v>44195.8125</v>
      </c>
      <c r="X8" s="214">
        <f t="shared" si="0"/>
        <v>44561.0625</v>
      </c>
      <c r="Y8" s="214">
        <f t="shared" si="0"/>
        <v>44926.3125</v>
      </c>
      <c r="Z8" s="214">
        <f t="shared" si="0"/>
        <v>45291.5625</v>
      </c>
      <c r="AA8" s="214">
        <f t="shared" si="0"/>
        <v>45656.8125</v>
      </c>
      <c r="AB8" s="214">
        <f t="shared" si="0"/>
        <v>46022.0625</v>
      </c>
      <c r="AC8" s="214">
        <f t="shared" si="0"/>
        <v>46387.3125</v>
      </c>
      <c r="AD8" s="214">
        <f t="shared" si="0"/>
        <v>46752.5625</v>
      </c>
      <c r="AE8" s="214">
        <f t="shared" si="0"/>
        <v>47117.8125</v>
      </c>
      <c r="AF8" s="214">
        <f t="shared" si="0"/>
        <v>47483.0625</v>
      </c>
      <c r="AG8" s="214">
        <f t="shared" si="0"/>
        <v>47848.3125</v>
      </c>
      <c r="AH8" s="214">
        <f t="shared" si="0"/>
        <v>48213.5625</v>
      </c>
    </row>
    <row r="9" spans="1:60">
      <c r="A9" s="1" t="s">
        <v>140</v>
      </c>
      <c r="B9" s="12"/>
      <c r="C9" s="323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23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141</v>
      </c>
      <c r="B11" s="12"/>
      <c r="C11" s="324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13"/>
      <c r="AJ11" s="313"/>
      <c r="AK11" s="313"/>
      <c r="AL11" s="313"/>
      <c r="AM11" s="313"/>
      <c r="AN11" s="313"/>
      <c r="AO11" s="313"/>
      <c r="AP11" s="313"/>
      <c r="AQ11" s="313"/>
      <c r="AR11" s="313"/>
      <c r="AS11" s="313"/>
      <c r="AT11" s="313"/>
      <c r="AU11" s="313"/>
      <c r="AV11" s="313"/>
      <c r="AW11" s="313"/>
      <c r="AX11" s="313"/>
      <c r="AY11" s="313"/>
      <c r="AZ11" s="313"/>
      <c r="BA11" s="313"/>
      <c r="BB11" s="313"/>
      <c r="BC11" s="313"/>
      <c r="BD11" s="313"/>
      <c r="BE11" s="313"/>
      <c r="BF11" s="313"/>
      <c r="BG11" s="313"/>
      <c r="BH11" s="313"/>
    </row>
    <row r="12" spans="1:60">
      <c r="A12" s="23" t="s">
        <v>142</v>
      </c>
      <c r="B12" s="12"/>
      <c r="C12" s="324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13"/>
      <c r="AJ12" s="313"/>
      <c r="AK12" s="313"/>
      <c r="AL12" s="313"/>
      <c r="AM12" s="313"/>
      <c r="AN12" s="313"/>
      <c r="AO12" s="313"/>
      <c r="AP12" s="313"/>
      <c r="AQ12" s="313"/>
      <c r="AR12" s="313"/>
      <c r="AS12" s="313"/>
      <c r="AT12" s="313"/>
      <c r="AU12" s="313"/>
      <c r="AV12" s="313"/>
      <c r="AW12" s="313"/>
      <c r="AX12" s="313"/>
      <c r="AY12" s="313"/>
      <c r="AZ12" s="313"/>
      <c r="BA12" s="313"/>
      <c r="BB12" s="313"/>
      <c r="BC12" s="313"/>
      <c r="BD12" s="313"/>
      <c r="BE12" s="313"/>
      <c r="BF12" s="313"/>
      <c r="BG12" s="313"/>
      <c r="BH12" s="313"/>
    </row>
    <row r="13" spans="1:60">
      <c r="A13" s="23" t="s">
        <v>143</v>
      </c>
      <c r="B13" s="12"/>
      <c r="C13" s="324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13"/>
      <c r="AJ13" s="313"/>
      <c r="AK13" s="313"/>
      <c r="AL13" s="313"/>
      <c r="AM13" s="313"/>
      <c r="AN13" s="313"/>
      <c r="AO13" s="313"/>
      <c r="AP13" s="313"/>
      <c r="AQ13" s="313"/>
      <c r="AR13" s="313"/>
      <c r="AS13" s="313"/>
      <c r="AT13" s="313"/>
      <c r="AU13" s="313"/>
      <c r="AV13" s="313"/>
      <c r="AW13" s="313"/>
      <c r="AX13" s="313"/>
      <c r="AY13" s="313"/>
      <c r="AZ13" s="313"/>
      <c r="BA13" s="313"/>
      <c r="BB13" s="313"/>
      <c r="BC13" s="313"/>
      <c r="BD13" s="313"/>
      <c r="BE13" s="313"/>
      <c r="BF13" s="313"/>
      <c r="BG13" s="313"/>
      <c r="BH13" s="313"/>
    </row>
    <row r="14" spans="1:60">
      <c r="A14" s="23" t="s">
        <v>144</v>
      </c>
      <c r="B14" s="12"/>
      <c r="C14" s="324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13"/>
      <c r="AJ14" s="313"/>
      <c r="AK14" s="313"/>
      <c r="AL14" s="313"/>
      <c r="AM14" s="313"/>
      <c r="AN14" s="313"/>
      <c r="AO14" s="313"/>
      <c r="AP14" s="313"/>
      <c r="AQ14" s="313"/>
      <c r="AR14" s="313"/>
      <c r="AS14" s="313"/>
      <c r="AT14" s="313"/>
      <c r="AU14" s="313"/>
      <c r="AV14" s="313"/>
      <c r="AW14" s="313"/>
      <c r="AX14" s="313"/>
      <c r="AY14" s="313"/>
      <c r="AZ14" s="313"/>
      <c r="BA14" s="313"/>
      <c r="BB14" s="313"/>
      <c r="BC14" s="313"/>
      <c r="BD14" s="313"/>
      <c r="BE14" s="313"/>
      <c r="BF14" s="313"/>
      <c r="BG14" s="313"/>
      <c r="BH14" s="313"/>
    </row>
    <row r="15" spans="1:60">
      <c r="A15" s="312" t="s">
        <v>145</v>
      </c>
      <c r="B15" s="58"/>
      <c r="C15" s="325">
        <v>0</v>
      </c>
      <c r="D15" s="312">
        <v>0</v>
      </c>
      <c r="E15" s="312">
        <v>0</v>
      </c>
      <c r="F15" s="312">
        <v>0</v>
      </c>
      <c r="G15" s="312">
        <v>0</v>
      </c>
      <c r="H15" s="312">
        <v>0</v>
      </c>
      <c r="I15" s="312">
        <v>0</v>
      </c>
      <c r="J15" s="312">
        <v>0</v>
      </c>
      <c r="K15" s="312">
        <v>0</v>
      </c>
      <c r="L15" s="312">
        <v>0</v>
      </c>
      <c r="M15" s="312">
        <v>0</v>
      </c>
      <c r="N15" s="312">
        <v>0</v>
      </c>
      <c r="O15" s="312">
        <v>0</v>
      </c>
      <c r="P15" s="312">
        <v>0</v>
      </c>
      <c r="Q15" s="312">
        <v>0</v>
      </c>
      <c r="R15" s="312">
        <v>0</v>
      </c>
      <c r="S15" s="312">
        <v>0</v>
      </c>
      <c r="T15" s="312">
        <v>0</v>
      </c>
      <c r="U15" s="312">
        <v>0</v>
      </c>
      <c r="V15" s="312">
        <v>0</v>
      </c>
      <c r="W15" s="312">
        <v>0</v>
      </c>
      <c r="X15" s="312">
        <v>0</v>
      </c>
      <c r="Y15" s="312">
        <v>0</v>
      </c>
      <c r="Z15" s="312">
        <v>0</v>
      </c>
      <c r="AA15" s="312">
        <v>0</v>
      </c>
      <c r="AB15" s="312">
        <v>0</v>
      </c>
      <c r="AC15" s="312">
        <v>0</v>
      </c>
      <c r="AD15" s="312">
        <v>0</v>
      </c>
      <c r="AE15" s="312">
        <v>0</v>
      </c>
      <c r="AF15" s="312">
        <v>0</v>
      </c>
      <c r="AG15" s="312">
        <v>0</v>
      </c>
      <c r="AH15" s="312">
        <v>0</v>
      </c>
      <c r="AI15" s="313"/>
      <c r="AJ15" s="313"/>
      <c r="AK15" s="313"/>
      <c r="AL15" s="313"/>
      <c r="AM15" s="313"/>
      <c r="AN15" s="313"/>
      <c r="AO15" s="313"/>
      <c r="AP15" s="313"/>
      <c r="AQ15" s="313"/>
      <c r="AR15" s="313"/>
      <c r="AS15" s="313"/>
      <c r="AT15" s="313"/>
      <c r="AU15" s="313"/>
      <c r="AV15" s="313"/>
      <c r="AW15" s="313"/>
      <c r="AX15" s="313"/>
      <c r="AY15" s="313"/>
      <c r="AZ15" s="313"/>
      <c r="BA15" s="313"/>
      <c r="BB15" s="313"/>
      <c r="BC15" s="313"/>
      <c r="BD15" s="313"/>
      <c r="BE15" s="313"/>
      <c r="BF15" s="313"/>
      <c r="BG15" s="313"/>
      <c r="BH15" s="313"/>
    </row>
    <row r="16" spans="1:60">
      <c r="A16" s="23" t="s">
        <v>146</v>
      </c>
      <c r="B16" s="12"/>
      <c r="C16" s="324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13"/>
      <c r="AJ16" s="313"/>
      <c r="AK16" s="313"/>
      <c r="AL16" s="313"/>
      <c r="AM16" s="313"/>
      <c r="AN16" s="313"/>
      <c r="AO16" s="313"/>
      <c r="AP16" s="313"/>
      <c r="AQ16" s="313"/>
      <c r="AR16" s="313"/>
      <c r="AS16" s="313"/>
      <c r="AT16" s="313"/>
      <c r="AU16" s="313"/>
      <c r="AV16" s="313"/>
      <c r="AW16" s="313"/>
      <c r="AX16" s="313"/>
      <c r="AY16" s="313"/>
      <c r="AZ16" s="313"/>
      <c r="BA16" s="313"/>
      <c r="BB16" s="313"/>
      <c r="BC16" s="313"/>
      <c r="BD16" s="313"/>
      <c r="BE16" s="313"/>
      <c r="BF16" s="313"/>
      <c r="BG16" s="313"/>
      <c r="BH16" s="313"/>
    </row>
    <row r="17" spans="1:60">
      <c r="A17" s="13"/>
      <c r="B17" s="12"/>
      <c r="C17" s="324"/>
      <c r="D17" s="18"/>
      <c r="E17" s="18"/>
      <c r="F17" s="313"/>
      <c r="G17" s="313"/>
      <c r="H17" s="313"/>
      <c r="I17" s="313"/>
      <c r="J17" s="313"/>
      <c r="K17" s="313"/>
      <c r="L17" s="313"/>
      <c r="M17" s="313"/>
      <c r="N17" s="313"/>
      <c r="O17" s="313"/>
      <c r="P17" s="313"/>
      <c r="Q17" s="313"/>
      <c r="R17" s="313"/>
      <c r="S17" s="313"/>
      <c r="T17" s="313"/>
      <c r="U17" s="313"/>
      <c r="V17" s="313"/>
      <c r="W17" s="313"/>
      <c r="X17" s="313"/>
      <c r="Y17" s="313"/>
      <c r="Z17" s="151"/>
      <c r="AA17" s="151"/>
      <c r="AB17" s="313"/>
      <c r="AC17" s="313"/>
      <c r="AD17" s="313"/>
      <c r="AE17" s="313"/>
      <c r="AF17" s="313"/>
      <c r="AG17" s="313"/>
      <c r="AH17" s="313"/>
      <c r="AI17" s="313"/>
      <c r="AJ17" s="313"/>
      <c r="AK17" s="313"/>
      <c r="AL17" s="313"/>
      <c r="AM17" s="313"/>
      <c r="AN17" s="313"/>
      <c r="AO17" s="313"/>
      <c r="AP17" s="313"/>
      <c r="AQ17" s="313"/>
      <c r="AR17" s="313"/>
      <c r="AS17" s="313"/>
      <c r="AT17" s="313"/>
      <c r="AU17" s="313"/>
      <c r="AV17" s="313"/>
      <c r="AW17" s="313"/>
      <c r="AX17" s="313"/>
      <c r="AY17" s="313"/>
      <c r="AZ17" s="313"/>
      <c r="BA17" s="313"/>
      <c r="BB17" s="313"/>
      <c r="BC17" s="313"/>
      <c r="BD17" s="313"/>
      <c r="BE17" s="313"/>
      <c r="BF17" s="313"/>
      <c r="BG17" s="313"/>
      <c r="BH17" s="313"/>
    </row>
    <row r="18" spans="1:60">
      <c r="A18" s="23" t="s">
        <v>147</v>
      </c>
      <c r="B18" s="12"/>
      <c r="C18" s="324">
        <f>Assumptions!C58</f>
        <v>99861.798429326824</v>
      </c>
      <c r="D18" s="18">
        <f>Depreciation!$B$48</f>
        <v>99861.798429326824</v>
      </c>
      <c r="E18" s="18">
        <f>Depreciation!$B$48</f>
        <v>99861.798429326824</v>
      </c>
      <c r="F18" s="18">
        <f>Depreciation!$B$48</f>
        <v>99861.798429326824</v>
      </c>
      <c r="G18" s="18">
        <f>Depreciation!$B$48</f>
        <v>99861.798429326824</v>
      </c>
      <c r="H18" s="18">
        <f>Depreciation!$B$48</f>
        <v>99861.798429326824</v>
      </c>
      <c r="I18" s="18">
        <f>Depreciation!$B$48</f>
        <v>99861.798429326824</v>
      </c>
      <c r="J18" s="18">
        <f>Depreciation!$B$48</f>
        <v>99861.798429326824</v>
      </c>
      <c r="K18" s="18">
        <f>Depreciation!$B$48</f>
        <v>99861.798429326824</v>
      </c>
      <c r="L18" s="18">
        <f>Depreciation!$B$48</f>
        <v>99861.798429326824</v>
      </c>
      <c r="M18" s="18">
        <f>Depreciation!$B$48</f>
        <v>99861.798429326824</v>
      </c>
      <c r="N18" s="18">
        <f>Depreciation!$B$48</f>
        <v>99861.798429326824</v>
      </c>
      <c r="O18" s="18">
        <f>Depreciation!$B$48</f>
        <v>99861.798429326824</v>
      </c>
      <c r="P18" s="18">
        <f>Depreciation!$B$48</f>
        <v>99861.798429326824</v>
      </c>
      <c r="Q18" s="18">
        <f>Depreciation!$B$48</f>
        <v>99861.798429326824</v>
      </c>
      <c r="R18" s="18">
        <f>Depreciation!$B$48</f>
        <v>99861.798429326824</v>
      </c>
      <c r="S18" s="18">
        <f>Depreciation!$B$48</f>
        <v>99861.798429326824</v>
      </c>
      <c r="T18" s="18">
        <f>Depreciation!$B$48</f>
        <v>99861.798429326824</v>
      </c>
      <c r="U18" s="18">
        <f>Depreciation!$B$48</f>
        <v>99861.798429326824</v>
      </c>
      <c r="V18" s="18">
        <f>Depreciation!$B$48</f>
        <v>99861.798429326824</v>
      </c>
      <c r="W18" s="18">
        <f>Depreciation!$B$48</f>
        <v>99861.798429326824</v>
      </c>
      <c r="X18" s="18">
        <f>Depreciation!$B$48</f>
        <v>99861.798429326824</v>
      </c>
      <c r="Y18" s="18">
        <f>Depreciation!$B$48</f>
        <v>99861.798429326824</v>
      </c>
      <c r="Z18" s="18">
        <f>Depreciation!$B$48</f>
        <v>99861.798429326824</v>
      </c>
      <c r="AA18" s="18">
        <f>Depreciation!$B$48</f>
        <v>99861.798429326824</v>
      </c>
      <c r="AB18" s="18">
        <f>Depreciation!$B$48</f>
        <v>99861.798429326824</v>
      </c>
      <c r="AC18" s="18">
        <f>Depreciation!$B$48</f>
        <v>99861.798429326824</v>
      </c>
      <c r="AD18" s="18">
        <f>Depreciation!$B$48</f>
        <v>99861.798429326824</v>
      </c>
      <c r="AE18" s="18">
        <f>Depreciation!$B$48</f>
        <v>99861.798429326824</v>
      </c>
      <c r="AF18" s="18">
        <f>Depreciation!$B$48</f>
        <v>99861.798429326824</v>
      </c>
      <c r="AG18" s="18">
        <f>Depreciation!$B$48</f>
        <v>99861.798429326824</v>
      </c>
      <c r="AH18" s="18">
        <f>Depreciation!$B$48</f>
        <v>99861.798429326824</v>
      </c>
      <c r="AI18" s="313"/>
      <c r="AJ18" s="313"/>
      <c r="AK18" s="313"/>
      <c r="AL18" s="313"/>
      <c r="AM18" s="313"/>
      <c r="AN18" s="313"/>
      <c r="AO18" s="313"/>
      <c r="AP18" s="313"/>
      <c r="AQ18" s="313"/>
      <c r="AR18" s="313"/>
      <c r="AS18" s="313"/>
      <c r="AT18" s="313"/>
      <c r="AU18" s="313"/>
      <c r="AV18" s="313"/>
      <c r="AW18" s="313"/>
      <c r="AX18" s="313"/>
      <c r="AY18" s="313"/>
      <c r="AZ18" s="313"/>
      <c r="BA18" s="313"/>
      <c r="BB18" s="313"/>
      <c r="BC18" s="313"/>
      <c r="BD18" s="313"/>
      <c r="BE18" s="313"/>
      <c r="BF18" s="313"/>
      <c r="BG18" s="313"/>
      <c r="BH18" s="313"/>
    </row>
    <row r="19" spans="1:60">
      <c r="A19" s="23" t="s">
        <v>148</v>
      </c>
      <c r="B19" s="13"/>
      <c r="C19" s="326">
        <v>0</v>
      </c>
      <c r="D19" s="314">
        <f>SUM(Depreciation!$D$48:D48)</f>
        <v>2081.9714725132194</v>
      </c>
      <c r="E19" s="314">
        <f>SUM(Depreciation!$D$48:E48)</f>
        <v>5651.0654253930243</v>
      </c>
      <c r="F19" s="314">
        <f>SUM(Depreciation!$D$48:F48)</f>
        <v>9220.1593782728287</v>
      </c>
      <c r="G19" s="314">
        <f>SUM(Depreciation!$D$48:G48)</f>
        <v>12789.253331152633</v>
      </c>
      <c r="H19" s="314">
        <f>SUM(Depreciation!$D$48:H48)</f>
        <v>16358.347284032438</v>
      </c>
      <c r="I19" s="314">
        <f>SUM(Depreciation!$D$48:I48)</f>
        <v>19534.041236912242</v>
      </c>
      <c r="J19" s="314">
        <f>SUM(Depreciation!$D$48:J48)</f>
        <v>22428.735189792045</v>
      </c>
      <c r="K19" s="314">
        <f>SUM(Depreciation!$D$48:K48)</f>
        <v>25323.429142671848</v>
      </c>
      <c r="L19" s="314">
        <f>SUM(Depreciation!$D$48:L48)</f>
        <v>28218.123095551651</v>
      </c>
      <c r="M19" s="314">
        <f>SUM(Depreciation!$D$48:M48)</f>
        <v>31112.817048431454</v>
      </c>
      <c r="N19" s="314">
        <f>SUM(Depreciation!$D$48:N48)</f>
        <v>34007.511001311257</v>
      </c>
      <c r="O19" s="314">
        <f>SUM(Depreciation!$D$48:O48)</f>
        <v>36902.20495419106</v>
      </c>
      <c r="P19" s="314">
        <f>SUM(Depreciation!$D$48:P48)</f>
        <v>39796.898907070863</v>
      </c>
      <c r="Q19" s="314">
        <f>SUM(Depreciation!$D$48:Q48)</f>
        <v>42691.592859950666</v>
      </c>
      <c r="R19" s="314">
        <f>SUM(Depreciation!$D$48:R48)</f>
        <v>45586.286812830469</v>
      </c>
      <c r="S19" s="314">
        <f>SUM(Depreciation!$D$48:S48)</f>
        <v>48480.980765710272</v>
      </c>
      <c r="T19" s="314">
        <f>SUM(Depreciation!$D$48:T48)</f>
        <v>51375.674718590075</v>
      </c>
      <c r="U19" s="314">
        <f>SUM(Depreciation!$D$48:U48)</f>
        <v>54270.368671469878</v>
      </c>
      <c r="V19" s="314">
        <f>SUM(Depreciation!$D$48:V48)</f>
        <v>57165.062624349681</v>
      </c>
      <c r="W19" s="314">
        <f>SUM(Depreciation!$D$48:W48)</f>
        <v>60059.756577229484</v>
      </c>
      <c r="X19" s="314">
        <f>SUM(Depreciation!$D$48:X48)</f>
        <v>62954.450530109287</v>
      </c>
      <c r="Y19" s="314">
        <f>SUM(Depreciation!$D$48:Y48)</f>
        <v>65849.144482989097</v>
      </c>
      <c r="Z19" s="314">
        <f>SUM(Depreciation!$D$48:Z48)</f>
        <v>68743.838435868907</v>
      </c>
      <c r="AA19" s="314">
        <f>SUM(Depreciation!$D$48:AA48)</f>
        <v>71638.532388748717</v>
      </c>
      <c r="AB19" s="314">
        <f>SUM(Depreciation!$D$48:AB48)</f>
        <v>74533.226341628528</v>
      </c>
      <c r="AC19" s="314">
        <f>SUM(Depreciation!$D$48:AC48)</f>
        <v>77427.920294508338</v>
      </c>
      <c r="AD19" s="314">
        <f>SUM(Depreciation!$D$48:AD48)</f>
        <v>80322.614247388148</v>
      </c>
      <c r="AE19" s="314">
        <f>SUM(Depreciation!$D$48:AE48)</f>
        <v>83217.308200267958</v>
      </c>
      <c r="AF19" s="314">
        <f>SUM(Depreciation!$D$48:AF48)</f>
        <v>86112.002153147769</v>
      </c>
      <c r="AG19" s="314">
        <f>SUM(Depreciation!$D$48:AG48)</f>
        <v>89006.696106027579</v>
      </c>
      <c r="AH19" s="314">
        <f>SUM(Depreciation!$D$48:AH48)</f>
        <v>90212.818586394162</v>
      </c>
      <c r="AI19" s="313"/>
      <c r="AJ19" s="313"/>
      <c r="AK19" s="313"/>
      <c r="AL19" s="313"/>
      <c r="AM19" s="313"/>
      <c r="AN19" s="313"/>
      <c r="AO19" s="313"/>
      <c r="AP19" s="313"/>
      <c r="AQ19" s="313"/>
      <c r="AR19" s="313"/>
      <c r="AS19" s="313"/>
      <c r="AT19" s="313"/>
      <c r="AU19" s="313"/>
      <c r="AV19" s="313"/>
      <c r="AW19" s="313"/>
      <c r="AX19" s="313"/>
      <c r="AY19" s="313"/>
      <c r="AZ19" s="313"/>
      <c r="BA19" s="313"/>
      <c r="BB19" s="313"/>
      <c r="BC19" s="313"/>
      <c r="BD19" s="313"/>
      <c r="BE19" s="313"/>
      <c r="BF19" s="313"/>
      <c r="BG19" s="313"/>
      <c r="BH19" s="313"/>
    </row>
    <row r="20" spans="1:60">
      <c r="A20" s="23" t="s">
        <v>149</v>
      </c>
      <c r="B20" s="13"/>
      <c r="C20" s="327">
        <f>C18-C19</f>
        <v>99861.798429326824</v>
      </c>
      <c r="D20" s="23">
        <f>D18-D19</f>
        <v>97779.826956813602</v>
      </c>
      <c r="E20" s="23">
        <f t="shared" ref="E20:AH20" si="2">E18-E19</f>
        <v>94210.733003933798</v>
      </c>
      <c r="F20" s="23">
        <f t="shared" si="2"/>
        <v>90641.639051053993</v>
      </c>
      <c r="G20" s="23">
        <f t="shared" si="2"/>
        <v>87072.545098174189</v>
      </c>
      <c r="H20" s="23">
        <f t="shared" si="2"/>
        <v>83503.451145294384</v>
      </c>
      <c r="I20" s="23">
        <f t="shared" si="2"/>
        <v>80327.757192414574</v>
      </c>
      <c r="J20" s="23">
        <f t="shared" si="2"/>
        <v>77433.063239534778</v>
      </c>
      <c r="K20" s="23">
        <f t="shared" si="2"/>
        <v>74538.369286654983</v>
      </c>
      <c r="L20" s="23">
        <f t="shared" si="2"/>
        <v>71643.675333775172</v>
      </c>
      <c r="M20" s="23">
        <f t="shared" si="2"/>
        <v>68748.981380895362</v>
      </c>
      <c r="N20" s="23">
        <f t="shared" si="2"/>
        <v>65854.287428015567</v>
      </c>
      <c r="O20" s="23">
        <f t="shared" si="2"/>
        <v>62959.593475135764</v>
      </c>
      <c r="P20" s="23">
        <f t="shared" si="2"/>
        <v>60064.899522255961</v>
      </c>
      <c r="Q20" s="23">
        <f t="shared" si="2"/>
        <v>57170.205569376158</v>
      </c>
      <c r="R20" s="23">
        <f t="shared" si="2"/>
        <v>54275.511616496355</v>
      </c>
      <c r="S20" s="23">
        <f t="shared" si="2"/>
        <v>51380.817663616552</v>
      </c>
      <c r="T20" s="23">
        <f t="shared" si="2"/>
        <v>48486.123710736749</v>
      </c>
      <c r="U20" s="23">
        <f t="shared" si="2"/>
        <v>45591.429757856946</v>
      </c>
      <c r="V20" s="23">
        <f t="shared" si="2"/>
        <v>42696.735804977143</v>
      </c>
      <c r="W20" s="23">
        <f t="shared" si="2"/>
        <v>39802.04185209734</v>
      </c>
      <c r="X20" s="23">
        <f t="shared" si="2"/>
        <v>36907.347899217537</v>
      </c>
      <c r="Y20" s="23">
        <f t="shared" si="2"/>
        <v>34012.653946337727</v>
      </c>
      <c r="Z20" s="23">
        <f t="shared" si="2"/>
        <v>31117.959993457916</v>
      </c>
      <c r="AA20" s="23">
        <f t="shared" si="2"/>
        <v>28223.266040578106</v>
      </c>
      <c r="AB20" s="23">
        <f t="shared" si="2"/>
        <v>25328.572087698296</v>
      </c>
      <c r="AC20" s="23">
        <f t="shared" si="2"/>
        <v>22433.878134818486</v>
      </c>
      <c r="AD20" s="23">
        <f t="shared" si="2"/>
        <v>19539.184181938675</v>
      </c>
      <c r="AE20" s="23">
        <f t="shared" si="2"/>
        <v>16644.490229058865</v>
      </c>
      <c r="AF20" s="23">
        <f t="shared" si="2"/>
        <v>13749.796276179055</v>
      </c>
      <c r="AG20" s="23">
        <f t="shared" si="2"/>
        <v>10855.102323299245</v>
      </c>
      <c r="AH20" s="23">
        <f t="shared" si="2"/>
        <v>9648.979842932662</v>
      </c>
      <c r="AI20" s="313"/>
      <c r="AJ20" s="313"/>
      <c r="AK20" s="313"/>
      <c r="AL20" s="313"/>
      <c r="AM20" s="313"/>
      <c r="AN20" s="313"/>
      <c r="AO20" s="313"/>
      <c r="AP20" s="313"/>
      <c r="AQ20" s="313"/>
      <c r="AR20" s="313"/>
      <c r="AS20" s="313"/>
      <c r="AT20" s="313"/>
      <c r="AU20" s="313"/>
      <c r="AV20" s="313"/>
      <c r="AW20" s="313"/>
      <c r="AX20" s="313"/>
      <c r="AY20" s="313"/>
      <c r="AZ20" s="313"/>
      <c r="BA20" s="313"/>
      <c r="BB20" s="313"/>
      <c r="BC20" s="313"/>
      <c r="BD20" s="313"/>
      <c r="BE20" s="313"/>
      <c r="BF20" s="313"/>
      <c r="BG20" s="313"/>
      <c r="BH20" s="313"/>
    </row>
    <row r="21" spans="1:60">
      <c r="A21" s="23"/>
      <c r="B21" s="13"/>
      <c r="C21" s="327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13"/>
      <c r="AJ21" s="313"/>
      <c r="AK21" s="313"/>
      <c r="AL21" s="313"/>
      <c r="AM21" s="313"/>
      <c r="AN21" s="313"/>
      <c r="AO21" s="313"/>
      <c r="AP21" s="313"/>
      <c r="AQ21" s="313"/>
      <c r="AR21" s="313"/>
      <c r="AS21" s="313"/>
      <c r="AT21" s="313"/>
      <c r="AU21" s="313"/>
      <c r="AV21" s="313"/>
      <c r="AW21" s="313"/>
      <c r="AX21" s="313"/>
      <c r="AY21" s="313"/>
      <c r="AZ21" s="313"/>
      <c r="BA21" s="313"/>
      <c r="BB21" s="313"/>
      <c r="BC21" s="313"/>
      <c r="BD21" s="313"/>
      <c r="BE21" s="313"/>
      <c r="BF21" s="313"/>
      <c r="BG21" s="313"/>
      <c r="BH21" s="313"/>
    </row>
    <row r="22" spans="1:60">
      <c r="A22" s="23" t="s">
        <v>150</v>
      </c>
      <c r="B22" s="13"/>
      <c r="C22" s="324">
        <f>Assumptions!$C$47</f>
        <v>0</v>
      </c>
      <c r="D22" s="18">
        <f>Assumptions!$C$47</f>
        <v>0</v>
      </c>
      <c r="E22" s="18">
        <f>Assumptions!$C$47</f>
        <v>0</v>
      </c>
      <c r="F22" s="18">
        <f>Assumptions!$C$47</f>
        <v>0</v>
      </c>
      <c r="G22" s="18">
        <f>Assumptions!$C$47</f>
        <v>0</v>
      </c>
      <c r="H22" s="18">
        <f>Assumptions!$C$47</f>
        <v>0</v>
      </c>
      <c r="I22" s="18">
        <f>Assumptions!$C$47</f>
        <v>0</v>
      </c>
      <c r="J22" s="18">
        <f>Assumptions!$C$47</f>
        <v>0</v>
      </c>
      <c r="K22" s="18">
        <f>Assumptions!$C$47</f>
        <v>0</v>
      </c>
      <c r="L22" s="18">
        <f>Assumptions!$C$47</f>
        <v>0</v>
      </c>
      <c r="M22" s="18">
        <f>Assumptions!$C$47</f>
        <v>0</v>
      </c>
      <c r="N22" s="18">
        <f>Assumptions!$C$47</f>
        <v>0</v>
      </c>
      <c r="O22" s="18">
        <f>Assumptions!$C$47</f>
        <v>0</v>
      </c>
      <c r="P22" s="18">
        <f>Assumptions!$C$47</f>
        <v>0</v>
      </c>
      <c r="Q22" s="18">
        <f>Assumptions!$C$47</f>
        <v>0</v>
      </c>
      <c r="R22" s="18">
        <f>Assumptions!$C$47</f>
        <v>0</v>
      </c>
      <c r="S22" s="18">
        <f>Assumptions!$C$47</f>
        <v>0</v>
      </c>
      <c r="T22" s="18">
        <f>Assumptions!$C$47</f>
        <v>0</v>
      </c>
      <c r="U22" s="18">
        <f>Assumptions!$C$47</f>
        <v>0</v>
      </c>
      <c r="V22" s="18">
        <f>Assumptions!$C$47</f>
        <v>0</v>
      </c>
      <c r="W22" s="18">
        <f>Assumptions!$C$47</f>
        <v>0</v>
      </c>
      <c r="X22" s="18">
        <f>Assumptions!$C$47</f>
        <v>0</v>
      </c>
      <c r="Y22" s="18">
        <f>Assumptions!$C$47</f>
        <v>0</v>
      </c>
      <c r="Z22" s="18">
        <f>Assumptions!$C$47</f>
        <v>0</v>
      </c>
      <c r="AA22" s="18">
        <f>Assumptions!$C$47</f>
        <v>0</v>
      </c>
      <c r="AB22" s="18">
        <f>Assumptions!$C$47</f>
        <v>0</v>
      </c>
      <c r="AC22" s="18">
        <f>Assumptions!$C$47</f>
        <v>0</v>
      </c>
      <c r="AD22" s="18">
        <f>Assumptions!$C$47</f>
        <v>0</v>
      </c>
      <c r="AE22" s="18">
        <f>Assumptions!$C$47</f>
        <v>0</v>
      </c>
      <c r="AF22" s="18">
        <f>Assumptions!$C$47</f>
        <v>0</v>
      </c>
      <c r="AG22" s="18">
        <f>Assumptions!$C$47</f>
        <v>0</v>
      </c>
      <c r="AH22" s="18">
        <f>Assumptions!$C$47</f>
        <v>0</v>
      </c>
      <c r="AI22" s="313"/>
      <c r="AJ22" s="313"/>
      <c r="AK22" s="313"/>
      <c r="AL22" s="313"/>
      <c r="AM22" s="313"/>
      <c r="AN22" s="313"/>
      <c r="AO22" s="313"/>
      <c r="AP22" s="313"/>
      <c r="AQ22" s="313"/>
      <c r="AR22" s="313"/>
      <c r="AS22" s="313"/>
      <c r="AT22" s="313"/>
      <c r="AU22" s="313"/>
      <c r="AV22" s="313"/>
      <c r="AW22" s="313"/>
      <c r="AX22" s="313"/>
      <c r="AY22" s="313"/>
      <c r="AZ22" s="313"/>
      <c r="BA22" s="313"/>
      <c r="BB22" s="313"/>
      <c r="BC22" s="313"/>
      <c r="BD22" s="313"/>
      <c r="BE22" s="313"/>
      <c r="BF22" s="313"/>
      <c r="BG22" s="313"/>
      <c r="BH22" s="313"/>
    </row>
    <row r="23" spans="1:60">
      <c r="A23" s="23" t="s">
        <v>151</v>
      </c>
      <c r="B23" s="13"/>
      <c r="C23" s="328">
        <v>0</v>
      </c>
      <c r="D23" s="315">
        <v>0</v>
      </c>
      <c r="E23" s="315">
        <v>0</v>
      </c>
      <c r="F23" s="315">
        <v>0</v>
      </c>
      <c r="G23" s="315">
        <v>0</v>
      </c>
      <c r="H23" s="315">
        <v>0</v>
      </c>
      <c r="I23" s="315">
        <v>0</v>
      </c>
      <c r="J23" s="315">
        <v>0</v>
      </c>
      <c r="K23" s="315">
        <v>0</v>
      </c>
      <c r="L23" s="315">
        <v>0</v>
      </c>
      <c r="M23" s="315">
        <v>0</v>
      </c>
      <c r="N23" s="315">
        <v>0</v>
      </c>
      <c r="O23" s="315">
        <v>0</v>
      </c>
      <c r="P23" s="315">
        <v>0</v>
      </c>
      <c r="Q23" s="315">
        <v>0</v>
      </c>
      <c r="R23" s="315">
        <v>0</v>
      </c>
      <c r="S23" s="315">
        <v>0</v>
      </c>
      <c r="T23" s="315">
        <v>0</v>
      </c>
      <c r="U23" s="315">
        <v>0</v>
      </c>
      <c r="V23" s="315">
        <v>0</v>
      </c>
      <c r="W23" s="315">
        <v>0</v>
      </c>
      <c r="X23" s="315">
        <v>0</v>
      </c>
      <c r="Y23" s="315">
        <v>0</v>
      </c>
      <c r="Z23" s="315">
        <v>0</v>
      </c>
      <c r="AA23" s="315">
        <v>0</v>
      </c>
      <c r="AB23" s="315">
        <v>0</v>
      </c>
      <c r="AC23" s="315">
        <v>0</v>
      </c>
      <c r="AD23" s="315">
        <v>0</v>
      </c>
      <c r="AE23" s="315">
        <v>0</v>
      </c>
      <c r="AF23" s="315">
        <v>0</v>
      </c>
      <c r="AG23" s="315">
        <v>0</v>
      </c>
      <c r="AH23" s="315">
        <v>0</v>
      </c>
      <c r="AI23" s="313"/>
      <c r="AJ23" s="313"/>
      <c r="AK23" s="313"/>
      <c r="AL23" s="313"/>
      <c r="AM23" s="313"/>
      <c r="AN23" s="313"/>
      <c r="AO23" s="313"/>
      <c r="AP23" s="313"/>
      <c r="AQ23" s="313"/>
      <c r="AR23" s="313"/>
      <c r="AS23" s="313"/>
      <c r="AT23" s="313"/>
      <c r="AU23" s="313"/>
      <c r="AV23" s="313"/>
      <c r="AW23" s="313"/>
      <c r="AX23" s="313"/>
      <c r="AY23" s="313"/>
      <c r="AZ23" s="313"/>
      <c r="BA23" s="313"/>
      <c r="BB23" s="313"/>
      <c r="BC23" s="313"/>
      <c r="BD23" s="313"/>
      <c r="BE23" s="313"/>
      <c r="BF23" s="313"/>
      <c r="BG23" s="313"/>
      <c r="BH23" s="313"/>
    </row>
    <row r="24" spans="1:60">
      <c r="A24" s="13"/>
      <c r="B24" s="13"/>
      <c r="C24" s="327"/>
      <c r="D24" s="23"/>
      <c r="E24" s="23"/>
      <c r="F24" s="316"/>
      <c r="G24" s="313"/>
      <c r="H24" s="313"/>
      <c r="I24" s="313"/>
      <c r="J24" s="313"/>
      <c r="K24" s="313"/>
      <c r="L24" s="313"/>
      <c r="M24" s="313"/>
      <c r="N24" s="313"/>
      <c r="O24" s="313"/>
      <c r="P24" s="313"/>
      <c r="Q24" s="313"/>
      <c r="R24" s="313"/>
      <c r="S24" s="313"/>
      <c r="T24" s="313"/>
      <c r="U24" s="313"/>
      <c r="V24" s="313"/>
      <c r="W24" s="313"/>
      <c r="X24" s="313"/>
      <c r="Y24" s="313"/>
      <c r="Z24" s="151"/>
      <c r="AA24" s="151"/>
      <c r="AB24" s="313"/>
      <c r="AC24" s="313"/>
      <c r="AD24" s="313"/>
      <c r="AE24" s="313"/>
      <c r="AF24" s="313"/>
      <c r="AG24" s="313"/>
      <c r="AH24" s="313"/>
      <c r="AI24" s="313"/>
      <c r="AJ24" s="313"/>
      <c r="AK24" s="313"/>
      <c r="AL24" s="313"/>
      <c r="AM24" s="313"/>
      <c r="AN24" s="313"/>
      <c r="AO24" s="313"/>
      <c r="AP24" s="313"/>
      <c r="AQ24" s="313"/>
      <c r="AR24" s="313"/>
      <c r="AS24" s="313"/>
      <c r="AT24" s="313"/>
      <c r="AU24" s="313"/>
      <c r="AV24" s="313"/>
      <c r="AW24" s="313"/>
      <c r="AX24" s="313"/>
      <c r="AY24" s="313"/>
      <c r="AZ24" s="313"/>
      <c r="BA24" s="313"/>
      <c r="BB24" s="313"/>
      <c r="BC24" s="313"/>
      <c r="BD24" s="313"/>
      <c r="BE24" s="313"/>
      <c r="BF24" s="313"/>
      <c r="BG24" s="313"/>
      <c r="BH24" s="313"/>
    </row>
    <row r="25" spans="1:60">
      <c r="A25" s="134" t="s">
        <v>152</v>
      </c>
      <c r="B25" s="13"/>
      <c r="C25" s="327">
        <f>SUM(C16,C20,C22,C23)</f>
        <v>99861.798429326824</v>
      </c>
      <c r="D25" s="23">
        <f>SUM(D16,D20,D22,D23)</f>
        <v>97779.826956813602</v>
      </c>
      <c r="E25" s="23">
        <f t="shared" ref="E25:AH25" si="3">SUM(E16,E20,E22,E23)</f>
        <v>94210.733003933798</v>
      </c>
      <c r="F25" s="23">
        <f t="shared" si="3"/>
        <v>90641.639051053993</v>
      </c>
      <c r="G25" s="23">
        <f t="shared" si="3"/>
        <v>87072.545098174189</v>
      </c>
      <c r="H25" s="23">
        <f t="shared" si="3"/>
        <v>83503.451145294384</v>
      </c>
      <c r="I25" s="23">
        <f t="shared" si="3"/>
        <v>80327.757192414574</v>
      </c>
      <c r="J25" s="23">
        <f t="shared" si="3"/>
        <v>77433.063239534778</v>
      </c>
      <c r="K25" s="23">
        <f t="shared" si="3"/>
        <v>74538.369286654983</v>
      </c>
      <c r="L25" s="23">
        <f t="shared" si="3"/>
        <v>71643.675333775172</v>
      </c>
      <c r="M25" s="23">
        <f t="shared" si="3"/>
        <v>68748.981380895362</v>
      </c>
      <c r="N25" s="23">
        <f t="shared" si="3"/>
        <v>65854.287428015567</v>
      </c>
      <c r="O25" s="23">
        <f t="shared" si="3"/>
        <v>62959.593475135764</v>
      </c>
      <c r="P25" s="23">
        <f t="shared" si="3"/>
        <v>60064.899522255961</v>
      </c>
      <c r="Q25" s="23">
        <f t="shared" si="3"/>
        <v>57170.205569376158</v>
      </c>
      <c r="R25" s="23">
        <f t="shared" si="3"/>
        <v>54275.511616496355</v>
      </c>
      <c r="S25" s="23">
        <f t="shared" si="3"/>
        <v>51380.817663616552</v>
      </c>
      <c r="T25" s="23">
        <f t="shared" si="3"/>
        <v>48486.123710736749</v>
      </c>
      <c r="U25" s="23">
        <f t="shared" si="3"/>
        <v>45591.429757856946</v>
      </c>
      <c r="V25" s="23">
        <f t="shared" si="3"/>
        <v>42696.735804977143</v>
      </c>
      <c r="W25" s="23">
        <f t="shared" si="3"/>
        <v>39802.04185209734</v>
      </c>
      <c r="X25" s="23">
        <f t="shared" si="3"/>
        <v>36907.347899217537</v>
      </c>
      <c r="Y25" s="23">
        <f t="shared" si="3"/>
        <v>34012.653946337727</v>
      </c>
      <c r="Z25" s="23">
        <f t="shared" si="3"/>
        <v>31117.959993457916</v>
      </c>
      <c r="AA25" s="23">
        <f t="shared" si="3"/>
        <v>28223.266040578106</v>
      </c>
      <c r="AB25" s="23">
        <f t="shared" si="3"/>
        <v>25328.572087698296</v>
      </c>
      <c r="AC25" s="23">
        <f t="shared" si="3"/>
        <v>22433.878134818486</v>
      </c>
      <c r="AD25" s="23">
        <f t="shared" si="3"/>
        <v>19539.184181938675</v>
      </c>
      <c r="AE25" s="23">
        <f t="shared" si="3"/>
        <v>16644.490229058865</v>
      </c>
      <c r="AF25" s="23">
        <f t="shared" si="3"/>
        <v>13749.796276179055</v>
      </c>
      <c r="AG25" s="23">
        <f t="shared" si="3"/>
        <v>10855.102323299245</v>
      </c>
      <c r="AH25" s="23">
        <f t="shared" si="3"/>
        <v>9648.979842932662</v>
      </c>
      <c r="AI25" s="313"/>
      <c r="AJ25" s="313"/>
      <c r="AK25" s="313"/>
      <c r="AL25" s="313"/>
      <c r="AM25" s="313"/>
      <c r="AN25" s="313"/>
      <c r="AO25" s="313"/>
      <c r="AP25" s="313"/>
      <c r="AQ25" s="313"/>
      <c r="AR25" s="313"/>
      <c r="AS25" s="313"/>
      <c r="AT25" s="313"/>
      <c r="AU25" s="313"/>
      <c r="AV25" s="313"/>
      <c r="AW25" s="313"/>
      <c r="AX25" s="313"/>
      <c r="AY25" s="313"/>
      <c r="AZ25" s="313"/>
      <c r="BA25" s="313"/>
      <c r="BB25" s="313"/>
      <c r="BC25" s="313"/>
      <c r="BD25" s="313"/>
      <c r="BE25" s="313"/>
      <c r="BF25" s="313"/>
      <c r="BG25" s="313"/>
      <c r="BH25" s="313"/>
    </row>
    <row r="26" spans="1:60">
      <c r="A26" s="13"/>
      <c r="B26" s="13"/>
      <c r="C26" s="327"/>
      <c r="D26" s="23"/>
      <c r="E26" s="23"/>
      <c r="F26" s="316"/>
      <c r="G26" s="313"/>
      <c r="H26" s="313"/>
      <c r="I26" s="313"/>
      <c r="J26" s="313"/>
      <c r="K26" s="313"/>
      <c r="L26" s="313"/>
      <c r="M26" s="313"/>
      <c r="N26" s="313"/>
      <c r="O26" s="313"/>
      <c r="P26" s="313"/>
      <c r="Q26" s="313"/>
      <c r="R26" s="313"/>
      <c r="S26" s="313"/>
      <c r="T26" s="313"/>
      <c r="U26" s="313"/>
      <c r="V26" s="313"/>
      <c r="W26" s="313"/>
      <c r="X26" s="313"/>
      <c r="Y26" s="313"/>
      <c r="Z26" s="151"/>
      <c r="AA26" s="151"/>
      <c r="AB26" s="313"/>
      <c r="AC26" s="313"/>
      <c r="AD26" s="313"/>
      <c r="AE26" s="313"/>
      <c r="AF26" s="313"/>
      <c r="AG26" s="313"/>
      <c r="AH26" s="313"/>
      <c r="AI26" s="313"/>
      <c r="AJ26" s="313"/>
      <c r="AK26" s="313"/>
      <c r="AL26" s="313"/>
      <c r="AM26" s="313"/>
      <c r="AN26" s="313"/>
      <c r="AO26" s="313"/>
      <c r="AP26" s="313"/>
      <c r="AQ26" s="313"/>
      <c r="AR26" s="313"/>
      <c r="AS26" s="313"/>
      <c r="AT26" s="313"/>
      <c r="AU26" s="313"/>
      <c r="AV26" s="313"/>
      <c r="AW26" s="313"/>
      <c r="AX26" s="313"/>
      <c r="AY26" s="313"/>
      <c r="AZ26" s="313"/>
      <c r="BA26" s="313"/>
      <c r="BB26" s="313"/>
      <c r="BC26" s="313"/>
      <c r="BD26" s="313"/>
      <c r="BE26" s="313"/>
      <c r="BF26" s="313"/>
      <c r="BG26" s="313"/>
      <c r="BH26" s="313"/>
    </row>
    <row r="27" spans="1:60">
      <c r="A27" s="13"/>
      <c r="B27" s="13"/>
      <c r="C27" s="327"/>
      <c r="D27" s="23"/>
      <c r="E27" s="23"/>
      <c r="F27" s="316"/>
      <c r="G27" s="313"/>
      <c r="H27" s="313"/>
      <c r="I27" s="313"/>
      <c r="J27" s="313"/>
      <c r="K27" s="313"/>
      <c r="L27" s="313"/>
      <c r="M27" s="313"/>
      <c r="N27" s="313"/>
      <c r="O27" s="313"/>
      <c r="P27" s="313"/>
      <c r="Q27" s="313"/>
      <c r="R27" s="313"/>
      <c r="S27" s="313"/>
      <c r="T27" s="313"/>
      <c r="U27" s="313"/>
      <c r="V27" s="313"/>
      <c r="W27" s="313"/>
      <c r="X27" s="313"/>
      <c r="Y27" s="313"/>
      <c r="Z27" s="151"/>
      <c r="AA27" s="151"/>
      <c r="AB27" s="313"/>
      <c r="AC27" s="313"/>
      <c r="AD27" s="313"/>
      <c r="AE27" s="313"/>
      <c r="AF27" s="313"/>
      <c r="AG27" s="313"/>
      <c r="AH27" s="313"/>
      <c r="AI27" s="313"/>
      <c r="AJ27" s="313"/>
      <c r="AK27" s="313"/>
      <c r="AL27" s="313"/>
      <c r="AM27" s="313"/>
      <c r="AN27" s="313"/>
      <c r="AO27" s="313"/>
      <c r="AP27" s="313"/>
      <c r="AQ27" s="313"/>
      <c r="AR27" s="313"/>
      <c r="AS27" s="313"/>
      <c r="AT27" s="313"/>
      <c r="AU27" s="313"/>
      <c r="AV27" s="313"/>
      <c r="AW27" s="313"/>
      <c r="AX27" s="313"/>
      <c r="AY27" s="313"/>
      <c r="AZ27" s="313"/>
      <c r="BA27" s="313"/>
      <c r="BB27" s="313"/>
      <c r="BC27" s="313"/>
      <c r="BD27" s="313"/>
      <c r="BE27" s="313"/>
      <c r="BF27" s="313"/>
      <c r="BG27" s="313"/>
      <c r="BH27" s="313"/>
    </row>
    <row r="28" spans="1:60">
      <c r="A28" s="134" t="s">
        <v>153</v>
      </c>
      <c r="B28" s="13"/>
      <c r="C28" s="327"/>
      <c r="D28" s="23"/>
      <c r="E28" s="23"/>
      <c r="F28" s="316"/>
      <c r="G28" s="313"/>
      <c r="H28" s="313"/>
      <c r="I28" s="313"/>
      <c r="J28" s="313"/>
      <c r="K28" s="313"/>
      <c r="L28" s="313"/>
      <c r="M28" s="313"/>
      <c r="N28" s="313"/>
      <c r="O28" s="313"/>
      <c r="P28" s="313"/>
      <c r="Q28" s="313"/>
      <c r="R28" s="313"/>
      <c r="S28" s="313"/>
      <c r="T28" s="313"/>
      <c r="U28" s="313"/>
      <c r="V28" s="313"/>
      <c r="W28" s="313"/>
      <c r="X28" s="313"/>
      <c r="Y28" s="313"/>
      <c r="Z28" s="151"/>
      <c r="AA28" s="151"/>
      <c r="AB28" s="313"/>
      <c r="AC28" s="313"/>
      <c r="AD28" s="313"/>
      <c r="AE28" s="313"/>
      <c r="AF28" s="313"/>
      <c r="AG28" s="313"/>
      <c r="AH28" s="313"/>
      <c r="AI28" s="313"/>
      <c r="AJ28" s="313"/>
      <c r="AK28" s="313"/>
      <c r="AL28" s="313"/>
      <c r="AM28" s="313"/>
      <c r="AN28" s="313"/>
      <c r="AO28" s="313"/>
      <c r="AP28" s="313"/>
      <c r="AQ28" s="313"/>
      <c r="AR28" s="313"/>
      <c r="AS28" s="313"/>
      <c r="AT28" s="313"/>
      <c r="AU28" s="313"/>
      <c r="AV28" s="313"/>
      <c r="AW28" s="313"/>
      <c r="AX28" s="313"/>
      <c r="AY28" s="313"/>
      <c r="AZ28" s="313"/>
      <c r="BA28" s="313"/>
      <c r="BB28" s="313"/>
      <c r="BC28" s="313"/>
      <c r="BD28" s="313"/>
      <c r="BE28" s="313"/>
      <c r="BF28" s="313"/>
      <c r="BG28" s="313"/>
      <c r="BH28" s="313"/>
    </row>
    <row r="29" spans="1:60">
      <c r="A29" s="134"/>
      <c r="B29" s="13"/>
      <c r="C29" s="327"/>
      <c r="D29" s="23"/>
      <c r="E29" s="23"/>
      <c r="F29" s="316"/>
      <c r="G29" s="313"/>
      <c r="H29" s="313"/>
      <c r="I29" s="313"/>
      <c r="J29" s="313"/>
      <c r="K29" s="313"/>
      <c r="L29" s="313"/>
      <c r="M29" s="313"/>
      <c r="N29" s="313"/>
      <c r="O29" s="313"/>
      <c r="P29" s="313"/>
      <c r="Q29" s="313"/>
      <c r="R29" s="313"/>
      <c r="S29" s="313"/>
      <c r="T29" s="313"/>
      <c r="U29" s="313"/>
      <c r="V29" s="313"/>
      <c r="W29" s="313"/>
      <c r="X29" s="313"/>
      <c r="Y29" s="313"/>
      <c r="Z29" s="151"/>
      <c r="AA29" s="151"/>
      <c r="AB29" s="313"/>
      <c r="AC29" s="313"/>
      <c r="AD29" s="313"/>
      <c r="AE29" s="313"/>
      <c r="AF29" s="313"/>
      <c r="AG29" s="313"/>
      <c r="AH29" s="313"/>
      <c r="AI29" s="313"/>
      <c r="AJ29" s="313"/>
      <c r="AK29" s="313"/>
      <c r="AL29" s="313"/>
      <c r="AM29" s="313"/>
      <c r="AN29" s="313"/>
      <c r="AO29" s="313"/>
      <c r="AP29" s="313"/>
      <c r="AQ29" s="313"/>
      <c r="AR29" s="313"/>
      <c r="AS29" s="313"/>
      <c r="AT29" s="313"/>
      <c r="AU29" s="313"/>
      <c r="AV29" s="313"/>
      <c r="AW29" s="313"/>
      <c r="AX29" s="313"/>
      <c r="AY29" s="313"/>
      <c r="AZ29" s="313"/>
      <c r="BA29" s="313"/>
      <c r="BB29" s="313"/>
      <c r="BC29" s="313"/>
      <c r="BD29" s="313"/>
      <c r="BE29" s="313"/>
      <c r="BF29" s="313"/>
      <c r="BG29" s="313"/>
      <c r="BH29" s="313"/>
    </row>
    <row r="30" spans="1:60">
      <c r="A30" s="23" t="s">
        <v>154</v>
      </c>
      <c r="C30" s="324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13"/>
      <c r="AJ30" s="313"/>
      <c r="AK30" s="313"/>
      <c r="AL30" s="313"/>
      <c r="AM30" s="313"/>
      <c r="AN30" s="313"/>
      <c r="AO30" s="313"/>
      <c r="AP30" s="313"/>
      <c r="AQ30" s="313"/>
      <c r="AR30" s="313"/>
      <c r="AS30" s="313"/>
      <c r="AT30" s="313"/>
      <c r="AU30" s="313"/>
      <c r="AV30" s="313"/>
      <c r="AW30" s="313"/>
      <c r="AX30" s="313"/>
      <c r="AY30" s="313"/>
      <c r="AZ30" s="313"/>
      <c r="BA30" s="313"/>
      <c r="BB30" s="313"/>
      <c r="BC30" s="313"/>
      <c r="BD30" s="313"/>
      <c r="BE30" s="313"/>
      <c r="BF30" s="313"/>
      <c r="BG30" s="313"/>
      <c r="BH30" s="313"/>
    </row>
    <row r="31" spans="1:60">
      <c r="A31" s="23" t="s">
        <v>155</v>
      </c>
      <c r="C31" s="324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13"/>
      <c r="AJ31" s="313"/>
      <c r="AK31" s="313"/>
      <c r="AL31" s="313"/>
      <c r="AM31" s="313"/>
      <c r="AN31" s="313"/>
      <c r="AO31" s="313"/>
      <c r="AP31" s="313"/>
      <c r="AQ31" s="313"/>
      <c r="AR31" s="313"/>
      <c r="AS31" s="313"/>
      <c r="AT31" s="313"/>
      <c r="AU31" s="313"/>
      <c r="AV31" s="313"/>
      <c r="AW31" s="313"/>
      <c r="AX31" s="313"/>
      <c r="AY31" s="313"/>
      <c r="AZ31" s="313"/>
      <c r="BA31" s="313"/>
      <c r="BB31" s="313"/>
      <c r="BC31" s="313"/>
      <c r="BD31" s="313"/>
      <c r="BE31" s="313"/>
      <c r="BF31" s="313"/>
      <c r="BG31" s="313"/>
      <c r="BH31" s="313"/>
    </row>
    <row r="32" spans="1:60">
      <c r="A32" s="23" t="s">
        <v>156</v>
      </c>
      <c r="C32" s="327">
        <v>0</v>
      </c>
      <c r="D32" s="23" t="e">
        <f>C32+('Returns Analysis'!C15+'Returns Analysis'!#REF!)+(IS!C42+IS!C43)</f>
        <v>#REF!</v>
      </c>
      <c r="E32" s="23" t="e">
        <f>D32+('Returns Analysis'!D15+'Returns Analysis'!#REF!)+(IS!D42+IS!D43)</f>
        <v>#REF!</v>
      </c>
      <c r="F32" s="23" t="e">
        <f>E32+('Returns Analysis'!E15+'Returns Analysis'!#REF!)+(IS!E42+IS!E43)</f>
        <v>#REF!</v>
      </c>
      <c r="G32" s="23" t="e">
        <f>F32+('Returns Analysis'!F15+'Returns Analysis'!#REF!)+(IS!F42+IS!F43)</f>
        <v>#REF!</v>
      </c>
      <c r="H32" s="23" t="e">
        <f>G32+('Returns Analysis'!G15+'Returns Analysis'!#REF!)+(IS!G42+IS!G43)</f>
        <v>#REF!</v>
      </c>
      <c r="I32" s="23" t="e">
        <f>H32+('Returns Analysis'!H15+'Returns Analysis'!#REF!)+(IS!H42+IS!H43)</f>
        <v>#REF!</v>
      </c>
      <c r="J32" s="23" t="e">
        <f>I32+('Returns Analysis'!I15+'Returns Analysis'!#REF!)+(IS!I42+IS!I43)</f>
        <v>#REF!</v>
      </c>
      <c r="K32" s="23" t="e">
        <f>J32+('Returns Analysis'!J15+'Returns Analysis'!#REF!)+(IS!J42+IS!J43)</f>
        <v>#REF!</v>
      </c>
      <c r="L32" s="23" t="e">
        <f>K32+('Returns Analysis'!K15+'Returns Analysis'!#REF!)+(IS!K42+IS!K43)</f>
        <v>#REF!</v>
      </c>
      <c r="M32" s="23" t="e">
        <f>L32+('Returns Analysis'!L15+'Returns Analysis'!#REF!)+(IS!L42+IS!L43)</f>
        <v>#REF!</v>
      </c>
      <c r="N32" s="23" t="e">
        <f>M32+('Returns Analysis'!M15+'Returns Analysis'!#REF!)+(IS!M42+IS!M43)</f>
        <v>#REF!</v>
      </c>
      <c r="O32" s="23" t="e">
        <f>N32+('Returns Analysis'!N15+'Returns Analysis'!#REF!)+(IS!N42+IS!N43)</f>
        <v>#REF!</v>
      </c>
      <c r="P32" s="23" t="e">
        <f>O32+('Returns Analysis'!O15+'Returns Analysis'!#REF!)+(IS!O42+IS!O43)</f>
        <v>#REF!</v>
      </c>
      <c r="Q32" s="23" t="e">
        <f>P32+('Returns Analysis'!P15+'Returns Analysis'!#REF!)+(IS!P42+IS!P43)</f>
        <v>#REF!</v>
      </c>
      <c r="R32" s="23" t="e">
        <f>Q32+('Returns Analysis'!Q15+'Returns Analysis'!#REF!)+(IS!Q42+IS!Q43)</f>
        <v>#REF!</v>
      </c>
      <c r="S32" s="23" t="e">
        <f>R32+('Returns Analysis'!R15+'Returns Analysis'!#REF!)+(IS!R42+IS!R43)</f>
        <v>#REF!</v>
      </c>
      <c r="T32" s="23" t="e">
        <f>S32+('Returns Analysis'!S15+'Returns Analysis'!#REF!)+(IS!S42+IS!S43)</f>
        <v>#REF!</v>
      </c>
      <c r="U32" s="23" t="e">
        <f>T32+('Returns Analysis'!T15+'Returns Analysis'!#REF!)+(IS!T42+IS!T43)</f>
        <v>#REF!</v>
      </c>
      <c r="V32" s="23" t="e">
        <f>U32+('Returns Analysis'!U15+'Returns Analysis'!#REF!)+(IS!U42+IS!U43)</f>
        <v>#REF!</v>
      </c>
      <c r="W32" s="23" t="e">
        <f>V32+('Returns Analysis'!V15+'Returns Analysis'!#REF!)+(IS!V42+IS!V43)</f>
        <v>#REF!</v>
      </c>
      <c r="X32" s="23" t="e">
        <f>W32+('Returns Analysis'!W15+'Returns Analysis'!#REF!)+(IS!W42+IS!W43)</f>
        <v>#REF!</v>
      </c>
      <c r="Y32" s="23" t="e">
        <f>X32+('Returns Analysis'!X15+'Returns Analysis'!#REF!)+(IS!X42+IS!X43)</f>
        <v>#REF!</v>
      </c>
      <c r="Z32" s="23" t="e">
        <f>Y32+('Returns Analysis'!Y15+'Returns Analysis'!#REF!)+(IS!Y42+IS!Y43)</f>
        <v>#REF!</v>
      </c>
      <c r="AA32" s="23" t="e">
        <f>Z32+('Returns Analysis'!Z15+'Returns Analysis'!#REF!)+(IS!Z42+IS!Z43)</f>
        <v>#REF!</v>
      </c>
      <c r="AB32" s="23" t="e">
        <f>AA32+('Returns Analysis'!AA15+'Returns Analysis'!#REF!)+(IS!AA42+IS!AA43)</f>
        <v>#REF!</v>
      </c>
      <c r="AC32" s="23" t="e">
        <f>AB32+('Returns Analysis'!AB15+'Returns Analysis'!#REF!)+(IS!AB42+IS!AB43)</f>
        <v>#REF!</v>
      </c>
      <c r="AD32" s="23" t="e">
        <f>AC32+('Returns Analysis'!AC15+'Returns Analysis'!#REF!)+(IS!AC42+IS!AC43)</f>
        <v>#REF!</v>
      </c>
      <c r="AE32" s="23" t="e">
        <f>AD32+('Returns Analysis'!AD15+'Returns Analysis'!#REF!)+(IS!AD42+IS!AD43)</f>
        <v>#REF!</v>
      </c>
      <c r="AF32" s="23" t="e">
        <f>AE32+('Returns Analysis'!AE15+'Returns Analysis'!#REF!)+(IS!AE42+IS!AE43)</f>
        <v>#REF!</v>
      </c>
      <c r="AG32" s="23" t="e">
        <f>AF32+('Returns Analysis'!AF15+'Returns Analysis'!#REF!)+(IS!AF42+IS!AF43)</f>
        <v>#REF!</v>
      </c>
      <c r="AH32" s="23" t="e">
        <f>AG32+('Returns Analysis'!AG15+'Returns Analysis'!#REF!)+(IS!AG42+IS!AG43)</f>
        <v>#REF!</v>
      </c>
      <c r="AI32" s="313"/>
      <c r="AJ32" s="313"/>
      <c r="AK32" s="313"/>
      <c r="AL32" s="313"/>
      <c r="AM32" s="313"/>
      <c r="AN32" s="313"/>
      <c r="AO32" s="313"/>
      <c r="AP32" s="313"/>
      <c r="AQ32" s="313"/>
      <c r="AR32" s="313"/>
      <c r="AS32" s="313"/>
      <c r="AT32" s="313"/>
      <c r="AU32" s="313"/>
      <c r="AV32" s="313"/>
      <c r="AW32" s="313"/>
      <c r="AX32" s="313"/>
      <c r="AY32" s="313"/>
      <c r="AZ32" s="313"/>
      <c r="BA32" s="313"/>
      <c r="BB32" s="313"/>
      <c r="BC32" s="313"/>
      <c r="BD32" s="313"/>
      <c r="BE32" s="313"/>
      <c r="BF32" s="313"/>
      <c r="BG32" s="313"/>
      <c r="BH32" s="313"/>
    </row>
    <row r="33" spans="1:60">
      <c r="A33" s="23" t="s">
        <v>157</v>
      </c>
      <c r="C33" s="324">
        <v>0</v>
      </c>
      <c r="D33" s="18">
        <f>Assumptions!$C$47</f>
        <v>0</v>
      </c>
      <c r="E33" s="18">
        <f>Assumptions!$C$47</f>
        <v>0</v>
      </c>
      <c r="F33" s="18">
        <f>Assumptions!$C$47</f>
        <v>0</v>
      </c>
      <c r="G33" s="18">
        <f>Assumptions!$C$47</f>
        <v>0</v>
      </c>
      <c r="H33" s="18">
        <f>Assumptions!$C$47</f>
        <v>0</v>
      </c>
      <c r="I33" s="18">
        <f>Assumptions!$C$47</f>
        <v>0</v>
      </c>
      <c r="J33" s="18">
        <f>Assumptions!$C$47</f>
        <v>0</v>
      </c>
      <c r="K33" s="18">
        <f>Assumptions!$C$47</f>
        <v>0</v>
      </c>
      <c r="L33" s="18">
        <f>Assumptions!$C$47</f>
        <v>0</v>
      </c>
      <c r="M33" s="18">
        <f>Assumptions!$C$47</f>
        <v>0</v>
      </c>
      <c r="N33" s="18">
        <f>Assumptions!$C$47</f>
        <v>0</v>
      </c>
      <c r="O33" s="18">
        <f>Assumptions!$C$47</f>
        <v>0</v>
      </c>
      <c r="P33" s="18">
        <f>Assumptions!$C$47</f>
        <v>0</v>
      </c>
      <c r="Q33" s="18">
        <f>Assumptions!$C$47</f>
        <v>0</v>
      </c>
      <c r="R33" s="18">
        <f>Assumptions!$C$47</f>
        <v>0</v>
      </c>
      <c r="S33" s="18">
        <f>Assumptions!$C$47</f>
        <v>0</v>
      </c>
      <c r="T33" s="18">
        <f>Assumptions!$C$47</f>
        <v>0</v>
      </c>
      <c r="U33" s="18">
        <f>Assumptions!$C$47</f>
        <v>0</v>
      </c>
      <c r="V33" s="18">
        <f>Assumptions!$C$47</f>
        <v>0</v>
      </c>
      <c r="W33" s="18">
        <f>Assumptions!$C$47</f>
        <v>0</v>
      </c>
      <c r="X33" s="18">
        <f>Assumptions!$C$47</f>
        <v>0</v>
      </c>
      <c r="Y33" s="18">
        <f>Assumptions!$C$47</f>
        <v>0</v>
      </c>
      <c r="Z33" s="18">
        <f>Assumptions!$C$47</f>
        <v>0</v>
      </c>
      <c r="AA33" s="18">
        <f>Assumptions!$C$47</f>
        <v>0</v>
      </c>
      <c r="AB33" s="18">
        <f>Assumptions!$C$47</f>
        <v>0</v>
      </c>
      <c r="AC33" s="18">
        <f>Assumptions!$C$47</f>
        <v>0</v>
      </c>
      <c r="AD33" s="18">
        <f>Assumptions!$C$47</f>
        <v>0</v>
      </c>
      <c r="AE33" s="18">
        <f>Assumptions!$C$47</f>
        <v>0</v>
      </c>
      <c r="AF33" s="18">
        <f>Assumptions!$C$47</f>
        <v>0</v>
      </c>
      <c r="AG33" s="18">
        <f>Assumptions!$C$47</f>
        <v>0</v>
      </c>
      <c r="AH33" s="18">
        <f>Assumptions!$C$47</f>
        <v>0</v>
      </c>
      <c r="AI33" s="313"/>
      <c r="AJ33" s="313"/>
      <c r="AK33" s="313"/>
      <c r="AL33" s="313"/>
      <c r="AM33" s="313"/>
      <c r="AN33" s="313"/>
      <c r="AO33" s="313"/>
      <c r="AP33" s="313"/>
      <c r="AQ33" s="313"/>
      <c r="AR33" s="313"/>
      <c r="AS33" s="313"/>
      <c r="AT33" s="313"/>
      <c r="AU33" s="313"/>
      <c r="AV33" s="313"/>
      <c r="AW33" s="313"/>
      <c r="AX33" s="313"/>
      <c r="AY33" s="313"/>
      <c r="AZ33" s="313"/>
      <c r="BA33" s="313"/>
      <c r="BB33" s="313"/>
      <c r="BC33" s="313"/>
      <c r="BD33" s="313"/>
      <c r="BE33" s="313"/>
      <c r="BF33" s="313"/>
      <c r="BG33" s="313"/>
      <c r="BH33" s="313"/>
    </row>
    <row r="34" spans="1:60">
      <c r="A34" s="23" t="s">
        <v>158</v>
      </c>
      <c r="C34" s="327">
        <f>Assumptions!C12</f>
        <v>0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13"/>
      <c r="AJ34" s="313"/>
      <c r="AK34" s="313"/>
      <c r="AL34" s="313"/>
      <c r="AM34" s="313"/>
      <c r="AN34" s="313"/>
      <c r="AO34" s="313"/>
      <c r="AP34" s="313"/>
      <c r="AQ34" s="313"/>
      <c r="AR34" s="313"/>
      <c r="AS34" s="313"/>
      <c r="AT34" s="313"/>
      <c r="AU34" s="313"/>
      <c r="AV34" s="313"/>
      <c r="AW34" s="313"/>
      <c r="AX34" s="313"/>
      <c r="AY34" s="313"/>
      <c r="AZ34" s="313"/>
      <c r="BA34" s="313"/>
      <c r="BB34" s="313"/>
      <c r="BC34" s="313"/>
      <c r="BD34" s="313"/>
      <c r="BE34" s="313"/>
      <c r="BF34" s="313"/>
      <c r="BG34" s="313"/>
      <c r="BH34" s="313"/>
    </row>
    <row r="35" spans="1:60">
      <c r="A35" s="23" t="s">
        <v>159</v>
      </c>
      <c r="C35" s="326">
        <v>0</v>
      </c>
      <c r="D35" s="314">
        <v>0</v>
      </c>
      <c r="E35" s="314">
        <v>0</v>
      </c>
      <c r="F35" s="317">
        <v>0</v>
      </c>
      <c r="G35" s="318">
        <v>0</v>
      </c>
      <c r="H35" s="318">
        <v>0</v>
      </c>
      <c r="I35" s="318">
        <v>0</v>
      </c>
      <c r="J35" s="318">
        <v>0</v>
      </c>
      <c r="K35" s="318">
        <v>0</v>
      </c>
      <c r="L35" s="318">
        <v>0</v>
      </c>
      <c r="M35" s="318">
        <v>0</v>
      </c>
      <c r="N35" s="318">
        <v>0</v>
      </c>
      <c r="O35" s="318">
        <v>0</v>
      </c>
      <c r="P35" s="318">
        <v>0</v>
      </c>
      <c r="Q35" s="318">
        <v>0</v>
      </c>
      <c r="R35" s="318">
        <v>0</v>
      </c>
      <c r="S35" s="318">
        <v>0</v>
      </c>
      <c r="T35" s="318">
        <v>0</v>
      </c>
      <c r="U35" s="318">
        <v>0</v>
      </c>
      <c r="V35" s="318">
        <v>0</v>
      </c>
      <c r="W35" s="318">
        <v>0</v>
      </c>
      <c r="X35" s="318">
        <v>0</v>
      </c>
      <c r="Y35" s="318">
        <v>0</v>
      </c>
      <c r="Z35" s="319">
        <v>0</v>
      </c>
      <c r="AA35" s="319">
        <v>0</v>
      </c>
      <c r="AB35" s="318">
        <v>0</v>
      </c>
      <c r="AC35" s="318">
        <v>0</v>
      </c>
      <c r="AD35" s="318">
        <v>0</v>
      </c>
      <c r="AE35" s="318">
        <v>0</v>
      </c>
      <c r="AF35" s="318">
        <v>0</v>
      </c>
      <c r="AG35" s="318">
        <v>0</v>
      </c>
      <c r="AH35" s="318">
        <v>0</v>
      </c>
      <c r="AI35" s="313"/>
      <c r="AJ35" s="313"/>
      <c r="AK35" s="313"/>
      <c r="AL35" s="313"/>
      <c r="AM35" s="313"/>
      <c r="AN35" s="313"/>
      <c r="AO35" s="313"/>
      <c r="AP35" s="313"/>
      <c r="AQ35" s="313"/>
      <c r="AR35" s="313"/>
      <c r="AS35" s="313"/>
      <c r="AT35" s="313"/>
      <c r="AU35" s="313"/>
      <c r="AV35" s="313"/>
      <c r="AW35" s="313"/>
      <c r="AX35" s="313"/>
      <c r="AY35" s="313"/>
      <c r="AZ35" s="313"/>
      <c r="BA35" s="313"/>
      <c r="BB35" s="313"/>
      <c r="BC35" s="313"/>
      <c r="BD35" s="313"/>
      <c r="BE35" s="313"/>
      <c r="BF35" s="313"/>
      <c r="BG35" s="313"/>
      <c r="BH35" s="313"/>
    </row>
    <row r="36" spans="1:60">
      <c r="A36" s="23"/>
      <c r="C36" s="327"/>
      <c r="D36" s="23"/>
      <c r="E36" s="23"/>
      <c r="F36" s="316"/>
      <c r="G36" s="313"/>
      <c r="H36" s="313"/>
      <c r="I36" s="313"/>
      <c r="J36" s="313"/>
      <c r="K36" s="313"/>
      <c r="L36" s="313"/>
      <c r="M36" s="313"/>
      <c r="N36" s="313"/>
      <c r="O36" s="313"/>
      <c r="P36" s="313"/>
      <c r="Q36" s="313"/>
      <c r="R36" s="313"/>
      <c r="S36" s="313"/>
      <c r="T36" s="313"/>
      <c r="U36" s="313"/>
      <c r="V36" s="313"/>
      <c r="W36" s="313"/>
      <c r="X36" s="313"/>
      <c r="Y36" s="313"/>
      <c r="Z36" s="151"/>
      <c r="AA36" s="151"/>
      <c r="AB36" s="313"/>
      <c r="AC36" s="313"/>
      <c r="AD36" s="313"/>
      <c r="AE36" s="313"/>
      <c r="AF36" s="313"/>
      <c r="AG36" s="313"/>
      <c r="AH36" s="313"/>
      <c r="AI36" s="313"/>
      <c r="AJ36" s="313"/>
      <c r="AK36" s="313"/>
      <c r="AL36" s="313"/>
      <c r="AM36" s="313"/>
      <c r="AN36" s="313"/>
      <c r="AO36" s="313"/>
      <c r="AP36" s="313"/>
      <c r="AQ36" s="313"/>
      <c r="AR36" s="313"/>
      <c r="AS36" s="313"/>
      <c r="AT36" s="313"/>
      <c r="AU36" s="313"/>
      <c r="AV36" s="313"/>
      <c r="AW36" s="313"/>
      <c r="AX36" s="313"/>
      <c r="AY36" s="313"/>
      <c r="AZ36" s="313"/>
      <c r="BA36" s="313"/>
      <c r="BB36" s="313"/>
      <c r="BC36" s="313"/>
      <c r="BD36" s="313"/>
      <c r="BE36" s="313"/>
      <c r="BF36" s="313"/>
      <c r="BG36" s="313"/>
      <c r="BH36" s="313"/>
    </row>
    <row r="37" spans="1:60">
      <c r="A37" s="134" t="s">
        <v>160</v>
      </c>
      <c r="B37" s="13"/>
      <c r="C37" s="327">
        <f>SUM(C30:C35)</f>
        <v>0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13"/>
      <c r="AJ37" s="313"/>
      <c r="AK37" s="313"/>
      <c r="AL37" s="313"/>
      <c r="AM37" s="313"/>
      <c r="AN37" s="313"/>
      <c r="AO37" s="313"/>
      <c r="AP37" s="313"/>
      <c r="AQ37" s="313"/>
      <c r="AR37" s="313"/>
      <c r="AS37" s="313"/>
      <c r="AT37" s="313"/>
      <c r="AU37" s="313"/>
      <c r="AV37" s="313"/>
      <c r="AW37" s="313"/>
      <c r="AX37" s="313"/>
      <c r="AY37" s="313"/>
      <c r="AZ37" s="313"/>
      <c r="BA37" s="313"/>
      <c r="BB37" s="313"/>
      <c r="BC37" s="313"/>
      <c r="BD37" s="313"/>
      <c r="BE37" s="313"/>
      <c r="BF37" s="313"/>
      <c r="BG37" s="313"/>
      <c r="BH37" s="313"/>
    </row>
    <row r="38" spans="1:60">
      <c r="A38" s="23"/>
      <c r="B38" s="13"/>
      <c r="C38" s="327"/>
      <c r="D38" s="23"/>
      <c r="E38" s="23"/>
      <c r="F38" s="316"/>
      <c r="G38" s="313"/>
      <c r="H38" s="313"/>
      <c r="I38" s="313"/>
      <c r="J38" s="313"/>
      <c r="K38" s="313"/>
      <c r="L38" s="313"/>
      <c r="M38" s="313"/>
      <c r="N38" s="313"/>
      <c r="O38" s="313"/>
      <c r="P38" s="313"/>
      <c r="Q38" s="313"/>
      <c r="R38" s="313"/>
      <c r="S38" s="313"/>
      <c r="T38" s="313"/>
      <c r="U38" s="313"/>
      <c r="V38" s="313"/>
      <c r="W38" s="313"/>
      <c r="X38" s="313"/>
      <c r="Y38" s="313"/>
      <c r="Z38" s="151"/>
      <c r="AA38" s="151"/>
      <c r="AB38" s="313"/>
      <c r="AC38" s="313"/>
      <c r="AD38" s="313"/>
      <c r="AE38" s="313"/>
      <c r="AF38" s="313"/>
      <c r="AG38" s="313"/>
      <c r="AH38" s="313"/>
      <c r="AI38" s="313"/>
      <c r="AJ38" s="313"/>
      <c r="AK38" s="313"/>
      <c r="AL38" s="313"/>
      <c r="AM38" s="313"/>
      <c r="AN38" s="313"/>
      <c r="AO38" s="313"/>
      <c r="AP38" s="313"/>
      <c r="AQ38" s="313"/>
      <c r="AR38" s="313"/>
      <c r="AS38" s="313"/>
      <c r="AT38" s="313"/>
      <c r="AU38" s="313"/>
      <c r="AV38" s="313"/>
      <c r="AW38" s="313"/>
      <c r="AX38" s="313"/>
      <c r="AY38" s="313"/>
      <c r="AZ38" s="313"/>
      <c r="BA38" s="313"/>
      <c r="BB38" s="313"/>
      <c r="BC38" s="313"/>
      <c r="BD38" s="313"/>
      <c r="BE38" s="313"/>
      <c r="BF38" s="313"/>
      <c r="BG38" s="313"/>
      <c r="BH38" s="313"/>
    </row>
    <row r="39" spans="1:60">
      <c r="A39" s="134" t="s">
        <v>161</v>
      </c>
      <c r="B39" s="13"/>
      <c r="C39" s="327"/>
      <c r="D39" s="23"/>
      <c r="E39" s="23"/>
      <c r="F39" s="316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13"/>
      <c r="Y39" s="313"/>
      <c r="Z39" s="151"/>
      <c r="AA39" s="151"/>
      <c r="AB39" s="313"/>
      <c r="AC39" s="313"/>
      <c r="AD39" s="313"/>
      <c r="AE39" s="313"/>
      <c r="AF39" s="313"/>
      <c r="AG39" s="313"/>
      <c r="AH39" s="313"/>
      <c r="AI39" s="313"/>
      <c r="AJ39" s="313"/>
      <c r="AK39" s="313"/>
      <c r="AL39" s="313"/>
      <c r="AM39" s="313"/>
      <c r="AN39" s="313"/>
      <c r="AO39" s="313"/>
      <c r="AP39" s="313"/>
      <c r="AQ39" s="313"/>
      <c r="AR39" s="313"/>
      <c r="AS39" s="313"/>
      <c r="AT39" s="313"/>
      <c r="AU39" s="313"/>
      <c r="AV39" s="313"/>
      <c r="AW39" s="313"/>
      <c r="AX39" s="313"/>
      <c r="AY39" s="313"/>
      <c r="AZ39" s="313"/>
      <c r="BA39" s="313"/>
      <c r="BB39" s="313"/>
      <c r="BC39" s="313"/>
      <c r="BD39" s="313"/>
      <c r="BE39" s="313"/>
      <c r="BF39" s="313"/>
      <c r="BG39" s="313"/>
      <c r="BH39" s="313"/>
    </row>
    <row r="40" spans="1:60">
      <c r="A40" s="134"/>
      <c r="B40" s="13"/>
      <c r="C40" s="327"/>
      <c r="D40" s="23"/>
      <c r="E40" s="23"/>
      <c r="F40" s="316"/>
      <c r="G40" s="313"/>
      <c r="H40" s="313"/>
      <c r="I40" s="313"/>
      <c r="J40" s="313"/>
      <c r="K40" s="313"/>
      <c r="L40" s="313"/>
      <c r="M40" s="313"/>
      <c r="N40" s="313"/>
      <c r="O40" s="313"/>
      <c r="P40" s="313"/>
      <c r="Q40" s="313"/>
      <c r="R40" s="313"/>
      <c r="S40" s="313"/>
      <c r="T40" s="313"/>
      <c r="U40" s="313"/>
      <c r="V40" s="313"/>
      <c r="W40" s="313"/>
      <c r="X40" s="313"/>
      <c r="Y40" s="313"/>
      <c r="Z40" s="151"/>
      <c r="AA40" s="151"/>
      <c r="AB40" s="313"/>
      <c r="AC40" s="313"/>
      <c r="AD40" s="313"/>
      <c r="AE40" s="313"/>
      <c r="AF40" s="313"/>
      <c r="AG40" s="313"/>
      <c r="AH40" s="313"/>
      <c r="AI40" s="313"/>
      <c r="AJ40" s="313"/>
      <c r="AK40" s="313"/>
      <c r="AL40" s="313"/>
      <c r="AM40" s="313"/>
      <c r="AN40" s="313"/>
      <c r="AO40" s="313"/>
      <c r="AP40" s="313"/>
      <c r="AQ40" s="313"/>
      <c r="AR40" s="313"/>
      <c r="AS40" s="313"/>
      <c r="AT40" s="313"/>
      <c r="AU40" s="313"/>
      <c r="AV40" s="313"/>
      <c r="AW40" s="313"/>
      <c r="AX40" s="313"/>
      <c r="AY40" s="313"/>
      <c r="AZ40" s="313"/>
      <c r="BA40" s="313"/>
      <c r="BB40" s="313"/>
      <c r="BC40" s="313"/>
      <c r="BD40" s="313"/>
      <c r="BE40" s="313"/>
      <c r="BF40" s="313"/>
      <c r="BG40" s="313"/>
      <c r="BH40" s="313"/>
    </row>
    <row r="41" spans="1:60">
      <c r="A41" s="23" t="s">
        <v>162</v>
      </c>
      <c r="C41" s="327">
        <f>Assumptions!$C$11</f>
        <v>99861.798429326824</v>
      </c>
      <c r="D41" s="23">
        <f>Assumptions!$C$11</f>
        <v>99861.798429326824</v>
      </c>
      <c r="E41" s="23">
        <f>Assumptions!$C$11</f>
        <v>99861.798429326824</v>
      </c>
      <c r="F41" s="23">
        <f>Assumptions!$C$11</f>
        <v>99861.798429326824</v>
      </c>
      <c r="G41" s="23">
        <f>Assumptions!$C$11</f>
        <v>99861.798429326824</v>
      </c>
      <c r="H41" s="23">
        <f>Assumptions!$C$11</f>
        <v>99861.798429326824</v>
      </c>
      <c r="I41" s="23">
        <f>Assumptions!$C$11</f>
        <v>99861.798429326824</v>
      </c>
      <c r="J41" s="23">
        <f>Assumptions!$C$11</f>
        <v>99861.798429326824</v>
      </c>
      <c r="K41" s="23">
        <f>Assumptions!$C$11</f>
        <v>99861.798429326824</v>
      </c>
      <c r="L41" s="23">
        <f>Assumptions!$C$11</f>
        <v>99861.798429326824</v>
      </c>
      <c r="M41" s="23">
        <f>Assumptions!$C$11</f>
        <v>99861.798429326824</v>
      </c>
      <c r="N41" s="23">
        <f>Assumptions!$C$11</f>
        <v>99861.798429326824</v>
      </c>
      <c r="O41" s="23">
        <f>Assumptions!$C$11</f>
        <v>99861.798429326824</v>
      </c>
      <c r="P41" s="23">
        <f>Assumptions!$C$11</f>
        <v>99861.798429326824</v>
      </c>
      <c r="Q41" s="23">
        <f>Assumptions!$C$11</f>
        <v>99861.798429326824</v>
      </c>
      <c r="R41" s="23">
        <f>Assumptions!$C$11</f>
        <v>99861.798429326824</v>
      </c>
      <c r="S41" s="23">
        <f>Assumptions!$C$11</f>
        <v>99861.798429326824</v>
      </c>
      <c r="T41" s="23">
        <f>Assumptions!$C$11</f>
        <v>99861.798429326824</v>
      </c>
      <c r="U41" s="23">
        <f>Assumptions!$C$11</f>
        <v>99861.798429326824</v>
      </c>
      <c r="V41" s="23">
        <f>Assumptions!$C$11</f>
        <v>99861.798429326824</v>
      </c>
      <c r="W41" s="23">
        <f>Assumptions!$C$11</f>
        <v>99861.798429326824</v>
      </c>
      <c r="X41" s="23">
        <f>Assumptions!$C$11</f>
        <v>99861.798429326824</v>
      </c>
      <c r="Y41" s="23">
        <f>Assumptions!$C$11</f>
        <v>99861.798429326824</v>
      </c>
      <c r="Z41" s="23">
        <f>Assumptions!$C$11</f>
        <v>99861.798429326824</v>
      </c>
      <c r="AA41" s="23">
        <f>Assumptions!$C$11</f>
        <v>99861.798429326824</v>
      </c>
      <c r="AB41" s="23">
        <f>Assumptions!$C$11</f>
        <v>99861.798429326824</v>
      </c>
      <c r="AC41" s="23">
        <f>Assumptions!$C$11</f>
        <v>99861.798429326824</v>
      </c>
      <c r="AD41" s="23">
        <f>Assumptions!$C$11</f>
        <v>99861.798429326824</v>
      </c>
      <c r="AE41" s="23">
        <f>Assumptions!$C$11</f>
        <v>99861.798429326824</v>
      </c>
      <c r="AF41" s="23">
        <f>Assumptions!$C$11</f>
        <v>99861.798429326824</v>
      </c>
      <c r="AG41" s="23">
        <f>Assumptions!$C$11</f>
        <v>99861.798429326824</v>
      </c>
      <c r="AH41" s="23">
        <f>Assumptions!$C$11</f>
        <v>99861.798429326824</v>
      </c>
      <c r="AI41" s="313"/>
      <c r="AJ41" s="313"/>
      <c r="AK41" s="313"/>
      <c r="AL41" s="313"/>
      <c r="AM41" s="313"/>
      <c r="AN41" s="313"/>
      <c r="AO41" s="313"/>
      <c r="AP41" s="313"/>
      <c r="AQ41" s="313"/>
      <c r="AR41" s="313"/>
      <c r="AS41" s="313"/>
      <c r="AT41" s="313"/>
      <c r="AU41" s="313"/>
      <c r="AV41" s="313"/>
      <c r="AW41" s="313"/>
      <c r="AX41" s="313"/>
      <c r="AY41" s="313"/>
      <c r="AZ41" s="313"/>
      <c r="BA41" s="313"/>
      <c r="BB41" s="313"/>
      <c r="BC41" s="313"/>
      <c r="BD41" s="313"/>
      <c r="BE41" s="313"/>
      <c r="BF41" s="313"/>
      <c r="BG41" s="313"/>
      <c r="BH41" s="313"/>
    </row>
    <row r="42" spans="1:60">
      <c r="A42" s="23" t="s">
        <v>163</v>
      </c>
      <c r="C42" s="326" t="e">
        <f>IS!B45-'Returns Analysis'!#REF!</f>
        <v>#REF!</v>
      </c>
      <c r="D42" s="314" t="e">
        <f>IS!C45-'Returns Analysis'!#REF!</f>
        <v>#REF!</v>
      </c>
      <c r="E42" s="314" t="e">
        <f>IS!D45-'Returns Analysis'!#REF!</f>
        <v>#REF!</v>
      </c>
      <c r="F42" s="314" t="e">
        <f>IS!E45-'Returns Analysis'!#REF!</f>
        <v>#REF!</v>
      </c>
      <c r="G42" s="314" t="e">
        <f>IS!F45-'Returns Analysis'!#REF!</f>
        <v>#REF!</v>
      </c>
      <c r="H42" s="314" t="e">
        <f>IS!G45-'Returns Analysis'!#REF!</f>
        <v>#REF!</v>
      </c>
      <c r="I42" s="314" t="e">
        <f>IS!H45-'Returns Analysis'!#REF!</f>
        <v>#REF!</v>
      </c>
      <c r="J42" s="314" t="e">
        <f>IS!I45-'Returns Analysis'!#REF!</f>
        <v>#REF!</v>
      </c>
      <c r="K42" s="314" t="e">
        <f>IS!J45-'Returns Analysis'!#REF!</f>
        <v>#REF!</v>
      </c>
      <c r="L42" s="314" t="e">
        <f>IS!K45-'Returns Analysis'!#REF!</f>
        <v>#REF!</v>
      </c>
      <c r="M42" s="314" t="e">
        <f>IS!L45-'Returns Analysis'!#REF!</f>
        <v>#REF!</v>
      </c>
      <c r="N42" s="314" t="e">
        <f>IS!M45-'Returns Analysis'!#REF!</f>
        <v>#REF!</v>
      </c>
      <c r="O42" s="314" t="e">
        <f>IS!N45-'Returns Analysis'!#REF!</f>
        <v>#REF!</v>
      </c>
      <c r="P42" s="314" t="e">
        <f>IS!O45-'Returns Analysis'!#REF!</f>
        <v>#REF!</v>
      </c>
      <c r="Q42" s="314" t="e">
        <f>IS!P45-'Returns Analysis'!#REF!</f>
        <v>#REF!</v>
      </c>
      <c r="R42" s="314" t="e">
        <f>IS!Q45-'Returns Analysis'!#REF!</f>
        <v>#REF!</v>
      </c>
      <c r="S42" s="314" t="e">
        <f>IS!R45-'Returns Analysis'!#REF!</f>
        <v>#REF!</v>
      </c>
      <c r="T42" s="314" t="e">
        <f>IS!S45-'Returns Analysis'!#REF!</f>
        <v>#REF!</v>
      </c>
      <c r="U42" s="314" t="e">
        <f>IS!T45-'Returns Analysis'!#REF!</f>
        <v>#REF!</v>
      </c>
      <c r="V42" s="314" t="e">
        <f>IS!U45-'Returns Analysis'!#REF!</f>
        <v>#REF!</v>
      </c>
      <c r="W42" s="314" t="e">
        <f>IS!V45-'Returns Analysis'!#REF!</f>
        <v>#REF!</v>
      </c>
      <c r="X42" s="314" t="e">
        <f>IS!W45-'Returns Analysis'!#REF!</f>
        <v>#REF!</v>
      </c>
      <c r="Y42" s="314" t="e">
        <f>IS!X45-'Returns Analysis'!#REF!</f>
        <v>#REF!</v>
      </c>
      <c r="Z42" s="314" t="e">
        <f>IS!Y45-'Returns Analysis'!#REF!</f>
        <v>#REF!</v>
      </c>
      <c r="AA42" s="314" t="e">
        <f>IS!Z45-'Returns Analysis'!#REF!</f>
        <v>#REF!</v>
      </c>
      <c r="AB42" s="314" t="e">
        <f>IS!AA45-'Returns Analysis'!#REF!</f>
        <v>#REF!</v>
      </c>
      <c r="AC42" s="314" t="e">
        <f>IS!AB45-'Returns Analysis'!#REF!</f>
        <v>#REF!</v>
      </c>
      <c r="AD42" s="314" t="e">
        <f>IS!AC45-'Returns Analysis'!#REF!</f>
        <v>#REF!</v>
      </c>
      <c r="AE42" s="314" t="e">
        <f>IS!AD45-'Returns Analysis'!#REF!</f>
        <v>#REF!</v>
      </c>
      <c r="AF42" s="314" t="e">
        <f>IS!AE45-'Returns Analysis'!#REF!</f>
        <v>#REF!</v>
      </c>
      <c r="AG42" s="314" t="e">
        <f>IS!AF45-'Returns Analysis'!#REF!</f>
        <v>#REF!</v>
      </c>
      <c r="AH42" s="314" t="e">
        <f>IS!AG45-'Returns Analysis'!#REF!</f>
        <v>#REF!</v>
      </c>
      <c r="AI42" s="313"/>
      <c r="AJ42" s="313"/>
      <c r="AK42" s="313"/>
      <c r="AL42" s="313"/>
      <c r="AM42" s="313"/>
      <c r="AN42" s="313"/>
      <c r="AO42" s="313"/>
      <c r="AP42" s="313"/>
      <c r="AQ42" s="313"/>
      <c r="AR42" s="313"/>
      <c r="AS42" s="313"/>
      <c r="AT42" s="313"/>
      <c r="AU42" s="313"/>
      <c r="AV42" s="313"/>
      <c r="AW42" s="313"/>
      <c r="AX42" s="313"/>
      <c r="AY42" s="313"/>
      <c r="AZ42" s="313"/>
      <c r="BA42" s="313"/>
      <c r="BB42" s="313"/>
      <c r="BC42" s="313"/>
      <c r="BD42" s="313"/>
      <c r="BE42" s="313"/>
      <c r="BF42" s="313"/>
      <c r="BG42" s="313"/>
      <c r="BH42" s="313"/>
    </row>
    <row r="43" spans="1:60">
      <c r="A43" s="23" t="s">
        <v>164</v>
      </c>
      <c r="C43" s="327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13"/>
      <c r="AJ43" s="313"/>
      <c r="AK43" s="313"/>
      <c r="AL43" s="313"/>
      <c r="AM43" s="313"/>
      <c r="AN43" s="313"/>
      <c r="AO43" s="313"/>
      <c r="AP43" s="313"/>
      <c r="AQ43" s="313"/>
      <c r="AR43" s="313"/>
      <c r="AS43" s="313"/>
      <c r="AT43" s="313"/>
      <c r="AU43" s="313"/>
      <c r="AV43" s="313"/>
      <c r="AW43" s="313"/>
      <c r="AX43" s="313"/>
      <c r="AY43" s="313"/>
      <c r="AZ43" s="313"/>
      <c r="BA43" s="313"/>
      <c r="BB43" s="313"/>
      <c r="BC43" s="313"/>
      <c r="BD43" s="313"/>
      <c r="BE43" s="313"/>
      <c r="BF43" s="313"/>
      <c r="BG43" s="313"/>
      <c r="BH43" s="313"/>
    </row>
    <row r="44" spans="1:60">
      <c r="A44" s="13"/>
      <c r="B44" s="13"/>
      <c r="C44" s="327"/>
      <c r="D44" s="23"/>
      <c r="E44" s="23"/>
      <c r="F44" s="316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13"/>
      <c r="Y44" s="313"/>
      <c r="Z44" s="151"/>
      <c r="AA44" s="151"/>
      <c r="AB44" s="313"/>
      <c r="AC44" s="313"/>
      <c r="AD44" s="313"/>
      <c r="AE44" s="313"/>
      <c r="AF44" s="313"/>
      <c r="AG44" s="313"/>
      <c r="AH44" s="313"/>
      <c r="AI44" s="313"/>
      <c r="AJ44" s="313"/>
      <c r="AK44" s="313"/>
      <c r="AL44" s="313"/>
      <c r="AM44" s="313"/>
      <c r="AN44" s="313"/>
      <c r="AO44" s="313"/>
      <c r="AP44" s="313"/>
      <c r="AQ44" s="313"/>
      <c r="AR44" s="313"/>
      <c r="AS44" s="313"/>
      <c r="AT44" s="313"/>
      <c r="AU44" s="313"/>
      <c r="AV44" s="313"/>
      <c r="AW44" s="313"/>
      <c r="AX44" s="313"/>
      <c r="AY44" s="313"/>
      <c r="AZ44" s="313"/>
      <c r="BA44" s="313"/>
      <c r="BB44" s="313"/>
      <c r="BC44" s="313"/>
      <c r="BD44" s="313"/>
      <c r="BE44" s="313"/>
      <c r="BF44" s="313"/>
      <c r="BG44" s="313"/>
      <c r="BH44" s="313"/>
    </row>
    <row r="45" spans="1:60">
      <c r="A45" s="134" t="s">
        <v>165</v>
      </c>
      <c r="B45" s="13"/>
      <c r="C45" s="327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13"/>
      <c r="AJ45" s="313"/>
      <c r="AK45" s="313"/>
      <c r="AL45" s="313"/>
      <c r="AM45" s="313"/>
      <c r="AN45" s="313"/>
      <c r="AO45" s="313"/>
      <c r="AP45" s="313"/>
      <c r="AQ45" s="313"/>
      <c r="AR45" s="313"/>
      <c r="AS45" s="313"/>
      <c r="AT45" s="313"/>
      <c r="AU45" s="313"/>
      <c r="AV45" s="313"/>
      <c r="AW45" s="313"/>
      <c r="AX45" s="313"/>
      <c r="AY45" s="313"/>
      <c r="AZ45" s="313"/>
      <c r="BA45" s="313"/>
      <c r="BB45" s="313"/>
      <c r="BC45" s="313"/>
      <c r="BD45" s="313"/>
      <c r="BE45" s="313"/>
      <c r="BF45" s="313"/>
      <c r="BG45" s="313"/>
      <c r="BH45" s="313"/>
    </row>
    <row r="46" spans="1:60">
      <c r="A46" s="23"/>
      <c r="B46" s="13"/>
      <c r="C46" s="327"/>
      <c r="D46" s="23"/>
      <c r="E46" s="23"/>
      <c r="F46" s="316"/>
      <c r="G46" s="313"/>
      <c r="H46" s="313"/>
      <c r="I46" s="313"/>
      <c r="J46" s="313"/>
      <c r="K46" s="313"/>
      <c r="L46" s="313"/>
      <c r="M46" s="313"/>
      <c r="N46" s="313"/>
      <c r="O46" s="313"/>
      <c r="P46" s="313"/>
      <c r="Q46" s="313"/>
      <c r="R46" s="313"/>
      <c r="S46" s="313"/>
      <c r="T46" s="313"/>
      <c r="U46" s="313"/>
      <c r="V46" s="313"/>
      <c r="W46" s="313"/>
      <c r="X46" s="313"/>
      <c r="Y46" s="313"/>
      <c r="Z46" s="151"/>
      <c r="AA46" s="151"/>
      <c r="AB46" s="313"/>
      <c r="AC46" s="313"/>
      <c r="AD46" s="313"/>
      <c r="AE46" s="313"/>
      <c r="AF46" s="313"/>
      <c r="AG46" s="313"/>
      <c r="AH46" s="313"/>
      <c r="AI46" s="313"/>
      <c r="AJ46" s="313"/>
      <c r="AK46" s="313"/>
      <c r="AL46" s="313"/>
      <c r="AM46" s="313"/>
      <c r="AN46" s="313"/>
      <c r="AO46" s="313"/>
      <c r="AP46" s="313"/>
      <c r="AQ46" s="313"/>
      <c r="AR46" s="313"/>
      <c r="AS46" s="313"/>
      <c r="AT46" s="313"/>
      <c r="AU46" s="313"/>
      <c r="AV46" s="313"/>
      <c r="AW46" s="313"/>
      <c r="AX46" s="313"/>
      <c r="AY46" s="313"/>
      <c r="AZ46" s="313"/>
      <c r="BA46" s="313"/>
      <c r="BB46" s="313"/>
      <c r="BC46" s="313"/>
      <c r="BD46" s="313"/>
      <c r="BE46" s="313"/>
      <c r="BF46" s="313"/>
      <c r="BG46" s="313"/>
      <c r="BH46" s="313"/>
    </row>
    <row r="47" spans="1:60">
      <c r="A47" s="134" t="s">
        <v>166</v>
      </c>
      <c r="B47" s="13"/>
      <c r="C47" s="327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13"/>
      <c r="AJ47" s="313"/>
      <c r="AK47" s="313"/>
      <c r="AL47" s="313"/>
      <c r="AM47" s="313"/>
      <c r="AN47" s="313"/>
      <c r="AO47" s="313"/>
      <c r="AP47" s="313"/>
      <c r="AQ47" s="313"/>
      <c r="AR47" s="313"/>
      <c r="AS47" s="313"/>
      <c r="AT47" s="313"/>
      <c r="AU47" s="313"/>
      <c r="AV47" s="313"/>
      <c r="AW47" s="313"/>
      <c r="AX47" s="313"/>
      <c r="AY47" s="313"/>
      <c r="AZ47" s="313"/>
      <c r="BA47" s="313"/>
      <c r="BB47" s="313"/>
      <c r="BC47" s="313"/>
      <c r="BD47" s="313"/>
      <c r="BE47" s="313"/>
      <c r="BF47" s="313"/>
      <c r="BG47" s="313"/>
      <c r="BH47" s="313"/>
    </row>
    <row r="48" spans="1:60">
      <c r="A48" s="13"/>
      <c r="B48" s="13"/>
      <c r="C48" s="23"/>
      <c r="D48" s="23"/>
      <c r="E48" s="23"/>
      <c r="F48" s="316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13"/>
      <c r="Y48" s="313"/>
      <c r="Z48" s="151"/>
      <c r="AA48" s="151"/>
      <c r="AB48" s="313"/>
      <c r="AC48" s="313"/>
      <c r="AD48" s="313"/>
      <c r="AE48" s="313"/>
      <c r="AF48" s="313"/>
      <c r="AG48" s="313"/>
      <c r="AH48" s="313"/>
      <c r="AI48" s="313"/>
      <c r="AJ48" s="313"/>
      <c r="AK48" s="313"/>
      <c r="AL48" s="313"/>
      <c r="AM48" s="313"/>
      <c r="AN48" s="313"/>
      <c r="AO48" s="313"/>
      <c r="AP48" s="313"/>
      <c r="AQ48" s="313"/>
      <c r="AR48" s="313"/>
      <c r="AS48" s="313"/>
      <c r="AT48" s="313"/>
      <c r="AU48" s="313"/>
      <c r="AV48" s="313"/>
      <c r="AW48" s="313"/>
      <c r="AX48" s="313"/>
      <c r="AY48" s="313"/>
      <c r="AZ48" s="313"/>
      <c r="BA48" s="313"/>
      <c r="BB48" s="313"/>
      <c r="BC48" s="313"/>
      <c r="BD48" s="313"/>
      <c r="BE48" s="313"/>
      <c r="BF48" s="313"/>
      <c r="BG48" s="313"/>
      <c r="BH48" s="313"/>
    </row>
    <row r="49" spans="1:60">
      <c r="A49" s="13"/>
      <c r="B49" s="13"/>
      <c r="C49" s="23"/>
      <c r="D49" s="23"/>
      <c r="E49" s="23"/>
      <c r="F49" s="316"/>
      <c r="G49" s="313"/>
      <c r="H49" s="313"/>
      <c r="I49" s="313"/>
      <c r="J49" s="313"/>
      <c r="K49" s="313"/>
      <c r="L49" s="313"/>
      <c r="M49" s="313"/>
      <c r="N49" s="313"/>
      <c r="O49" s="313"/>
      <c r="P49" s="313"/>
      <c r="Q49" s="313"/>
      <c r="R49" s="313"/>
      <c r="S49" s="313"/>
      <c r="T49" s="313"/>
      <c r="U49" s="313"/>
      <c r="V49" s="313"/>
      <c r="W49" s="313"/>
      <c r="X49" s="313"/>
      <c r="Y49" s="313"/>
      <c r="Z49" s="151"/>
      <c r="AA49" s="151"/>
      <c r="AB49" s="313"/>
      <c r="AC49" s="313"/>
      <c r="AD49" s="313"/>
      <c r="AE49" s="313"/>
      <c r="AF49" s="313"/>
      <c r="AG49" s="313"/>
      <c r="AH49" s="313"/>
      <c r="AI49" s="313"/>
      <c r="AJ49" s="313"/>
      <c r="AK49" s="313"/>
      <c r="AL49" s="313"/>
      <c r="AM49" s="313"/>
      <c r="AN49" s="313"/>
      <c r="AO49" s="313"/>
      <c r="AP49" s="313"/>
      <c r="AQ49" s="313"/>
      <c r="AR49" s="313"/>
      <c r="AS49" s="313"/>
      <c r="AT49" s="313"/>
      <c r="AU49" s="313"/>
      <c r="AV49" s="313"/>
      <c r="AW49" s="313"/>
      <c r="AX49" s="313"/>
      <c r="AY49" s="313"/>
      <c r="AZ49" s="313"/>
      <c r="BA49" s="313"/>
      <c r="BB49" s="313"/>
      <c r="BC49" s="313"/>
      <c r="BD49" s="313"/>
      <c r="BE49" s="313"/>
      <c r="BF49" s="313"/>
      <c r="BG49" s="313"/>
      <c r="BH49" s="313"/>
    </row>
    <row r="50" spans="1:60">
      <c r="A50" s="13"/>
      <c r="B50" s="13"/>
      <c r="C50" s="23"/>
      <c r="D50" s="23"/>
      <c r="E50" s="23"/>
      <c r="F50" s="316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13"/>
      <c r="Y50" s="313"/>
      <c r="Z50" s="151"/>
      <c r="AA50" s="151"/>
      <c r="AB50" s="313"/>
      <c r="AC50" s="313"/>
      <c r="AD50" s="313"/>
      <c r="AE50" s="313"/>
      <c r="AF50" s="313"/>
      <c r="AG50" s="313"/>
      <c r="AH50" s="313"/>
      <c r="AI50" s="313"/>
      <c r="AJ50" s="313"/>
      <c r="AK50" s="313"/>
      <c r="AL50" s="313"/>
      <c r="AM50" s="313"/>
      <c r="AN50" s="313"/>
      <c r="AO50" s="313"/>
      <c r="AP50" s="313"/>
      <c r="AQ50" s="313"/>
      <c r="AR50" s="313"/>
      <c r="AS50" s="313"/>
      <c r="AT50" s="313"/>
      <c r="AU50" s="313"/>
      <c r="AV50" s="313"/>
      <c r="AW50" s="313"/>
      <c r="AX50" s="313"/>
      <c r="AY50" s="313"/>
      <c r="AZ50" s="313"/>
      <c r="BA50" s="313"/>
      <c r="BB50" s="313"/>
      <c r="BC50" s="313"/>
      <c r="BD50" s="313"/>
      <c r="BE50" s="313"/>
      <c r="BF50" s="313"/>
      <c r="BG50" s="313"/>
      <c r="BH50" s="313"/>
    </row>
    <row r="51" spans="1:60">
      <c r="A51" s="13"/>
      <c r="B51" s="13"/>
      <c r="C51" s="23"/>
      <c r="D51" s="23"/>
      <c r="E51" s="23"/>
      <c r="F51" s="316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13"/>
      <c r="Y51" s="313"/>
      <c r="Z51" s="151"/>
      <c r="AA51" s="151"/>
      <c r="AB51" s="313"/>
      <c r="AC51" s="313"/>
      <c r="AD51" s="313"/>
      <c r="AE51" s="313"/>
      <c r="AF51" s="313"/>
      <c r="AG51" s="313"/>
      <c r="AH51" s="313"/>
      <c r="AI51" s="313"/>
      <c r="AJ51" s="313"/>
      <c r="AK51" s="313"/>
      <c r="AL51" s="313"/>
      <c r="AM51" s="313"/>
      <c r="AN51" s="313"/>
      <c r="AO51" s="313"/>
      <c r="AP51" s="313"/>
      <c r="AQ51" s="313"/>
      <c r="AR51" s="313"/>
      <c r="AS51" s="313"/>
      <c r="AT51" s="313"/>
      <c r="AU51" s="313"/>
      <c r="AV51" s="313"/>
      <c r="AW51" s="313"/>
      <c r="AX51" s="313"/>
      <c r="AY51" s="313"/>
      <c r="AZ51" s="313"/>
      <c r="BA51" s="313"/>
      <c r="BB51" s="313"/>
      <c r="BC51" s="313"/>
      <c r="BD51" s="313"/>
      <c r="BE51" s="313"/>
      <c r="BF51" s="313"/>
      <c r="BG51" s="313"/>
      <c r="BH51" s="313"/>
    </row>
    <row r="52" spans="1:60">
      <c r="A52" s="13"/>
      <c r="B52" s="13"/>
      <c r="C52" s="23"/>
      <c r="D52" s="23"/>
      <c r="E52" s="23"/>
      <c r="F52" s="316"/>
      <c r="G52" s="313"/>
      <c r="H52" s="313"/>
      <c r="I52" s="313"/>
      <c r="J52" s="313"/>
      <c r="K52" s="313"/>
      <c r="L52" s="313"/>
      <c r="M52" s="313"/>
      <c r="N52" s="313"/>
      <c r="O52" s="313"/>
      <c r="P52" s="313"/>
      <c r="Q52" s="313"/>
      <c r="R52" s="313"/>
      <c r="S52" s="313"/>
      <c r="T52" s="313"/>
      <c r="U52" s="313"/>
      <c r="V52" s="313"/>
      <c r="W52" s="313"/>
      <c r="X52" s="313"/>
      <c r="Y52" s="313"/>
      <c r="Z52" s="151"/>
      <c r="AA52" s="151"/>
      <c r="AB52" s="313"/>
      <c r="AC52" s="313"/>
      <c r="AD52" s="313"/>
      <c r="AE52" s="313"/>
      <c r="AF52" s="313"/>
      <c r="AG52" s="313"/>
      <c r="AH52" s="313"/>
      <c r="AI52" s="313"/>
      <c r="AJ52" s="313"/>
      <c r="AK52" s="313"/>
      <c r="AL52" s="313"/>
      <c r="AM52" s="313"/>
      <c r="AN52" s="313"/>
      <c r="AO52" s="313"/>
      <c r="AP52" s="313"/>
      <c r="AQ52" s="313"/>
      <c r="AR52" s="313"/>
      <c r="AS52" s="313"/>
      <c r="AT52" s="313"/>
      <c r="AU52" s="313"/>
      <c r="AV52" s="313"/>
      <c r="AW52" s="313"/>
      <c r="AX52" s="313"/>
      <c r="AY52" s="313"/>
      <c r="AZ52" s="313"/>
      <c r="BA52" s="313"/>
      <c r="BB52" s="313"/>
      <c r="BC52" s="313"/>
      <c r="BD52" s="313"/>
      <c r="BE52" s="313"/>
      <c r="BF52" s="313"/>
      <c r="BG52" s="313"/>
      <c r="BH52" s="313"/>
    </row>
    <row r="53" spans="1:60">
      <c r="A53" s="13"/>
      <c r="B53" s="13"/>
      <c r="C53" s="23"/>
      <c r="D53" s="23"/>
      <c r="E53" s="23"/>
      <c r="F53" s="316"/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  <c r="T53" s="313"/>
      <c r="U53" s="313"/>
      <c r="V53" s="313"/>
      <c r="W53" s="313"/>
      <c r="X53" s="313"/>
      <c r="Y53" s="313"/>
      <c r="Z53" s="151"/>
      <c r="AA53" s="151"/>
      <c r="AB53" s="313"/>
      <c r="AC53" s="313"/>
      <c r="AD53" s="313"/>
      <c r="AE53" s="313"/>
      <c r="AF53" s="313"/>
      <c r="AG53" s="313"/>
      <c r="AH53" s="313"/>
      <c r="AI53" s="313"/>
      <c r="AJ53" s="313"/>
      <c r="AK53" s="313"/>
      <c r="AL53" s="313"/>
      <c r="AM53" s="313"/>
      <c r="AN53" s="313"/>
      <c r="AO53" s="313"/>
      <c r="AP53" s="313"/>
      <c r="AQ53" s="313"/>
      <c r="AR53" s="313"/>
      <c r="AS53" s="313"/>
      <c r="AT53" s="313"/>
      <c r="AU53" s="313"/>
      <c r="AV53" s="313"/>
      <c r="AW53" s="313"/>
      <c r="AX53" s="313"/>
      <c r="AY53" s="313"/>
      <c r="AZ53" s="313"/>
      <c r="BA53" s="313"/>
      <c r="BB53" s="313"/>
      <c r="BC53" s="313"/>
      <c r="BD53" s="313"/>
      <c r="BE53" s="313"/>
      <c r="BF53" s="313"/>
      <c r="BG53" s="313"/>
      <c r="BH53" s="313"/>
    </row>
    <row r="54" spans="1:60">
      <c r="A54" s="13"/>
      <c r="B54" s="13"/>
      <c r="C54" s="23"/>
      <c r="D54" s="23"/>
      <c r="E54" s="23"/>
      <c r="F54" s="316"/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  <c r="T54" s="313"/>
      <c r="U54" s="313"/>
      <c r="V54" s="313"/>
      <c r="W54" s="313"/>
      <c r="X54" s="313"/>
      <c r="Y54" s="313"/>
      <c r="Z54" s="151"/>
      <c r="AA54" s="151"/>
      <c r="AB54" s="313"/>
      <c r="AC54" s="313"/>
      <c r="AD54" s="313"/>
      <c r="AE54" s="313"/>
      <c r="AF54" s="313"/>
      <c r="AG54" s="313"/>
      <c r="AH54" s="313"/>
      <c r="AI54" s="313"/>
      <c r="AJ54" s="313"/>
      <c r="AK54" s="313"/>
      <c r="AL54" s="313"/>
      <c r="AM54" s="313"/>
      <c r="AN54" s="313"/>
      <c r="AO54" s="313"/>
      <c r="AP54" s="313"/>
      <c r="AQ54" s="313"/>
      <c r="AR54" s="313"/>
      <c r="AS54" s="313"/>
      <c r="AT54" s="313"/>
      <c r="AU54" s="313"/>
      <c r="AV54" s="313"/>
      <c r="AW54" s="313"/>
      <c r="AX54" s="313"/>
      <c r="AY54" s="313"/>
      <c r="AZ54" s="313"/>
      <c r="BA54" s="313"/>
      <c r="BB54" s="313"/>
      <c r="BC54" s="313"/>
      <c r="BD54" s="313"/>
      <c r="BE54" s="313"/>
      <c r="BF54" s="313"/>
      <c r="BG54" s="313"/>
      <c r="BH54" s="313"/>
    </row>
    <row r="55" spans="1:60">
      <c r="A55" s="13"/>
      <c r="B55" s="181"/>
      <c r="C55" s="316"/>
      <c r="D55" s="316"/>
      <c r="E55" s="316"/>
      <c r="F55" s="316"/>
      <c r="G55" s="313"/>
      <c r="H55" s="313"/>
      <c r="I55" s="313"/>
      <c r="J55" s="313"/>
      <c r="K55" s="313"/>
      <c r="L55" s="313"/>
      <c r="M55" s="313"/>
      <c r="N55" s="313"/>
      <c r="O55" s="313"/>
      <c r="P55" s="313"/>
      <c r="Q55" s="313"/>
      <c r="R55" s="313"/>
      <c r="S55" s="313"/>
      <c r="T55" s="313"/>
      <c r="U55" s="313"/>
      <c r="V55" s="313"/>
      <c r="W55" s="313"/>
      <c r="X55" s="313"/>
      <c r="Y55" s="313"/>
      <c r="Z55" s="151"/>
      <c r="AA55" s="151"/>
      <c r="AB55" s="313"/>
      <c r="AC55" s="313"/>
      <c r="AD55" s="313"/>
      <c r="AE55" s="313"/>
      <c r="AF55" s="313"/>
      <c r="AG55" s="313"/>
      <c r="AH55" s="313"/>
      <c r="AI55" s="313"/>
      <c r="AJ55" s="313"/>
      <c r="AK55" s="313"/>
      <c r="AL55" s="313"/>
      <c r="AM55" s="313"/>
      <c r="AN55" s="313"/>
      <c r="AO55" s="313"/>
      <c r="AP55" s="313"/>
      <c r="AQ55" s="313"/>
      <c r="AR55" s="313"/>
      <c r="AS55" s="313"/>
      <c r="AT55" s="313"/>
      <c r="AU55" s="313"/>
      <c r="AV55" s="313"/>
      <c r="AW55" s="313"/>
      <c r="AX55" s="313"/>
      <c r="AY55" s="313"/>
      <c r="AZ55" s="313"/>
      <c r="BA55" s="313"/>
      <c r="BB55" s="313"/>
      <c r="BC55" s="313"/>
      <c r="BD55" s="313"/>
      <c r="BE55" s="313"/>
      <c r="BF55" s="313"/>
      <c r="BG55" s="313"/>
      <c r="BH55" s="313"/>
    </row>
    <row r="56" spans="1:60">
      <c r="A56" s="13"/>
      <c r="B56" s="181"/>
      <c r="C56" s="316"/>
      <c r="D56" s="316"/>
      <c r="E56" s="316"/>
      <c r="F56" s="316"/>
      <c r="G56" s="313"/>
      <c r="H56" s="313"/>
      <c r="I56" s="313"/>
      <c r="J56" s="313"/>
      <c r="K56" s="313"/>
      <c r="L56" s="313"/>
      <c r="M56" s="313"/>
      <c r="N56" s="313"/>
      <c r="O56" s="313"/>
      <c r="P56" s="313"/>
      <c r="Q56" s="313"/>
      <c r="R56" s="313"/>
      <c r="S56" s="313"/>
      <c r="T56" s="313"/>
      <c r="U56" s="313"/>
      <c r="V56" s="313"/>
      <c r="W56" s="313"/>
      <c r="X56" s="313"/>
      <c r="Y56" s="313"/>
      <c r="Z56" s="151"/>
      <c r="AA56" s="151"/>
      <c r="AB56" s="313"/>
      <c r="AC56" s="313"/>
      <c r="AD56" s="313"/>
      <c r="AE56" s="313"/>
      <c r="AF56" s="313"/>
      <c r="AG56" s="313"/>
      <c r="AH56" s="313"/>
      <c r="AI56" s="313"/>
      <c r="AJ56" s="313"/>
      <c r="AK56" s="313"/>
      <c r="AL56" s="313"/>
      <c r="AM56" s="313"/>
      <c r="AN56" s="313"/>
      <c r="AO56" s="313"/>
      <c r="AP56" s="313"/>
      <c r="AQ56" s="313"/>
      <c r="AR56" s="313"/>
      <c r="AS56" s="313"/>
      <c r="AT56" s="313"/>
      <c r="AU56" s="313"/>
      <c r="AV56" s="313"/>
      <c r="AW56" s="313"/>
      <c r="AX56" s="313"/>
      <c r="AY56" s="313"/>
      <c r="AZ56" s="313"/>
      <c r="BA56" s="313"/>
      <c r="BB56" s="313"/>
      <c r="BC56" s="313"/>
      <c r="BD56" s="313"/>
      <c r="BE56" s="313"/>
      <c r="BF56" s="313"/>
      <c r="BG56" s="313"/>
      <c r="BH56" s="313"/>
    </row>
    <row r="57" spans="1:60">
      <c r="A57" s="13"/>
      <c r="B57" s="181"/>
      <c r="C57" s="316"/>
      <c r="D57" s="316"/>
      <c r="E57" s="316"/>
      <c r="F57" s="316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13"/>
      <c r="Y57" s="313"/>
      <c r="Z57" s="151"/>
      <c r="AA57" s="151"/>
      <c r="AB57" s="313"/>
      <c r="AC57" s="313"/>
      <c r="AD57" s="313"/>
      <c r="AE57" s="313"/>
      <c r="AF57" s="313"/>
      <c r="AG57" s="313"/>
      <c r="AH57" s="313"/>
      <c r="AI57" s="313"/>
      <c r="AJ57" s="313"/>
      <c r="AK57" s="313"/>
      <c r="AL57" s="313"/>
      <c r="AM57" s="313"/>
      <c r="AN57" s="313"/>
      <c r="AO57" s="313"/>
      <c r="AP57" s="313"/>
      <c r="AQ57" s="313"/>
      <c r="AR57" s="313"/>
      <c r="AS57" s="313"/>
      <c r="AT57" s="313"/>
      <c r="AU57" s="313"/>
      <c r="AV57" s="313"/>
      <c r="AW57" s="313"/>
      <c r="AX57" s="313"/>
      <c r="AY57" s="313"/>
      <c r="AZ57" s="313"/>
      <c r="BA57" s="313"/>
      <c r="BB57" s="313"/>
      <c r="BC57" s="313"/>
      <c r="BD57" s="313"/>
      <c r="BE57" s="313"/>
      <c r="BF57" s="313"/>
      <c r="BG57" s="313"/>
      <c r="BH57" s="313"/>
    </row>
    <row r="58" spans="1:60">
      <c r="A58" s="13"/>
      <c r="B58" s="181"/>
      <c r="C58" s="316"/>
      <c r="D58" s="316"/>
      <c r="E58" s="316"/>
      <c r="F58" s="316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13"/>
      <c r="Y58" s="313"/>
      <c r="Z58" s="151"/>
      <c r="AA58" s="151"/>
      <c r="AB58" s="313"/>
      <c r="AC58" s="313"/>
      <c r="AD58" s="313"/>
      <c r="AE58" s="313"/>
      <c r="AF58" s="313"/>
      <c r="AG58" s="313"/>
      <c r="AH58" s="313"/>
      <c r="AI58" s="313"/>
      <c r="AJ58" s="313"/>
      <c r="AK58" s="313"/>
      <c r="AL58" s="313"/>
      <c r="AM58" s="313"/>
      <c r="AN58" s="313"/>
      <c r="AO58" s="313"/>
      <c r="AP58" s="313"/>
      <c r="AQ58" s="313"/>
      <c r="AR58" s="313"/>
      <c r="AS58" s="313"/>
      <c r="AT58" s="313"/>
      <c r="AU58" s="313"/>
      <c r="AV58" s="313"/>
      <c r="AW58" s="313"/>
      <c r="AX58" s="313"/>
      <c r="AY58" s="313"/>
      <c r="AZ58" s="313"/>
      <c r="BA58" s="313"/>
      <c r="BB58" s="313"/>
      <c r="BC58" s="313"/>
      <c r="BD58" s="313"/>
      <c r="BE58" s="313"/>
      <c r="BF58" s="313"/>
      <c r="BG58" s="313"/>
      <c r="BH58" s="313"/>
    </row>
    <row r="59" spans="1:60">
      <c r="A59" s="13"/>
      <c r="B59" s="181"/>
      <c r="C59" s="316"/>
      <c r="D59" s="316"/>
      <c r="E59" s="316"/>
      <c r="F59" s="316"/>
      <c r="G59" s="313"/>
      <c r="H59" s="313"/>
      <c r="I59" s="313"/>
      <c r="J59" s="313"/>
      <c r="K59" s="313"/>
      <c r="L59" s="313"/>
      <c r="M59" s="313"/>
      <c r="N59" s="313"/>
      <c r="O59" s="313"/>
      <c r="P59" s="313"/>
      <c r="Q59" s="313"/>
      <c r="R59" s="313"/>
      <c r="S59" s="313"/>
      <c r="T59" s="313"/>
      <c r="U59" s="313"/>
      <c r="V59" s="313"/>
      <c r="W59" s="313"/>
      <c r="X59" s="313"/>
      <c r="Y59" s="313"/>
      <c r="Z59" s="151"/>
      <c r="AA59" s="151"/>
      <c r="AB59" s="313"/>
      <c r="AC59" s="313"/>
      <c r="AD59" s="313"/>
      <c r="AE59" s="313"/>
      <c r="AF59" s="313"/>
      <c r="AG59" s="313"/>
      <c r="AH59" s="313"/>
      <c r="AI59" s="313"/>
      <c r="AJ59" s="313"/>
      <c r="AK59" s="313"/>
      <c r="AL59" s="313"/>
      <c r="AM59" s="313"/>
      <c r="AN59" s="313"/>
      <c r="AO59" s="313"/>
      <c r="AP59" s="313"/>
      <c r="AQ59" s="313"/>
      <c r="AR59" s="313"/>
      <c r="AS59" s="313"/>
      <c r="AT59" s="313"/>
      <c r="AU59" s="313"/>
      <c r="AV59" s="313"/>
      <c r="AW59" s="313"/>
      <c r="AX59" s="313"/>
      <c r="AY59" s="313"/>
      <c r="AZ59" s="313"/>
      <c r="BA59" s="313"/>
      <c r="BB59" s="313"/>
      <c r="BC59" s="313"/>
      <c r="BD59" s="313"/>
      <c r="BE59" s="313"/>
      <c r="BF59" s="313"/>
      <c r="BG59" s="313"/>
      <c r="BH59" s="313"/>
    </row>
    <row r="60" spans="1:60">
      <c r="A60" s="13"/>
      <c r="B60" s="181"/>
      <c r="C60" s="316"/>
      <c r="D60" s="316"/>
      <c r="E60" s="316"/>
      <c r="F60" s="316"/>
      <c r="G60" s="313"/>
      <c r="H60" s="313"/>
      <c r="I60" s="313"/>
      <c r="J60" s="313"/>
      <c r="K60" s="313"/>
      <c r="L60" s="313"/>
      <c r="M60" s="313"/>
      <c r="N60" s="313"/>
      <c r="O60" s="313"/>
      <c r="P60" s="313"/>
      <c r="Q60" s="313"/>
      <c r="R60" s="313"/>
      <c r="S60" s="313"/>
      <c r="T60" s="313"/>
      <c r="U60" s="313"/>
      <c r="V60" s="313"/>
      <c r="W60" s="313"/>
      <c r="X60" s="313"/>
      <c r="Y60" s="313"/>
      <c r="Z60" s="151"/>
      <c r="AA60" s="151"/>
      <c r="AB60" s="313"/>
      <c r="AC60" s="313"/>
      <c r="AD60" s="313"/>
      <c r="AE60" s="313"/>
      <c r="AF60" s="313"/>
      <c r="AG60" s="313"/>
      <c r="AH60" s="313"/>
      <c r="AI60" s="313"/>
      <c r="AJ60" s="313"/>
      <c r="AK60" s="313"/>
      <c r="AL60" s="313"/>
      <c r="AM60" s="313"/>
      <c r="AN60" s="313"/>
      <c r="AO60" s="313"/>
      <c r="AP60" s="313"/>
      <c r="AQ60" s="313"/>
      <c r="AR60" s="313"/>
      <c r="AS60" s="313"/>
      <c r="AT60" s="313"/>
      <c r="AU60" s="313"/>
      <c r="AV60" s="313"/>
      <c r="AW60" s="313"/>
      <c r="AX60" s="313"/>
      <c r="AY60" s="313"/>
    </row>
    <row r="61" spans="1:60">
      <c r="A61" s="181"/>
      <c r="B61" s="181"/>
      <c r="C61" s="316"/>
      <c r="D61" s="316"/>
      <c r="E61" s="316"/>
      <c r="F61" s="316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13"/>
      <c r="Y61" s="313"/>
      <c r="Z61" s="151"/>
      <c r="AA61" s="151"/>
      <c r="AB61" s="313"/>
      <c r="AC61" s="313"/>
      <c r="AD61" s="313"/>
      <c r="AE61" s="313"/>
      <c r="AF61" s="313"/>
      <c r="AG61" s="313"/>
      <c r="AH61" s="313"/>
      <c r="AI61" s="313"/>
      <c r="AJ61" s="313"/>
      <c r="AK61" s="313"/>
      <c r="AL61" s="313"/>
      <c r="AM61" s="313"/>
      <c r="AN61" s="313"/>
      <c r="AO61" s="313"/>
      <c r="AP61" s="313"/>
      <c r="AQ61" s="313"/>
      <c r="AR61" s="313"/>
      <c r="AS61" s="313"/>
      <c r="AT61" s="313"/>
      <c r="AU61" s="313"/>
      <c r="AV61" s="313"/>
      <c r="AW61" s="313"/>
      <c r="AX61" s="313"/>
      <c r="AY61" s="313"/>
    </row>
    <row r="62" spans="1:60">
      <c r="C62" s="313"/>
      <c r="D62" s="313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  <c r="U62" s="313"/>
      <c r="V62" s="313"/>
      <c r="W62" s="313"/>
      <c r="X62" s="313"/>
      <c r="Y62" s="313"/>
      <c r="Z62" s="151"/>
      <c r="AA62" s="151"/>
      <c r="AB62" s="313"/>
      <c r="AC62" s="313"/>
      <c r="AD62" s="313"/>
      <c r="AE62" s="313"/>
      <c r="AF62" s="313"/>
      <c r="AG62" s="313"/>
      <c r="AH62" s="313"/>
      <c r="AI62" s="313"/>
      <c r="AJ62" s="313"/>
      <c r="AK62" s="313"/>
      <c r="AL62" s="313"/>
      <c r="AM62" s="313"/>
      <c r="AN62" s="313"/>
      <c r="AO62" s="313"/>
      <c r="AP62" s="313"/>
      <c r="AQ62" s="313"/>
      <c r="AR62" s="313"/>
      <c r="AS62" s="313"/>
      <c r="AT62" s="313"/>
      <c r="AU62" s="313"/>
      <c r="AV62" s="313"/>
      <c r="AW62" s="313"/>
      <c r="AX62" s="313"/>
      <c r="AY62" s="313"/>
    </row>
    <row r="63" spans="1:60">
      <c r="C63" s="313"/>
      <c r="D63" s="313"/>
      <c r="E63" s="313"/>
      <c r="F63" s="313"/>
      <c r="G63" s="313"/>
      <c r="H63" s="313"/>
      <c r="I63" s="313"/>
      <c r="J63" s="313"/>
      <c r="K63" s="313"/>
      <c r="L63" s="313"/>
      <c r="M63" s="313"/>
      <c r="N63" s="313"/>
      <c r="O63" s="313"/>
      <c r="P63" s="313"/>
      <c r="Q63" s="313"/>
      <c r="R63" s="313"/>
      <c r="S63" s="313"/>
      <c r="T63" s="313"/>
      <c r="U63" s="313"/>
      <c r="V63" s="313"/>
      <c r="W63" s="313"/>
      <c r="X63" s="313"/>
      <c r="Y63" s="313"/>
      <c r="Z63" s="151"/>
      <c r="AA63" s="151"/>
      <c r="AB63" s="313"/>
      <c r="AC63" s="313"/>
      <c r="AD63" s="313"/>
      <c r="AE63" s="313"/>
      <c r="AF63" s="313"/>
      <c r="AG63" s="313"/>
      <c r="AH63" s="313"/>
      <c r="AI63" s="313"/>
      <c r="AJ63" s="313"/>
      <c r="AK63" s="313"/>
      <c r="AL63" s="313"/>
      <c r="AM63" s="313"/>
      <c r="AN63" s="313"/>
      <c r="AO63" s="313"/>
      <c r="AP63" s="313"/>
      <c r="AQ63" s="313"/>
      <c r="AR63" s="313"/>
      <c r="AS63" s="313"/>
      <c r="AT63" s="313"/>
      <c r="AU63" s="313"/>
      <c r="AV63" s="313"/>
      <c r="AW63" s="313"/>
      <c r="AX63" s="313"/>
      <c r="AY63" s="313"/>
    </row>
    <row r="64" spans="1:60">
      <c r="C64" s="313"/>
      <c r="D64" s="313"/>
      <c r="E64" s="313"/>
      <c r="F64" s="313"/>
      <c r="G64" s="313"/>
      <c r="H64" s="313"/>
      <c r="I64" s="313"/>
      <c r="J64" s="313"/>
      <c r="K64" s="313"/>
      <c r="L64" s="313"/>
      <c r="M64" s="313"/>
      <c r="N64" s="313"/>
      <c r="O64" s="313"/>
      <c r="P64" s="313"/>
      <c r="Q64" s="313"/>
      <c r="R64" s="313"/>
      <c r="S64" s="313"/>
      <c r="T64" s="313"/>
      <c r="U64" s="313"/>
      <c r="V64" s="313"/>
      <c r="W64" s="313"/>
      <c r="X64" s="313"/>
      <c r="Y64" s="313"/>
      <c r="Z64" s="151"/>
      <c r="AA64" s="151"/>
      <c r="AB64" s="313"/>
      <c r="AC64" s="313"/>
      <c r="AD64" s="313"/>
      <c r="AE64" s="313"/>
      <c r="AF64" s="313"/>
      <c r="AG64" s="313"/>
      <c r="AH64" s="313"/>
      <c r="AI64" s="313"/>
      <c r="AJ64" s="313"/>
      <c r="AK64" s="313"/>
      <c r="AL64" s="313"/>
      <c r="AM64" s="313"/>
      <c r="AN64" s="313"/>
      <c r="AO64" s="313"/>
      <c r="AP64" s="313"/>
      <c r="AQ64" s="313"/>
      <c r="AR64" s="313"/>
      <c r="AS64" s="313"/>
      <c r="AT64" s="313"/>
      <c r="AU64" s="313"/>
      <c r="AV64" s="313"/>
      <c r="AW64" s="313"/>
      <c r="AX64" s="313"/>
      <c r="AY64" s="313"/>
    </row>
    <row r="65" spans="3:51">
      <c r="C65" s="313"/>
      <c r="D65" s="313"/>
      <c r="E65" s="313"/>
      <c r="F65" s="313"/>
      <c r="G65" s="313"/>
      <c r="H65" s="313"/>
      <c r="I65" s="313"/>
      <c r="J65" s="313"/>
      <c r="K65" s="313"/>
      <c r="L65" s="313"/>
      <c r="M65" s="313"/>
      <c r="N65" s="313"/>
      <c r="O65" s="313"/>
      <c r="P65" s="313"/>
      <c r="Q65" s="313"/>
      <c r="R65" s="313"/>
      <c r="S65" s="313"/>
      <c r="T65" s="313"/>
      <c r="U65" s="313"/>
      <c r="V65" s="313"/>
      <c r="W65" s="313"/>
      <c r="X65" s="313"/>
      <c r="Y65" s="313"/>
      <c r="Z65" s="151"/>
      <c r="AA65" s="151"/>
      <c r="AB65" s="313"/>
      <c r="AC65" s="313"/>
      <c r="AD65" s="313"/>
      <c r="AE65" s="313"/>
      <c r="AF65" s="313"/>
      <c r="AG65" s="313"/>
      <c r="AH65" s="313"/>
      <c r="AI65" s="313"/>
      <c r="AJ65" s="313"/>
      <c r="AK65" s="313"/>
      <c r="AL65" s="313"/>
      <c r="AM65" s="313"/>
      <c r="AN65" s="313"/>
      <c r="AO65" s="313"/>
      <c r="AP65" s="313"/>
      <c r="AQ65" s="313"/>
      <c r="AR65" s="313"/>
      <c r="AS65" s="313"/>
      <c r="AT65" s="313"/>
      <c r="AU65" s="313"/>
      <c r="AV65" s="313"/>
      <c r="AW65" s="313"/>
      <c r="AX65" s="313"/>
      <c r="AY65" s="313"/>
    </row>
    <row r="66" spans="3:51">
      <c r="C66" s="313"/>
      <c r="D66" s="313"/>
      <c r="E66" s="313"/>
      <c r="F66" s="313"/>
      <c r="G66" s="313"/>
      <c r="H66" s="313"/>
      <c r="I66" s="313"/>
      <c r="J66" s="313"/>
      <c r="K66" s="313"/>
      <c r="L66" s="313"/>
      <c r="M66" s="313"/>
      <c r="N66" s="313"/>
      <c r="O66" s="313"/>
      <c r="P66" s="313"/>
      <c r="Q66" s="313"/>
      <c r="R66" s="313"/>
      <c r="S66" s="313"/>
      <c r="T66" s="313"/>
      <c r="U66" s="313"/>
      <c r="V66" s="313"/>
      <c r="W66" s="313"/>
      <c r="X66" s="313"/>
      <c r="Y66" s="313"/>
      <c r="Z66" s="151"/>
      <c r="AA66" s="151"/>
      <c r="AB66" s="313"/>
      <c r="AC66" s="313"/>
      <c r="AD66" s="313"/>
      <c r="AE66" s="313"/>
      <c r="AF66" s="313"/>
      <c r="AG66" s="313"/>
      <c r="AH66" s="313"/>
      <c r="AI66" s="313"/>
      <c r="AJ66" s="313"/>
      <c r="AK66" s="313"/>
      <c r="AL66" s="313"/>
      <c r="AM66" s="313"/>
      <c r="AN66" s="313"/>
      <c r="AO66" s="313"/>
      <c r="AP66" s="313"/>
      <c r="AQ66" s="313"/>
      <c r="AR66" s="313"/>
      <c r="AS66" s="313"/>
      <c r="AT66" s="313"/>
      <c r="AU66" s="313"/>
      <c r="AV66" s="313"/>
      <c r="AW66" s="313"/>
      <c r="AX66" s="313"/>
      <c r="AY66" s="313"/>
    </row>
    <row r="67" spans="3:51">
      <c r="C67" s="313"/>
      <c r="D67" s="313"/>
      <c r="E67" s="313"/>
      <c r="F67" s="313"/>
      <c r="G67" s="313"/>
      <c r="H67" s="313"/>
      <c r="I67" s="313"/>
      <c r="J67" s="313"/>
      <c r="K67" s="313"/>
      <c r="L67" s="313"/>
      <c r="M67" s="313"/>
      <c r="N67" s="313"/>
      <c r="O67" s="313"/>
      <c r="P67" s="313"/>
      <c r="Q67" s="313"/>
      <c r="R67" s="313"/>
      <c r="S67" s="313"/>
      <c r="T67" s="313"/>
      <c r="U67" s="313"/>
      <c r="V67" s="313"/>
      <c r="W67" s="313"/>
      <c r="X67" s="313"/>
      <c r="Y67" s="313"/>
      <c r="Z67" s="151"/>
      <c r="AA67" s="151"/>
      <c r="AB67" s="313"/>
      <c r="AC67" s="313"/>
      <c r="AD67" s="313"/>
      <c r="AE67" s="313"/>
      <c r="AF67" s="313"/>
      <c r="AG67" s="313"/>
      <c r="AH67" s="313"/>
      <c r="AI67" s="313"/>
      <c r="AJ67" s="313"/>
      <c r="AK67" s="313"/>
      <c r="AL67" s="313"/>
      <c r="AM67" s="313"/>
      <c r="AN67" s="313"/>
      <c r="AO67" s="313"/>
      <c r="AP67" s="313"/>
      <c r="AQ67" s="313"/>
      <c r="AR67" s="313"/>
      <c r="AS67" s="313"/>
      <c r="AT67" s="313"/>
      <c r="AU67" s="313"/>
      <c r="AV67" s="313"/>
      <c r="AW67" s="313"/>
      <c r="AX67" s="313"/>
      <c r="AY67" s="313"/>
    </row>
    <row r="68" spans="3:51">
      <c r="C68" s="313"/>
      <c r="D68" s="313"/>
      <c r="E68" s="313"/>
      <c r="F68" s="313"/>
      <c r="G68" s="313"/>
      <c r="H68" s="313"/>
      <c r="I68" s="313"/>
      <c r="J68" s="313"/>
      <c r="K68" s="313"/>
      <c r="L68" s="313"/>
      <c r="M68" s="313"/>
      <c r="N68" s="313"/>
      <c r="O68" s="313"/>
      <c r="P68" s="313"/>
      <c r="Q68" s="313"/>
      <c r="R68" s="313"/>
      <c r="S68" s="313"/>
      <c r="T68" s="313"/>
      <c r="U68" s="313"/>
      <c r="V68" s="313"/>
      <c r="W68" s="313"/>
      <c r="X68" s="313"/>
      <c r="Y68" s="313"/>
      <c r="Z68" s="151"/>
      <c r="AA68" s="151"/>
      <c r="AB68" s="313"/>
      <c r="AC68" s="313"/>
      <c r="AD68" s="313"/>
      <c r="AE68" s="313"/>
      <c r="AF68" s="313"/>
      <c r="AG68" s="313"/>
      <c r="AH68" s="313"/>
      <c r="AI68" s="313"/>
      <c r="AJ68" s="313"/>
      <c r="AK68" s="313"/>
      <c r="AL68" s="313"/>
      <c r="AM68" s="313"/>
      <c r="AN68" s="313"/>
      <c r="AO68" s="313"/>
      <c r="AP68" s="313"/>
      <c r="AQ68" s="313"/>
      <c r="AR68" s="313"/>
      <c r="AS68" s="313"/>
      <c r="AT68" s="313"/>
      <c r="AU68" s="313"/>
      <c r="AV68" s="313"/>
      <c r="AW68" s="313"/>
      <c r="AX68" s="313"/>
      <c r="AY68" s="313"/>
    </row>
    <row r="69" spans="3:51">
      <c r="C69" s="313"/>
      <c r="D69" s="313"/>
      <c r="E69" s="313"/>
      <c r="F69" s="313"/>
      <c r="G69" s="313"/>
      <c r="H69" s="313"/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  <c r="T69" s="313"/>
      <c r="U69" s="313"/>
      <c r="V69" s="313"/>
      <c r="W69" s="313"/>
      <c r="X69" s="313"/>
      <c r="Y69" s="313"/>
      <c r="Z69" s="151"/>
      <c r="AA69" s="151"/>
      <c r="AB69" s="313"/>
      <c r="AC69" s="313"/>
      <c r="AD69" s="313"/>
      <c r="AE69" s="313"/>
      <c r="AF69" s="313"/>
      <c r="AG69" s="313"/>
      <c r="AH69" s="313"/>
      <c r="AI69" s="313"/>
      <c r="AJ69" s="313"/>
      <c r="AK69" s="313"/>
      <c r="AL69" s="313"/>
      <c r="AM69" s="313"/>
      <c r="AN69" s="313"/>
      <c r="AO69" s="313"/>
      <c r="AP69" s="313"/>
      <c r="AQ69" s="313"/>
      <c r="AR69" s="313"/>
      <c r="AS69" s="313"/>
      <c r="AT69" s="313"/>
      <c r="AU69" s="313"/>
      <c r="AV69" s="313"/>
      <c r="AW69" s="313"/>
      <c r="AX69" s="313"/>
      <c r="AY69" s="313"/>
    </row>
    <row r="70" spans="3:51">
      <c r="C70" s="313"/>
      <c r="D70" s="313"/>
      <c r="E70" s="313"/>
      <c r="F70" s="313"/>
      <c r="G70" s="313"/>
      <c r="H70" s="313"/>
      <c r="I70" s="313"/>
      <c r="J70" s="313"/>
      <c r="K70" s="313"/>
      <c r="L70" s="313"/>
      <c r="M70" s="313"/>
      <c r="N70" s="313"/>
      <c r="O70" s="313"/>
      <c r="P70" s="313"/>
      <c r="Q70" s="313"/>
      <c r="R70" s="313"/>
      <c r="S70" s="313"/>
      <c r="T70" s="313"/>
      <c r="U70" s="313"/>
      <c r="V70" s="313"/>
      <c r="W70" s="313"/>
      <c r="X70" s="313"/>
      <c r="Y70" s="313"/>
      <c r="Z70" s="151"/>
      <c r="AA70" s="151"/>
      <c r="AB70" s="313"/>
      <c r="AC70" s="313"/>
      <c r="AD70" s="313"/>
      <c r="AE70" s="313"/>
      <c r="AF70" s="313"/>
      <c r="AG70" s="313"/>
      <c r="AH70" s="313"/>
      <c r="AI70" s="313"/>
      <c r="AJ70" s="313"/>
      <c r="AK70" s="313"/>
      <c r="AL70" s="313"/>
      <c r="AM70" s="313"/>
      <c r="AN70" s="313"/>
      <c r="AO70" s="313"/>
      <c r="AP70" s="313"/>
      <c r="AQ70" s="313"/>
      <c r="AR70" s="313"/>
      <c r="AS70" s="313"/>
      <c r="AT70" s="313"/>
      <c r="AU70" s="313"/>
      <c r="AV70" s="313"/>
      <c r="AW70" s="313"/>
      <c r="AX70" s="313"/>
      <c r="AY70" s="313"/>
    </row>
    <row r="71" spans="3:51">
      <c r="C71" s="313"/>
      <c r="D71" s="313"/>
      <c r="E71" s="313"/>
      <c r="F71" s="313"/>
      <c r="G71" s="313"/>
      <c r="H71" s="313"/>
      <c r="I71" s="313"/>
      <c r="J71" s="313"/>
      <c r="K71" s="313"/>
      <c r="L71" s="313"/>
      <c r="M71" s="313"/>
      <c r="N71" s="313"/>
      <c r="O71" s="313"/>
      <c r="P71" s="313"/>
      <c r="Q71" s="313"/>
      <c r="R71" s="313"/>
      <c r="S71" s="313"/>
      <c r="T71" s="313"/>
      <c r="U71" s="313"/>
      <c r="V71" s="313"/>
      <c r="W71" s="313"/>
      <c r="X71" s="313"/>
      <c r="Y71" s="313"/>
      <c r="Z71" s="151"/>
      <c r="AA71" s="151"/>
      <c r="AB71" s="313"/>
      <c r="AC71" s="313"/>
      <c r="AD71" s="313"/>
      <c r="AE71" s="313"/>
      <c r="AF71" s="313"/>
      <c r="AG71" s="313"/>
      <c r="AH71" s="313"/>
      <c r="AI71" s="313"/>
      <c r="AJ71" s="313"/>
      <c r="AK71" s="313"/>
      <c r="AL71" s="313"/>
      <c r="AM71" s="313"/>
      <c r="AN71" s="313"/>
      <c r="AO71" s="313"/>
      <c r="AP71" s="313"/>
      <c r="AQ71" s="313"/>
      <c r="AR71" s="313"/>
      <c r="AS71" s="313"/>
      <c r="AT71" s="313"/>
      <c r="AU71" s="313"/>
      <c r="AV71" s="313"/>
      <c r="AW71" s="313"/>
      <c r="AX71" s="313"/>
      <c r="AY71" s="313"/>
    </row>
    <row r="72" spans="3:51">
      <c r="C72" s="313"/>
      <c r="D72" s="313"/>
      <c r="E72" s="313"/>
      <c r="F72" s="313"/>
      <c r="G72" s="313"/>
      <c r="H72" s="313"/>
      <c r="I72" s="313"/>
      <c r="J72" s="313"/>
      <c r="K72" s="313"/>
      <c r="L72" s="313"/>
      <c r="M72" s="313"/>
      <c r="N72" s="313"/>
      <c r="O72" s="313"/>
      <c r="P72" s="313"/>
      <c r="Q72" s="313"/>
      <c r="R72" s="313"/>
      <c r="S72" s="313"/>
      <c r="T72" s="313"/>
      <c r="U72" s="313"/>
      <c r="V72" s="313"/>
      <c r="W72" s="313"/>
      <c r="X72" s="313"/>
      <c r="Y72" s="313"/>
      <c r="Z72" s="151"/>
      <c r="AA72" s="151"/>
      <c r="AB72" s="313"/>
      <c r="AC72" s="313"/>
      <c r="AD72" s="313"/>
      <c r="AE72" s="313"/>
      <c r="AF72" s="313"/>
      <c r="AG72" s="313"/>
      <c r="AH72" s="313"/>
      <c r="AI72" s="313"/>
      <c r="AJ72" s="313"/>
      <c r="AK72" s="313"/>
      <c r="AL72" s="313"/>
      <c r="AM72" s="313"/>
      <c r="AN72" s="313"/>
      <c r="AO72" s="313"/>
      <c r="AP72" s="313"/>
      <c r="AQ72" s="313"/>
      <c r="AR72" s="313"/>
      <c r="AS72" s="313"/>
      <c r="AT72" s="313"/>
      <c r="AU72" s="313"/>
      <c r="AV72" s="313"/>
      <c r="AW72" s="313"/>
      <c r="AX72" s="313"/>
      <c r="AY72" s="313"/>
    </row>
    <row r="73" spans="3:51">
      <c r="C73" s="313"/>
      <c r="D73" s="313"/>
      <c r="E73" s="313"/>
      <c r="F73" s="313"/>
      <c r="G73" s="313"/>
      <c r="H73" s="313"/>
      <c r="I73" s="313"/>
      <c r="J73" s="313"/>
      <c r="K73" s="313"/>
      <c r="L73" s="313"/>
      <c r="M73" s="313"/>
      <c r="N73" s="313"/>
      <c r="O73" s="313"/>
      <c r="P73" s="313"/>
      <c r="Q73" s="313"/>
      <c r="R73" s="313"/>
      <c r="S73" s="313"/>
      <c r="T73" s="313"/>
      <c r="U73" s="313"/>
      <c r="V73" s="313"/>
      <c r="W73" s="313"/>
      <c r="X73" s="313"/>
      <c r="Y73" s="313"/>
      <c r="Z73" s="151"/>
      <c r="AA73" s="151"/>
      <c r="AB73" s="313"/>
      <c r="AC73" s="313"/>
      <c r="AD73" s="313"/>
      <c r="AE73" s="313"/>
      <c r="AF73" s="313"/>
      <c r="AG73" s="313"/>
      <c r="AH73" s="313"/>
      <c r="AI73" s="313"/>
      <c r="AJ73" s="313"/>
      <c r="AK73" s="313"/>
      <c r="AL73" s="313"/>
      <c r="AM73" s="313"/>
      <c r="AN73" s="313"/>
      <c r="AO73" s="313"/>
      <c r="AP73" s="313"/>
      <c r="AQ73" s="313"/>
      <c r="AR73" s="313"/>
      <c r="AS73" s="313"/>
      <c r="AT73" s="313"/>
      <c r="AU73" s="313"/>
      <c r="AV73" s="313"/>
      <c r="AW73" s="313"/>
      <c r="AX73" s="313"/>
      <c r="AY73" s="313"/>
    </row>
    <row r="74" spans="3:51">
      <c r="C74" s="313"/>
      <c r="D74" s="313"/>
      <c r="E74" s="313"/>
      <c r="F74" s="313"/>
      <c r="G74" s="313"/>
      <c r="H74" s="313"/>
      <c r="I74" s="313"/>
      <c r="J74" s="313"/>
      <c r="K74" s="313"/>
      <c r="L74" s="313"/>
      <c r="M74" s="313"/>
      <c r="N74" s="313"/>
      <c r="O74" s="313"/>
      <c r="P74" s="313"/>
      <c r="Q74" s="313"/>
      <c r="R74" s="313"/>
      <c r="S74" s="313"/>
      <c r="T74" s="313"/>
      <c r="U74" s="313"/>
      <c r="V74" s="313"/>
      <c r="W74" s="313"/>
      <c r="X74" s="313"/>
      <c r="Y74" s="313"/>
      <c r="Z74" s="151"/>
      <c r="AA74" s="151"/>
      <c r="AB74" s="313"/>
      <c r="AC74" s="313"/>
      <c r="AD74" s="313"/>
      <c r="AE74" s="313"/>
      <c r="AF74" s="313"/>
      <c r="AG74" s="313"/>
      <c r="AH74" s="313"/>
      <c r="AI74" s="313"/>
      <c r="AJ74" s="313"/>
      <c r="AK74" s="313"/>
      <c r="AL74" s="313"/>
      <c r="AM74" s="313"/>
      <c r="AN74" s="313"/>
      <c r="AO74" s="313"/>
      <c r="AP74" s="313"/>
      <c r="AQ74" s="313"/>
      <c r="AR74" s="313"/>
      <c r="AS74" s="313"/>
      <c r="AT74" s="313"/>
      <c r="AU74" s="313"/>
      <c r="AV74" s="313"/>
      <c r="AW74" s="313"/>
      <c r="AX74" s="313"/>
      <c r="AY74" s="313"/>
    </row>
    <row r="75" spans="3:51">
      <c r="C75" s="313"/>
      <c r="D75" s="313"/>
      <c r="E75" s="313"/>
      <c r="F75" s="313"/>
      <c r="G75" s="313"/>
      <c r="H75" s="313"/>
      <c r="I75" s="313"/>
      <c r="J75" s="313"/>
      <c r="K75" s="313"/>
      <c r="L75" s="313"/>
      <c r="M75" s="313"/>
      <c r="N75" s="313"/>
      <c r="O75" s="313"/>
      <c r="P75" s="313"/>
      <c r="Q75" s="313"/>
      <c r="R75" s="313"/>
      <c r="S75" s="313"/>
      <c r="T75" s="313"/>
      <c r="U75" s="313"/>
      <c r="V75" s="313"/>
      <c r="W75" s="313"/>
      <c r="X75" s="313"/>
      <c r="Y75" s="313"/>
      <c r="Z75" s="151"/>
      <c r="AA75" s="151"/>
      <c r="AB75" s="313"/>
      <c r="AC75" s="313"/>
      <c r="AD75" s="313"/>
      <c r="AE75" s="313"/>
      <c r="AF75" s="313"/>
      <c r="AG75" s="313"/>
      <c r="AH75" s="313"/>
      <c r="AI75" s="313"/>
      <c r="AJ75" s="313"/>
      <c r="AK75" s="313"/>
      <c r="AL75" s="313"/>
      <c r="AM75" s="313"/>
      <c r="AN75" s="313"/>
      <c r="AO75" s="313"/>
      <c r="AP75" s="313"/>
      <c r="AQ75" s="313"/>
      <c r="AR75" s="313"/>
      <c r="AS75" s="313"/>
      <c r="AT75" s="313"/>
      <c r="AU75" s="313"/>
      <c r="AV75" s="313"/>
      <c r="AW75" s="313"/>
      <c r="AX75" s="313"/>
      <c r="AY75" s="313"/>
    </row>
    <row r="76" spans="3:51">
      <c r="C76" s="313"/>
      <c r="D76" s="313"/>
      <c r="E76" s="313"/>
      <c r="F76" s="313"/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13"/>
      <c r="Y76" s="313"/>
      <c r="Z76" s="151"/>
      <c r="AA76" s="151"/>
      <c r="AB76" s="313"/>
      <c r="AC76" s="313"/>
      <c r="AD76" s="313"/>
      <c r="AE76" s="313"/>
      <c r="AF76" s="313"/>
      <c r="AG76" s="313"/>
      <c r="AH76" s="313"/>
      <c r="AI76" s="313"/>
      <c r="AJ76" s="313"/>
      <c r="AK76" s="313"/>
      <c r="AL76" s="313"/>
      <c r="AM76" s="313"/>
      <c r="AN76" s="313"/>
      <c r="AO76" s="313"/>
      <c r="AP76" s="313"/>
      <c r="AQ76" s="313"/>
      <c r="AR76" s="313"/>
      <c r="AS76" s="313"/>
      <c r="AT76" s="313"/>
      <c r="AU76" s="313"/>
      <c r="AV76" s="313"/>
      <c r="AW76" s="313"/>
      <c r="AX76" s="313"/>
      <c r="AY76" s="313"/>
    </row>
    <row r="77" spans="3:51"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13"/>
      <c r="Y77" s="313"/>
      <c r="Z77" s="151"/>
      <c r="AA77" s="151"/>
      <c r="AB77" s="313"/>
      <c r="AC77" s="313"/>
      <c r="AD77" s="313"/>
      <c r="AE77" s="313"/>
      <c r="AF77" s="313"/>
      <c r="AG77" s="313"/>
      <c r="AH77" s="313"/>
      <c r="AI77" s="313"/>
      <c r="AJ77" s="313"/>
      <c r="AK77" s="313"/>
      <c r="AL77" s="313"/>
      <c r="AM77" s="313"/>
      <c r="AN77" s="313"/>
      <c r="AO77" s="313"/>
      <c r="AP77" s="313"/>
      <c r="AQ77" s="313"/>
      <c r="AR77" s="313"/>
      <c r="AS77" s="313"/>
      <c r="AT77" s="313"/>
      <c r="AU77" s="313"/>
      <c r="AV77" s="313"/>
      <c r="AW77" s="313"/>
      <c r="AX77" s="313"/>
      <c r="AY77" s="313"/>
    </row>
    <row r="78" spans="3:51">
      <c r="C78" s="313"/>
      <c r="D78" s="313"/>
      <c r="E78" s="313"/>
      <c r="F78" s="313"/>
      <c r="G78" s="313"/>
      <c r="H78" s="313"/>
      <c r="I78" s="313"/>
      <c r="J78" s="313"/>
      <c r="K78" s="313"/>
      <c r="L78" s="313"/>
      <c r="M78" s="313"/>
      <c r="N78" s="313"/>
      <c r="O78" s="313"/>
      <c r="P78" s="313"/>
      <c r="Q78" s="313"/>
      <c r="R78" s="313"/>
      <c r="S78" s="313"/>
      <c r="T78" s="313"/>
      <c r="U78" s="313"/>
      <c r="V78" s="313"/>
      <c r="W78" s="313"/>
      <c r="X78" s="313"/>
      <c r="Y78" s="313"/>
      <c r="Z78" s="151"/>
      <c r="AA78" s="151"/>
      <c r="AB78" s="313"/>
      <c r="AC78" s="313"/>
      <c r="AD78" s="313"/>
      <c r="AE78" s="313"/>
      <c r="AF78" s="313"/>
      <c r="AG78" s="313"/>
      <c r="AH78" s="313"/>
      <c r="AI78" s="313"/>
      <c r="AJ78" s="313"/>
      <c r="AK78" s="313"/>
      <c r="AL78" s="313"/>
      <c r="AM78" s="313"/>
      <c r="AN78" s="313"/>
      <c r="AO78" s="313"/>
      <c r="AP78" s="313"/>
      <c r="AQ78" s="313"/>
      <c r="AR78" s="313"/>
      <c r="AS78" s="313"/>
      <c r="AT78" s="313"/>
      <c r="AU78" s="313"/>
      <c r="AV78" s="313"/>
      <c r="AW78" s="313"/>
      <c r="AX78" s="313"/>
      <c r="AY78" s="313"/>
    </row>
    <row r="79" spans="3:51">
      <c r="C79" s="313"/>
      <c r="D79" s="313"/>
      <c r="E79" s="313"/>
      <c r="F79" s="313"/>
      <c r="G79" s="313"/>
      <c r="H79" s="313"/>
      <c r="I79" s="313"/>
      <c r="J79" s="313"/>
      <c r="K79" s="313"/>
      <c r="L79" s="313"/>
      <c r="M79" s="313"/>
      <c r="N79" s="313"/>
      <c r="O79" s="313"/>
      <c r="P79" s="313"/>
      <c r="Q79" s="313"/>
      <c r="R79" s="313"/>
      <c r="S79" s="313"/>
      <c r="T79" s="313"/>
      <c r="U79" s="313"/>
      <c r="V79" s="313"/>
      <c r="W79" s="313"/>
      <c r="X79" s="313"/>
      <c r="Y79" s="313"/>
      <c r="Z79" s="151"/>
      <c r="AA79" s="151"/>
      <c r="AB79" s="313"/>
      <c r="AC79" s="313"/>
      <c r="AD79" s="313"/>
      <c r="AE79" s="313"/>
      <c r="AF79" s="313"/>
      <c r="AG79" s="313"/>
      <c r="AH79" s="313"/>
      <c r="AI79" s="313"/>
      <c r="AJ79" s="313"/>
      <c r="AK79" s="313"/>
      <c r="AL79" s="313"/>
      <c r="AM79" s="313"/>
      <c r="AN79" s="313"/>
      <c r="AO79" s="313"/>
      <c r="AP79" s="313"/>
      <c r="AQ79" s="313"/>
      <c r="AR79" s="313"/>
      <c r="AS79" s="313"/>
      <c r="AT79" s="313"/>
      <c r="AU79" s="313"/>
      <c r="AV79" s="313"/>
      <c r="AW79" s="313"/>
      <c r="AX79" s="313"/>
      <c r="AY79" s="313"/>
    </row>
    <row r="80" spans="3:51">
      <c r="C80" s="313"/>
      <c r="D80" s="313"/>
      <c r="E80" s="313"/>
      <c r="F80" s="313"/>
      <c r="G80" s="313"/>
      <c r="H80" s="313"/>
      <c r="I80" s="313"/>
      <c r="J80" s="313"/>
      <c r="K80" s="313"/>
      <c r="L80" s="313"/>
      <c r="M80" s="313"/>
      <c r="N80" s="313"/>
      <c r="O80" s="313"/>
      <c r="P80" s="313"/>
      <c r="Q80" s="313"/>
      <c r="R80" s="313"/>
      <c r="S80" s="313"/>
      <c r="T80" s="313"/>
      <c r="U80" s="313"/>
      <c r="V80" s="313"/>
      <c r="W80" s="313"/>
      <c r="X80" s="313"/>
      <c r="Y80" s="313"/>
      <c r="Z80" s="151"/>
      <c r="AA80" s="151"/>
      <c r="AB80" s="313"/>
      <c r="AC80" s="313"/>
      <c r="AD80" s="313"/>
      <c r="AE80" s="313"/>
      <c r="AF80" s="313"/>
      <c r="AG80" s="313"/>
      <c r="AH80" s="313"/>
      <c r="AI80" s="313"/>
      <c r="AJ80" s="313"/>
      <c r="AK80" s="313"/>
      <c r="AL80" s="313"/>
      <c r="AM80" s="313"/>
      <c r="AN80" s="313"/>
      <c r="AO80" s="313"/>
      <c r="AP80" s="313"/>
      <c r="AQ80" s="313"/>
      <c r="AR80" s="313"/>
      <c r="AS80" s="313"/>
      <c r="AT80" s="313"/>
      <c r="AU80" s="313"/>
      <c r="AV80" s="313"/>
      <c r="AW80" s="313"/>
      <c r="AX80" s="313"/>
      <c r="AY80" s="313"/>
    </row>
    <row r="81" spans="3:51">
      <c r="C81" s="313"/>
      <c r="D81" s="313"/>
      <c r="E81" s="313"/>
      <c r="F81" s="313"/>
      <c r="G81" s="313"/>
      <c r="H81" s="313"/>
      <c r="I81" s="313"/>
      <c r="J81" s="313"/>
      <c r="K81" s="313"/>
      <c r="L81" s="313"/>
      <c r="M81" s="313"/>
      <c r="N81" s="313"/>
      <c r="O81" s="313"/>
      <c r="P81" s="313"/>
      <c r="Q81" s="313"/>
      <c r="R81" s="313"/>
      <c r="S81" s="313"/>
      <c r="T81" s="313"/>
      <c r="U81" s="313"/>
      <c r="V81" s="313"/>
      <c r="W81" s="313"/>
      <c r="X81" s="313"/>
      <c r="Y81" s="313"/>
      <c r="Z81" s="151"/>
      <c r="AA81" s="151"/>
      <c r="AB81" s="313"/>
      <c r="AC81" s="313"/>
      <c r="AD81" s="313"/>
      <c r="AE81" s="313"/>
      <c r="AF81" s="313"/>
      <c r="AG81" s="313"/>
      <c r="AH81" s="313"/>
      <c r="AI81" s="313"/>
      <c r="AJ81" s="313"/>
      <c r="AK81" s="313"/>
      <c r="AL81" s="313"/>
      <c r="AM81" s="313"/>
      <c r="AN81" s="313"/>
      <c r="AO81" s="313"/>
      <c r="AP81" s="313"/>
      <c r="AQ81" s="313"/>
      <c r="AR81" s="313"/>
      <c r="AS81" s="313"/>
      <c r="AT81" s="313"/>
      <c r="AU81" s="313"/>
      <c r="AV81" s="313"/>
      <c r="AW81" s="313"/>
      <c r="AX81" s="313"/>
      <c r="AY81" s="313"/>
    </row>
    <row r="82" spans="3:51">
      <c r="C82" s="313"/>
      <c r="D82" s="313"/>
      <c r="E82" s="313"/>
      <c r="F82" s="313"/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  <c r="T82" s="313"/>
      <c r="U82" s="313"/>
      <c r="V82" s="313"/>
      <c r="W82" s="313"/>
      <c r="X82" s="313"/>
      <c r="Y82" s="313"/>
      <c r="Z82" s="151"/>
      <c r="AA82" s="151"/>
      <c r="AB82" s="313"/>
      <c r="AC82" s="313"/>
      <c r="AD82" s="313"/>
      <c r="AE82" s="313"/>
      <c r="AF82" s="313"/>
      <c r="AG82" s="313"/>
      <c r="AH82" s="313"/>
      <c r="AI82" s="313"/>
      <c r="AJ82" s="313"/>
      <c r="AK82" s="313"/>
      <c r="AL82" s="313"/>
      <c r="AM82" s="313"/>
      <c r="AN82" s="313"/>
      <c r="AO82" s="313"/>
      <c r="AP82" s="313"/>
      <c r="AQ82" s="313"/>
      <c r="AR82" s="313"/>
      <c r="AS82" s="313"/>
      <c r="AT82" s="313"/>
      <c r="AU82" s="313"/>
      <c r="AV82" s="313"/>
      <c r="AW82" s="313"/>
      <c r="AX82" s="313"/>
      <c r="AY82" s="313"/>
    </row>
    <row r="83" spans="3:51">
      <c r="C83" s="313"/>
      <c r="D83" s="313"/>
      <c r="E83" s="313"/>
      <c r="F83" s="313"/>
      <c r="G83" s="313"/>
      <c r="H83" s="313"/>
      <c r="I83" s="313"/>
      <c r="J83" s="313"/>
      <c r="K83" s="313"/>
      <c r="L83" s="313"/>
      <c r="M83" s="313"/>
      <c r="N83" s="313"/>
      <c r="O83" s="313"/>
      <c r="P83" s="313"/>
      <c r="Q83" s="313"/>
      <c r="R83" s="313"/>
      <c r="S83" s="313"/>
      <c r="T83" s="313"/>
      <c r="U83" s="313"/>
      <c r="V83" s="313"/>
      <c r="W83" s="313"/>
      <c r="X83" s="313"/>
      <c r="Y83" s="313"/>
      <c r="Z83" s="151"/>
      <c r="AA83" s="151"/>
      <c r="AB83" s="313"/>
      <c r="AC83" s="313"/>
      <c r="AD83" s="313"/>
      <c r="AE83" s="313"/>
      <c r="AF83" s="313"/>
      <c r="AG83" s="313"/>
      <c r="AH83" s="313"/>
      <c r="AI83" s="313"/>
      <c r="AJ83" s="313"/>
      <c r="AK83" s="313"/>
      <c r="AL83" s="313"/>
      <c r="AM83" s="313"/>
      <c r="AN83" s="313"/>
      <c r="AO83" s="313"/>
      <c r="AP83" s="313"/>
      <c r="AQ83" s="313"/>
      <c r="AR83" s="313"/>
      <c r="AS83" s="313"/>
      <c r="AT83" s="313"/>
      <c r="AU83" s="313"/>
      <c r="AV83" s="313"/>
      <c r="AW83" s="313"/>
      <c r="AX83" s="313"/>
      <c r="AY83" s="313"/>
    </row>
    <row r="84" spans="3:51">
      <c r="C84" s="313"/>
      <c r="D84" s="313"/>
      <c r="E84" s="313"/>
      <c r="F84" s="313"/>
      <c r="G84" s="313"/>
      <c r="H84" s="313"/>
      <c r="I84" s="313"/>
      <c r="J84" s="313"/>
      <c r="K84" s="313"/>
      <c r="L84" s="313"/>
      <c r="M84" s="313"/>
      <c r="N84" s="313"/>
      <c r="O84" s="313"/>
      <c r="P84" s="313"/>
      <c r="Q84" s="313"/>
      <c r="R84" s="313"/>
      <c r="S84" s="313"/>
      <c r="T84" s="313"/>
      <c r="U84" s="313"/>
      <c r="V84" s="313"/>
      <c r="W84" s="313"/>
      <c r="X84" s="313"/>
      <c r="Y84" s="313"/>
      <c r="Z84" s="151"/>
      <c r="AA84" s="151"/>
      <c r="AB84" s="313"/>
      <c r="AC84" s="313"/>
      <c r="AD84" s="313"/>
      <c r="AE84" s="313"/>
      <c r="AF84" s="313"/>
      <c r="AG84" s="313"/>
      <c r="AH84" s="313"/>
      <c r="AI84" s="313"/>
      <c r="AJ84" s="313"/>
      <c r="AK84" s="313"/>
      <c r="AL84" s="313"/>
      <c r="AM84" s="313"/>
      <c r="AN84" s="313"/>
      <c r="AO84" s="313"/>
      <c r="AP84" s="313"/>
      <c r="AQ84" s="313"/>
      <c r="AR84" s="313"/>
      <c r="AS84" s="313"/>
      <c r="AT84" s="313"/>
      <c r="AU84" s="313"/>
      <c r="AV84" s="313"/>
      <c r="AW84" s="313"/>
      <c r="AX84" s="313"/>
      <c r="AY84" s="313"/>
    </row>
    <row r="85" spans="3:51">
      <c r="C85" s="313"/>
      <c r="D85" s="313"/>
      <c r="E85" s="313"/>
      <c r="F85" s="313"/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  <c r="T85" s="313"/>
      <c r="U85" s="313"/>
      <c r="V85" s="313"/>
      <c r="W85" s="313"/>
      <c r="X85" s="313"/>
      <c r="Y85" s="313"/>
      <c r="Z85" s="151"/>
      <c r="AA85" s="151"/>
      <c r="AB85" s="313"/>
      <c r="AC85" s="313"/>
      <c r="AD85" s="313"/>
      <c r="AE85" s="313"/>
      <c r="AF85" s="313"/>
      <c r="AG85" s="313"/>
      <c r="AH85" s="313"/>
      <c r="AI85" s="313"/>
      <c r="AJ85" s="313"/>
      <c r="AK85" s="313"/>
      <c r="AL85" s="313"/>
      <c r="AM85" s="313"/>
      <c r="AN85" s="313"/>
      <c r="AO85" s="313"/>
      <c r="AP85" s="313"/>
      <c r="AQ85" s="313"/>
      <c r="AR85" s="313"/>
      <c r="AS85" s="313"/>
      <c r="AT85" s="313"/>
      <c r="AU85" s="313"/>
      <c r="AV85" s="313"/>
      <c r="AW85" s="313"/>
      <c r="AX85" s="313"/>
      <c r="AY85" s="313"/>
    </row>
    <row r="86" spans="3:51">
      <c r="C86" s="313"/>
      <c r="D86" s="313"/>
      <c r="E86" s="313"/>
      <c r="F86" s="313"/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  <c r="T86" s="313"/>
      <c r="U86" s="313"/>
      <c r="V86" s="313"/>
      <c r="W86" s="313"/>
      <c r="X86" s="313"/>
      <c r="Y86" s="313"/>
      <c r="Z86" s="151"/>
      <c r="AA86" s="151"/>
      <c r="AB86" s="313"/>
      <c r="AC86" s="313"/>
      <c r="AD86" s="313"/>
      <c r="AE86" s="313"/>
      <c r="AF86" s="313"/>
      <c r="AG86" s="313"/>
      <c r="AH86" s="313"/>
      <c r="AI86" s="313"/>
      <c r="AJ86" s="313"/>
      <c r="AK86" s="313"/>
      <c r="AL86" s="313"/>
      <c r="AM86" s="313"/>
      <c r="AN86" s="313"/>
      <c r="AO86" s="313"/>
      <c r="AP86" s="313"/>
      <c r="AQ86" s="313"/>
      <c r="AR86" s="313"/>
      <c r="AS86" s="313"/>
      <c r="AT86" s="313"/>
      <c r="AU86" s="313"/>
      <c r="AV86" s="313"/>
      <c r="AW86" s="313"/>
      <c r="AX86" s="313"/>
      <c r="AY86" s="313"/>
    </row>
    <row r="87" spans="3:51">
      <c r="C87" s="313"/>
      <c r="D87" s="313"/>
      <c r="E87" s="313"/>
      <c r="F87" s="313"/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  <c r="T87" s="313"/>
      <c r="U87" s="313"/>
      <c r="V87" s="313"/>
      <c r="W87" s="313"/>
      <c r="X87" s="313"/>
      <c r="Y87" s="313"/>
      <c r="Z87" s="151"/>
      <c r="AA87" s="151"/>
      <c r="AB87" s="313"/>
      <c r="AC87" s="313"/>
      <c r="AD87" s="313"/>
      <c r="AE87" s="313"/>
      <c r="AF87" s="313"/>
      <c r="AG87" s="313"/>
      <c r="AH87" s="313"/>
      <c r="AI87" s="313"/>
      <c r="AJ87" s="313"/>
      <c r="AK87" s="313"/>
      <c r="AL87" s="313"/>
      <c r="AM87" s="313"/>
      <c r="AN87" s="313"/>
      <c r="AO87" s="313"/>
      <c r="AP87" s="313"/>
      <c r="AQ87" s="313"/>
      <c r="AR87" s="313"/>
      <c r="AS87" s="313"/>
      <c r="AT87" s="313"/>
      <c r="AU87" s="313"/>
      <c r="AV87" s="313"/>
      <c r="AW87" s="313"/>
      <c r="AX87" s="313"/>
      <c r="AY87" s="313"/>
    </row>
    <row r="88" spans="3:51">
      <c r="C88" s="313"/>
      <c r="D88" s="313"/>
      <c r="E88" s="313"/>
      <c r="F88" s="313"/>
      <c r="G88" s="313"/>
      <c r="H88" s="313"/>
      <c r="I88" s="313"/>
      <c r="J88" s="313"/>
      <c r="K88" s="313"/>
      <c r="L88" s="313"/>
      <c r="M88" s="313"/>
      <c r="N88" s="313"/>
      <c r="O88" s="313"/>
      <c r="P88" s="313"/>
      <c r="Q88" s="313"/>
      <c r="R88" s="313"/>
      <c r="S88" s="313"/>
      <c r="T88" s="313"/>
      <c r="U88" s="313"/>
      <c r="V88" s="313"/>
      <c r="W88" s="313"/>
      <c r="X88" s="313"/>
      <c r="Y88" s="313"/>
      <c r="Z88" s="151"/>
      <c r="AA88" s="151"/>
      <c r="AB88" s="313"/>
      <c r="AC88" s="313"/>
      <c r="AD88" s="313"/>
      <c r="AE88" s="313"/>
      <c r="AF88" s="313"/>
      <c r="AG88" s="313"/>
      <c r="AH88" s="313"/>
      <c r="AI88" s="313"/>
      <c r="AJ88" s="313"/>
      <c r="AK88" s="313"/>
      <c r="AL88" s="313"/>
      <c r="AM88" s="313"/>
      <c r="AN88" s="313"/>
      <c r="AO88" s="313"/>
      <c r="AP88" s="313"/>
      <c r="AQ88" s="313"/>
      <c r="AR88" s="313"/>
      <c r="AS88" s="313"/>
      <c r="AT88" s="313"/>
      <c r="AU88" s="313"/>
      <c r="AV88" s="313"/>
      <c r="AW88" s="313"/>
      <c r="AX88" s="313"/>
      <c r="AY88" s="313"/>
    </row>
    <row r="89" spans="3:51">
      <c r="C89" s="313"/>
      <c r="D89" s="313"/>
      <c r="E89" s="313"/>
      <c r="F89" s="313"/>
      <c r="G89" s="313"/>
      <c r="H89" s="313"/>
      <c r="I89" s="313"/>
      <c r="J89" s="313"/>
      <c r="K89" s="313"/>
      <c r="L89" s="313"/>
      <c r="M89" s="313"/>
      <c r="N89" s="313"/>
      <c r="O89" s="313"/>
      <c r="P89" s="313"/>
      <c r="Q89" s="313"/>
      <c r="R89" s="313"/>
      <c r="S89" s="313"/>
      <c r="T89" s="313"/>
      <c r="U89" s="313"/>
      <c r="V89" s="313"/>
      <c r="W89" s="313"/>
      <c r="X89" s="313"/>
      <c r="Y89" s="313"/>
      <c r="Z89" s="151"/>
      <c r="AA89" s="151"/>
      <c r="AB89" s="313"/>
      <c r="AC89" s="313"/>
      <c r="AD89" s="313"/>
      <c r="AE89" s="313"/>
      <c r="AF89" s="313"/>
      <c r="AG89" s="313"/>
      <c r="AH89" s="313"/>
      <c r="AI89" s="313"/>
      <c r="AJ89" s="313"/>
      <c r="AK89" s="313"/>
      <c r="AL89" s="313"/>
      <c r="AM89" s="313"/>
      <c r="AN89" s="313"/>
      <c r="AO89" s="313"/>
      <c r="AP89" s="313"/>
      <c r="AQ89" s="313"/>
      <c r="AR89" s="313"/>
      <c r="AS89" s="313"/>
      <c r="AT89" s="313"/>
      <c r="AU89" s="313"/>
      <c r="AV89" s="313"/>
      <c r="AW89" s="313"/>
      <c r="AX89" s="313"/>
      <c r="AY89" s="313"/>
    </row>
    <row r="90" spans="3:51">
      <c r="C90" s="313"/>
      <c r="D90" s="313"/>
      <c r="E90" s="313"/>
      <c r="F90" s="313"/>
      <c r="G90" s="313"/>
      <c r="H90" s="313"/>
      <c r="I90" s="313"/>
      <c r="J90" s="313"/>
      <c r="K90" s="313"/>
      <c r="L90" s="313"/>
      <c r="M90" s="313"/>
      <c r="N90" s="313"/>
      <c r="O90" s="313"/>
      <c r="P90" s="313"/>
      <c r="Q90" s="313"/>
      <c r="R90" s="313"/>
      <c r="S90" s="313"/>
      <c r="T90" s="313"/>
      <c r="U90" s="313"/>
      <c r="V90" s="313"/>
      <c r="W90" s="313"/>
      <c r="X90" s="313"/>
      <c r="Y90" s="313"/>
      <c r="Z90" s="151"/>
      <c r="AA90" s="151"/>
      <c r="AB90" s="313"/>
      <c r="AC90" s="313"/>
      <c r="AD90" s="313"/>
      <c r="AE90" s="313"/>
      <c r="AF90" s="313"/>
      <c r="AG90" s="313"/>
      <c r="AH90" s="313"/>
      <c r="AI90" s="313"/>
      <c r="AJ90" s="313"/>
      <c r="AK90" s="313"/>
      <c r="AL90" s="313"/>
      <c r="AM90" s="313"/>
      <c r="AN90" s="313"/>
      <c r="AO90" s="313"/>
      <c r="AP90" s="313"/>
      <c r="AQ90" s="313"/>
      <c r="AR90" s="313"/>
      <c r="AS90" s="313"/>
      <c r="AT90" s="313"/>
      <c r="AU90" s="313"/>
      <c r="AV90" s="313"/>
      <c r="AW90" s="313"/>
      <c r="AX90" s="313"/>
      <c r="AY90" s="313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zoomScale="75" zoomScaleNormal="75" workbookViewId="0">
      <selection activeCell="L15" sqref="L15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7" t="str">
        <f>Assumptions!A3</f>
        <v>PROJECT NAME: Calpine</v>
      </c>
      <c r="Y2" s="6"/>
      <c r="Z2" s="6"/>
    </row>
    <row r="3" spans="1:35">
      <c r="Y3" s="6"/>
      <c r="Z3" s="6"/>
    </row>
    <row r="4" spans="1:35" ht="18.75">
      <c r="A4" s="60" t="s">
        <v>388</v>
      </c>
      <c r="Y4" s="6"/>
      <c r="Z4" s="6"/>
    </row>
    <row r="5" spans="1:35">
      <c r="Y5" s="6"/>
      <c r="Z5" s="6"/>
    </row>
    <row r="6" spans="1:35">
      <c r="B6" s="215">
        <v>0</v>
      </c>
      <c r="C6" s="215">
        <f>'Price_Technical Assumption'!D7</f>
        <v>0.58333333333333337</v>
      </c>
      <c r="D6" s="215">
        <f>'Price_Technical Assumption'!E7</f>
        <v>1.5833333333333335</v>
      </c>
      <c r="E6" s="215">
        <f>'Price_Technical Assumption'!F7</f>
        <v>2.5833333333333335</v>
      </c>
      <c r="F6" s="215">
        <f>'Price_Technical Assumption'!G7</f>
        <v>3.5833333333333335</v>
      </c>
      <c r="G6" s="215">
        <f>'Price_Technical Assumption'!H7</f>
        <v>4.5833333333333339</v>
      </c>
      <c r="H6" s="215">
        <f>'Price_Technical Assumption'!I7</f>
        <v>5.5833333333333339</v>
      </c>
      <c r="I6" s="215">
        <f>'Price_Technical Assumption'!J7</f>
        <v>6.5833333333333339</v>
      </c>
      <c r="J6" s="215">
        <f>'Price_Technical Assumption'!K7</f>
        <v>7.5833333333333339</v>
      </c>
      <c r="K6" s="215">
        <f>'Price_Technical Assumption'!L7</f>
        <v>8.5833333333333339</v>
      </c>
      <c r="L6" s="215">
        <f>'Price_Technical Assumption'!M7</f>
        <v>9.5833333333333339</v>
      </c>
      <c r="M6" s="215">
        <f>'Price_Technical Assumption'!N7</f>
        <v>10.583333333333334</v>
      </c>
      <c r="N6" s="215">
        <f>'Price_Technical Assumption'!O7</f>
        <v>11.583333333333334</v>
      </c>
      <c r="O6" s="215">
        <f>'Price_Technical Assumption'!P7</f>
        <v>12.583333333333334</v>
      </c>
      <c r="P6" s="215">
        <f>'Price_Technical Assumption'!Q7</f>
        <v>13.583333333333334</v>
      </c>
      <c r="Q6" s="215">
        <f>'Price_Technical Assumption'!R7</f>
        <v>14.583333333333334</v>
      </c>
      <c r="R6" s="215">
        <f>'Price_Technical Assumption'!S7</f>
        <v>15.583333333333334</v>
      </c>
      <c r="S6" s="215">
        <f>'Price_Technical Assumption'!T7</f>
        <v>16.583333333333336</v>
      </c>
      <c r="T6" s="215">
        <f>'Price_Technical Assumption'!U7</f>
        <v>17.583333333333336</v>
      </c>
      <c r="U6" s="215">
        <f>'Price_Technical Assumption'!V7</f>
        <v>18.583333333333336</v>
      </c>
      <c r="V6" s="215">
        <f>'Price_Technical Assumption'!W7</f>
        <v>19.583333333333336</v>
      </c>
      <c r="W6" s="215">
        <f>'Price_Technical Assumption'!X7</f>
        <v>20.583333333333336</v>
      </c>
      <c r="X6" s="215">
        <f>'Price_Technical Assumption'!Y7</f>
        <v>21.583333333333336</v>
      </c>
      <c r="Y6" s="215">
        <f>'Price_Technical Assumption'!Z7</f>
        <v>22.583333333333336</v>
      </c>
      <c r="Z6" s="215">
        <f>'Price_Technical Assumption'!AA7</f>
        <v>23.583333333333336</v>
      </c>
      <c r="AA6" s="215">
        <f>'Price_Technical Assumption'!AB7</f>
        <v>24.583333333333336</v>
      </c>
      <c r="AB6" s="215">
        <f>'Price_Technical Assumption'!AC7</f>
        <v>25.583333333333336</v>
      </c>
      <c r="AC6" s="215">
        <f>'Price_Technical Assumption'!AD7</f>
        <v>26.583333333333336</v>
      </c>
      <c r="AD6" s="215">
        <f>'Price_Technical Assumption'!AE7</f>
        <v>27.583333333333336</v>
      </c>
      <c r="AE6" s="215">
        <f>'Price_Technical Assumption'!AF7</f>
        <v>28.583333333333336</v>
      </c>
      <c r="AF6" s="215">
        <f>'Price_Technical Assumption'!AG7</f>
        <v>29.583333333333336</v>
      </c>
      <c r="AG6" s="215">
        <f>'Price_Technical Assumption'!AH7</f>
        <v>30.583333333333336</v>
      </c>
    </row>
    <row r="7" spans="1:35" ht="13.5" thickBot="1">
      <c r="A7" s="123" t="s">
        <v>40</v>
      </c>
      <c r="B7" s="7" t="s">
        <v>258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8"/>
      <c r="B8" s="150">
        <f>Assumptions!G46</f>
        <v>36617</v>
      </c>
      <c r="C8" s="150">
        <f>BS!D8</f>
        <v>37256.0625</v>
      </c>
      <c r="D8" s="150">
        <f>BS!E8</f>
        <v>37621.3125</v>
      </c>
      <c r="E8" s="150">
        <f>BS!F8</f>
        <v>37986.5625</v>
      </c>
      <c r="F8" s="150">
        <f>BS!G8</f>
        <v>38351.8125</v>
      </c>
      <c r="G8" s="150">
        <f>BS!H8</f>
        <v>38717.0625</v>
      </c>
      <c r="H8" s="150">
        <f>BS!I8</f>
        <v>39082.3125</v>
      </c>
      <c r="I8" s="150">
        <f>BS!J8</f>
        <v>39447.5625</v>
      </c>
      <c r="J8" s="150">
        <f>BS!K8</f>
        <v>39812.8125</v>
      </c>
      <c r="K8" s="150">
        <f>BS!L8</f>
        <v>40178.0625</v>
      </c>
      <c r="L8" s="150">
        <f>BS!M8</f>
        <v>40543.3125</v>
      </c>
      <c r="M8" s="150">
        <f>BS!N8</f>
        <v>40908.5625</v>
      </c>
      <c r="N8" s="150">
        <f>BS!O8</f>
        <v>41273.8125</v>
      </c>
      <c r="O8" s="150">
        <f>BS!P8</f>
        <v>41639.0625</v>
      </c>
      <c r="P8" s="150">
        <f>BS!Q8</f>
        <v>42004.3125</v>
      </c>
      <c r="Q8" s="150">
        <f>BS!R8</f>
        <v>42369.5625</v>
      </c>
      <c r="R8" s="150">
        <f>BS!S8</f>
        <v>42734.8125</v>
      </c>
      <c r="S8" s="150">
        <f>BS!T8</f>
        <v>43100.0625</v>
      </c>
      <c r="T8" s="150">
        <f>BS!U8</f>
        <v>43465.3125</v>
      </c>
      <c r="U8" s="150">
        <f>BS!V8</f>
        <v>43830.5625</v>
      </c>
      <c r="V8" s="150">
        <f>BS!W8</f>
        <v>44195.8125</v>
      </c>
      <c r="W8" s="150">
        <f>BS!X8</f>
        <v>44561.0625</v>
      </c>
      <c r="X8" s="150">
        <f>BS!Y8</f>
        <v>44926.3125</v>
      </c>
      <c r="Y8" s="150">
        <f>BS!Z8</f>
        <v>45291.5625</v>
      </c>
      <c r="Z8" s="150">
        <f>BS!AA8</f>
        <v>45656.8125</v>
      </c>
      <c r="AA8" s="150">
        <f>BS!AB8</f>
        <v>46022.0625</v>
      </c>
      <c r="AB8" s="150">
        <f>BS!AC8</f>
        <v>46387.3125</v>
      </c>
      <c r="AC8" s="150">
        <f>BS!AD8</f>
        <v>46752.5625</v>
      </c>
      <c r="AD8" s="150">
        <f>BS!AE8</f>
        <v>47117.8125</v>
      </c>
      <c r="AE8" s="150">
        <f>BS!AF8</f>
        <v>47483.0625</v>
      </c>
      <c r="AF8" s="150">
        <f>BS!AG8</f>
        <v>47848.3125</v>
      </c>
      <c r="AG8" s="150">
        <f>BS!AH8</f>
        <v>48213.5625</v>
      </c>
    </row>
    <row r="9" spans="1:35">
      <c r="A9" s="128"/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150"/>
      <c r="R9" s="150"/>
      <c r="S9" s="150"/>
      <c r="T9" s="150"/>
      <c r="U9" s="150"/>
      <c r="V9" s="150"/>
      <c r="W9" s="150"/>
      <c r="X9" s="150"/>
      <c r="Y9" s="150"/>
      <c r="Z9" s="150"/>
      <c r="AA9" s="150"/>
      <c r="AB9" s="150"/>
      <c r="AC9" s="150"/>
      <c r="AD9" s="150"/>
      <c r="AE9" s="150"/>
      <c r="AF9" s="150"/>
      <c r="AG9" s="150"/>
    </row>
    <row r="10" spans="1:35" ht="13.5" customHeight="1" outlineLevel="1">
      <c r="A10" s="87"/>
      <c r="B10" s="2"/>
      <c r="C10" s="9"/>
      <c r="D10" s="9"/>
      <c r="E10" s="9"/>
      <c r="F10" s="9"/>
      <c r="G10" s="9"/>
      <c r="H10" s="9"/>
      <c r="I10" s="164"/>
      <c r="J10" s="164"/>
      <c r="K10" s="165"/>
      <c r="L10" s="165"/>
      <c r="M10" s="164"/>
      <c r="N10" s="164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49</v>
      </c>
      <c r="B11" s="18">
        <v>0</v>
      </c>
      <c r="C11" s="18">
        <f>IS!C32</f>
        <v>8974.1666666666642</v>
      </c>
      <c r="D11" s="18">
        <f>IS!D32</f>
        <v>15627.680000000002</v>
      </c>
      <c r="E11" s="18">
        <f>IS!E32</f>
        <v>15584.170399999999</v>
      </c>
      <c r="F11" s="18">
        <f>IS!F32</f>
        <v>15539.437111999994</v>
      </c>
      <c r="G11" s="18">
        <f>IS!G32</f>
        <v>15493.445057360001</v>
      </c>
      <c r="H11" s="18">
        <f>IS!H32</f>
        <v>15446.1581377208</v>
      </c>
      <c r="I11" s="18">
        <f>IS!I32</f>
        <v>15397.539205065224</v>
      </c>
      <c r="J11" s="18">
        <f>IS!J32</f>
        <v>15347.550030894236</v>
      </c>
      <c r="K11" s="18">
        <f>IS!K32</f>
        <v>15296.151274491662</v>
      </c>
      <c r="L11" s="18">
        <f>IS!L32</f>
        <v>15243.302450250416</v>
      </c>
      <c r="M11" s="18">
        <f>IS!M32</f>
        <v>15188.96189403242</v>
      </c>
      <c r="N11" s="18">
        <f>IS!N32</f>
        <v>15133.086728533372</v>
      </c>
      <c r="O11" s="18">
        <f>IS!O32</f>
        <v>15075.632827622952</v>
      </c>
      <c r="P11" s="18">
        <f>IS!P32</f>
        <v>15016.554779629889</v>
      </c>
      <c r="Q11" s="18">
        <f>IS!Q32</f>
        <v>14955.805849540606</v>
      </c>
      <c r="R11" s="18">
        <f>IS!R32</f>
        <v>14893.337940079073</v>
      </c>
      <c r="S11" s="18">
        <f>IS!S32</f>
        <v>14829.101551634742</v>
      </c>
      <c r="T11" s="18">
        <f>IS!T32</f>
        <v>14763.045741004144</v>
      </c>
      <c r="U11" s="18">
        <f>IS!U32</f>
        <v>14695.118078911039</v>
      </c>
      <c r="V11" s="18">
        <f>IS!V32</f>
        <v>14625.264606268673</v>
      </c>
      <c r="W11" s="18">
        <f>IS!W32</f>
        <v>4279.8055494658402</v>
      </c>
      <c r="X11" s="18">
        <f>IS!X32</f>
        <v>-2734.4435275948344</v>
      </c>
      <c r="Y11" s="18">
        <f>IS!Y32</f>
        <v>-2810.4141680470893</v>
      </c>
      <c r="Z11" s="18">
        <f>IS!Z32</f>
        <v>-2888.5426744053948</v>
      </c>
      <c r="AA11" s="18">
        <f>IS!AA32</f>
        <v>-2968.8913575807937</v>
      </c>
      <c r="AB11" s="18">
        <f>IS!AB32</f>
        <v>-3051.5243493103162</v>
      </c>
      <c r="AC11" s="18">
        <f>IS!AC32</f>
        <v>-3136.507655811768</v>
      </c>
      <c r="AD11" s="18">
        <f>IS!AD32</f>
        <v>-3223.9092130287054</v>
      </c>
      <c r="AE11" s="18">
        <f>IS!AE32</f>
        <v>-3313.7989435130003</v>
      </c>
      <c r="AF11" s="18">
        <f>IS!AF32</f>
        <v>-3406.2488149936944</v>
      </c>
      <c r="AG11" s="18">
        <f>IS!AG32</f>
        <v>-3501.332900682316</v>
      </c>
    </row>
    <row r="12" spans="1:35">
      <c r="A12" s="45" t="s">
        <v>81</v>
      </c>
      <c r="B12" s="452">
        <v>0</v>
      </c>
      <c r="C12" s="452">
        <f>IF(Assumptions!C12=0,0,-(Debt!B36))</f>
        <v>0</v>
      </c>
      <c r="D12" s="452">
        <f>IF(Assumptions!$C$12=0,0,-(Debt!B44+Debt!C27+Debt!C36))</f>
        <v>0</v>
      </c>
      <c r="E12" s="452">
        <f>IF(Assumptions!$C$12=0,0,-(Debt!C44+Debt!D27+Debt!D36))</f>
        <v>0</v>
      </c>
      <c r="F12" s="452">
        <f>IF(Assumptions!$C$12=0,0,-(Debt!D44+Debt!E27+Debt!E36))</f>
        <v>0</v>
      </c>
      <c r="G12" s="452">
        <f>IF(Assumptions!$C$12=0,0,-(Debt!E44+Debt!F27+Debt!F36))</f>
        <v>0</v>
      </c>
      <c r="H12" s="452">
        <f>IF(Assumptions!$C$12=0,0,-(Debt!F44+Debt!G27+Debt!G36))</f>
        <v>0</v>
      </c>
      <c r="I12" s="452">
        <f>IF(Assumptions!$C$12=0,0,-(Debt!G44+Debt!H27+Debt!H36))</f>
        <v>0</v>
      </c>
      <c r="J12" s="452">
        <f>IF(Assumptions!$C$12=0,0,-(Debt!H44+Debt!I27+Debt!I36))</f>
        <v>0</v>
      </c>
      <c r="K12" s="452">
        <f>IF(Assumptions!$C$12=0,0,-(Debt!I44+Debt!J27+Debt!J36))</f>
        <v>0</v>
      </c>
      <c r="L12" s="452">
        <f>IF(Assumptions!$C$12=0,0,-(Debt!J44+Debt!K27+Debt!K36))</f>
        <v>0</v>
      </c>
      <c r="M12" s="452">
        <f>IF(Assumptions!$C$12=0,0,-(Debt!K44+Debt!L27+Debt!L36))</f>
        <v>0</v>
      </c>
      <c r="N12" s="452">
        <f>IF(Assumptions!$C$12=0,0,-(Debt!L44+Debt!M27+Debt!M36))</f>
        <v>0</v>
      </c>
      <c r="O12" s="452">
        <f>IF(Assumptions!$C$12=0,0,-(Debt!M44+Debt!N27+Debt!N36))</f>
        <v>0</v>
      </c>
      <c r="P12" s="452">
        <f>IF(Assumptions!$C$12=0,0,-(Debt!N44+Debt!O27+Debt!O36))</f>
        <v>0</v>
      </c>
      <c r="Q12" s="452">
        <f>IF(Assumptions!$C$12=0,0,-(Debt!O44+Debt!P27+Debt!P36))</f>
        <v>0</v>
      </c>
      <c r="R12" s="452">
        <f>IF(Assumptions!$C$12=0,0,-(Debt!P44+Debt!Q27+Debt!Q36))</f>
        <v>0</v>
      </c>
      <c r="S12" s="452">
        <f>IF(Assumptions!$C$12=0,0,-(Debt!Q44+Debt!R27+Debt!R36))</f>
        <v>0</v>
      </c>
      <c r="T12" s="452">
        <f>IF(Assumptions!$C$12=0,0,-(Debt!R44+Debt!S27+Debt!S36))</f>
        <v>0</v>
      </c>
      <c r="U12" s="452">
        <f>IF(Assumptions!$C$12=0,0,-(Debt!S44+Debt!T27+Debt!T36))</f>
        <v>0</v>
      </c>
      <c r="V12" s="452">
        <f>IF(Assumptions!$C$12=0,0,-(Debt!T44+Debt!U27+Debt!U36))</f>
        <v>0</v>
      </c>
      <c r="W12" s="452">
        <f>IF(Assumptions!$C$12=0,0,-(Debt!U44+Debt!V27+Debt!V36))</f>
        <v>0</v>
      </c>
      <c r="X12" s="452">
        <f>IF(Assumptions!$C$12=0,0,-(Debt!V44+Debt!W27+Debt!W36))</f>
        <v>0</v>
      </c>
      <c r="Y12" s="452">
        <f>IF(Assumptions!$C$12=0,0,-(Debt!W44+Debt!X27+Debt!X36))</f>
        <v>0</v>
      </c>
      <c r="Z12" s="452">
        <f>IF(Assumptions!$C$12=0,0,-(Debt!X44+Debt!Y27+Debt!Y36))</f>
        <v>0</v>
      </c>
      <c r="AA12" s="452">
        <f>IF(Assumptions!$C$12=0,0,-(Debt!Y44+Debt!Z27+Debt!Z36))</f>
        <v>0</v>
      </c>
      <c r="AB12" s="452">
        <f>IF(Assumptions!$C$12=0,0,-(Debt!Z44+Debt!AA27+Debt!AA36))</f>
        <v>0</v>
      </c>
      <c r="AC12" s="452">
        <f>IF(Assumptions!$C$12=0,0,-(Debt!AA44+Debt!AB27+Debt!AB36))</f>
        <v>0</v>
      </c>
      <c r="AD12" s="452">
        <f>IF(Assumptions!$C$12=0,0,-(Debt!AB44+Debt!AC27+Debt!AC36))</f>
        <v>0</v>
      </c>
      <c r="AE12" s="452">
        <f>IF(Assumptions!$C$12=0,0,-(Debt!AC44+Debt!AD27+Debt!AD36))</f>
        <v>0</v>
      </c>
      <c r="AF12" s="452">
        <f>IF(Assumptions!$C$12=0,0,-(Debt!AD44+Debt!AE27+Debt!AE36))</f>
        <v>0</v>
      </c>
      <c r="AG12" s="452">
        <f>IF(Assumptions!$C$12=0,0,-(Debt!AE44+Debt!AF27+Debt!AF36))</f>
        <v>0</v>
      </c>
      <c r="AH12" s="13"/>
      <c r="AI12" s="13"/>
    </row>
    <row r="13" spans="1:35">
      <c r="A13" s="45" t="s">
        <v>359</v>
      </c>
      <c r="B13" s="64">
        <f>SUM(B11:B12)</f>
        <v>0</v>
      </c>
      <c r="C13" s="64">
        <f t="shared" ref="C13:AG13" si="0">SUM(C11:C12)</f>
        <v>8974.1666666666642</v>
      </c>
      <c r="D13" s="64">
        <f t="shared" si="0"/>
        <v>15627.680000000002</v>
      </c>
      <c r="E13" s="64">
        <f t="shared" si="0"/>
        <v>15584.170399999999</v>
      </c>
      <c r="F13" s="64">
        <f t="shared" si="0"/>
        <v>15539.437111999994</v>
      </c>
      <c r="G13" s="64">
        <f t="shared" si="0"/>
        <v>15493.445057360001</v>
      </c>
      <c r="H13" s="64">
        <f t="shared" si="0"/>
        <v>15446.1581377208</v>
      </c>
      <c r="I13" s="64">
        <f t="shared" si="0"/>
        <v>15397.539205065224</v>
      </c>
      <c r="J13" s="64">
        <f t="shared" si="0"/>
        <v>15347.550030894236</v>
      </c>
      <c r="K13" s="64">
        <f t="shared" si="0"/>
        <v>15296.151274491662</v>
      </c>
      <c r="L13" s="64">
        <f t="shared" si="0"/>
        <v>15243.302450250416</v>
      </c>
      <c r="M13" s="64">
        <f t="shared" si="0"/>
        <v>15188.96189403242</v>
      </c>
      <c r="N13" s="64">
        <f t="shared" si="0"/>
        <v>15133.086728533372</v>
      </c>
      <c r="O13" s="64">
        <f t="shared" si="0"/>
        <v>15075.632827622952</v>
      </c>
      <c r="P13" s="64">
        <f t="shared" si="0"/>
        <v>15016.554779629889</v>
      </c>
      <c r="Q13" s="64">
        <f t="shared" si="0"/>
        <v>14955.805849540606</v>
      </c>
      <c r="R13" s="64">
        <f t="shared" si="0"/>
        <v>14893.337940079073</v>
      </c>
      <c r="S13" s="64">
        <f t="shared" si="0"/>
        <v>14829.101551634742</v>
      </c>
      <c r="T13" s="64">
        <f t="shared" si="0"/>
        <v>14763.045741004144</v>
      </c>
      <c r="U13" s="64">
        <f t="shared" si="0"/>
        <v>14695.118078911039</v>
      </c>
      <c r="V13" s="64">
        <f t="shared" si="0"/>
        <v>14625.264606268673</v>
      </c>
      <c r="W13" s="64">
        <f t="shared" si="0"/>
        <v>4279.8055494658402</v>
      </c>
      <c r="X13" s="64">
        <f t="shared" si="0"/>
        <v>-2734.4435275948344</v>
      </c>
      <c r="Y13" s="64">
        <f t="shared" si="0"/>
        <v>-2810.4141680470893</v>
      </c>
      <c r="Z13" s="64">
        <f t="shared" si="0"/>
        <v>-2888.5426744053948</v>
      </c>
      <c r="AA13" s="64">
        <f t="shared" si="0"/>
        <v>-2968.8913575807937</v>
      </c>
      <c r="AB13" s="64">
        <f t="shared" si="0"/>
        <v>-3051.5243493103162</v>
      </c>
      <c r="AC13" s="64">
        <f t="shared" si="0"/>
        <v>-3136.507655811768</v>
      </c>
      <c r="AD13" s="64">
        <f t="shared" si="0"/>
        <v>-3223.9092130287054</v>
      </c>
      <c r="AE13" s="64">
        <f t="shared" si="0"/>
        <v>-3313.7989435130003</v>
      </c>
      <c r="AF13" s="64">
        <f t="shared" si="0"/>
        <v>-3406.2488149936944</v>
      </c>
      <c r="AG13" s="64">
        <f t="shared" si="0"/>
        <v>-3501.332900682316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360</v>
      </c>
      <c r="B15" s="18">
        <v>0</v>
      </c>
      <c r="C15" s="18">
        <f>-Taxes!B24-Taxes!B41</f>
        <v>-1485.6074527267278</v>
      </c>
      <c r="D15" s="18">
        <f>-Taxes!C24-Taxes!C41</f>
        <v>-2288.659288514119</v>
      </c>
      <c r="E15" s="18">
        <f>-Taxes!D24-Taxes!D41</f>
        <v>-2633.9875368627054</v>
      </c>
      <c r="F15" s="18">
        <f>-Taxes!E24-Taxes!E41</f>
        <v>-2940.6701013284933</v>
      </c>
      <c r="G15" s="18">
        <f>-Taxes!F24-Taxes!F41</f>
        <v>-3216.3254513651264</v>
      </c>
      <c r="H15" s="18">
        <f>-Taxes!G24-Taxes!G41</f>
        <v>-3620.3451815994131</v>
      </c>
      <c r="I15" s="18">
        <f>-Taxes!H24-Taxes!H41</f>
        <v>-3838.185554154169</v>
      </c>
      <c r="J15" s="18">
        <f>-Taxes!I24-Taxes!I41</f>
        <v>-3814.5986642416642</v>
      </c>
      <c r="K15" s="18">
        <f>-Taxes!J24-Taxes!J41</f>
        <v>-3798.0866276123256</v>
      </c>
      <c r="L15" s="18">
        <f>-Taxes!K24-Taxes!K41</f>
        <v>-3773.3687460970332</v>
      </c>
      <c r="M15" s="18">
        <f>-Taxes!L24-Taxes!L41</f>
        <v>-3755.6932276406951</v>
      </c>
      <c r="N15" s="18">
        <f>-Taxes!M24-Taxes!M41</f>
        <v>-3729.7784281579416</v>
      </c>
      <c r="O15" s="18">
        <f>-Taxes!N24-Taxes!N41</f>
        <v>-3710.8715818757505</v>
      </c>
      <c r="P15" s="18">
        <f>-Taxes!O24-Taxes!O41</f>
        <v>-3683.6900423666148</v>
      </c>
      <c r="Q15" s="18">
        <f>-Taxes!P24-Taxes!P41</f>
        <v>-3663.4800120441823</v>
      </c>
      <c r="R15" s="18">
        <f>-Taxes!Q24-Taxes!Q41</f>
        <v>-4764.5445545767097</v>
      </c>
      <c r="S15" s="18">
        <f>-Taxes!R24-Taxes!R41</f>
        <v>-5864.9096636715403</v>
      </c>
      <c r="T15" s="18">
        <f>-Taxes!S24-Taxes!S41</f>
        <v>-5838.7845905671393</v>
      </c>
      <c r="U15" s="18">
        <f>-Taxes!T24-Taxes!T41</f>
        <v>-5811.919200209315</v>
      </c>
      <c r="V15" s="18">
        <f>-Taxes!U24-Taxes!U41</f>
        <v>-5784.2921517792593</v>
      </c>
      <c r="W15" s="18">
        <f>-Taxes!V24-Taxes!V41</f>
        <v>-1692.6630948137399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82</v>
      </c>
      <c r="B16" s="64">
        <v>0</v>
      </c>
      <c r="C16" s="23">
        <f>IF(Assumptions!$C$12=0,0,-Debt!B48)</f>
        <v>0</v>
      </c>
      <c r="D16" s="23">
        <f>IF(Assumptions!$C$12=0,0,-Debt!C48)</f>
        <v>0</v>
      </c>
      <c r="E16" s="23">
        <f>IF(Assumptions!$C$12=0,0,-Debt!D48)</f>
        <v>0</v>
      </c>
      <c r="F16" s="23">
        <f>IF(Assumptions!$C$12=0,0,-Debt!E48)</f>
        <v>0</v>
      </c>
      <c r="G16" s="23">
        <f>IF(Assumptions!$C$12=0,0,-Debt!F48)</f>
        <v>0</v>
      </c>
      <c r="H16" s="23">
        <f>IF(Assumptions!$C$12=0,0,-Debt!G48)</f>
        <v>0</v>
      </c>
      <c r="I16" s="23">
        <f>IF(Assumptions!$C$12=0,0,-Debt!H48)</f>
        <v>0</v>
      </c>
      <c r="J16" s="23">
        <f>IF(Assumptions!$C$12=0,0,-Debt!I48)</f>
        <v>0</v>
      </c>
      <c r="K16" s="23">
        <f>IF(Assumptions!$C$12=0,0,-Debt!J48)</f>
        <v>0</v>
      </c>
      <c r="L16" s="23">
        <f>IF(Assumptions!$C$12=0,0,-Debt!K48)</f>
        <v>0</v>
      </c>
      <c r="M16" s="23">
        <f>IF(Assumptions!$C$12=0,0,-Debt!L48)</f>
        <v>0</v>
      </c>
      <c r="N16" s="23">
        <f>IF(Assumptions!$C$12=0,0,-Debt!M48)</f>
        <v>0</v>
      </c>
      <c r="O16" s="23">
        <f>IF(Assumptions!$C$12=0,0,-Debt!N48)</f>
        <v>0</v>
      </c>
      <c r="P16" s="23">
        <f>IF(Assumptions!$C$12=0,0,-Debt!O48)</f>
        <v>0</v>
      </c>
      <c r="Q16" s="23">
        <f>IF(Assumptions!$C$12=0,0,-Debt!P48)</f>
        <v>0</v>
      </c>
      <c r="R16" s="23">
        <f>IF(Assumptions!$C$12=0,0,-Debt!Q48)</f>
        <v>0</v>
      </c>
      <c r="S16" s="23">
        <f>IF(Assumptions!$C$12=0,0,-Debt!R48)</f>
        <v>0</v>
      </c>
      <c r="T16" s="23">
        <f>IF(Assumptions!$C$12=0,0,-Debt!S48)</f>
        <v>0</v>
      </c>
      <c r="U16" s="23">
        <f>IF(Assumptions!$C$12=0,0,-Debt!T48)</f>
        <v>0</v>
      </c>
      <c r="V16" s="23">
        <f>IF(Assumptions!$C$12=0,0,-Debt!U48)</f>
        <v>0</v>
      </c>
      <c r="W16" s="23">
        <f>IF(Assumptions!$C$12=0,0,-Debt!V48)</f>
        <v>0</v>
      </c>
      <c r="X16" s="23">
        <f>IF(Assumptions!$C$12=0,0,-Debt!W48)</f>
        <v>0</v>
      </c>
      <c r="Y16" s="23">
        <f>IF(Assumptions!$C$12=0,0,-Debt!X48)</f>
        <v>0</v>
      </c>
      <c r="Z16" s="23">
        <f>IF(Assumptions!$C$12=0,0,-Debt!Y48)</f>
        <v>0</v>
      </c>
      <c r="AA16" s="23">
        <f>IF(Assumptions!$C$12=0,0,-Debt!Z48)</f>
        <v>0</v>
      </c>
      <c r="AB16" s="23">
        <f>IF(Assumptions!$C$12=0,0,-Debt!AA48)</f>
        <v>0</v>
      </c>
      <c r="AC16" s="23">
        <f>IF(Assumptions!$C$12=0,0,-Debt!AB48)</f>
        <v>0</v>
      </c>
      <c r="AD16" s="23">
        <f>IF(Assumptions!$C$12=0,0,-Debt!AC48)</f>
        <v>0</v>
      </c>
      <c r="AE16" s="23">
        <f>IF(Assumptions!$C$12=0,0,-Debt!AD48)</f>
        <v>0</v>
      </c>
      <c r="AF16" s="23">
        <f>IF(Assumptions!$C$12=0,0,-Debt!AE48)</f>
        <v>0</v>
      </c>
      <c r="AG16" s="23">
        <f>IF(Assumptions!$C$12=0,0,-Debt!AF48)</f>
        <v>0</v>
      </c>
    </row>
    <row r="17" spans="1:33">
      <c r="A17" s="45" t="s">
        <v>361</v>
      </c>
      <c r="B17" s="453">
        <v>0</v>
      </c>
      <c r="C17" s="453">
        <v>0</v>
      </c>
      <c r="D17" s="453">
        <v>0</v>
      </c>
      <c r="E17" s="453">
        <v>0</v>
      </c>
      <c r="F17" s="453">
        <v>0</v>
      </c>
      <c r="G17" s="453">
        <v>0</v>
      </c>
      <c r="H17" s="453">
        <v>0</v>
      </c>
      <c r="I17" s="453">
        <v>0</v>
      </c>
      <c r="J17" s="453">
        <v>0</v>
      </c>
      <c r="K17" s="453">
        <v>0</v>
      </c>
      <c r="L17" s="453">
        <v>0</v>
      </c>
      <c r="M17" s="453">
        <v>0</v>
      </c>
      <c r="N17" s="453">
        <v>0</v>
      </c>
      <c r="O17" s="453">
        <v>0</v>
      </c>
      <c r="P17" s="453">
        <v>0</v>
      </c>
      <c r="Q17" s="453">
        <v>0</v>
      </c>
      <c r="R17" s="453">
        <v>0</v>
      </c>
      <c r="S17" s="453">
        <v>0</v>
      </c>
      <c r="T17" s="453">
        <v>0</v>
      </c>
      <c r="U17" s="453">
        <v>0</v>
      </c>
      <c r="V17" s="453">
        <v>0</v>
      </c>
      <c r="W17" s="453">
        <v>0</v>
      </c>
      <c r="X17" s="453">
        <v>0</v>
      </c>
      <c r="Y17" s="453">
        <v>0</v>
      </c>
      <c r="Z17" s="453">
        <v>0</v>
      </c>
      <c r="AA17" s="453">
        <v>0</v>
      </c>
      <c r="AB17" s="453">
        <v>0</v>
      </c>
      <c r="AC17" s="453">
        <v>0</v>
      </c>
      <c r="AD17" s="453">
        <v>0</v>
      </c>
      <c r="AE17" s="453">
        <v>0</v>
      </c>
      <c r="AF17" s="453">
        <v>0</v>
      </c>
      <c r="AG17" s="453">
        <v>0</v>
      </c>
    </row>
    <row r="18" spans="1:33">
      <c r="A18" s="45" t="s">
        <v>362</v>
      </c>
      <c r="B18" s="64">
        <f>B13+B17+B16+B15</f>
        <v>0</v>
      </c>
      <c r="C18" s="64">
        <f t="shared" ref="C18:AG18" si="1">C13+C17+C16+C15</f>
        <v>7488.5592139399359</v>
      </c>
      <c r="D18" s="64">
        <f t="shared" si="1"/>
        <v>13339.020711485882</v>
      </c>
      <c r="E18" s="64">
        <f t="shared" si="1"/>
        <v>12950.182863137294</v>
      </c>
      <c r="F18" s="64">
        <f t="shared" si="1"/>
        <v>12598.767010671501</v>
      </c>
      <c r="G18" s="64">
        <f t="shared" si="1"/>
        <v>12277.119605994874</v>
      </c>
      <c r="H18" s="64">
        <f t="shared" si="1"/>
        <v>11825.812956121386</v>
      </c>
      <c r="I18" s="64">
        <f t="shared" si="1"/>
        <v>11559.353650911056</v>
      </c>
      <c r="J18" s="64">
        <f t="shared" si="1"/>
        <v>11532.951366652571</v>
      </c>
      <c r="K18" s="64">
        <f t="shared" si="1"/>
        <v>11498.064646879337</v>
      </c>
      <c r="L18" s="64">
        <f t="shared" si="1"/>
        <v>11469.933704153384</v>
      </c>
      <c r="M18" s="64">
        <f t="shared" si="1"/>
        <v>11433.268666391725</v>
      </c>
      <c r="N18" s="64">
        <f t="shared" si="1"/>
        <v>11403.308300375429</v>
      </c>
      <c r="O18" s="64">
        <f t="shared" si="1"/>
        <v>11364.761245747202</v>
      </c>
      <c r="P18" s="64">
        <f t="shared" si="1"/>
        <v>11332.864737263273</v>
      </c>
      <c r="Q18" s="64">
        <f t="shared" si="1"/>
        <v>11292.325837496424</v>
      </c>
      <c r="R18" s="64">
        <f t="shared" si="1"/>
        <v>10128.793385502362</v>
      </c>
      <c r="S18" s="64">
        <f t="shared" si="1"/>
        <v>8964.1918879632012</v>
      </c>
      <c r="T18" s="64">
        <f t="shared" si="1"/>
        <v>8924.2611504370034</v>
      </c>
      <c r="U18" s="64">
        <f t="shared" si="1"/>
        <v>8883.1988787017235</v>
      </c>
      <c r="V18" s="64">
        <f t="shared" si="1"/>
        <v>8840.9724544894125</v>
      </c>
      <c r="W18" s="64">
        <f t="shared" si="1"/>
        <v>2587.1424546521002</v>
      </c>
      <c r="X18" s="64">
        <f t="shared" si="1"/>
        <v>-2734.4435275948344</v>
      </c>
      <c r="Y18" s="64">
        <f t="shared" si="1"/>
        <v>-2810.4141680470893</v>
      </c>
      <c r="Z18" s="64">
        <f t="shared" si="1"/>
        <v>-2888.5426744053948</v>
      </c>
      <c r="AA18" s="64">
        <f t="shared" si="1"/>
        <v>-2968.8913575807937</v>
      </c>
      <c r="AB18" s="64">
        <f t="shared" si="1"/>
        <v>-3051.5243493103162</v>
      </c>
      <c r="AC18" s="64">
        <f t="shared" si="1"/>
        <v>-3136.507655811768</v>
      </c>
      <c r="AD18" s="64">
        <f t="shared" si="1"/>
        <v>-3223.9092130287054</v>
      </c>
      <c r="AE18" s="64">
        <f t="shared" si="1"/>
        <v>-3313.7989435130003</v>
      </c>
      <c r="AF18" s="64">
        <f t="shared" si="1"/>
        <v>-3406.2488149936944</v>
      </c>
      <c r="AG18" s="64">
        <f t="shared" si="1"/>
        <v>-3501.332900682316</v>
      </c>
    </row>
    <row r="19" spans="1:33">
      <c r="A19" s="340"/>
      <c r="B19" s="405"/>
      <c r="C19" s="405"/>
      <c r="D19" s="405"/>
      <c r="E19" s="405"/>
      <c r="F19" s="405"/>
      <c r="G19" s="405"/>
      <c r="H19" s="405"/>
      <c r="I19" s="405"/>
      <c r="J19" s="405"/>
      <c r="K19" s="405"/>
      <c r="L19" s="405"/>
      <c r="M19" s="405"/>
      <c r="N19" s="405"/>
      <c r="O19" s="405"/>
      <c r="P19" s="405"/>
      <c r="Q19" s="405"/>
      <c r="R19" s="405"/>
      <c r="S19" s="405"/>
      <c r="T19" s="405"/>
      <c r="U19" s="405"/>
      <c r="V19" s="405"/>
      <c r="W19" s="405"/>
      <c r="X19" s="405"/>
      <c r="Y19" s="405"/>
      <c r="Z19" s="405"/>
      <c r="AA19" s="405"/>
      <c r="AB19" s="405"/>
      <c r="AC19" s="405"/>
      <c r="AD19" s="405"/>
      <c r="AE19" s="405"/>
      <c r="AF19" s="405"/>
      <c r="AG19" s="405"/>
    </row>
    <row r="20" spans="1:33">
      <c r="A20" s="454" t="s">
        <v>413</v>
      </c>
      <c r="B20" s="525">
        <v>1</v>
      </c>
      <c r="C20" s="405"/>
      <c r="D20" s="405"/>
      <c r="E20" s="405"/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  <c r="Y20" s="405"/>
      <c r="Z20" s="405"/>
      <c r="AA20" s="405"/>
      <c r="AB20" s="405"/>
      <c r="AC20" s="405"/>
      <c r="AD20" s="405"/>
      <c r="AE20" s="405"/>
      <c r="AF20" s="405"/>
      <c r="AG20" s="405"/>
    </row>
    <row r="21" spans="1:33">
      <c r="B21" s="64">
        <f>$B$20*B18</f>
        <v>0</v>
      </c>
      <c r="C21" s="64">
        <f t="shared" ref="C21:AG21" si="2">$B$20*C18</f>
        <v>7488.5592139399359</v>
      </c>
      <c r="D21" s="64">
        <f t="shared" si="2"/>
        <v>13339.020711485882</v>
      </c>
      <c r="E21" s="64">
        <f t="shared" si="2"/>
        <v>12950.182863137294</v>
      </c>
      <c r="F21" s="64">
        <f t="shared" si="2"/>
        <v>12598.767010671501</v>
      </c>
      <c r="G21" s="64">
        <f t="shared" si="2"/>
        <v>12277.119605994874</v>
      </c>
      <c r="H21" s="64">
        <f t="shared" si="2"/>
        <v>11825.812956121386</v>
      </c>
      <c r="I21" s="64">
        <f t="shared" si="2"/>
        <v>11559.353650911056</v>
      </c>
      <c r="J21" s="64">
        <f t="shared" si="2"/>
        <v>11532.951366652571</v>
      </c>
      <c r="K21" s="64">
        <f t="shared" si="2"/>
        <v>11498.064646879337</v>
      </c>
      <c r="L21" s="64">
        <f t="shared" si="2"/>
        <v>11469.933704153384</v>
      </c>
      <c r="M21" s="64">
        <f t="shared" si="2"/>
        <v>11433.268666391725</v>
      </c>
      <c r="N21" s="64">
        <f t="shared" si="2"/>
        <v>11403.308300375429</v>
      </c>
      <c r="O21" s="64">
        <f t="shared" si="2"/>
        <v>11364.761245747202</v>
      </c>
      <c r="P21" s="64">
        <f t="shared" si="2"/>
        <v>11332.864737263273</v>
      </c>
      <c r="Q21" s="64">
        <f t="shared" si="2"/>
        <v>11292.325837496424</v>
      </c>
      <c r="R21" s="64">
        <f t="shared" si="2"/>
        <v>10128.793385502362</v>
      </c>
      <c r="S21" s="64">
        <f t="shared" si="2"/>
        <v>8964.1918879632012</v>
      </c>
      <c r="T21" s="64">
        <f t="shared" si="2"/>
        <v>8924.2611504370034</v>
      </c>
      <c r="U21" s="64">
        <f t="shared" si="2"/>
        <v>8883.1988787017235</v>
      </c>
      <c r="V21" s="64">
        <f t="shared" si="2"/>
        <v>8840.9724544894125</v>
      </c>
      <c r="W21" s="64">
        <f t="shared" si="2"/>
        <v>2587.1424546521002</v>
      </c>
      <c r="X21" s="64">
        <f t="shared" si="2"/>
        <v>-2734.4435275948344</v>
      </c>
      <c r="Y21" s="64">
        <f t="shared" si="2"/>
        <v>-2810.4141680470893</v>
      </c>
      <c r="Z21" s="64">
        <f t="shared" si="2"/>
        <v>-2888.5426744053948</v>
      </c>
      <c r="AA21" s="64">
        <f t="shared" si="2"/>
        <v>-2968.8913575807937</v>
      </c>
      <c r="AB21" s="64">
        <f t="shared" si="2"/>
        <v>-3051.5243493103162</v>
      </c>
      <c r="AC21" s="64">
        <f t="shared" si="2"/>
        <v>-3136.507655811768</v>
      </c>
      <c r="AD21" s="64">
        <f t="shared" si="2"/>
        <v>-3223.9092130287054</v>
      </c>
      <c r="AE21" s="64">
        <f t="shared" si="2"/>
        <v>-3313.7989435130003</v>
      </c>
      <c r="AF21" s="64">
        <f t="shared" si="2"/>
        <v>-3406.2488149936944</v>
      </c>
      <c r="AG21" s="64">
        <f t="shared" si="2"/>
        <v>-3501.332900682316</v>
      </c>
    </row>
    <row r="22" spans="1:33">
      <c r="B22" s="405"/>
      <c r="C22" s="405"/>
      <c r="D22" s="405"/>
      <c r="E22" s="405"/>
      <c r="F22" s="405"/>
      <c r="G22" s="405"/>
      <c r="H22" s="405"/>
      <c r="I22" s="405"/>
      <c r="J22" s="405"/>
      <c r="K22" s="405"/>
      <c r="L22" s="405"/>
      <c r="M22" s="405"/>
      <c r="N22" s="405"/>
      <c r="O22" s="405"/>
      <c r="P22" s="405"/>
      <c r="Q22" s="405"/>
      <c r="R22" s="405"/>
      <c r="S22" s="405"/>
      <c r="T22" s="405"/>
      <c r="U22" s="405"/>
      <c r="V22" s="405"/>
      <c r="W22" s="405"/>
      <c r="X22" s="405"/>
      <c r="Y22" s="405"/>
      <c r="Z22" s="405"/>
      <c r="AA22" s="405"/>
      <c r="AB22" s="405"/>
      <c r="AC22" s="405"/>
      <c r="AD22" s="405"/>
      <c r="AE22" s="405"/>
      <c r="AF22" s="405"/>
      <c r="AG22" s="405"/>
    </row>
    <row r="23" spans="1:33">
      <c r="A23" s="405"/>
      <c r="B23" s="405"/>
      <c r="C23" s="405"/>
      <c r="D23" s="405"/>
      <c r="E23" s="405"/>
      <c r="F23" s="405"/>
      <c r="G23" s="405"/>
      <c r="H23" s="405"/>
      <c r="I23" s="405"/>
      <c r="J23" s="405"/>
      <c r="K23" s="405"/>
      <c r="L23" s="405"/>
      <c r="M23" s="405"/>
      <c r="N23" s="405"/>
      <c r="O23" s="405"/>
      <c r="P23" s="405"/>
      <c r="Q23" s="405"/>
      <c r="R23" s="405"/>
      <c r="S23" s="405"/>
      <c r="T23" s="405"/>
      <c r="U23" s="405"/>
      <c r="V23" s="405"/>
      <c r="W23" s="405"/>
      <c r="X23" s="405"/>
      <c r="Y23" s="405"/>
      <c r="Z23" s="405"/>
      <c r="AA23" s="405"/>
      <c r="AB23" s="405"/>
      <c r="AC23" s="405"/>
      <c r="AD23" s="405"/>
    </row>
    <row r="24" spans="1:33">
      <c r="A24" s="455" t="s">
        <v>369</v>
      </c>
      <c r="B24" s="461">
        <v>0.14000000000000001</v>
      </c>
      <c r="AA24" s="59"/>
      <c r="AB24" s="59"/>
      <c r="AC24" s="59"/>
      <c r="AD24" s="59"/>
    </row>
    <row r="25" spans="1:33">
      <c r="A25" s="45" t="s">
        <v>56</v>
      </c>
      <c r="B25" s="18">
        <f>-Assumptions!C11</f>
        <v>-99861.798429326824</v>
      </c>
      <c r="C25" s="18">
        <f t="shared" ref="C25:V25" si="3">+B29</f>
        <v>-99861.798429326824</v>
      </c>
      <c r="D25" s="18">
        <f t="shared" si="3"/>
        <v>-99861.798429326824</v>
      </c>
      <c r="E25" s="18">
        <f t="shared" si="3"/>
        <v>-99861.798429326824</v>
      </c>
      <c r="F25" s="18">
        <f t="shared" si="3"/>
        <v>-99861.798429326824</v>
      </c>
      <c r="G25" s="18">
        <f t="shared" si="3"/>
        <v>-99861.798429326824</v>
      </c>
      <c r="H25" s="18">
        <f t="shared" si="3"/>
        <v>-99861.798429326824</v>
      </c>
      <c r="I25" s="18">
        <f t="shared" si="3"/>
        <v>-99861.798429326824</v>
      </c>
      <c r="J25" s="18">
        <f t="shared" si="3"/>
        <v>-99861.798429326824</v>
      </c>
      <c r="K25" s="18">
        <f t="shared" si="3"/>
        <v>-99861.798429326824</v>
      </c>
      <c r="L25" s="18">
        <f t="shared" si="3"/>
        <v>-99861.798429326824</v>
      </c>
      <c r="M25" s="18">
        <f t="shared" si="3"/>
        <v>-99861.798429326824</v>
      </c>
      <c r="N25" s="18">
        <f t="shared" si="3"/>
        <v>-99861.798429326824</v>
      </c>
      <c r="O25" s="18">
        <f t="shared" si="3"/>
        <v>-99861.798429326824</v>
      </c>
      <c r="P25" s="18">
        <f t="shared" si="3"/>
        <v>-99861.798429326824</v>
      </c>
      <c r="Q25" s="18">
        <f t="shared" si="3"/>
        <v>-99861.798429326824</v>
      </c>
      <c r="R25" s="18">
        <f t="shared" si="3"/>
        <v>-99861.798429326824</v>
      </c>
      <c r="S25" s="18">
        <f t="shared" si="3"/>
        <v>-99861.798429326824</v>
      </c>
      <c r="T25" s="18">
        <f t="shared" si="3"/>
        <v>-99861.798429326824</v>
      </c>
      <c r="U25" s="18">
        <f t="shared" si="3"/>
        <v>-99861.798429326824</v>
      </c>
      <c r="V25" s="18">
        <f t="shared" si="3"/>
        <v>-99861.798429326824</v>
      </c>
      <c r="W25" s="18">
        <f t="shared" ref="W25:AG25" si="4">+V29</f>
        <v>-99861.798429326824</v>
      </c>
      <c r="X25" s="18">
        <f t="shared" si="4"/>
        <v>-99861.798429326824</v>
      </c>
      <c r="Y25" s="18">
        <f t="shared" si="4"/>
        <v>-99861.798429326824</v>
      </c>
      <c r="Z25" s="18">
        <f t="shared" si="4"/>
        <v>-99861.798429326824</v>
      </c>
      <c r="AA25" s="18">
        <f t="shared" si="4"/>
        <v>-99861.798429326824</v>
      </c>
      <c r="AB25" s="18">
        <f t="shared" si="4"/>
        <v>-99861.798429326824</v>
      </c>
      <c r="AC25" s="18">
        <f t="shared" si="4"/>
        <v>-99861.798429326824</v>
      </c>
      <c r="AD25" s="18">
        <f t="shared" si="4"/>
        <v>-99861.798429326824</v>
      </c>
      <c r="AE25" s="18">
        <f t="shared" si="4"/>
        <v>-99861.798429326824</v>
      </c>
      <c r="AF25" s="18">
        <f t="shared" si="4"/>
        <v>-99861.798429326824</v>
      </c>
      <c r="AG25" s="18">
        <f t="shared" si="4"/>
        <v>-99861.798429326824</v>
      </c>
    </row>
    <row r="26" spans="1:33">
      <c r="A26" s="45" t="s">
        <v>368</v>
      </c>
      <c r="B26" s="18">
        <v>0</v>
      </c>
      <c r="C26" s="18">
        <f>+-B25*$B$24</f>
        <v>13980.651780105756</v>
      </c>
      <c r="D26" s="18">
        <f t="shared" ref="D26:V26" si="5">+-D25*$B$24</f>
        <v>13980.651780105756</v>
      </c>
      <c r="E26" s="18">
        <f t="shared" si="5"/>
        <v>13980.651780105756</v>
      </c>
      <c r="F26" s="18">
        <f t="shared" si="5"/>
        <v>13980.651780105756</v>
      </c>
      <c r="G26" s="18">
        <f t="shared" si="5"/>
        <v>13980.651780105756</v>
      </c>
      <c r="H26" s="18">
        <f t="shared" si="5"/>
        <v>13980.651780105756</v>
      </c>
      <c r="I26" s="18">
        <f t="shared" si="5"/>
        <v>13980.651780105756</v>
      </c>
      <c r="J26" s="18">
        <f t="shared" si="5"/>
        <v>13980.651780105756</v>
      </c>
      <c r="K26" s="18">
        <f t="shared" si="5"/>
        <v>13980.651780105756</v>
      </c>
      <c r="L26" s="18">
        <f t="shared" si="5"/>
        <v>13980.651780105756</v>
      </c>
      <c r="M26" s="18">
        <f t="shared" si="5"/>
        <v>13980.651780105756</v>
      </c>
      <c r="N26" s="18">
        <f t="shared" si="5"/>
        <v>13980.651780105756</v>
      </c>
      <c r="O26" s="18">
        <f t="shared" si="5"/>
        <v>13980.651780105756</v>
      </c>
      <c r="P26" s="18">
        <f t="shared" si="5"/>
        <v>13980.651780105756</v>
      </c>
      <c r="Q26" s="18">
        <f t="shared" si="5"/>
        <v>13980.651780105756</v>
      </c>
      <c r="R26" s="18">
        <f t="shared" si="5"/>
        <v>13980.651780105756</v>
      </c>
      <c r="S26" s="18">
        <f t="shared" si="5"/>
        <v>13980.651780105756</v>
      </c>
      <c r="T26" s="18">
        <f t="shared" si="5"/>
        <v>13980.651780105756</v>
      </c>
      <c r="U26" s="18">
        <f t="shared" si="5"/>
        <v>13980.651780105756</v>
      </c>
      <c r="V26" s="18">
        <f t="shared" si="5"/>
        <v>13980.651780105756</v>
      </c>
      <c r="W26" s="18">
        <f t="shared" ref="W26:AG26" si="6">+-W25*$B$24</f>
        <v>13980.651780105756</v>
      </c>
      <c r="X26" s="18">
        <f t="shared" si="6"/>
        <v>13980.651780105756</v>
      </c>
      <c r="Y26" s="18">
        <f t="shared" si="6"/>
        <v>13980.651780105756</v>
      </c>
      <c r="Z26" s="18">
        <f t="shared" si="6"/>
        <v>13980.651780105756</v>
      </c>
      <c r="AA26" s="18">
        <f t="shared" si="6"/>
        <v>13980.651780105756</v>
      </c>
      <c r="AB26" s="18">
        <f t="shared" si="6"/>
        <v>13980.651780105756</v>
      </c>
      <c r="AC26" s="18">
        <f t="shared" si="6"/>
        <v>13980.651780105756</v>
      </c>
      <c r="AD26" s="18">
        <f t="shared" si="6"/>
        <v>13980.651780105756</v>
      </c>
      <c r="AE26" s="18">
        <f t="shared" si="6"/>
        <v>13980.651780105756</v>
      </c>
      <c r="AF26" s="18">
        <f t="shared" si="6"/>
        <v>13980.651780105756</v>
      </c>
      <c r="AG26" s="18">
        <f t="shared" si="6"/>
        <v>13980.651780105756</v>
      </c>
    </row>
    <row r="27" spans="1:33">
      <c r="A27" s="45" t="s">
        <v>364</v>
      </c>
      <c r="B27" s="18">
        <f>B21</f>
        <v>0</v>
      </c>
      <c r="C27" s="18">
        <f t="shared" ref="C27:AG27" si="7">C21</f>
        <v>7488.5592139399359</v>
      </c>
      <c r="D27" s="18">
        <f t="shared" si="7"/>
        <v>13339.020711485882</v>
      </c>
      <c r="E27" s="18">
        <f t="shared" si="7"/>
        <v>12950.182863137294</v>
      </c>
      <c r="F27" s="18">
        <f t="shared" si="7"/>
        <v>12598.767010671501</v>
      </c>
      <c r="G27" s="18">
        <f t="shared" si="7"/>
        <v>12277.119605994874</v>
      </c>
      <c r="H27" s="18">
        <f t="shared" si="7"/>
        <v>11825.812956121386</v>
      </c>
      <c r="I27" s="18">
        <f t="shared" si="7"/>
        <v>11559.353650911056</v>
      </c>
      <c r="J27" s="18">
        <f t="shared" si="7"/>
        <v>11532.951366652571</v>
      </c>
      <c r="K27" s="18">
        <f t="shared" si="7"/>
        <v>11498.064646879337</v>
      </c>
      <c r="L27" s="18">
        <f t="shared" si="7"/>
        <v>11469.933704153384</v>
      </c>
      <c r="M27" s="18">
        <f t="shared" si="7"/>
        <v>11433.268666391725</v>
      </c>
      <c r="N27" s="18">
        <f t="shared" si="7"/>
        <v>11403.308300375429</v>
      </c>
      <c r="O27" s="18">
        <f t="shared" si="7"/>
        <v>11364.761245747202</v>
      </c>
      <c r="P27" s="18">
        <f t="shared" si="7"/>
        <v>11332.864737263273</v>
      </c>
      <c r="Q27" s="18">
        <f t="shared" si="7"/>
        <v>11292.325837496424</v>
      </c>
      <c r="R27" s="18">
        <f t="shared" si="7"/>
        <v>10128.793385502362</v>
      </c>
      <c r="S27" s="18">
        <f t="shared" si="7"/>
        <v>8964.1918879632012</v>
      </c>
      <c r="T27" s="18">
        <f t="shared" si="7"/>
        <v>8924.2611504370034</v>
      </c>
      <c r="U27" s="18">
        <f t="shared" si="7"/>
        <v>8883.1988787017235</v>
      </c>
      <c r="V27" s="18">
        <f t="shared" si="7"/>
        <v>8840.9724544894125</v>
      </c>
      <c r="W27" s="18">
        <f t="shared" si="7"/>
        <v>2587.1424546521002</v>
      </c>
      <c r="X27" s="18">
        <f t="shared" si="7"/>
        <v>-2734.4435275948344</v>
      </c>
      <c r="Y27" s="18">
        <f t="shared" si="7"/>
        <v>-2810.4141680470893</v>
      </c>
      <c r="Z27" s="18">
        <f t="shared" si="7"/>
        <v>-2888.5426744053948</v>
      </c>
      <c r="AA27" s="18">
        <f t="shared" si="7"/>
        <v>-2968.8913575807937</v>
      </c>
      <c r="AB27" s="18">
        <f t="shared" si="7"/>
        <v>-3051.5243493103162</v>
      </c>
      <c r="AC27" s="18">
        <f t="shared" si="7"/>
        <v>-3136.507655811768</v>
      </c>
      <c r="AD27" s="18">
        <f t="shared" si="7"/>
        <v>-3223.9092130287054</v>
      </c>
      <c r="AE27" s="18">
        <f t="shared" si="7"/>
        <v>-3313.7989435130003</v>
      </c>
      <c r="AF27" s="18">
        <f t="shared" si="7"/>
        <v>-3406.2488149936944</v>
      </c>
      <c r="AG27" s="18">
        <f t="shared" si="7"/>
        <v>-3501.332900682316</v>
      </c>
    </row>
    <row r="28" spans="1:33">
      <c r="A28" s="45" t="s">
        <v>367</v>
      </c>
      <c r="B28" s="315">
        <v>0</v>
      </c>
      <c r="C28" s="315">
        <f t="shared" ref="C28:V28" si="8">+IF(C27&gt;C26,C27-C26,0)</f>
        <v>0</v>
      </c>
      <c r="D28" s="315">
        <f t="shared" si="8"/>
        <v>0</v>
      </c>
      <c r="E28" s="315">
        <f t="shared" si="8"/>
        <v>0</v>
      </c>
      <c r="F28" s="315">
        <f t="shared" si="8"/>
        <v>0</v>
      </c>
      <c r="G28" s="315">
        <f t="shared" si="8"/>
        <v>0</v>
      </c>
      <c r="H28" s="315">
        <f t="shared" si="8"/>
        <v>0</v>
      </c>
      <c r="I28" s="315">
        <f t="shared" si="8"/>
        <v>0</v>
      </c>
      <c r="J28" s="315">
        <f t="shared" si="8"/>
        <v>0</v>
      </c>
      <c r="K28" s="315">
        <f t="shared" si="8"/>
        <v>0</v>
      </c>
      <c r="L28" s="315">
        <f t="shared" si="8"/>
        <v>0</v>
      </c>
      <c r="M28" s="315">
        <f t="shared" si="8"/>
        <v>0</v>
      </c>
      <c r="N28" s="315">
        <f t="shared" si="8"/>
        <v>0</v>
      </c>
      <c r="O28" s="315">
        <f t="shared" si="8"/>
        <v>0</v>
      </c>
      <c r="P28" s="315">
        <f t="shared" si="8"/>
        <v>0</v>
      </c>
      <c r="Q28" s="315">
        <f t="shared" si="8"/>
        <v>0</v>
      </c>
      <c r="R28" s="315">
        <f t="shared" si="8"/>
        <v>0</v>
      </c>
      <c r="S28" s="315">
        <f t="shared" si="8"/>
        <v>0</v>
      </c>
      <c r="T28" s="315">
        <f t="shared" si="8"/>
        <v>0</v>
      </c>
      <c r="U28" s="315">
        <f t="shared" si="8"/>
        <v>0</v>
      </c>
      <c r="V28" s="315">
        <f t="shared" si="8"/>
        <v>0</v>
      </c>
      <c r="W28" s="315">
        <f t="shared" ref="W28:AG28" si="9">+IF(W27&gt;W26,W27-W26,0)</f>
        <v>0</v>
      </c>
      <c r="X28" s="315">
        <f t="shared" si="9"/>
        <v>0</v>
      </c>
      <c r="Y28" s="315">
        <f t="shared" si="9"/>
        <v>0</v>
      </c>
      <c r="Z28" s="315">
        <f t="shared" si="9"/>
        <v>0</v>
      </c>
      <c r="AA28" s="315">
        <f t="shared" si="9"/>
        <v>0</v>
      </c>
      <c r="AB28" s="315">
        <f t="shared" si="9"/>
        <v>0</v>
      </c>
      <c r="AC28" s="315">
        <f t="shared" si="9"/>
        <v>0</v>
      </c>
      <c r="AD28" s="315">
        <f t="shared" si="9"/>
        <v>0</v>
      </c>
      <c r="AE28" s="315">
        <f t="shared" si="9"/>
        <v>0</v>
      </c>
      <c r="AF28" s="315">
        <f t="shared" si="9"/>
        <v>0</v>
      </c>
      <c r="AG28" s="315">
        <f t="shared" si="9"/>
        <v>0</v>
      </c>
    </row>
    <row r="29" spans="1:33">
      <c r="A29" s="45" t="s">
        <v>59</v>
      </c>
      <c r="B29" s="18">
        <f t="shared" ref="B29:V29" si="10">+B25+B28</f>
        <v>-99861.798429326824</v>
      </c>
      <c r="C29" s="18">
        <f t="shared" si="10"/>
        <v>-99861.798429326824</v>
      </c>
      <c r="D29" s="18">
        <f t="shared" si="10"/>
        <v>-99861.798429326824</v>
      </c>
      <c r="E29" s="18">
        <f t="shared" si="10"/>
        <v>-99861.798429326824</v>
      </c>
      <c r="F29" s="18">
        <f t="shared" si="10"/>
        <v>-99861.798429326824</v>
      </c>
      <c r="G29" s="18">
        <f t="shared" si="10"/>
        <v>-99861.798429326824</v>
      </c>
      <c r="H29" s="18">
        <f t="shared" si="10"/>
        <v>-99861.798429326824</v>
      </c>
      <c r="I29" s="18">
        <f t="shared" si="10"/>
        <v>-99861.798429326824</v>
      </c>
      <c r="J29" s="18">
        <f t="shared" si="10"/>
        <v>-99861.798429326824</v>
      </c>
      <c r="K29" s="18">
        <f t="shared" si="10"/>
        <v>-99861.798429326824</v>
      </c>
      <c r="L29" s="18">
        <f t="shared" si="10"/>
        <v>-99861.798429326824</v>
      </c>
      <c r="M29" s="18">
        <f t="shared" si="10"/>
        <v>-99861.798429326824</v>
      </c>
      <c r="N29" s="18">
        <f t="shared" si="10"/>
        <v>-99861.798429326824</v>
      </c>
      <c r="O29" s="18">
        <f t="shared" si="10"/>
        <v>-99861.798429326824</v>
      </c>
      <c r="P29" s="18">
        <f t="shared" si="10"/>
        <v>-99861.798429326824</v>
      </c>
      <c r="Q29" s="18">
        <f t="shared" si="10"/>
        <v>-99861.798429326824</v>
      </c>
      <c r="R29" s="18">
        <f t="shared" si="10"/>
        <v>-99861.798429326824</v>
      </c>
      <c r="S29" s="18">
        <f t="shared" si="10"/>
        <v>-99861.798429326824</v>
      </c>
      <c r="T29" s="18">
        <f t="shared" si="10"/>
        <v>-99861.798429326824</v>
      </c>
      <c r="U29" s="18">
        <f t="shared" si="10"/>
        <v>-99861.798429326824</v>
      </c>
      <c r="V29" s="18">
        <f t="shared" si="10"/>
        <v>-99861.798429326824</v>
      </c>
      <c r="W29" s="18">
        <f t="shared" ref="W29:AG29" si="11">+W25+W28</f>
        <v>-99861.798429326824</v>
      </c>
      <c r="X29" s="18">
        <f t="shared" si="11"/>
        <v>-99861.798429326824</v>
      </c>
      <c r="Y29" s="18">
        <f t="shared" si="11"/>
        <v>-99861.798429326824</v>
      </c>
      <c r="Z29" s="18">
        <f t="shared" si="11"/>
        <v>-99861.798429326824</v>
      </c>
      <c r="AA29" s="18">
        <f t="shared" si="11"/>
        <v>-99861.798429326824</v>
      </c>
      <c r="AB29" s="18">
        <f t="shared" si="11"/>
        <v>-99861.798429326824</v>
      </c>
      <c r="AC29" s="18">
        <f t="shared" si="11"/>
        <v>-99861.798429326824</v>
      </c>
      <c r="AD29" s="18">
        <f t="shared" si="11"/>
        <v>-99861.798429326824</v>
      </c>
      <c r="AE29" s="18">
        <f t="shared" si="11"/>
        <v>-99861.798429326824</v>
      </c>
      <c r="AF29" s="18">
        <f t="shared" si="11"/>
        <v>-99861.798429326824</v>
      </c>
      <c r="AG29" s="18">
        <f t="shared" si="11"/>
        <v>-99861.798429326824</v>
      </c>
    </row>
    <row r="30" spans="1:33">
      <c r="A30" s="45"/>
    </row>
    <row r="31" spans="1:33">
      <c r="A31" s="45"/>
    </row>
    <row r="32" spans="1:33">
      <c r="A32" s="45"/>
    </row>
    <row r="33" spans="1:33">
      <c r="A33" s="455" t="s">
        <v>400</v>
      </c>
    </row>
    <row r="34" spans="1:33">
      <c r="A34" s="455"/>
    </row>
    <row r="35" spans="1:33">
      <c r="A35" s="454" t="s">
        <v>366</v>
      </c>
    </row>
    <row r="36" spans="1:33" s="18" customFormat="1">
      <c r="A36" s="45" t="s">
        <v>365</v>
      </c>
      <c r="B36" s="18">
        <f>-Assumptions!C11*Assumptions!$G$48</f>
        <v>-99861.798429326824</v>
      </c>
    </row>
    <row r="37" spans="1:33" s="18" customFormat="1">
      <c r="A37" s="45" t="s">
        <v>364</v>
      </c>
      <c r="B37" s="462">
        <f>B21*Assumptions!$G$48</f>
        <v>0</v>
      </c>
      <c r="C37" s="315">
        <f>C21*Assumptions!$G$48</f>
        <v>7488.5592139399359</v>
      </c>
      <c r="D37" s="315">
        <f>D21*Assumptions!$G$48</f>
        <v>13339.020711485882</v>
      </c>
      <c r="E37" s="315">
        <f>E21*Assumptions!$G$48</f>
        <v>12950.182863137294</v>
      </c>
      <c r="F37" s="315">
        <f>F21*Assumptions!$G$48</f>
        <v>12598.767010671501</v>
      </c>
      <c r="G37" s="315">
        <f>G21*Assumptions!$G$48</f>
        <v>12277.119605994874</v>
      </c>
      <c r="H37" s="315">
        <f>H21*Assumptions!$G$48</f>
        <v>11825.812956121386</v>
      </c>
      <c r="I37" s="315">
        <f>I21*Assumptions!$G$48</f>
        <v>11559.353650911056</v>
      </c>
      <c r="J37" s="315">
        <f>J21*Assumptions!$G$48</f>
        <v>11532.951366652571</v>
      </c>
      <c r="K37" s="315">
        <f>K21*Assumptions!$G$48</f>
        <v>11498.064646879337</v>
      </c>
      <c r="L37" s="315">
        <f>L21*Assumptions!$G$48</f>
        <v>11469.933704153384</v>
      </c>
      <c r="M37" s="315">
        <f>M21*Assumptions!$G$48</f>
        <v>11433.268666391725</v>
      </c>
      <c r="N37" s="315">
        <f>N21*Assumptions!$G$48</f>
        <v>11403.308300375429</v>
      </c>
      <c r="O37" s="315">
        <f>O21*Assumptions!$G$48</f>
        <v>11364.761245747202</v>
      </c>
      <c r="P37" s="315">
        <f>P21*Assumptions!$G$48</f>
        <v>11332.864737263273</v>
      </c>
      <c r="Q37" s="315">
        <f>Q21*Assumptions!$G$48</f>
        <v>11292.325837496424</v>
      </c>
      <c r="R37" s="315">
        <f>R21*Assumptions!$G$48</f>
        <v>10128.793385502362</v>
      </c>
      <c r="S37" s="315">
        <f>S21*Assumptions!$G$48</f>
        <v>8964.1918879632012</v>
      </c>
      <c r="T37" s="315">
        <f>T21*Assumptions!$G$48</f>
        <v>8924.2611504370034</v>
      </c>
      <c r="U37" s="315">
        <f>U21*Assumptions!$G$48</f>
        <v>8883.1988787017235</v>
      </c>
      <c r="V37" s="315">
        <f>V21*Assumptions!$G$48</f>
        <v>8840.9724544894125</v>
      </c>
      <c r="W37" s="315">
        <f>W21*Assumptions!$G$48</f>
        <v>2587.1424546521002</v>
      </c>
      <c r="X37" s="315">
        <f>X21*Assumptions!$G$48</f>
        <v>-2734.4435275948344</v>
      </c>
      <c r="Y37" s="315">
        <f>Y21*Assumptions!$G$48</f>
        <v>-2810.4141680470893</v>
      </c>
      <c r="Z37" s="315">
        <f>Z21*Assumptions!$G$48</f>
        <v>-2888.5426744053948</v>
      </c>
      <c r="AA37" s="315">
        <f>AA21*Assumptions!$G$48</f>
        <v>-2968.8913575807937</v>
      </c>
      <c r="AB37" s="315">
        <f>AB21*Assumptions!$G$48</f>
        <v>-3051.5243493103162</v>
      </c>
      <c r="AC37" s="315">
        <f>AC21*Assumptions!$G$48</f>
        <v>-3136.507655811768</v>
      </c>
      <c r="AD37" s="315">
        <f>AD21*Assumptions!$G$48</f>
        <v>-3223.9092130287054</v>
      </c>
      <c r="AE37" s="315">
        <f>AE21*Assumptions!$G$48</f>
        <v>-3313.7989435130003</v>
      </c>
      <c r="AF37" s="315">
        <f>AF21*Assumptions!$G$48</f>
        <v>-3406.2488149936944</v>
      </c>
      <c r="AG37" s="315">
        <f>AG21*Assumptions!$G$48</f>
        <v>-3501.332900682316</v>
      </c>
    </row>
    <row r="38" spans="1:33" s="18" customFormat="1">
      <c r="A38" s="45" t="s">
        <v>363</v>
      </c>
      <c r="B38" s="18">
        <f t="shared" ref="B38:AG38" si="12">SUM(B36:B37)</f>
        <v>-99861.798429326824</v>
      </c>
      <c r="C38" s="18">
        <f t="shared" si="12"/>
        <v>7488.5592139399359</v>
      </c>
      <c r="D38" s="18">
        <f t="shared" si="12"/>
        <v>13339.020711485882</v>
      </c>
      <c r="E38" s="18">
        <f t="shared" si="12"/>
        <v>12950.182863137294</v>
      </c>
      <c r="F38" s="18">
        <f t="shared" si="12"/>
        <v>12598.767010671501</v>
      </c>
      <c r="G38" s="18">
        <f t="shared" si="12"/>
        <v>12277.119605994874</v>
      </c>
      <c r="H38" s="18">
        <f t="shared" si="12"/>
        <v>11825.812956121386</v>
      </c>
      <c r="I38" s="18">
        <f t="shared" si="12"/>
        <v>11559.353650911056</v>
      </c>
      <c r="J38" s="18">
        <f t="shared" si="12"/>
        <v>11532.951366652571</v>
      </c>
      <c r="K38" s="18">
        <f t="shared" si="12"/>
        <v>11498.064646879337</v>
      </c>
      <c r="L38" s="18">
        <f t="shared" si="12"/>
        <v>11469.933704153384</v>
      </c>
      <c r="M38" s="18">
        <f t="shared" si="12"/>
        <v>11433.268666391725</v>
      </c>
      <c r="N38" s="18">
        <f t="shared" si="12"/>
        <v>11403.308300375429</v>
      </c>
      <c r="O38" s="18">
        <f t="shared" si="12"/>
        <v>11364.761245747202</v>
      </c>
      <c r="P38" s="18">
        <f t="shared" si="12"/>
        <v>11332.864737263273</v>
      </c>
      <c r="Q38" s="18">
        <f t="shared" si="12"/>
        <v>11292.325837496424</v>
      </c>
      <c r="R38" s="18">
        <f t="shared" si="12"/>
        <v>10128.793385502362</v>
      </c>
      <c r="S38" s="18">
        <f t="shared" si="12"/>
        <v>8964.1918879632012</v>
      </c>
      <c r="T38" s="18">
        <f t="shared" si="12"/>
        <v>8924.2611504370034</v>
      </c>
      <c r="U38" s="18">
        <f t="shared" si="12"/>
        <v>8883.1988787017235</v>
      </c>
      <c r="V38" s="18">
        <f t="shared" si="12"/>
        <v>8840.9724544894125</v>
      </c>
      <c r="W38" s="18">
        <f t="shared" si="12"/>
        <v>2587.1424546521002</v>
      </c>
      <c r="X38" s="18">
        <f t="shared" si="12"/>
        <v>-2734.4435275948344</v>
      </c>
      <c r="Y38" s="18">
        <f t="shared" si="12"/>
        <v>-2810.4141680470893</v>
      </c>
      <c r="Z38" s="18">
        <f t="shared" si="12"/>
        <v>-2888.5426744053948</v>
      </c>
      <c r="AA38" s="18">
        <f t="shared" si="12"/>
        <v>-2968.8913575807937</v>
      </c>
      <c r="AB38" s="18">
        <f t="shared" si="12"/>
        <v>-3051.5243493103162</v>
      </c>
      <c r="AC38" s="18">
        <f t="shared" si="12"/>
        <v>-3136.507655811768</v>
      </c>
      <c r="AD38" s="18">
        <f t="shared" si="12"/>
        <v>-3223.9092130287054</v>
      </c>
      <c r="AE38" s="18">
        <f t="shared" si="12"/>
        <v>-3313.7989435130003</v>
      </c>
      <c r="AF38" s="18">
        <f t="shared" si="12"/>
        <v>-3406.2488149936944</v>
      </c>
      <c r="AG38" s="18">
        <f t="shared" si="12"/>
        <v>-3501.332900682316</v>
      </c>
    </row>
    <row r="39" spans="1:33">
      <c r="B39" s="454" t="s">
        <v>1</v>
      </c>
      <c r="C39" s="460">
        <f>XIRR(B38:W38,B8:W8)</f>
        <v>8.5890623927116383E-2</v>
      </c>
    </row>
    <row r="40" spans="1:33">
      <c r="A40" s="45"/>
      <c r="B40" s="456"/>
    </row>
    <row r="41" spans="1:33">
      <c r="A41" s="43" t="str">
        <f>CONCATENATE("With ",Assumptions!H23,"x EBITDA Exit Multiple")</f>
        <v>With 5x EBITDA Exit Multiple</v>
      </c>
    </row>
    <row r="42" spans="1:33">
      <c r="A42" s="56" t="s">
        <v>365</v>
      </c>
      <c r="B42" s="18">
        <f>-Assumptions!C11*Assumptions!$G$48</f>
        <v>-99861.798429326824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364</v>
      </c>
      <c r="B43" s="457">
        <f>B21*Assumptions!$G$48</f>
        <v>0</v>
      </c>
      <c r="C43" s="18">
        <f>C21*Assumptions!$G$48</f>
        <v>7488.5592139399359</v>
      </c>
      <c r="D43" s="18">
        <f>D21*Assumptions!$G$48</f>
        <v>13339.020711485882</v>
      </c>
      <c r="E43" s="18">
        <f>E21*Assumptions!$G$48</f>
        <v>12950.182863137294</v>
      </c>
      <c r="F43" s="18">
        <f>F21*Assumptions!$G$48</f>
        <v>12598.767010671501</v>
      </c>
      <c r="G43" s="18">
        <f>G21*Assumptions!$G$48</f>
        <v>12277.119605994874</v>
      </c>
      <c r="H43" s="18">
        <f>H21*Assumptions!$G$48</f>
        <v>11825.812956121386</v>
      </c>
      <c r="I43" s="18">
        <f>I21*Assumptions!$G$48</f>
        <v>11559.353650911056</v>
      </c>
      <c r="J43" s="18">
        <f>J21*Assumptions!$G$48</f>
        <v>11532.951366652571</v>
      </c>
      <c r="K43" s="18">
        <f>K21*Assumptions!$G$48</f>
        <v>11498.064646879337</v>
      </c>
      <c r="L43" s="18">
        <f>L21*Assumptions!$G$48</f>
        <v>11469.933704153384</v>
      </c>
      <c r="M43" s="18">
        <f>M21*Assumptions!$G$48</f>
        <v>11433.268666391725</v>
      </c>
      <c r="N43" s="18">
        <f>N21*Assumptions!$G$48</f>
        <v>11403.308300375429</v>
      </c>
      <c r="O43" s="18">
        <f>O21*Assumptions!$G$48</f>
        <v>11364.761245747202</v>
      </c>
      <c r="P43" s="18">
        <f>P21*Assumptions!$G$48</f>
        <v>11332.864737263273</v>
      </c>
      <c r="Q43" s="18">
        <f>Q21*Assumptions!$G$48</f>
        <v>11292.325837496424</v>
      </c>
      <c r="R43" s="18">
        <f>R21*Assumptions!$G$48</f>
        <v>10128.793385502362</v>
      </c>
      <c r="S43" s="18">
        <f>S21*Assumptions!$G$48</f>
        <v>8964.1918879632012</v>
      </c>
      <c r="T43" s="18">
        <f>T21*Assumptions!$G$48</f>
        <v>8924.2611504370034</v>
      </c>
      <c r="U43" s="18">
        <f>U21*Assumptions!$G$48</f>
        <v>8883.1988787017235</v>
      </c>
      <c r="V43" s="18">
        <f>V21*Assumptions!$G$48</f>
        <v>8840.9724544894125</v>
      </c>
      <c r="W43" s="18">
        <f>W21*Assumptions!$G$48</f>
        <v>2587.1424546521002</v>
      </c>
      <c r="X43" s="18">
        <f>X21*Assumptions!$G$48</f>
        <v>-2734.4435275948344</v>
      </c>
      <c r="Y43" s="18">
        <f>Y21*Assumptions!$G$48</f>
        <v>-2810.4141680470893</v>
      </c>
      <c r="Z43" s="18">
        <f>Z21*Assumptions!$G$48</f>
        <v>-2888.5426744053948</v>
      </c>
      <c r="AA43" s="18">
        <f>AA21*Assumptions!$G$48</f>
        <v>-2968.8913575807937</v>
      </c>
      <c r="AB43" s="18">
        <f>AB21*Assumptions!$G$48</f>
        <v>-3051.5243493103162</v>
      </c>
      <c r="AC43" s="18">
        <f>AC21*Assumptions!$G$48</f>
        <v>-3136.507655811768</v>
      </c>
      <c r="AD43" s="18">
        <f>AD21*Assumptions!$G$48</f>
        <v>-3223.9092130287054</v>
      </c>
      <c r="AE43" s="18">
        <f>AE21*Assumptions!$G$48</f>
        <v>-3313.7989435130003</v>
      </c>
      <c r="AF43" s="18">
        <f>AF21*Assumptions!$G$48</f>
        <v>-3406.2488149936944</v>
      </c>
      <c r="AG43" s="18">
        <f>AG21*Assumptions!$G$48</f>
        <v>-3501.332900682316</v>
      </c>
    </row>
    <row r="44" spans="1:33">
      <c r="A44" s="56" t="s">
        <v>127</v>
      </c>
      <c r="B44" s="315">
        <v>0</v>
      </c>
      <c r="C44" s="315">
        <v>0</v>
      </c>
      <c r="D44" s="315">
        <v>0</v>
      </c>
      <c r="E44" s="315">
        <v>0</v>
      </c>
      <c r="F44" s="315">
        <v>0</v>
      </c>
      <c r="G44" s="315">
        <v>0</v>
      </c>
      <c r="H44" s="315">
        <v>0</v>
      </c>
      <c r="I44" s="315">
        <v>0</v>
      </c>
      <c r="J44" s="315">
        <v>0</v>
      </c>
      <c r="K44" s="315">
        <v>0</v>
      </c>
      <c r="L44" s="315">
        <v>0</v>
      </c>
      <c r="M44" s="315">
        <v>0</v>
      </c>
      <c r="N44" s="315">
        <v>0</v>
      </c>
      <c r="O44" s="315">
        <v>0</v>
      </c>
      <c r="P44" s="315">
        <v>0</v>
      </c>
      <c r="Q44" s="315">
        <v>0</v>
      </c>
      <c r="R44" s="315">
        <v>0</v>
      </c>
      <c r="S44" s="315">
        <v>0</v>
      </c>
      <c r="T44" s="315">
        <v>0</v>
      </c>
      <c r="U44" s="315">
        <v>0</v>
      </c>
      <c r="V44" s="315">
        <v>0</v>
      </c>
      <c r="W44" s="315">
        <f>Assumptions!H23*IS!W32*Assumptions!G48</f>
        <v>21399.027747329201</v>
      </c>
      <c r="X44" s="315">
        <v>0</v>
      </c>
      <c r="Y44" s="315">
        <v>0</v>
      </c>
      <c r="Z44" s="315">
        <v>0</v>
      </c>
      <c r="AA44" s="315">
        <v>0</v>
      </c>
      <c r="AB44" s="315">
        <v>0</v>
      </c>
      <c r="AC44" s="315">
        <v>0</v>
      </c>
      <c r="AD44" s="315">
        <v>0</v>
      </c>
      <c r="AE44" s="315">
        <v>0</v>
      </c>
      <c r="AF44" s="315">
        <v>0</v>
      </c>
      <c r="AG44" s="315">
        <f>Assumptions!H23*IS!AF32*Assumptions!G48</f>
        <v>-17031.244074968472</v>
      </c>
    </row>
    <row r="45" spans="1:33">
      <c r="A45" s="56" t="s">
        <v>363</v>
      </c>
      <c r="B45" s="18">
        <f t="shared" ref="B45:AG45" si="13">SUM(B42:B44)</f>
        <v>-99861.798429326824</v>
      </c>
      <c r="C45" s="18">
        <f t="shared" si="13"/>
        <v>7488.5592139399359</v>
      </c>
      <c r="D45" s="18">
        <f t="shared" si="13"/>
        <v>13339.020711485882</v>
      </c>
      <c r="E45" s="18">
        <f t="shared" si="13"/>
        <v>12950.182863137294</v>
      </c>
      <c r="F45" s="18">
        <f t="shared" si="13"/>
        <v>12598.767010671501</v>
      </c>
      <c r="G45" s="18">
        <f t="shared" si="13"/>
        <v>12277.119605994874</v>
      </c>
      <c r="H45" s="18">
        <f t="shared" si="13"/>
        <v>11825.812956121386</v>
      </c>
      <c r="I45" s="18">
        <f t="shared" si="13"/>
        <v>11559.353650911056</v>
      </c>
      <c r="J45" s="18">
        <f t="shared" si="13"/>
        <v>11532.951366652571</v>
      </c>
      <c r="K45" s="18">
        <f t="shared" si="13"/>
        <v>11498.064646879337</v>
      </c>
      <c r="L45" s="18">
        <f t="shared" si="13"/>
        <v>11469.933704153384</v>
      </c>
      <c r="M45" s="18">
        <f t="shared" si="13"/>
        <v>11433.268666391725</v>
      </c>
      <c r="N45" s="18">
        <f t="shared" si="13"/>
        <v>11403.308300375429</v>
      </c>
      <c r="O45" s="18">
        <f t="shared" si="13"/>
        <v>11364.761245747202</v>
      </c>
      <c r="P45" s="18">
        <f t="shared" si="13"/>
        <v>11332.864737263273</v>
      </c>
      <c r="Q45" s="18">
        <f t="shared" si="13"/>
        <v>11292.325837496424</v>
      </c>
      <c r="R45" s="18">
        <f t="shared" si="13"/>
        <v>10128.793385502362</v>
      </c>
      <c r="S45" s="18">
        <f t="shared" si="13"/>
        <v>8964.1918879632012</v>
      </c>
      <c r="T45" s="18">
        <f t="shared" si="13"/>
        <v>8924.2611504370034</v>
      </c>
      <c r="U45" s="18">
        <f t="shared" si="13"/>
        <v>8883.1988787017235</v>
      </c>
      <c r="V45" s="18">
        <f t="shared" si="13"/>
        <v>8840.9724544894125</v>
      </c>
      <c r="W45" s="18">
        <f t="shared" si="13"/>
        <v>23986.170201981302</v>
      </c>
      <c r="X45" s="18">
        <f t="shared" si="13"/>
        <v>-2734.4435275948344</v>
      </c>
      <c r="Y45" s="18">
        <f t="shared" si="13"/>
        <v>-2810.4141680470893</v>
      </c>
      <c r="Z45" s="18">
        <f t="shared" si="13"/>
        <v>-2888.5426744053948</v>
      </c>
      <c r="AA45" s="18">
        <f t="shared" si="13"/>
        <v>-2968.8913575807937</v>
      </c>
      <c r="AB45" s="18">
        <f t="shared" si="13"/>
        <v>-3051.5243493103162</v>
      </c>
      <c r="AC45" s="18">
        <f t="shared" si="13"/>
        <v>-3136.507655811768</v>
      </c>
      <c r="AD45" s="18">
        <f t="shared" si="13"/>
        <v>-3223.9092130287054</v>
      </c>
      <c r="AE45" s="18">
        <f t="shared" si="13"/>
        <v>-3313.7989435130003</v>
      </c>
      <c r="AF45" s="18">
        <f t="shared" si="13"/>
        <v>-3406.2488149936944</v>
      </c>
      <c r="AG45" s="18">
        <f t="shared" si="13"/>
        <v>-20532.576975650787</v>
      </c>
    </row>
    <row r="46" spans="1:33">
      <c r="A46" s="13"/>
      <c r="B46" s="454" t="s">
        <v>1</v>
      </c>
      <c r="C46" s="460">
        <f>XIRR(B45:W45,B8:W8)</f>
        <v>9.0187850594520572E-2</v>
      </c>
    </row>
    <row r="47" spans="1:33">
      <c r="A47" s="56"/>
      <c r="B47" s="456"/>
    </row>
    <row r="48" spans="1:33">
      <c r="A48" s="43" t="str">
        <f>CONCATENATE("With ",Assumptions!H24*100,"% Initial Project Cost")</f>
        <v>With 20% Initial Project Cost</v>
      </c>
    </row>
    <row r="49" spans="1:33" s="18" customFormat="1">
      <c r="A49" s="56" t="s">
        <v>365</v>
      </c>
      <c r="B49" s="18">
        <f>-Assumptions!C11*Assumptions!G48</f>
        <v>-99861.798429326824</v>
      </c>
    </row>
    <row r="50" spans="1:33" s="18" customFormat="1">
      <c r="A50" s="56" t="s">
        <v>364</v>
      </c>
      <c r="B50" s="18">
        <f>+B21*Assumptions!$G$48</f>
        <v>0</v>
      </c>
      <c r="C50" s="18">
        <f>+C21*Assumptions!$G$48</f>
        <v>7488.5592139399359</v>
      </c>
      <c r="D50" s="18">
        <f>+D21*Assumptions!$G$48</f>
        <v>13339.020711485882</v>
      </c>
      <c r="E50" s="18">
        <f>+E21*Assumptions!$G$48</f>
        <v>12950.182863137294</v>
      </c>
      <c r="F50" s="18">
        <f>+F21*Assumptions!$G$48</f>
        <v>12598.767010671501</v>
      </c>
      <c r="G50" s="18">
        <f>+G21*Assumptions!$G$48</f>
        <v>12277.119605994874</v>
      </c>
      <c r="H50" s="18">
        <f>+H21*Assumptions!$G$48</f>
        <v>11825.812956121386</v>
      </c>
      <c r="I50" s="18">
        <f>+I21*Assumptions!$G$48</f>
        <v>11559.353650911056</v>
      </c>
      <c r="J50" s="18">
        <f>+J21*Assumptions!$G$48</f>
        <v>11532.951366652571</v>
      </c>
      <c r="K50" s="18">
        <f>+K21*Assumptions!$G$48</f>
        <v>11498.064646879337</v>
      </c>
      <c r="L50" s="18">
        <f>+L21*Assumptions!$G$48</f>
        <v>11469.933704153384</v>
      </c>
      <c r="M50" s="18">
        <f>+M21*Assumptions!$G$48</f>
        <v>11433.268666391725</v>
      </c>
      <c r="N50" s="18">
        <f>+N21*Assumptions!$G$48</f>
        <v>11403.308300375429</v>
      </c>
      <c r="O50" s="18">
        <f>+O21*Assumptions!$G$48</f>
        <v>11364.761245747202</v>
      </c>
      <c r="P50" s="18">
        <f>+P21*Assumptions!$G$48</f>
        <v>11332.864737263273</v>
      </c>
      <c r="Q50" s="18">
        <f>+Q21*Assumptions!$G$48</f>
        <v>11292.325837496424</v>
      </c>
      <c r="R50" s="18">
        <f>+R21*Assumptions!$G$48</f>
        <v>10128.793385502362</v>
      </c>
      <c r="S50" s="18">
        <f>+S21*Assumptions!$G$48</f>
        <v>8964.1918879632012</v>
      </c>
      <c r="T50" s="18">
        <f>+T21*Assumptions!$G$48</f>
        <v>8924.2611504370034</v>
      </c>
      <c r="U50" s="18">
        <f>+U21*Assumptions!$G$48</f>
        <v>8883.1988787017235</v>
      </c>
      <c r="V50" s="18">
        <f>+V21*Assumptions!$G$48</f>
        <v>8840.9724544894125</v>
      </c>
      <c r="W50" s="18">
        <f>+W21*Assumptions!$G$48</f>
        <v>2587.1424546521002</v>
      </c>
      <c r="X50" s="18">
        <f>+X21*Assumptions!$G$48</f>
        <v>-2734.4435275948344</v>
      </c>
      <c r="Y50" s="18">
        <f>+Y21*Assumptions!$G$48</f>
        <v>-2810.4141680470893</v>
      </c>
      <c r="Z50" s="18">
        <f>+Z21*Assumptions!$G$48</f>
        <v>-2888.5426744053948</v>
      </c>
      <c r="AA50" s="18">
        <f>+AA21*Assumptions!$G$48</f>
        <v>-2968.8913575807937</v>
      </c>
      <c r="AB50" s="18">
        <f>+AB21*Assumptions!$G$48</f>
        <v>-3051.5243493103162</v>
      </c>
      <c r="AC50" s="18">
        <f>+AC21*Assumptions!$G$48</f>
        <v>-3136.507655811768</v>
      </c>
      <c r="AD50" s="18">
        <f>+AD21*Assumptions!$G$48</f>
        <v>-3223.9092130287054</v>
      </c>
      <c r="AE50" s="18">
        <f>+AE21*Assumptions!$G$48</f>
        <v>-3313.7989435130003</v>
      </c>
      <c r="AF50" s="18">
        <f>+AF21*Assumptions!$G$48</f>
        <v>-3406.2488149936944</v>
      </c>
      <c r="AG50" s="18">
        <f>+AG21*Assumptions!$G$48</f>
        <v>-3501.332900682316</v>
      </c>
    </row>
    <row r="51" spans="1:33" s="18" customFormat="1">
      <c r="A51" s="56" t="s">
        <v>127</v>
      </c>
      <c r="B51" s="315">
        <v>0</v>
      </c>
      <c r="C51" s="315">
        <v>0</v>
      </c>
      <c r="D51" s="315">
        <v>0</v>
      </c>
      <c r="E51" s="315">
        <v>0</v>
      </c>
      <c r="F51" s="315">
        <v>0</v>
      </c>
      <c r="G51" s="315">
        <v>0</v>
      </c>
      <c r="H51" s="315">
        <v>0</v>
      </c>
      <c r="I51" s="315">
        <v>0</v>
      </c>
      <c r="J51" s="315">
        <v>0</v>
      </c>
      <c r="K51" s="315">
        <v>0</v>
      </c>
      <c r="L51" s="315">
        <v>0</v>
      </c>
      <c r="M51" s="315">
        <v>0</v>
      </c>
      <c r="N51" s="315">
        <v>0</v>
      </c>
      <c r="O51" s="315">
        <v>0</v>
      </c>
      <c r="P51" s="315">
        <v>0</v>
      </c>
      <c r="Q51" s="315">
        <v>0</v>
      </c>
      <c r="R51" s="315">
        <v>0</v>
      </c>
      <c r="S51" s="315">
        <v>0</v>
      </c>
      <c r="T51" s="315">
        <v>0</v>
      </c>
      <c r="U51" s="315">
        <v>0</v>
      </c>
      <c r="V51" s="315">
        <v>0</v>
      </c>
      <c r="W51" s="315">
        <f>AG51</f>
        <v>19972.359685865365</v>
      </c>
      <c r="X51" s="315">
        <v>0</v>
      </c>
      <c r="Y51" s="315">
        <v>0</v>
      </c>
      <c r="Z51" s="315">
        <v>0</v>
      </c>
      <c r="AA51" s="315">
        <v>0</v>
      </c>
      <c r="AB51" s="315">
        <v>0</v>
      </c>
      <c r="AC51" s="315">
        <v>0</v>
      </c>
      <c r="AD51" s="315">
        <v>0</v>
      </c>
      <c r="AE51" s="315">
        <v>0</v>
      </c>
      <c r="AF51" s="315">
        <v>0</v>
      </c>
      <c r="AG51" s="315">
        <f>Assumptions!H24*Assumptions!C58*Assumptions!G48</f>
        <v>19972.359685865365</v>
      </c>
    </row>
    <row r="52" spans="1:33" s="18" customFormat="1">
      <c r="A52" s="56" t="s">
        <v>363</v>
      </c>
      <c r="B52" s="18">
        <f>SUM(B49:B51)</f>
        <v>-99861.798429326824</v>
      </c>
      <c r="C52" s="18">
        <f t="shared" ref="C52:AG52" si="14">SUM(C49:C51)</f>
        <v>7488.5592139399359</v>
      </c>
      <c r="D52" s="18">
        <f t="shared" si="14"/>
        <v>13339.020711485882</v>
      </c>
      <c r="E52" s="18">
        <f t="shared" si="14"/>
        <v>12950.182863137294</v>
      </c>
      <c r="F52" s="18">
        <f t="shared" si="14"/>
        <v>12598.767010671501</v>
      </c>
      <c r="G52" s="18">
        <f t="shared" si="14"/>
        <v>12277.119605994874</v>
      </c>
      <c r="H52" s="18">
        <f t="shared" si="14"/>
        <v>11825.812956121386</v>
      </c>
      <c r="I52" s="18">
        <f t="shared" si="14"/>
        <v>11559.353650911056</v>
      </c>
      <c r="J52" s="18">
        <f t="shared" si="14"/>
        <v>11532.951366652571</v>
      </c>
      <c r="K52" s="18">
        <f t="shared" si="14"/>
        <v>11498.064646879337</v>
      </c>
      <c r="L52" s="18">
        <f t="shared" si="14"/>
        <v>11469.933704153384</v>
      </c>
      <c r="M52" s="18">
        <f t="shared" si="14"/>
        <v>11433.268666391725</v>
      </c>
      <c r="N52" s="18">
        <f t="shared" si="14"/>
        <v>11403.308300375429</v>
      </c>
      <c r="O52" s="18">
        <f t="shared" si="14"/>
        <v>11364.761245747202</v>
      </c>
      <c r="P52" s="18">
        <f t="shared" si="14"/>
        <v>11332.864737263273</v>
      </c>
      <c r="Q52" s="18">
        <f t="shared" si="14"/>
        <v>11292.325837496424</v>
      </c>
      <c r="R52" s="18">
        <f t="shared" si="14"/>
        <v>10128.793385502362</v>
      </c>
      <c r="S52" s="18">
        <f t="shared" si="14"/>
        <v>8964.1918879632012</v>
      </c>
      <c r="T52" s="18">
        <f t="shared" si="14"/>
        <v>8924.2611504370034</v>
      </c>
      <c r="U52" s="18">
        <f t="shared" si="14"/>
        <v>8883.1988787017235</v>
      </c>
      <c r="V52" s="18">
        <f t="shared" si="14"/>
        <v>8840.9724544894125</v>
      </c>
      <c r="W52" s="18">
        <f t="shared" si="14"/>
        <v>22559.502140517467</v>
      </c>
      <c r="X52" s="18">
        <f t="shared" si="14"/>
        <v>-2734.4435275948344</v>
      </c>
      <c r="Y52" s="18">
        <f t="shared" si="14"/>
        <v>-2810.4141680470893</v>
      </c>
      <c r="Z52" s="18">
        <f t="shared" si="14"/>
        <v>-2888.5426744053948</v>
      </c>
      <c r="AA52" s="18">
        <f t="shared" si="14"/>
        <v>-2968.8913575807937</v>
      </c>
      <c r="AB52" s="18">
        <f t="shared" si="14"/>
        <v>-3051.5243493103162</v>
      </c>
      <c r="AC52" s="18">
        <f t="shared" si="14"/>
        <v>-3136.507655811768</v>
      </c>
      <c r="AD52" s="18">
        <f t="shared" si="14"/>
        <v>-3223.9092130287054</v>
      </c>
      <c r="AE52" s="18">
        <f t="shared" si="14"/>
        <v>-3313.7989435130003</v>
      </c>
      <c r="AF52" s="18">
        <f t="shared" si="14"/>
        <v>-3406.2488149936944</v>
      </c>
      <c r="AG52" s="18">
        <f t="shared" si="14"/>
        <v>16471.02678518305</v>
      </c>
    </row>
    <row r="53" spans="1:33">
      <c r="A53" s="13"/>
      <c r="B53" s="454" t="s">
        <v>1</v>
      </c>
      <c r="C53" s="460">
        <f>XIRR(B52:W52,B8:W8)</f>
        <v>8.9916852116584803E-2</v>
      </c>
    </row>
    <row r="54" spans="1:33">
      <c r="A54" s="56"/>
      <c r="B54" s="456"/>
    </row>
    <row r="55" spans="1:33">
      <c r="A55" s="43" t="str">
        <f>CONCATENATE("With $",Assumptions!H25,"/kW")</f>
        <v>With $200/kW</v>
      </c>
    </row>
    <row r="56" spans="1:33" s="18" customFormat="1">
      <c r="A56" s="56" t="s">
        <v>365</v>
      </c>
      <c r="B56" s="18">
        <f>-Assumptions!C11*Assumptions!G48</f>
        <v>-99861.798429326824</v>
      </c>
    </row>
    <row r="57" spans="1:33" s="18" customFormat="1">
      <c r="A57" s="56" t="s">
        <v>364</v>
      </c>
      <c r="B57" s="457">
        <f>B21*Assumptions!$G$48</f>
        <v>0</v>
      </c>
      <c r="C57" s="18">
        <f>C21*Assumptions!$G$48</f>
        <v>7488.5592139399359</v>
      </c>
      <c r="D57" s="18">
        <f>D21*Assumptions!$G$48</f>
        <v>13339.020711485882</v>
      </c>
      <c r="E57" s="18">
        <f>E21*Assumptions!$G$48</f>
        <v>12950.182863137294</v>
      </c>
      <c r="F57" s="18">
        <f>F21*Assumptions!$G$48</f>
        <v>12598.767010671501</v>
      </c>
      <c r="G57" s="18">
        <f>G21*Assumptions!$G$48</f>
        <v>12277.119605994874</v>
      </c>
      <c r="H57" s="18">
        <f>H21*Assumptions!$G$48</f>
        <v>11825.812956121386</v>
      </c>
      <c r="I57" s="18">
        <f>I21*Assumptions!$G$48</f>
        <v>11559.353650911056</v>
      </c>
      <c r="J57" s="18">
        <f>J21*Assumptions!$G$48</f>
        <v>11532.951366652571</v>
      </c>
      <c r="K57" s="18">
        <f>K21*Assumptions!$G$48</f>
        <v>11498.064646879337</v>
      </c>
      <c r="L57" s="18">
        <f>L21*Assumptions!$G$48</f>
        <v>11469.933704153384</v>
      </c>
      <c r="M57" s="18">
        <f>M21*Assumptions!$G$48</f>
        <v>11433.268666391725</v>
      </c>
      <c r="N57" s="18">
        <f>N21*Assumptions!$G$48</f>
        <v>11403.308300375429</v>
      </c>
      <c r="O57" s="18">
        <f>O21*Assumptions!$G$48</f>
        <v>11364.761245747202</v>
      </c>
      <c r="P57" s="18">
        <f>P21*Assumptions!$G$48</f>
        <v>11332.864737263273</v>
      </c>
      <c r="Q57" s="18">
        <f>Q21*Assumptions!$G$48</f>
        <v>11292.325837496424</v>
      </c>
      <c r="R57" s="18">
        <f>R21*Assumptions!$G$48</f>
        <v>10128.793385502362</v>
      </c>
      <c r="S57" s="18">
        <f>S21*Assumptions!$G$48</f>
        <v>8964.1918879632012</v>
      </c>
      <c r="T57" s="18">
        <f>T21*Assumptions!$G$48</f>
        <v>8924.2611504370034</v>
      </c>
      <c r="U57" s="18">
        <f>U21*Assumptions!$G$48</f>
        <v>8883.1988787017235</v>
      </c>
      <c r="V57" s="18">
        <f>V21*Assumptions!$G$48</f>
        <v>8840.9724544894125</v>
      </c>
      <c r="W57" s="18">
        <f>W21*Assumptions!$G$48</f>
        <v>2587.1424546521002</v>
      </c>
      <c r="X57" s="18">
        <f>X21*Assumptions!$G$48</f>
        <v>-2734.4435275948344</v>
      </c>
      <c r="Y57" s="18">
        <f>Y21*Assumptions!$G$48</f>
        <v>-2810.4141680470893</v>
      </c>
      <c r="Z57" s="18">
        <f>Z21*Assumptions!$G$48</f>
        <v>-2888.5426744053948</v>
      </c>
      <c r="AA57" s="18">
        <f>AA21*Assumptions!$G$48</f>
        <v>-2968.8913575807937</v>
      </c>
      <c r="AB57" s="18">
        <f>AB21*Assumptions!$G$48</f>
        <v>-3051.5243493103162</v>
      </c>
      <c r="AC57" s="18">
        <f>AC21*Assumptions!$G$48</f>
        <v>-3136.507655811768</v>
      </c>
      <c r="AD57" s="18">
        <f>AD21*Assumptions!$G$48</f>
        <v>-3223.9092130287054</v>
      </c>
      <c r="AE57" s="18">
        <f>AE21*Assumptions!$G$48</f>
        <v>-3313.7989435130003</v>
      </c>
      <c r="AF57" s="18">
        <f>AF21*Assumptions!$G$48</f>
        <v>-3406.2488149936944</v>
      </c>
      <c r="AG57" s="18">
        <f>AG21*Assumptions!$G$48</f>
        <v>-3501.332900682316</v>
      </c>
    </row>
    <row r="58" spans="1:33" s="18" customFormat="1">
      <c r="A58" s="56" t="s">
        <v>127</v>
      </c>
      <c r="B58" s="315">
        <v>0</v>
      </c>
      <c r="C58" s="315">
        <v>0</v>
      </c>
      <c r="D58" s="315">
        <v>0</v>
      </c>
      <c r="E58" s="315">
        <v>0</v>
      </c>
      <c r="F58" s="315">
        <v>0</v>
      </c>
      <c r="G58" s="315">
        <v>0</v>
      </c>
      <c r="H58" s="315">
        <v>0</v>
      </c>
      <c r="I58" s="315">
        <v>0</v>
      </c>
      <c r="J58" s="315">
        <v>0</v>
      </c>
      <c r="K58" s="315">
        <v>0</v>
      </c>
      <c r="L58" s="315">
        <v>0</v>
      </c>
      <c r="M58" s="315">
        <v>0</v>
      </c>
      <c r="N58" s="315">
        <v>0</v>
      </c>
      <c r="O58" s="315">
        <v>0</v>
      </c>
      <c r="P58" s="315">
        <v>0</v>
      </c>
      <c r="Q58" s="315">
        <v>0</v>
      </c>
      <c r="R58" s="315">
        <v>0</v>
      </c>
      <c r="S58" s="315">
        <v>0</v>
      </c>
      <c r="T58" s="315">
        <v>0</v>
      </c>
      <c r="U58" s="315">
        <v>0</v>
      </c>
      <c r="V58" s="315">
        <v>0</v>
      </c>
      <c r="W58" s="315">
        <f>AG58</f>
        <v>38000</v>
      </c>
      <c r="X58" s="315">
        <v>0</v>
      </c>
      <c r="Y58" s="315">
        <v>0</v>
      </c>
      <c r="Z58" s="315">
        <v>0</v>
      </c>
      <c r="AA58" s="315">
        <v>0</v>
      </c>
      <c r="AB58" s="315">
        <v>0</v>
      </c>
      <c r="AC58" s="315">
        <v>0</v>
      </c>
      <c r="AD58" s="315">
        <v>0</v>
      </c>
      <c r="AE58" s="315">
        <v>0</v>
      </c>
      <c r="AF58" s="315">
        <v>0</v>
      </c>
      <c r="AG58" s="315">
        <f>Assumptions!H25*Assumptions!H68*Assumptions!G48</f>
        <v>38000</v>
      </c>
    </row>
    <row r="59" spans="1:33" s="18" customFormat="1" ht="12" customHeight="1">
      <c r="A59" s="56" t="s">
        <v>363</v>
      </c>
      <c r="B59" s="18">
        <f>SUM(B56:B58)</f>
        <v>-99861.798429326824</v>
      </c>
      <c r="C59" s="18">
        <f t="shared" ref="C59:AG59" si="15">SUM(C56:C58)</f>
        <v>7488.5592139399359</v>
      </c>
      <c r="D59" s="18">
        <f t="shared" si="15"/>
        <v>13339.020711485882</v>
      </c>
      <c r="E59" s="18">
        <f t="shared" si="15"/>
        <v>12950.182863137294</v>
      </c>
      <c r="F59" s="18">
        <f t="shared" si="15"/>
        <v>12598.767010671501</v>
      </c>
      <c r="G59" s="18">
        <f t="shared" si="15"/>
        <v>12277.119605994874</v>
      </c>
      <c r="H59" s="18">
        <f t="shared" si="15"/>
        <v>11825.812956121386</v>
      </c>
      <c r="I59" s="18">
        <f t="shared" si="15"/>
        <v>11559.353650911056</v>
      </c>
      <c r="J59" s="18">
        <f t="shared" si="15"/>
        <v>11532.951366652571</v>
      </c>
      <c r="K59" s="18">
        <f t="shared" si="15"/>
        <v>11498.064646879337</v>
      </c>
      <c r="L59" s="18">
        <f t="shared" si="15"/>
        <v>11469.933704153384</v>
      </c>
      <c r="M59" s="18">
        <f t="shared" si="15"/>
        <v>11433.268666391725</v>
      </c>
      <c r="N59" s="18">
        <f t="shared" si="15"/>
        <v>11403.308300375429</v>
      </c>
      <c r="O59" s="18">
        <f t="shared" si="15"/>
        <v>11364.761245747202</v>
      </c>
      <c r="P59" s="18">
        <f t="shared" si="15"/>
        <v>11332.864737263273</v>
      </c>
      <c r="Q59" s="18">
        <f t="shared" si="15"/>
        <v>11292.325837496424</v>
      </c>
      <c r="R59" s="18">
        <f t="shared" si="15"/>
        <v>10128.793385502362</v>
      </c>
      <c r="S59" s="18">
        <f t="shared" si="15"/>
        <v>8964.1918879632012</v>
      </c>
      <c r="T59" s="18">
        <f t="shared" si="15"/>
        <v>8924.2611504370034</v>
      </c>
      <c r="U59" s="18">
        <f t="shared" si="15"/>
        <v>8883.1988787017235</v>
      </c>
      <c r="V59" s="18">
        <f t="shared" si="15"/>
        <v>8840.9724544894125</v>
      </c>
      <c r="W59" s="18">
        <f t="shared" si="15"/>
        <v>40587.142454652101</v>
      </c>
      <c r="X59" s="18">
        <f t="shared" si="15"/>
        <v>-2734.4435275948344</v>
      </c>
      <c r="Y59" s="18">
        <f t="shared" si="15"/>
        <v>-2810.4141680470893</v>
      </c>
      <c r="Z59" s="18">
        <f t="shared" si="15"/>
        <v>-2888.5426744053948</v>
      </c>
      <c r="AA59" s="18">
        <f t="shared" si="15"/>
        <v>-2968.8913575807937</v>
      </c>
      <c r="AB59" s="18">
        <f t="shared" si="15"/>
        <v>-3051.5243493103162</v>
      </c>
      <c r="AC59" s="18">
        <f t="shared" si="15"/>
        <v>-3136.507655811768</v>
      </c>
      <c r="AD59" s="18">
        <f t="shared" si="15"/>
        <v>-3223.9092130287054</v>
      </c>
      <c r="AE59" s="18">
        <f t="shared" si="15"/>
        <v>-3313.7989435130003</v>
      </c>
      <c r="AF59" s="18">
        <f t="shared" si="15"/>
        <v>-3406.2488149936944</v>
      </c>
      <c r="AG59" s="18">
        <f t="shared" si="15"/>
        <v>34498.667099317681</v>
      </c>
    </row>
    <row r="60" spans="1:33">
      <c r="A60" s="13"/>
      <c r="B60" s="454" t="s">
        <v>1</v>
      </c>
      <c r="C60" s="460">
        <f>XIRR(B59:W59,B8:W8)</f>
        <v>9.3201145529747009E-2</v>
      </c>
    </row>
    <row r="61" spans="1:33">
      <c r="A61" s="56"/>
      <c r="B61" s="456"/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2"/>
  <sheetViews>
    <sheetView zoomScale="75" workbookViewId="0">
      <selection activeCell="B10" sqref="B10 L5 B4"/>
    </sheetView>
  </sheetViews>
  <sheetFormatPr defaultRowHeight="12.75"/>
  <cols>
    <col min="1" max="1" width="30.7109375" customWidth="1"/>
    <col min="2" max="2" width="14.28515625" customWidth="1"/>
    <col min="3" max="4" width="10.140625" bestFit="1" customWidth="1"/>
  </cols>
  <sheetData>
    <row r="2" spans="1:22"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</row>
    <row r="3" spans="1:22">
      <c r="A3" t="s">
        <v>440</v>
      </c>
      <c r="C3" s="541"/>
      <c r="D3" s="541"/>
      <c r="E3" s="541">
        <v>36831</v>
      </c>
      <c r="F3" s="541">
        <v>36861</v>
      </c>
      <c r="G3" s="541">
        <v>36892</v>
      </c>
      <c r="H3" s="541">
        <v>36923</v>
      </c>
      <c r="I3" s="541">
        <v>36951</v>
      </c>
      <c r="J3" s="541">
        <v>36982</v>
      </c>
      <c r="K3" s="541">
        <v>37012</v>
      </c>
      <c r="L3" s="541">
        <v>37043</v>
      </c>
      <c r="M3" s="181"/>
      <c r="N3" s="181"/>
      <c r="O3" s="181"/>
      <c r="P3" s="181"/>
      <c r="Q3" s="181"/>
      <c r="R3" s="181"/>
      <c r="S3" s="181"/>
      <c r="T3" s="181"/>
      <c r="U3" s="181"/>
      <c r="V3" s="181"/>
    </row>
    <row r="4" spans="1:22">
      <c r="A4" t="s">
        <v>441</v>
      </c>
      <c r="B4" s="542">
        <v>7.0000000000000007E-2</v>
      </c>
    </row>
    <row r="5" spans="1:22">
      <c r="A5" t="s">
        <v>442</v>
      </c>
      <c r="C5" s="543">
        <f>SUM(E5:L5)</f>
        <v>1</v>
      </c>
      <c r="E5" s="544">
        <v>0.25</v>
      </c>
      <c r="F5" s="544">
        <v>0.18</v>
      </c>
      <c r="G5" s="544">
        <v>0.15</v>
      </c>
      <c r="H5" s="544">
        <v>0.12</v>
      </c>
      <c r="I5" s="544">
        <v>0.1</v>
      </c>
      <c r="J5" s="544">
        <v>0.08</v>
      </c>
      <c r="K5" s="544">
        <v>0.06</v>
      </c>
      <c r="L5" s="544">
        <v>0.06</v>
      </c>
    </row>
    <row r="7" spans="1:22">
      <c r="A7" t="s">
        <v>443</v>
      </c>
      <c r="B7" s="545">
        <f>Assumptions!C34</f>
        <v>96489.798429326824</v>
      </c>
    </row>
    <row r="8" spans="1:22">
      <c r="A8" t="s">
        <v>444</v>
      </c>
      <c r="B8" s="546">
        <f>Assumptions!C20+Assumptions!C21</f>
        <v>57289.798429326831</v>
      </c>
    </row>
    <row r="10" spans="1:22">
      <c r="A10" t="s">
        <v>445</v>
      </c>
      <c r="B10" s="547">
        <f>B7-B8</f>
        <v>39199.999999999993</v>
      </c>
      <c r="E10" s="546">
        <f t="shared" ref="E10:L10" si="0">$B$10*E5*$B$4</f>
        <v>685.99999999999989</v>
      </c>
      <c r="F10" s="546">
        <f t="shared" si="0"/>
        <v>493.9199999999999</v>
      </c>
      <c r="G10" s="546">
        <f t="shared" si="0"/>
        <v>411.59999999999997</v>
      </c>
      <c r="H10" s="546">
        <f t="shared" si="0"/>
        <v>329.28</v>
      </c>
      <c r="I10" s="546">
        <f t="shared" si="0"/>
        <v>274.39999999999998</v>
      </c>
      <c r="J10" s="546">
        <f t="shared" si="0"/>
        <v>219.51999999999998</v>
      </c>
      <c r="K10" s="546">
        <f t="shared" si="0"/>
        <v>164.64</v>
      </c>
      <c r="L10" s="546">
        <f t="shared" si="0"/>
        <v>164.64</v>
      </c>
    </row>
    <row r="12" spans="1:22">
      <c r="A12" t="s">
        <v>446</v>
      </c>
      <c r="B12" s="547">
        <f>SUM(E10:L10)</f>
        <v>2743.9999999999995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29" baseType="lpstr">
      <vt:lpstr>Notes</vt:lpstr>
      <vt:lpstr>Tracking Sheet</vt:lpstr>
      <vt:lpstr>Assumptions</vt:lpstr>
      <vt:lpstr>Price_Technical Assumption</vt:lpstr>
      <vt:lpstr>GCurve</vt:lpstr>
      <vt:lpstr>IS</vt:lpstr>
      <vt:lpstr>BS</vt:lpstr>
      <vt:lpstr>Returns Analysis</vt:lpstr>
      <vt:lpstr>IDC-Project</vt:lpstr>
      <vt:lpstr>Debt</vt:lpstr>
      <vt:lpstr>Depreciation</vt:lpstr>
      <vt:lpstr>Taxes</vt:lpstr>
      <vt:lpstr>IDC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2000-03-01T21:23:33Z</cp:lastPrinted>
  <dcterms:created xsi:type="dcterms:W3CDTF">1999-04-02T01:38:38Z</dcterms:created>
  <dcterms:modified xsi:type="dcterms:W3CDTF">2014-09-03T11:32:14Z</dcterms:modified>
</cp:coreProperties>
</file>