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861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IS" sheetId="4" r:id="rId6"/>
    <sheet name="BS" sheetId="19" state="hidden" r:id="rId7"/>
    <sheet name="Returns Analysis" sheetId="25" r:id="rId8"/>
    <sheet name="Debt" sheetId="6" r:id="rId9"/>
    <sheet name="Depreciation" sheetId="7" r:id="rId10"/>
    <sheet name="Taxes" sheetId="8" r:id="rId11"/>
    <sheet name="IDC" sheetId="18" r:id="rId12"/>
    <sheet name="NY East" sheetId="26" r:id="rId13"/>
    <sheet name="Chart_4 Hour Block" sheetId="27" r:id="rId14"/>
    <sheet name="Chart_Monthly" sheetId="28" r:id="rId15"/>
  </sheets>
  <externalReferences>
    <externalReference r:id="rId16"/>
    <externalReference r:id="rId17"/>
    <externalReference r:id="rId18"/>
    <externalReference r:id="rId19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8">Debt!$A$2:$AF$69</definedName>
    <definedName name="_xlnm.Print_Area" localSheetId="9">Depreciation!$A$2:$AH$50</definedName>
    <definedName name="_xlnm.Print_Area" localSheetId="11">IDC!$A$2:$L$59</definedName>
    <definedName name="_xlnm.Print_Area" localSheetId="5">IS!$A$2:$AG$43</definedName>
    <definedName name="_xlnm.Print_Area" localSheetId="10">Taxes!$A$2:$AF$41</definedName>
    <definedName name="_xlnm.Print_Titles" localSheetId="6">BS!$A:$A</definedName>
    <definedName name="_xlnm.Print_Titles" localSheetId="8">Debt!$A:$A</definedName>
    <definedName name="_xlnm.Print_Titles" localSheetId="9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0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A38" i="3" s="1"/>
  <c r="X14" i="2"/>
  <c r="Y14" i="2"/>
  <c r="Z14" i="2"/>
  <c r="AB14" i="2"/>
  <c r="N17" i="2"/>
  <c r="P17" i="2"/>
  <c r="H60" i="2" s="1"/>
  <c r="H18" i="2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C19" i="2"/>
  <c r="C20" i="2"/>
  <c r="C21" i="2"/>
  <c r="D21" i="2"/>
  <c r="O23" i="2"/>
  <c r="N26" i="2"/>
  <c r="D28" i="2"/>
  <c r="N29" i="2"/>
  <c r="G32" i="2"/>
  <c r="H35" i="2"/>
  <c r="H39" i="2"/>
  <c r="D42" i="2"/>
  <c r="D47" i="2"/>
  <c r="C48" i="2"/>
  <c r="G48" i="2"/>
  <c r="D49" i="2"/>
  <c r="D54" i="2"/>
  <c r="C56" i="2"/>
  <c r="H57" i="2"/>
  <c r="H66" i="2"/>
  <c r="H68" i="2"/>
  <c r="A69" i="2"/>
  <c r="A70" i="2"/>
  <c r="A71" i="2"/>
  <c r="A2" i="19"/>
  <c r="T8" i="19"/>
  <c r="U8" i="19" s="1"/>
  <c r="V8" i="19" s="1"/>
  <c r="W8" i="19"/>
  <c r="X8" i="19" s="1"/>
  <c r="Y8" i="19" s="1"/>
  <c r="Z8" i="19" s="1"/>
  <c r="AA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 s="1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A2" i="18"/>
  <c r="C8" i="18"/>
  <c r="D8" i="18" s="1"/>
  <c r="C15" i="18"/>
  <c r="E15" i="18"/>
  <c r="A16" i="18"/>
  <c r="C16" i="18"/>
  <c r="E16" i="18" s="1"/>
  <c r="F16" i="18"/>
  <c r="C17" i="18"/>
  <c r="E17" i="18" s="1"/>
  <c r="F17" i="18" s="1"/>
  <c r="C18" i="18"/>
  <c r="E18" i="18"/>
  <c r="F18" i="18" s="1"/>
  <c r="C19" i="18"/>
  <c r="E19" i="18" s="1"/>
  <c r="F19" i="18" s="1"/>
  <c r="C20" i="18"/>
  <c r="E20" i="18"/>
  <c r="F20" i="18" s="1"/>
  <c r="C21" i="18"/>
  <c r="E21" i="18"/>
  <c r="F21" i="18"/>
  <c r="C22" i="18"/>
  <c r="E22" i="18" s="1"/>
  <c r="F22" i="18" s="1"/>
  <c r="C23" i="18"/>
  <c r="E23" i="18"/>
  <c r="F23" i="18"/>
  <c r="C24" i="18"/>
  <c r="E24" i="18" s="1"/>
  <c r="F24" i="18" s="1"/>
  <c r="C25" i="18"/>
  <c r="E25" i="18" s="1"/>
  <c r="F25" i="18" s="1"/>
  <c r="C26" i="18"/>
  <c r="E26" i="18"/>
  <c r="F26" i="18" s="1"/>
  <c r="C27" i="18"/>
  <c r="E27" i="18" s="1"/>
  <c r="F27" i="18" s="1"/>
  <c r="C28" i="18"/>
  <c r="E28" i="18" s="1"/>
  <c r="F28" i="18" s="1"/>
  <c r="C29" i="18"/>
  <c r="E29" i="18" s="1"/>
  <c r="F29" i="18"/>
  <c r="E30" i="18"/>
  <c r="F30" i="18"/>
  <c r="E31" i="18"/>
  <c r="F31" i="18" s="1"/>
  <c r="E32" i="18"/>
  <c r="F32" i="18"/>
  <c r="E33" i="18"/>
  <c r="F33" i="18"/>
  <c r="D34" i="18"/>
  <c r="H57" i="18"/>
  <c r="I57" i="18"/>
  <c r="J57" i="18"/>
  <c r="K57" i="18"/>
  <c r="L57" i="18"/>
  <c r="D59" i="18"/>
  <c r="D15" i="18" s="1"/>
  <c r="A2" i="4"/>
  <c r="C6" i="4"/>
  <c r="C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C13" i="4" s="1"/>
  <c r="C12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C18" i="4"/>
  <c r="D18" i="4"/>
  <c r="E18" i="4"/>
  <c r="F18" i="4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C19" i="4"/>
  <c r="D19" i="4"/>
  <c r="E19" i="4" s="1"/>
  <c r="F19" i="4" s="1"/>
  <c r="G19" i="4"/>
  <c r="H19" i="4" s="1"/>
  <c r="I19" i="4" s="1"/>
  <c r="J19" i="4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20" i="4"/>
  <c r="D20" i="4"/>
  <c r="E20" i="4"/>
  <c r="F20" i="4" s="1"/>
  <c r="G20" i="4" s="1"/>
  <c r="H20" i="4" s="1"/>
  <c r="I20" i="4" s="1"/>
  <c r="J20" i="4" s="1"/>
  <c r="K20" i="4"/>
  <c r="L20" i="4" s="1"/>
  <c r="M20" i="4" s="1"/>
  <c r="N20" i="4" s="1"/>
  <c r="O20" i="4" s="1"/>
  <c r="P20" i="4" s="1"/>
  <c r="Q20" i="4" s="1"/>
  <c r="R20" i="4" s="1"/>
  <c r="S20" i="4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D21" i="4"/>
  <c r="E21" i="4" s="1"/>
  <c r="F21" i="4" s="1"/>
  <c r="G21" i="4" s="1"/>
  <c r="H21" i="4" s="1"/>
  <c r="I21" i="4" s="1"/>
  <c r="J21" i="4"/>
  <c r="K21" i="4" s="1"/>
  <c r="L21" i="4"/>
  <c r="M21" i="4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D24" i="4"/>
  <c r="E24" i="4"/>
  <c r="F24" i="4"/>
  <c r="G24" i="4"/>
  <c r="H24" i="4"/>
  <c r="I24" i="4"/>
  <c r="J24" i="4"/>
  <c r="K24" i="4"/>
  <c r="L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 s="1"/>
  <c r="H26" i="4" s="1"/>
  <c r="I26" i="4" s="1"/>
  <c r="J26" i="4" s="1"/>
  <c r="K26" i="4"/>
  <c r="L26" i="4" s="1"/>
  <c r="M26" i="4" s="1"/>
  <c r="N26" i="4" s="1"/>
  <c r="O26" i="4" s="1"/>
  <c r="P26" i="4"/>
  <c r="Q26" i="4"/>
  <c r="R26" i="4"/>
  <c r="S26" i="4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7" i="4"/>
  <c r="D27" i="4"/>
  <c r="E27" i="4" s="1"/>
  <c r="F27" i="4" s="1"/>
  <c r="G27" i="4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B40" i="4"/>
  <c r="B41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H33" i="26" s="1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J33" i="26" s="1"/>
  <c r="CP18" i="26"/>
  <c r="CQ18" i="26"/>
  <c r="CR18" i="26"/>
  <c r="CS18" i="26"/>
  <c r="CT18" i="26"/>
  <c r="CU18" i="26"/>
  <c r="CV18" i="26"/>
  <c r="CW18" i="26"/>
  <c r="K33" i="26" s="1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C34" i="26" s="1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D34" i="26" s="1"/>
  <c r="V19" i="26"/>
  <c r="W19" i="26"/>
  <c r="X19" i="26"/>
  <c r="Y19" i="26"/>
  <c r="Z19" i="26"/>
  <c r="AA19" i="26"/>
  <c r="AB19" i="26"/>
  <c r="AC19" i="26"/>
  <c r="E34" i="26" s="1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F34" i="26" s="1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I34" i="26" s="1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M34" i="26" s="1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H35" i="26" s="1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C36" i="26" s="1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D36" i="26" s="1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I36" i="26" s="1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D37" i="26" s="1"/>
  <c r="V22" i="26"/>
  <c r="W22" i="26"/>
  <c r="X22" i="26"/>
  <c r="Y22" i="26"/>
  <c r="Z22" i="26"/>
  <c r="AA22" i="26"/>
  <c r="AB22" i="26"/>
  <c r="AC22" i="26"/>
  <c r="E37" i="26" s="1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F37" i="26" s="1"/>
  <c r="AT22" i="26"/>
  <c r="AU22" i="26"/>
  <c r="AV22" i="26"/>
  <c r="AW22" i="26"/>
  <c r="AX22" i="26"/>
  <c r="AY22" i="26"/>
  <c r="AZ22" i="26"/>
  <c r="BA22" i="26"/>
  <c r="G37" i="26" s="1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J37" i="26" s="1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I38" i="26" s="1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C39" i="26" s="1"/>
  <c r="F24" i="26"/>
  <c r="G24" i="26"/>
  <c r="H24" i="26"/>
  <c r="I24" i="26"/>
  <c r="J24" i="26"/>
  <c r="K24" i="26"/>
  <c r="L24" i="26"/>
  <c r="M24" i="26"/>
  <c r="N24" i="26"/>
  <c r="O24" i="26"/>
  <c r="P24" i="26"/>
  <c r="D39" i="26" s="1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J39" i="26" s="1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E40" i="26" s="1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F40" i="26" s="1"/>
  <c r="AT25" i="26"/>
  <c r="AU25" i="26"/>
  <c r="AV25" i="26"/>
  <c r="AW25" i="26"/>
  <c r="AX25" i="26"/>
  <c r="AY25" i="26"/>
  <c r="AZ25" i="26"/>
  <c r="BA25" i="26"/>
  <c r="G40" i="26" s="1"/>
  <c r="BB25" i="26"/>
  <c r="BC25" i="26"/>
  <c r="BD25" i="26"/>
  <c r="BE25" i="26"/>
  <c r="BF25" i="26"/>
  <c r="BG25" i="26"/>
  <c r="BH25" i="26"/>
  <c r="BI25" i="26"/>
  <c r="BJ25" i="26"/>
  <c r="BK25" i="26"/>
  <c r="BL25" i="26"/>
  <c r="H40" i="26" s="1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M40" i="26" s="1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K41" i="26" s="1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D42" i="26" s="1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E42" i="26" s="1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F42" i="26" s="1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N42" i="26" s="1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F43" i="26" s="1"/>
  <c r="AT28" i="26"/>
  <c r="AU28" i="26"/>
  <c r="AV28" i="26"/>
  <c r="AW28" i="26"/>
  <c r="AX28" i="26"/>
  <c r="AY28" i="26"/>
  <c r="AZ28" i="26"/>
  <c r="BA28" i="26"/>
  <c r="G43" i="26" s="1"/>
  <c r="BB28" i="26"/>
  <c r="BC28" i="26"/>
  <c r="BD28" i="26"/>
  <c r="BE28" i="26"/>
  <c r="BF28" i="26"/>
  <c r="BG28" i="26"/>
  <c r="BH28" i="26"/>
  <c r="BI28" i="26"/>
  <c r="BJ28" i="26"/>
  <c r="BK28" i="26"/>
  <c r="BL28" i="26"/>
  <c r="H43" i="26" s="1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F33" i="26"/>
  <c r="I33" i="26"/>
  <c r="K34" i="26"/>
  <c r="D35" i="26"/>
  <c r="F35" i="26"/>
  <c r="G35" i="26"/>
  <c r="G36" i="26"/>
  <c r="J36" i="26"/>
  <c r="E38" i="26"/>
  <c r="G38" i="26"/>
  <c r="H38" i="26"/>
  <c r="H39" i="26"/>
  <c r="C40" i="26"/>
  <c r="C41" i="26"/>
  <c r="F41" i="26"/>
  <c r="H41" i="26"/>
  <c r="I41" i="26"/>
  <c r="I42" i="26"/>
  <c r="D43" i="26"/>
  <c r="C4" i="29"/>
  <c r="D4" i="29"/>
  <c r="B2" i="3"/>
  <c r="D7" i="3"/>
  <c r="D8" i="3"/>
  <c r="E8" i="3"/>
  <c r="F8" i="3"/>
  <c r="G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E19" i="3" s="1"/>
  <c r="M19" i="3"/>
  <c r="N19" i="3"/>
  <c r="O19" i="3"/>
  <c r="P19" i="3"/>
  <c r="S19" i="3"/>
  <c r="X19" i="3"/>
  <c r="AD19" i="3"/>
  <c r="AE1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J34" i="3" s="1"/>
  <c r="K30" i="3"/>
  <c r="L30" i="3"/>
  <c r="M30" i="3"/>
  <c r="N30" i="3"/>
  <c r="O30" i="3"/>
  <c r="P30" i="3"/>
  <c r="Q30" i="3"/>
  <c r="R30" i="3"/>
  <c r="R34" i="3" s="1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H34" i="3" s="1"/>
  <c r="Q34" i="3"/>
  <c r="S34" i="3"/>
  <c r="D35" i="3"/>
  <c r="D41" i="3"/>
  <c r="E41" i="3" s="1"/>
  <c r="D44" i="3"/>
  <c r="D46" i="3" s="1"/>
  <c r="D34" i="3" s="1"/>
  <c r="E44" i="3"/>
  <c r="E46" i="3" s="1"/>
  <c r="E34" i="3" s="1"/>
  <c r="F44" i="3"/>
  <c r="F46" i="3" s="1"/>
  <c r="F34" i="3" s="1"/>
  <c r="G44" i="3"/>
  <c r="G46" i="3" s="1"/>
  <c r="G34" i="3" s="1"/>
  <c r="H44" i="3"/>
  <c r="I44" i="3"/>
  <c r="J44" i="3"/>
  <c r="J46" i="3" s="1"/>
  <c r="K44" i="3"/>
  <c r="L44" i="3"/>
  <c r="L46" i="3" s="1"/>
  <c r="L34" i="3" s="1"/>
  <c r="M44" i="3"/>
  <c r="N44" i="3"/>
  <c r="N46" i="3" s="1"/>
  <c r="N34" i="3" s="1"/>
  <c r="O44" i="3"/>
  <c r="O46" i="3" s="1"/>
  <c r="O34" i="3" s="1"/>
  <c r="P44" i="3"/>
  <c r="P46" i="3" s="1"/>
  <c r="P34" i="3" s="1"/>
  <c r="Q44" i="3"/>
  <c r="R44" i="3"/>
  <c r="R46" i="3" s="1"/>
  <c r="S44" i="3"/>
  <c r="T44" i="3"/>
  <c r="T46" i="3" s="1"/>
  <c r="T34" i="3" s="1"/>
  <c r="U44" i="3"/>
  <c r="V44" i="3"/>
  <c r="V46" i="3" s="1"/>
  <c r="V34" i="3" s="1"/>
  <c r="W44" i="3"/>
  <c r="W46" i="3" s="1"/>
  <c r="W34" i="3" s="1"/>
  <c r="X44" i="3"/>
  <c r="X46" i="3" s="1"/>
  <c r="X34" i="3" s="1"/>
  <c r="Y44" i="3"/>
  <c r="Z44" i="3"/>
  <c r="Z46" i="3" s="1"/>
  <c r="AA44" i="3"/>
  <c r="AB44" i="3"/>
  <c r="AB46" i="3" s="1"/>
  <c r="AB34" i="3" s="1"/>
  <c r="AC44" i="3"/>
  <c r="AC46" i="3" s="1"/>
  <c r="AC34" i="3" s="1"/>
  <c r="AD44" i="3"/>
  <c r="AE44" i="3"/>
  <c r="AF44" i="3"/>
  <c r="AG44" i="3"/>
  <c r="AH44" i="3"/>
  <c r="AH46" i="3" s="1"/>
  <c r="H46" i="3"/>
  <c r="H34" i="3" s="1"/>
  <c r="I46" i="3"/>
  <c r="I34" i="3" s="1"/>
  <c r="K46" i="3"/>
  <c r="K34" i="3" s="1"/>
  <c r="M46" i="3"/>
  <c r="M34" i="3" s="1"/>
  <c r="Q46" i="3"/>
  <c r="S46" i="3"/>
  <c r="U46" i="3"/>
  <c r="U34" i="3" s="1"/>
  <c r="Y46" i="3"/>
  <c r="Y34" i="3" s="1"/>
  <c r="AA46" i="3"/>
  <c r="AA34" i="3" s="1"/>
  <c r="AD46" i="3"/>
  <c r="AD34" i="3" s="1"/>
  <c r="AE46" i="3"/>
  <c r="AE34" i="3" s="1"/>
  <c r="AF46" i="3"/>
  <c r="AF34" i="3" s="1"/>
  <c r="AG46" i="3"/>
  <c r="AG34" i="3" s="1"/>
  <c r="A2" i="25"/>
  <c r="C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13" i="25"/>
  <c r="B18" i="25" s="1"/>
  <c r="B21" i="25" s="1"/>
  <c r="B37" i="25"/>
  <c r="A41" i="25"/>
  <c r="A48" i="25"/>
  <c r="A55" i="25"/>
  <c r="AG58" i="25"/>
  <c r="L58" i="25" s="1"/>
  <c r="A2" i="8"/>
  <c r="B6" i="8"/>
  <c r="B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B57" i="25" l="1"/>
  <c r="B27" i="25"/>
  <c r="D11" i="4"/>
  <c r="D13" i="4" s="1"/>
  <c r="F41" i="3"/>
  <c r="D38" i="3"/>
  <c r="E7" i="19"/>
  <c r="E7" i="7"/>
  <c r="D7" i="25"/>
  <c r="C7" i="8"/>
  <c r="D7" i="4"/>
  <c r="C73" i="2" s="1"/>
  <c r="F7" i="19"/>
  <c r="E7" i="4"/>
  <c r="D73" i="2" s="1"/>
  <c r="F7" i="7"/>
  <c r="E4" i="29"/>
  <c r="E7" i="25"/>
  <c r="D7" i="8"/>
  <c r="B50" i="25"/>
  <c r="G7" i="19"/>
  <c r="F7" i="4"/>
  <c r="H8" i="3"/>
  <c r="F4" i="29"/>
  <c r="G7" i="7"/>
  <c r="F7" i="25"/>
  <c r="E7" i="8"/>
  <c r="B43" i="25"/>
  <c r="C42" i="26"/>
  <c r="E39" i="26"/>
  <c r="O39" i="26" s="1"/>
  <c r="M38" i="26"/>
  <c r="M37" i="26"/>
  <c r="I35" i="26"/>
  <c r="C29" i="26"/>
  <c r="C30" i="26"/>
  <c r="C33" i="26"/>
  <c r="F17" i="4"/>
  <c r="G17" i="4" s="1"/>
  <c r="H17" i="4" s="1"/>
  <c r="K42" i="26"/>
  <c r="K39" i="26"/>
  <c r="D36" i="3"/>
  <c r="AC19" i="3"/>
  <c r="F19" i="3"/>
  <c r="M39" i="26"/>
  <c r="N30" i="2"/>
  <c r="O30" i="2" s="1"/>
  <c r="N32" i="2"/>
  <c r="O32" i="2" s="1"/>
  <c r="C17" i="4"/>
  <c r="C24" i="4"/>
  <c r="N33" i="2" s="1"/>
  <c r="O33" i="2" s="1"/>
  <c r="M24" i="4"/>
  <c r="AA19" i="3"/>
  <c r="AB8" i="19"/>
  <c r="Z8" i="25"/>
  <c r="I43" i="26"/>
  <c r="M42" i="26"/>
  <c r="K40" i="26"/>
  <c r="K36" i="26"/>
  <c r="Z34" i="3"/>
  <c r="I19" i="3"/>
  <c r="Q19" i="3"/>
  <c r="Y19" i="3"/>
  <c r="AG19" i="3"/>
  <c r="J19" i="3"/>
  <c r="R19" i="3"/>
  <c r="Z19" i="3"/>
  <c r="AH19" i="3"/>
  <c r="D19" i="3"/>
  <c r="L19" i="3"/>
  <c r="T19" i="3"/>
  <c r="AB19" i="3"/>
  <c r="G19" i="3"/>
  <c r="U19" i="3"/>
  <c r="AF19" i="3"/>
  <c r="H19" i="3"/>
  <c r="V19" i="3"/>
  <c r="K19" i="3"/>
  <c r="W19" i="3"/>
  <c r="D6" i="19"/>
  <c r="D6" i="7"/>
  <c r="E7" i="3"/>
  <c r="E21" i="3" s="1"/>
  <c r="D21" i="3"/>
  <c r="C6" i="25"/>
  <c r="N43" i="26"/>
  <c r="L43" i="26"/>
  <c r="J43" i="26"/>
  <c r="L42" i="26"/>
  <c r="J42" i="26"/>
  <c r="H42" i="26"/>
  <c r="N41" i="26"/>
  <c r="L41" i="26"/>
  <c r="J41" i="26"/>
  <c r="D41" i="26"/>
  <c r="O41" i="26" s="1"/>
  <c r="N40" i="26"/>
  <c r="L40" i="26"/>
  <c r="J40" i="26"/>
  <c r="D40" i="26"/>
  <c r="O40" i="26" s="1"/>
  <c r="N39" i="26"/>
  <c r="L39" i="26"/>
  <c r="F39" i="26"/>
  <c r="N38" i="26"/>
  <c r="L38" i="26"/>
  <c r="J38" i="26"/>
  <c r="F38" i="26"/>
  <c r="D38" i="26"/>
  <c r="N37" i="26"/>
  <c r="L37" i="26"/>
  <c r="H37" i="26"/>
  <c r="N36" i="26"/>
  <c r="L36" i="26"/>
  <c r="H36" i="26"/>
  <c r="F36" i="26"/>
  <c r="N35" i="26"/>
  <c r="L35" i="26"/>
  <c r="J35" i="26"/>
  <c r="N34" i="26"/>
  <c r="L34" i="26"/>
  <c r="J34" i="26"/>
  <c r="H34" i="26"/>
  <c r="N33" i="26"/>
  <c r="L33" i="26"/>
  <c r="D33" i="26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B73" i="2"/>
  <c r="F15" i="18"/>
  <c r="E34" i="18"/>
  <c r="D7" i="19"/>
  <c r="D7" i="7"/>
  <c r="M43" i="26"/>
  <c r="K43" i="26"/>
  <c r="E43" i="26"/>
  <c r="C43" i="26"/>
  <c r="O43" i="26" s="1"/>
  <c r="G42" i="26"/>
  <c r="M41" i="26"/>
  <c r="G41" i="26"/>
  <c r="E41" i="26"/>
  <c r="I40" i="26"/>
  <c r="I39" i="26"/>
  <c r="G39" i="26"/>
  <c r="K38" i="26"/>
  <c r="C38" i="26"/>
  <c r="K37" i="26"/>
  <c r="I37" i="26"/>
  <c r="C37" i="26"/>
  <c r="M36" i="26"/>
  <c r="E36" i="26"/>
  <c r="O36" i="26" s="1"/>
  <c r="M35" i="26"/>
  <c r="K35" i="26"/>
  <c r="E35" i="26"/>
  <c r="C35" i="26"/>
  <c r="G34" i="26"/>
  <c r="O34" i="26" s="1"/>
  <c r="M33" i="26"/>
  <c r="G33" i="26"/>
  <c r="E33" i="26"/>
  <c r="D13" i="7"/>
  <c r="I13" i="7" s="1"/>
  <c r="E13" i="7"/>
  <c r="G13" i="7"/>
  <c r="H13" i="7"/>
  <c r="F13" i="7"/>
  <c r="G39" i="2"/>
  <c r="B36" i="6"/>
  <c r="A17" i="18"/>
  <c r="C34" i="18"/>
  <c r="O29" i="2"/>
  <c r="O19" i="2"/>
  <c r="O21" i="2"/>
  <c r="D24" i="2"/>
  <c r="D37" i="2"/>
  <c r="D40" i="2"/>
  <c r="D44" i="2"/>
  <c r="D55" i="2"/>
  <c r="D22" i="2"/>
  <c r="D27" i="2"/>
  <c r="D30" i="2"/>
  <c r="D32" i="2"/>
  <c r="D38" i="2"/>
  <c r="D41" i="2"/>
  <c r="D45" i="2"/>
  <c r="H62" i="2"/>
  <c r="O22" i="2"/>
  <c r="D25" i="2"/>
  <c r="D48" i="2"/>
  <c r="D56" i="2"/>
  <c r="D26" i="2"/>
  <c r="D39" i="2"/>
  <c r="D33" i="2"/>
  <c r="D23" i="2"/>
  <c r="D31" i="2"/>
  <c r="O24" i="2"/>
  <c r="D43" i="2"/>
  <c r="O25" i="2"/>
  <c r="D53" i="2"/>
  <c r="O20" i="2"/>
  <c r="D29" i="2"/>
  <c r="D20" i="2"/>
  <c r="D12" i="2"/>
  <c r="D19" i="2"/>
  <c r="D34" i="2" s="1"/>
  <c r="C34" i="2"/>
  <c r="I27" i="7" l="1"/>
  <c r="I42" i="7"/>
  <c r="O42" i="26"/>
  <c r="G15" i="18"/>
  <c r="F34" i="18"/>
  <c r="B49" i="6"/>
  <c r="C12" i="25"/>
  <c r="O37" i="26"/>
  <c r="D41" i="7"/>
  <c r="D43" i="7"/>
  <c r="D47" i="7" s="1"/>
  <c r="D14" i="7"/>
  <c r="H7" i="19"/>
  <c r="G7" i="4"/>
  <c r="I8" i="3"/>
  <c r="F7" i="8"/>
  <c r="H7" i="7"/>
  <c r="G7" i="25"/>
  <c r="G4" i="29"/>
  <c r="AC8" i="19"/>
  <c r="AA8" i="25"/>
  <c r="E27" i="7"/>
  <c r="E42" i="7"/>
  <c r="O26" i="2"/>
  <c r="E6" i="19"/>
  <c r="D6" i="4"/>
  <c r="E35" i="3"/>
  <c r="E36" i="3" s="1"/>
  <c r="E38" i="3" s="1"/>
  <c r="F7" i="3"/>
  <c r="E6" i="7"/>
  <c r="F21" i="3"/>
  <c r="D6" i="25"/>
  <c r="C6" i="8"/>
  <c r="O33" i="26"/>
  <c r="I17" i="4"/>
  <c r="G42" i="7"/>
  <c r="G27" i="7"/>
  <c r="D42" i="7"/>
  <c r="D27" i="7"/>
  <c r="F27" i="7"/>
  <c r="F42" i="7"/>
  <c r="O35" i="26"/>
  <c r="A18" i="18"/>
  <c r="H27" i="7"/>
  <c r="H42" i="7"/>
  <c r="O38" i="26"/>
  <c r="G41" i="3"/>
  <c r="E11" i="4"/>
  <c r="E13" i="4" s="1"/>
  <c r="A19" i="18" l="1"/>
  <c r="E14" i="7"/>
  <c r="E41" i="7"/>
  <c r="E43" i="7"/>
  <c r="E47" i="7" s="1"/>
  <c r="H41" i="3"/>
  <c r="F11" i="4"/>
  <c r="F13" i="4" s="1"/>
  <c r="AD8" i="19"/>
  <c r="AB8" i="25"/>
  <c r="J17" i="4"/>
  <c r="F6" i="19"/>
  <c r="F6" i="7"/>
  <c r="E6" i="4"/>
  <c r="G7" i="3"/>
  <c r="G21" i="3" s="1"/>
  <c r="F35" i="3"/>
  <c r="F36" i="3" s="1"/>
  <c r="F38" i="3" s="1"/>
  <c r="E6" i="25"/>
  <c r="D6" i="8"/>
  <c r="D18" i="7"/>
  <c r="D28" i="7"/>
  <c r="D33" i="7" s="1"/>
  <c r="H16" i="18"/>
  <c r="I7" i="19"/>
  <c r="H7" i="4"/>
  <c r="I7" i="7"/>
  <c r="H4" i="29"/>
  <c r="G7" i="8"/>
  <c r="H7" i="25"/>
  <c r="J8" i="3"/>
  <c r="I16" i="18" l="1"/>
  <c r="G16" i="18"/>
  <c r="J7" i="19"/>
  <c r="J7" i="7"/>
  <c r="K8" i="3"/>
  <c r="I7" i="4"/>
  <c r="I7" i="25"/>
  <c r="I4" i="29"/>
  <c r="H7" i="8"/>
  <c r="G6" i="19"/>
  <c r="F6" i="4"/>
  <c r="G6" i="7"/>
  <c r="H7" i="3"/>
  <c r="H21" i="3" s="1"/>
  <c r="G35" i="3"/>
  <c r="G36" i="3" s="1"/>
  <c r="G38" i="3" s="1"/>
  <c r="E6" i="8"/>
  <c r="F6" i="25"/>
  <c r="G11" i="4"/>
  <c r="G13" i="4" s="1"/>
  <c r="I41" i="3"/>
  <c r="K17" i="4"/>
  <c r="F14" i="7"/>
  <c r="F43" i="7"/>
  <c r="F47" i="7" s="1"/>
  <c r="F41" i="7"/>
  <c r="E28" i="7"/>
  <c r="E33" i="7" s="1"/>
  <c r="E18" i="7"/>
  <c r="AE8" i="19"/>
  <c r="AC8" i="25"/>
  <c r="A20" i="18"/>
  <c r="K7" i="19" l="1"/>
  <c r="J7" i="4"/>
  <c r="K7" i="7"/>
  <c r="J4" i="29"/>
  <c r="J7" i="25"/>
  <c r="L8" i="3"/>
  <c r="I7" i="8"/>
  <c r="G41" i="7"/>
  <c r="G43" i="7"/>
  <c r="G47" i="7" s="1"/>
  <c r="G14" i="7"/>
  <c r="H11" i="4"/>
  <c r="H13" i="4" s="1"/>
  <c r="J41" i="3"/>
  <c r="H17" i="18"/>
  <c r="A21" i="18"/>
  <c r="F28" i="7"/>
  <c r="F33" i="7" s="1"/>
  <c r="F18" i="7"/>
  <c r="H6" i="19"/>
  <c r="G6" i="4"/>
  <c r="H6" i="7"/>
  <c r="H35" i="3"/>
  <c r="H36" i="3" s="1"/>
  <c r="H38" i="3" s="1"/>
  <c r="I7" i="3"/>
  <c r="F6" i="8"/>
  <c r="G6" i="25"/>
  <c r="L17" i="4"/>
  <c r="AF8" i="19"/>
  <c r="AD8" i="25"/>
  <c r="H41" i="7" l="1"/>
  <c r="H43" i="7"/>
  <c r="H47" i="7" s="1"/>
  <c r="H14" i="7"/>
  <c r="L7" i="19"/>
  <c r="L7" i="7"/>
  <c r="K7" i="4"/>
  <c r="M8" i="3"/>
  <c r="K4" i="29"/>
  <c r="J7" i="8"/>
  <c r="K7" i="25"/>
  <c r="I11" i="4"/>
  <c r="I13" i="4" s="1"/>
  <c r="K41" i="3"/>
  <c r="I6" i="19"/>
  <c r="I6" i="7"/>
  <c r="H6" i="4"/>
  <c r="J21" i="3"/>
  <c r="J7" i="3"/>
  <c r="I35" i="3"/>
  <c r="I36" i="3" s="1"/>
  <c r="I38" i="3" s="1"/>
  <c r="G6" i="8"/>
  <c r="H6" i="25"/>
  <c r="I17" i="18"/>
  <c r="G17" i="18"/>
  <c r="AG8" i="19"/>
  <c r="AE8" i="25"/>
  <c r="M17" i="4"/>
  <c r="I21" i="3"/>
  <c r="A22" i="18"/>
  <c r="G28" i="7"/>
  <c r="G33" i="7" s="1"/>
  <c r="G18" i="7"/>
  <c r="A23" i="18" l="1"/>
  <c r="M7" i="7"/>
  <c r="L7" i="4"/>
  <c r="M7" i="19"/>
  <c r="N8" i="3"/>
  <c r="L4" i="29"/>
  <c r="L7" i="25"/>
  <c r="K7" i="8"/>
  <c r="N17" i="4"/>
  <c r="H18" i="7"/>
  <c r="H28" i="7"/>
  <c r="H33" i="7" s="1"/>
  <c r="G18" i="18"/>
  <c r="H18" i="18"/>
  <c r="I41" i="7"/>
  <c r="I14" i="7"/>
  <c r="I43" i="7"/>
  <c r="I47" i="7" s="1"/>
  <c r="J11" i="4"/>
  <c r="J13" i="4" s="1"/>
  <c r="L41" i="3"/>
  <c r="AH8" i="19"/>
  <c r="AG8" i="25" s="1"/>
  <c r="AF8" i="25"/>
  <c r="J6" i="19"/>
  <c r="J6" i="7"/>
  <c r="I6" i="4"/>
  <c r="I6" i="25"/>
  <c r="J35" i="3"/>
  <c r="J36" i="3" s="1"/>
  <c r="J38" i="3" s="1"/>
  <c r="K7" i="3"/>
  <c r="K21" i="3" s="1"/>
  <c r="H6" i="8"/>
  <c r="H19" i="18" l="1"/>
  <c r="I19" i="18" s="1"/>
  <c r="N7" i="19"/>
  <c r="N7" i="7"/>
  <c r="M4" i="29"/>
  <c r="O8" i="3"/>
  <c r="L7" i="8"/>
  <c r="M7" i="4"/>
  <c r="M7" i="25"/>
  <c r="K11" i="4"/>
  <c r="K13" i="4" s="1"/>
  <c r="M41" i="3"/>
  <c r="I28" i="7"/>
  <c r="I33" i="7" s="1"/>
  <c r="I18" i="7"/>
  <c r="O17" i="4"/>
  <c r="K6" i="19"/>
  <c r="K6" i="7"/>
  <c r="J6" i="4"/>
  <c r="L7" i="3"/>
  <c r="I6" i="8"/>
  <c r="J6" i="25"/>
  <c r="K35" i="3"/>
  <c r="K36" i="3" s="1"/>
  <c r="K38" i="3" s="1"/>
  <c r="J41" i="7"/>
  <c r="J43" i="7"/>
  <c r="J47" i="7" s="1"/>
  <c r="J14" i="7"/>
  <c r="I18" i="18"/>
  <c r="A24" i="18"/>
  <c r="K14" i="7" l="1"/>
  <c r="K41" i="7"/>
  <c r="K43" i="7"/>
  <c r="K47" i="7" s="1"/>
  <c r="G19" i="18"/>
  <c r="H24" i="18"/>
  <c r="A25" i="18"/>
  <c r="L6" i="19"/>
  <c r="L6" i="7"/>
  <c r="K6" i="25"/>
  <c r="J6" i="8"/>
  <c r="M7" i="3"/>
  <c r="K6" i="4"/>
  <c r="L35" i="3"/>
  <c r="L36" i="3" s="1"/>
  <c r="L38" i="3" s="1"/>
  <c r="L21" i="3"/>
  <c r="P17" i="4"/>
  <c r="O7" i="19"/>
  <c r="O7" i="7"/>
  <c r="P8" i="3"/>
  <c r="N4" i="29"/>
  <c r="N7" i="4"/>
  <c r="N7" i="25"/>
  <c r="M7" i="8"/>
  <c r="J28" i="7"/>
  <c r="J33" i="7" s="1"/>
  <c r="J18" i="7"/>
  <c r="L11" i="4"/>
  <c r="L13" i="4" s="1"/>
  <c r="N41" i="3"/>
  <c r="O41" i="3" l="1"/>
  <c r="M11" i="4"/>
  <c r="M13" i="4" s="1"/>
  <c r="P7" i="19"/>
  <c r="O7" i="4"/>
  <c r="Q8" i="3"/>
  <c r="N7" i="8"/>
  <c r="O7" i="25"/>
  <c r="P7" i="7"/>
  <c r="O4" i="29"/>
  <c r="A26" i="18"/>
  <c r="H25" i="18"/>
  <c r="M6" i="19"/>
  <c r="M35" i="3"/>
  <c r="M36" i="3" s="1"/>
  <c r="M38" i="3" s="1"/>
  <c r="L6" i="4"/>
  <c r="N21" i="3"/>
  <c r="L6" i="25"/>
  <c r="N7" i="3"/>
  <c r="M6" i="7"/>
  <c r="K6" i="8"/>
  <c r="H20" i="18"/>
  <c r="Q17" i="4"/>
  <c r="M21" i="3"/>
  <c r="L41" i="7"/>
  <c r="L43" i="7"/>
  <c r="L47" i="7" s="1"/>
  <c r="L14" i="7"/>
  <c r="K18" i="7"/>
  <c r="K28" i="7"/>
  <c r="K33" i="7" s="1"/>
  <c r="I20" i="18" l="1"/>
  <c r="Q7" i="19"/>
  <c r="P7" i="4"/>
  <c r="Q7" i="7"/>
  <c r="P4" i="29"/>
  <c r="R8" i="3"/>
  <c r="P7" i="25"/>
  <c r="O7" i="8"/>
  <c r="M14" i="7"/>
  <c r="M41" i="7"/>
  <c r="M43" i="7"/>
  <c r="M47" i="7" s="1"/>
  <c r="A27" i="18"/>
  <c r="H26" i="18"/>
  <c r="G20" i="18"/>
  <c r="N6" i="19"/>
  <c r="O7" i="3"/>
  <c r="N35" i="3"/>
  <c r="N36" i="3" s="1"/>
  <c r="N38" i="3" s="1"/>
  <c r="O21" i="3"/>
  <c r="M6" i="25"/>
  <c r="M6" i="4"/>
  <c r="N6" i="7"/>
  <c r="L6" i="8"/>
  <c r="R17" i="4"/>
  <c r="L28" i="7"/>
  <c r="L33" i="7" s="1"/>
  <c r="L18" i="7"/>
  <c r="N11" i="4"/>
  <c r="N13" i="4" s="1"/>
  <c r="P41" i="3"/>
  <c r="M28" i="7" l="1"/>
  <c r="M33" i="7" s="1"/>
  <c r="M18" i="7"/>
  <c r="O11" i="4"/>
  <c r="O13" i="4" s="1"/>
  <c r="Q41" i="3"/>
  <c r="H21" i="18"/>
  <c r="I21" i="18" s="1"/>
  <c r="N14" i="7"/>
  <c r="N41" i="7"/>
  <c r="N43" i="7"/>
  <c r="N47" i="7" s="1"/>
  <c r="R7" i="19"/>
  <c r="R7" i="7"/>
  <c r="Q7" i="4"/>
  <c r="S8" i="3"/>
  <c r="Q4" i="29"/>
  <c r="Q7" i="25"/>
  <c r="P7" i="8"/>
  <c r="H27" i="18"/>
  <c r="A28" i="18"/>
  <c r="S17" i="4"/>
  <c r="O6" i="19"/>
  <c r="N6" i="4"/>
  <c r="P7" i="3"/>
  <c r="M6" i="8"/>
  <c r="P21" i="3"/>
  <c r="O35" i="3"/>
  <c r="O36" i="3" s="1"/>
  <c r="O38" i="3" s="1"/>
  <c r="N6" i="25"/>
  <c r="O6" i="7"/>
  <c r="N28" i="7" l="1"/>
  <c r="N33" i="7" s="1"/>
  <c r="N18" i="7"/>
  <c r="O14" i="7"/>
  <c r="O43" i="7"/>
  <c r="O47" i="7" s="1"/>
  <c r="O41" i="7"/>
  <c r="S7" i="19"/>
  <c r="R7" i="4"/>
  <c r="S7" i="7"/>
  <c r="R7" i="25"/>
  <c r="R4" i="29"/>
  <c r="T8" i="3"/>
  <c r="Q7" i="8"/>
  <c r="H28" i="18"/>
  <c r="A29" i="18"/>
  <c r="R41" i="3"/>
  <c r="P11" i="4"/>
  <c r="P13" i="4" s="1"/>
  <c r="G21" i="18"/>
  <c r="T17" i="4"/>
  <c r="P6" i="19"/>
  <c r="O6" i="4"/>
  <c r="P35" i="3"/>
  <c r="P36" i="3" s="1"/>
  <c r="P38" i="3" s="1"/>
  <c r="O6" i="25"/>
  <c r="N6" i="8"/>
  <c r="P6" i="7"/>
  <c r="Q7" i="3"/>
  <c r="A30" i="18" l="1"/>
  <c r="H29" i="18"/>
  <c r="P43" i="7"/>
  <c r="P47" i="7" s="1"/>
  <c r="P14" i="7"/>
  <c r="P41" i="7"/>
  <c r="U17" i="4"/>
  <c r="Q6" i="19"/>
  <c r="Q6" i="7"/>
  <c r="P6" i="4"/>
  <c r="R7" i="3"/>
  <c r="Q35" i="3"/>
  <c r="Q36" i="3" s="1"/>
  <c r="Q38" i="3" s="1"/>
  <c r="P6" i="25"/>
  <c r="O6" i="8"/>
  <c r="T7" i="19"/>
  <c r="T7" i="7"/>
  <c r="S7" i="4"/>
  <c r="U8" i="3"/>
  <c r="S4" i="29"/>
  <c r="R7" i="8"/>
  <c r="S7" i="25"/>
  <c r="O28" i="7"/>
  <c r="O33" i="7" s="1"/>
  <c r="O18" i="7"/>
  <c r="Q11" i="4"/>
  <c r="Q13" i="4" s="1"/>
  <c r="S41" i="3"/>
  <c r="Q21" i="3"/>
  <c r="H22" i="18"/>
  <c r="I22" i="18" s="1"/>
  <c r="V17" i="4" l="1"/>
  <c r="G22" i="18"/>
  <c r="U7" i="19"/>
  <c r="U7" i="7"/>
  <c r="T7" i="4"/>
  <c r="T7" i="25"/>
  <c r="T4" i="29"/>
  <c r="S7" i="8"/>
  <c r="V8" i="3"/>
  <c r="R6" i="7"/>
  <c r="Q6" i="4"/>
  <c r="R6" i="19"/>
  <c r="S7" i="3"/>
  <c r="Q6" i="25"/>
  <c r="P6" i="8"/>
  <c r="R35" i="3"/>
  <c r="R36" i="3" s="1"/>
  <c r="R38" i="3" s="1"/>
  <c r="R11" i="4"/>
  <c r="R13" i="4" s="1"/>
  <c r="T41" i="3"/>
  <c r="R21" i="3"/>
  <c r="P18" i="7"/>
  <c r="P28" i="7"/>
  <c r="P33" i="7" s="1"/>
  <c r="Q43" i="7"/>
  <c r="Q47" i="7" s="1"/>
  <c r="Q14" i="7"/>
  <c r="Q41" i="7"/>
  <c r="H30" i="18"/>
  <c r="A31" i="18"/>
  <c r="R41" i="7" l="1"/>
  <c r="R43" i="7"/>
  <c r="R47" i="7" s="1"/>
  <c r="R14" i="7"/>
  <c r="H23" i="18"/>
  <c r="I23" i="18" s="1"/>
  <c r="I24" i="18" s="1"/>
  <c r="I25" i="18" s="1"/>
  <c r="I26" i="18" s="1"/>
  <c r="I27" i="18" s="1"/>
  <c r="I28" i="18" s="1"/>
  <c r="I29" i="18" s="1"/>
  <c r="I30" i="18" s="1"/>
  <c r="I31" i="18" s="1"/>
  <c r="Q18" i="7"/>
  <c r="Q28" i="7"/>
  <c r="Q33" i="7" s="1"/>
  <c r="V7" i="19"/>
  <c r="U4" i="29"/>
  <c r="U7" i="4"/>
  <c r="V7" i="7"/>
  <c r="W8" i="3"/>
  <c r="U7" i="25"/>
  <c r="T7" i="8"/>
  <c r="S6" i="7"/>
  <c r="S6" i="19"/>
  <c r="S35" i="3"/>
  <c r="S36" i="3" s="1"/>
  <c r="S38" i="3" s="1"/>
  <c r="T7" i="3"/>
  <c r="Q6" i="8"/>
  <c r="T21" i="3"/>
  <c r="R6" i="25"/>
  <c r="R6" i="4"/>
  <c r="H31" i="18"/>
  <c r="A32" i="18"/>
  <c r="S21" i="3"/>
  <c r="S11" i="4"/>
  <c r="S13" i="4" s="1"/>
  <c r="U41" i="3"/>
  <c r="W17" i="4"/>
  <c r="S14" i="7" l="1"/>
  <c r="S41" i="7"/>
  <c r="S43" i="7"/>
  <c r="S47" i="7" s="1"/>
  <c r="X17" i="4"/>
  <c r="T6" i="7"/>
  <c r="S6" i="4"/>
  <c r="U21" i="3"/>
  <c r="T6" i="19"/>
  <c r="U7" i="3"/>
  <c r="S6" i="25"/>
  <c r="R6" i="8"/>
  <c r="T35" i="3"/>
  <c r="T36" i="3" s="1"/>
  <c r="T38" i="3" s="1"/>
  <c r="R18" i="7"/>
  <c r="R28" i="7"/>
  <c r="R33" i="7" s="1"/>
  <c r="T11" i="4"/>
  <c r="T13" i="4" s="1"/>
  <c r="V41" i="3"/>
  <c r="W7" i="19"/>
  <c r="X8" i="3"/>
  <c r="V4" i="29"/>
  <c r="V7" i="4"/>
  <c r="U7" i="8"/>
  <c r="W7" i="7"/>
  <c r="V7" i="25"/>
  <c r="G23" i="18"/>
  <c r="G24" i="18" s="1"/>
  <c r="G25" i="18" s="1"/>
  <c r="G26" i="18" s="1"/>
  <c r="G27" i="18" s="1"/>
  <c r="G28" i="18" s="1"/>
  <c r="G29" i="18" s="1"/>
  <c r="G30" i="18" s="1"/>
  <c r="G31" i="18" s="1"/>
  <c r="G32" i="18" s="1"/>
  <c r="H32" i="18"/>
  <c r="A33" i="18"/>
  <c r="I32" i="18"/>
  <c r="X7" i="19" l="1"/>
  <c r="W7" i="4"/>
  <c r="Y8" i="3"/>
  <c r="W4" i="29"/>
  <c r="V7" i="8"/>
  <c r="W7" i="25"/>
  <c r="X7" i="7"/>
  <c r="Y17" i="4"/>
  <c r="T41" i="7"/>
  <c r="T43" i="7"/>
  <c r="T47" i="7" s="1"/>
  <c r="T14" i="7"/>
  <c r="I33" i="18"/>
  <c r="H33" i="18"/>
  <c r="H34" i="18" s="1"/>
  <c r="C46" i="2" s="1"/>
  <c r="G33" i="18"/>
  <c r="U11" i="4"/>
  <c r="U13" i="4" s="1"/>
  <c r="W41" i="3"/>
  <c r="U6" i="7"/>
  <c r="U35" i="3"/>
  <c r="U36" i="3" s="1"/>
  <c r="U38" i="3" s="1"/>
  <c r="U6" i="19"/>
  <c r="T6" i="4"/>
  <c r="V21" i="3"/>
  <c r="S6" i="8"/>
  <c r="T6" i="25"/>
  <c r="V7" i="3"/>
  <c r="S18" i="7"/>
  <c r="S28" i="7"/>
  <c r="S33" i="7" s="1"/>
  <c r="Z17" i="4" l="1"/>
  <c r="T18" i="7"/>
  <c r="T28" i="7"/>
  <c r="T33" i="7" s="1"/>
  <c r="C50" i="2"/>
  <c r="D46" i="2"/>
  <c r="B16" i="7"/>
  <c r="Y7" i="19"/>
  <c r="X7" i="4"/>
  <c r="Y7" i="7"/>
  <c r="X4" i="29"/>
  <c r="Z8" i="3"/>
  <c r="X7" i="25"/>
  <c r="W7" i="8"/>
  <c r="U14" i="7"/>
  <c r="U41" i="7"/>
  <c r="U43" i="7"/>
  <c r="U47" i="7" s="1"/>
  <c r="V6" i="19"/>
  <c r="V6" i="7"/>
  <c r="W7" i="3"/>
  <c r="V35" i="3"/>
  <c r="V36" i="3" s="1"/>
  <c r="V38" i="3" s="1"/>
  <c r="U6" i="4"/>
  <c r="U6" i="25"/>
  <c r="T6" i="8"/>
  <c r="X41" i="3"/>
  <c r="V11" i="4"/>
  <c r="V13" i="4" s="1"/>
  <c r="W6" i="19" l="1"/>
  <c r="V6" i="4"/>
  <c r="W6" i="7"/>
  <c r="X7" i="3"/>
  <c r="U6" i="8"/>
  <c r="W35" i="3"/>
  <c r="W36" i="3" s="1"/>
  <c r="W38" i="3" s="1"/>
  <c r="X21" i="3"/>
  <c r="V6" i="25"/>
  <c r="D50" i="2"/>
  <c r="B17" i="7"/>
  <c r="C58" i="2"/>
  <c r="V14" i="7"/>
  <c r="V41" i="7"/>
  <c r="V43" i="7"/>
  <c r="V47" i="7" s="1"/>
  <c r="Z7" i="19"/>
  <c r="Z7" i="7"/>
  <c r="AA8" i="3"/>
  <c r="Y4" i="29"/>
  <c r="Y7" i="25"/>
  <c r="X7" i="8"/>
  <c r="Y7" i="4"/>
  <c r="W11" i="4"/>
  <c r="W13" i="4" s="1"/>
  <c r="Y41" i="3"/>
  <c r="W21" i="3"/>
  <c r="AA17" i="4"/>
  <c r="U28" i="7"/>
  <c r="U33" i="7" s="1"/>
  <c r="U18" i="7"/>
  <c r="K16" i="7"/>
  <c r="S16" i="7"/>
  <c r="AA16" i="7"/>
  <c r="B19" i="7"/>
  <c r="B31" i="7"/>
  <c r="E16" i="7"/>
  <c r="M16" i="7"/>
  <c r="U16" i="7"/>
  <c r="AC16" i="7"/>
  <c r="F16" i="7"/>
  <c r="N16" i="7"/>
  <c r="V16" i="7"/>
  <c r="AD16" i="7"/>
  <c r="D16" i="7"/>
  <c r="Q16" i="7"/>
  <c r="AE16" i="7"/>
  <c r="G16" i="7"/>
  <c r="R16" i="7"/>
  <c r="AF16" i="7"/>
  <c r="I16" i="7"/>
  <c r="W16" i="7"/>
  <c r="AH16" i="7"/>
  <c r="P16" i="7"/>
  <c r="T16" i="7"/>
  <c r="Y16" i="7"/>
  <c r="B45" i="7"/>
  <c r="X16" i="7"/>
  <c r="Z16" i="7"/>
  <c r="AB16" i="7"/>
  <c r="O16" i="7"/>
  <c r="AG16" i="7"/>
  <c r="J16" i="7"/>
  <c r="L16" i="7"/>
  <c r="H16" i="7"/>
  <c r="R19" i="7" l="1"/>
  <c r="Z41" i="3"/>
  <c r="X11" i="4"/>
  <c r="X13" i="4" s="1"/>
  <c r="U19" i="7"/>
  <c r="V45" i="7"/>
  <c r="E19" i="7"/>
  <c r="V28" i="7"/>
  <c r="V33" i="7" s="1"/>
  <c r="V18" i="7"/>
  <c r="X6" i="19"/>
  <c r="W6" i="4"/>
  <c r="X6" i="7"/>
  <c r="X35" i="3"/>
  <c r="X36" i="3" s="1"/>
  <c r="X38" i="3" s="1"/>
  <c r="W6" i="25"/>
  <c r="Y7" i="3"/>
  <c r="V6" i="8"/>
  <c r="L19" i="7"/>
  <c r="K19" i="7"/>
  <c r="M19" i="7"/>
  <c r="O19" i="7"/>
  <c r="D19" i="7"/>
  <c r="D21" i="7" s="1"/>
  <c r="E21" i="7" s="1"/>
  <c r="K31" i="7"/>
  <c r="S31" i="7"/>
  <c r="AA31" i="7"/>
  <c r="E31" i="7"/>
  <c r="M31" i="7"/>
  <c r="U31" i="7"/>
  <c r="AC31" i="7"/>
  <c r="F31" i="7"/>
  <c r="N31" i="7"/>
  <c r="V31" i="7"/>
  <c r="AD31" i="7"/>
  <c r="D31" i="7"/>
  <c r="Q31" i="7"/>
  <c r="AE31" i="7"/>
  <c r="G31" i="7"/>
  <c r="R31" i="7"/>
  <c r="AF31" i="7"/>
  <c r="I31" i="7"/>
  <c r="W31" i="7"/>
  <c r="AH31" i="7"/>
  <c r="L31" i="7"/>
  <c r="AG31" i="7"/>
  <c r="O31" i="7"/>
  <c r="T31" i="7"/>
  <c r="H31" i="7"/>
  <c r="J31" i="7"/>
  <c r="P31" i="7"/>
  <c r="X31" i="7"/>
  <c r="Y31" i="7"/>
  <c r="Z31" i="7"/>
  <c r="AB31" i="7"/>
  <c r="AB17" i="4"/>
  <c r="B25" i="2"/>
  <c r="C18" i="19"/>
  <c r="C20" i="19" s="1"/>
  <c r="C25" i="19" s="1"/>
  <c r="B28" i="2"/>
  <c r="B39" i="2"/>
  <c r="B42" i="2"/>
  <c r="B53" i="2"/>
  <c r="B22" i="2"/>
  <c r="B33" i="2"/>
  <c r="B44" i="2"/>
  <c r="B55" i="2"/>
  <c r="B23" i="2"/>
  <c r="B31" i="2"/>
  <c r="B45" i="2"/>
  <c r="B20" i="2"/>
  <c r="B27" i="2"/>
  <c r="B49" i="2"/>
  <c r="C11" i="2"/>
  <c r="B30" i="2"/>
  <c r="D58" i="2"/>
  <c r="C62" i="2" s="1"/>
  <c r="B37" i="2"/>
  <c r="B26" i="2"/>
  <c r="B32" i="2"/>
  <c r="B38" i="2"/>
  <c r="B47" i="2"/>
  <c r="B54" i="2"/>
  <c r="B29" i="2"/>
  <c r="B40" i="2"/>
  <c r="B43" i="2"/>
  <c r="B48" i="2"/>
  <c r="B24" i="2"/>
  <c r="B41" i="2"/>
  <c r="AG51" i="25"/>
  <c r="L51" i="25" s="1"/>
  <c r="B19" i="2"/>
  <c r="B21" i="2"/>
  <c r="B46" i="2"/>
  <c r="W43" i="7"/>
  <c r="W47" i="7" s="1"/>
  <c r="W14" i="7"/>
  <c r="W41" i="7"/>
  <c r="W45" i="7" s="1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B21" i="7"/>
  <c r="U45" i="7"/>
  <c r="AA7" i="19"/>
  <c r="AA7" i="7"/>
  <c r="Z7" i="4"/>
  <c r="Z7" i="25"/>
  <c r="AB8" i="3"/>
  <c r="Z4" i="29"/>
  <c r="Y7" i="8"/>
  <c r="K17" i="7"/>
  <c r="S17" i="7"/>
  <c r="S19" i="7" s="1"/>
  <c r="AA17" i="7"/>
  <c r="B32" i="7"/>
  <c r="E17" i="7"/>
  <c r="M17" i="7"/>
  <c r="U17" i="7"/>
  <c r="AC17" i="7"/>
  <c r="F17" i="7"/>
  <c r="F19" i="7" s="1"/>
  <c r="N17" i="7"/>
  <c r="V17" i="7"/>
  <c r="V19" i="7" s="1"/>
  <c r="AD17" i="7"/>
  <c r="J17" i="7"/>
  <c r="J19" i="7" s="1"/>
  <c r="X17" i="7"/>
  <c r="B46" i="7"/>
  <c r="L17" i="7"/>
  <c r="Y17" i="7"/>
  <c r="P17" i="7"/>
  <c r="P19" i="7" s="1"/>
  <c r="AB17" i="7"/>
  <c r="G17" i="7"/>
  <c r="G19" i="7" s="1"/>
  <c r="Z17" i="7"/>
  <c r="H17" i="7"/>
  <c r="H19" i="7" s="1"/>
  <c r="AE17" i="7"/>
  <c r="O17" i="7"/>
  <c r="AG17" i="7"/>
  <c r="T17" i="7"/>
  <c r="T19" i="7" s="1"/>
  <c r="W17" i="7"/>
  <c r="AF17" i="7"/>
  <c r="I17" i="7"/>
  <c r="I19" i="7" s="1"/>
  <c r="D17" i="7"/>
  <c r="AH17" i="7"/>
  <c r="R17" i="7"/>
  <c r="Q17" i="7"/>
  <c r="Q19" i="7" s="1"/>
  <c r="N19" i="7"/>
  <c r="F21" i="7" l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K32" i="7"/>
  <c r="K34" i="7" s="1"/>
  <c r="I12" i="8" s="1"/>
  <c r="S32" i="7"/>
  <c r="S34" i="7" s="1"/>
  <c r="Q12" i="8" s="1"/>
  <c r="AA32" i="7"/>
  <c r="M32" i="7"/>
  <c r="U32" i="7"/>
  <c r="AC32" i="7"/>
  <c r="N32" i="7"/>
  <c r="V32" i="7"/>
  <c r="AD32" i="7"/>
  <c r="X32" i="7"/>
  <c r="Y32" i="7"/>
  <c r="P32" i="7"/>
  <c r="T32" i="7"/>
  <c r="W32" i="7"/>
  <c r="AE32" i="7"/>
  <c r="O32" i="7"/>
  <c r="O34" i="7" s="1"/>
  <c r="M12" i="8" s="1"/>
  <c r="AF32" i="7"/>
  <c r="AG32" i="7"/>
  <c r="Q32" i="7"/>
  <c r="Q34" i="7" s="1"/>
  <c r="O12" i="8" s="1"/>
  <c r="R32" i="7"/>
  <c r="Z32" i="7"/>
  <c r="AB32" i="7"/>
  <c r="L32" i="7"/>
  <c r="L34" i="7" s="1"/>
  <c r="J12" i="8" s="1"/>
  <c r="AH32" i="7"/>
  <c r="J32" i="7"/>
  <c r="J34" i="7" s="1"/>
  <c r="H12" i="8" s="1"/>
  <c r="F32" i="7"/>
  <c r="F34" i="7" s="1"/>
  <c r="D12" i="8" s="1"/>
  <c r="H32" i="7"/>
  <c r="H34" i="7" s="1"/>
  <c r="F12" i="8" s="1"/>
  <c r="D32" i="7"/>
  <c r="E32" i="7"/>
  <c r="G32" i="7"/>
  <c r="I32" i="7"/>
  <c r="W28" i="7"/>
  <c r="W33" i="7" s="1"/>
  <c r="W18" i="7"/>
  <c r="W19" i="7" s="1"/>
  <c r="U34" i="7"/>
  <c r="S12" i="8" s="1"/>
  <c r="Y6" i="19"/>
  <c r="Y6" i="7"/>
  <c r="X6" i="4"/>
  <c r="Z7" i="3"/>
  <c r="X6" i="25"/>
  <c r="Y35" i="3"/>
  <c r="Y36" i="3" s="1"/>
  <c r="Y38" i="3" s="1"/>
  <c r="W6" i="8"/>
  <c r="D34" i="7"/>
  <c r="B12" i="8" s="1"/>
  <c r="B34" i="2"/>
  <c r="I34" i="7"/>
  <c r="G12" i="8" s="1"/>
  <c r="J46" i="7"/>
  <c r="R46" i="7"/>
  <c r="L46" i="7"/>
  <c r="T46" i="7"/>
  <c r="AB46" i="7"/>
  <c r="M46" i="7"/>
  <c r="M48" i="7" s="1"/>
  <c r="L32" i="4" s="1"/>
  <c r="K11" i="8" s="1"/>
  <c r="U46" i="7"/>
  <c r="U48" i="7" s="1"/>
  <c r="T32" i="4" s="1"/>
  <c r="S11" i="8" s="1"/>
  <c r="AC46" i="7"/>
  <c r="AA46" i="7"/>
  <c r="AD46" i="7"/>
  <c r="V46" i="7"/>
  <c r="K46" i="7"/>
  <c r="K48" i="7" s="1"/>
  <c r="J32" i="4" s="1"/>
  <c r="I11" i="8" s="1"/>
  <c r="AE46" i="7"/>
  <c r="W46" i="7"/>
  <c r="Z46" i="7"/>
  <c r="AG46" i="7"/>
  <c r="S46" i="7"/>
  <c r="AH46" i="7"/>
  <c r="N46" i="7"/>
  <c r="O46" i="7"/>
  <c r="O48" i="7" s="1"/>
  <c r="N32" i="4" s="1"/>
  <c r="M11" i="8" s="1"/>
  <c r="Y46" i="7"/>
  <c r="AF46" i="7"/>
  <c r="X46" i="7"/>
  <c r="Q46" i="7"/>
  <c r="Q48" i="7" s="1"/>
  <c r="P32" i="4" s="1"/>
  <c r="O11" i="8" s="1"/>
  <c r="P46" i="7"/>
  <c r="G46" i="7"/>
  <c r="G48" i="7" s="1"/>
  <c r="F32" i="4" s="1"/>
  <c r="E11" i="8" s="1"/>
  <c r="D46" i="7"/>
  <c r="E46" i="7"/>
  <c r="E48" i="7" s="1"/>
  <c r="D32" i="4" s="1"/>
  <c r="C11" i="8" s="1"/>
  <c r="H46" i="7"/>
  <c r="H48" i="7" s="1"/>
  <c r="G32" i="4" s="1"/>
  <c r="F11" i="8" s="1"/>
  <c r="I46" i="7"/>
  <c r="I48" i="7" s="1"/>
  <c r="H32" i="4" s="1"/>
  <c r="G11" i="8" s="1"/>
  <c r="F46" i="7"/>
  <c r="T48" i="7"/>
  <c r="S32" i="4" s="1"/>
  <c r="R11" i="8" s="1"/>
  <c r="L48" i="7"/>
  <c r="K32" i="4" s="1"/>
  <c r="J11" i="8" s="1"/>
  <c r="D48" i="7"/>
  <c r="N34" i="7"/>
  <c r="L12" i="8" s="1"/>
  <c r="M34" i="7"/>
  <c r="K12" i="8" s="1"/>
  <c r="E34" i="7"/>
  <c r="C12" i="8" s="1"/>
  <c r="V48" i="7"/>
  <c r="U32" i="4" s="1"/>
  <c r="T11" i="8" s="1"/>
  <c r="F48" i="7"/>
  <c r="E32" i="4" s="1"/>
  <c r="D11" i="8" s="1"/>
  <c r="P34" i="7"/>
  <c r="N12" i="8" s="1"/>
  <c r="B34" i="7"/>
  <c r="AB7" i="7"/>
  <c r="AB7" i="19"/>
  <c r="AA7" i="4"/>
  <c r="AC8" i="3"/>
  <c r="AA7" i="25"/>
  <c r="AA4" i="29"/>
  <c r="Z7" i="8"/>
  <c r="S48" i="7"/>
  <c r="R32" i="4" s="1"/>
  <c r="Q11" i="8" s="1"/>
  <c r="B48" i="7"/>
  <c r="AC17" i="4"/>
  <c r="T34" i="7"/>
  <c r="R12" i="8" s="1"/>
  <c r="R34" i="7"/>
  <c r="P12" i="8" s="1"/>
  <c r="P48" i="7"/>
  <c r="O32" i="4" s="1"/>
  <c r="N11" i="8" s="1"/>
  <c r="B50" i="2"/>
  <c r="N48" i="7"/>
  <c r="M32" i="4" s="1"/>
  <c r="L11" i="8" s="1"/>
  <c r="W34" i="7"/>
  <c r="U12" i="8" s="1"/>
  <c r="X14" i="7"/>
  <c r="X41" i="7"/>
  <c r="X45" i="7" s="1"/>
  <c r="X48" i="7" s="1"/>
  <c r="W32" i="4" s="1"/>
  <c r="V11" i="8" s="1"/>
  <c r="X43" i="7"/>
  <c r="X47" i="7" s="1"/>
  <c r="C14" i="2"/>
  <c r="B11" i="2" s="1"/>
  <c r="H47" i="2"/>
  <c r="D41" i="19"/>
  <c r="L41" i="19"/>
  <c r="T41" i="19"/>
  <c r="AB41" i="19"/>
  <c r="D11" i="2"/>
  <c r="F41" i="19"/>
  <c r="N41" i="19"/>
  <c r="V41" i="19"/>
  <c r="AD41" i="19"/>
  <c r="G41" i="19"/>
  <c r="O41" i="19"/>
  <c r="W41" i="19"/>
  <c r="AE41" i="19"/>
  <c r="M41" i="19"/>
  <c r="Z41" i="19"/>
  <c r="P41" i="19"/>
  <c r="AA41" i="19"/>
  <c r="C41" i="19"/>
  <c r="C43" i="19" s="1"/>
  <c r="C45" i="19" s="1"/>
  <c r="C47" i="19" s="1"/>
  <c r="Q41" i="19"/>
  <c r="AC41" i="19"/>
  <c r="K41" i="19"/>
  <c r="AH41" i="19"/>
  <c r="R41" i="19"/>
  <c r="S41" i="19"/>
  <c r="U41" i="19"/>
  <c r="X41" i="19"/>
  <c r="Y41" i="19"/>
  <c r="J41" i="19"/>
  <c r="AG41" i="19"/>
  <c r="AF41" i="19"/>
  <c r="E41" i="19"/>
  <c r="I41" i="19"/>
  <c r="B56" i="25"/>
  <c r="B59" i="25" s="1"/>
  <c r="H41" i="19"/>
  <c r="B36" i="25"/>
  <c r="B38" i="25" s="1"/>
  <c r="B49" i="25"/>
  <c r="B52" i="25" s="1"/>
  <c r="B25" i="25"/>
  <c r="B42" i="25"/>
  <c r="B45" i="25" s="1"/>
  <c r="H48" i="2"/>
  <c r="V34" i="7"/>
  <c r="T12" i="8" s="1"/>
  <c r="R48" i="7"/>
  <c r="Q32" i="4" s="1"/>
  <c r="P11" i="8" s="1"/>
  <c r="J48" i="7"/>
  <c r="I32" i="4" s="1"/>
  <c r="H11" i="8" s="1"/>
  <c r="W48" i="7"/>
  <c r="V32" i="4" s="1"/>
  <c r="U11" i="8" s="1"/>
  <c r="B56" i="2"/>
  <c r="G34" i="7"/>
  <c r="E12" i="8" s="1"/>
  <c r="Y21" i="3"/>
  <c r="Y11" i="4"/>
  <c r="Y13" i="4" s="1"/>
  <c r="AA41" i="3"/>
  <c r="AD17" i="4" l="1"/>
  <c r="I18" i="19"/>
  <c r="I20" i="19" s="1"/>
  <c r="I25" i="19" s="1"/>
  <c r="Q18" i="19"/>
  <c r="Y18" i="19"/>
  <c r="AG18" i="19"/>
  <c r="K18" i="19"/>
  <c r="K20" i="19" s="1"/>
  <c r="K25" i="19" s="1"/>
  <c r="S18" i="19"/>
  <c r="S20" i="19" s="1"/>
  <c r="S25" i="19" s="1"/>
  <c r="AA18" i="19"/>
  <c r="D18" i="19"/>
  <c r="D20" i="19" s="1"/>
  <c r="D25" i="19" s="1"/>
  <c r="L18" i="19"/>
  <c r="L20" i="19" s="1"/>
  <c r="L25" i="19" s="1"/>
  <c r="T18" i="19"/>
  <c r="AB18" i="19"/>
  <c r="J18" i="19"/>
  <c r="W18" i="19"/>
  <c r="M18" i="19"/>
  <c r="M20" i="19" s="1"/>
  <c r="M25" i="19" s="1"/>
  <c r="X18" i="19"/>
  <c r="N18" i="19"/>
  <c r="N20" i="19" s="1"/>
  <c r="N25" i="19" s="1"/>
  <c r="Z18" i="19"/>
  <c r="R18" i="19"/>
  <c r="U18" i="19"/>
  <c r="E18" i="19"/>
  <c r="V18" i="19"/>
  <c r="H18" i="19"/>
  <c r="H20" i="19" s="1"/>
  <c r="H25" i="19" s="1"/>
  <c r="O18" i="19"/>
  <c r="O20" i="19" s="1"/>
  <c r="O25" i="19" s="1"/>
  <c r="P18" i="19"/>
  <c r="P20" i="19" s="1"/>
  <c r="P25" i="19" s="1"/>
  <c r="G18" i="19"/>
  <c r="G20" i="19" s="1"/>
  <c r="G25" i="19" s="1"/>
  <c r="D50" i="7"/>
  <c r="AC18" i="19"/>
  <c r="AH18" i="19"/>
  <c r="AE18" i="19"/>
  <c r="AF18" i="19"/>
  <c r="F18" i="19"/>
  <c r="AD18" i="19"/>
  <c r="B50" i="7"/>
  <c r="X28" i="7"/>
  <c r="X33" i="7" s="1"/>
  <c r="X34" i="7" s="1"/>
  <c r="V12" i="8" s="1"/>
  <c r="X18" i="7"/>
  <c r="X19" i="7" s="1"/>
  <c r="AC7" i="7"/>
  <c r="AC7" i="19"/>
  <c r="AB7" i="4"/>
  <c r="AB7" i="25"/>
  <c r="AD8" i="3"/>
  <c r="AB4" i="29"/>
  <c r="AA7" i="8"/>
  <c r="Z6" i="19"/>
  <c r="Y6" i="4"/>
  <c r="Y6" i="25"/>
  <c r="Z6" i="7"/>
  <c r="AA7" i="3"/>
  <c r="Z35" i="3"/>
  <c r="Z36" i="3" s="1"/>
  <c r="Z38" i="3" s="1"/>
  <c r="X6" i="8"/>
  <c r="B14" i="2"/>
  <c r="D14" i="2"/>
  <c r="B12" i="2"/>
  <c r="Z21" i="3"/>
  <c r="B29" i="25"/>
  <c r="C25" i="25" s="1"/>
  <c r="C26" i="25"/>
  <c r="J19" i="19"/>
  <c r="R19" i="19"/>
  <c r="D19" i="19"/>
  <c r="L19" i="19"/>
  <c r="T19" i="19"/>
  <c r="E19" i="19"/>
  <c r="M19" i="19"/>
  <c r="U19" i="19"/>
  <c r="F19" i="19"/>
  <c r="Q19" i="19"/>
  <c r="G19" i="19"/>
  <c r="S19" i="19"/>
  <c r="H19" i="19"/>
  <c r="V19" i="19"/>
  <c r="I19" i="19"/>
  <c r="K19" i="19"/>
  <c r="N19" i="19"/>
  <c r="O19" i="19"/>
  <c r="P19" i="19"/>
  <c r="W19" i="19"/>
  <c r="X19" i="19"/>
  <c r="Y19" i="19"/>
  <c r="C32" i="4"/>
  <c r="B11" i="8" s="1"/>
  <c r="Y14" i="7"/>
  <c r="Y43" i="7"/>
  <c r="Y47" i="7" s="1"/>
  <c r="Y41" i="7"/>
  <c r="Y45" i="7" s="1"/>
  <c r="Y48" i="7" s="1"/>
  <c r="X32" i="4" s="1"/>
  <c r="W11" i="8" s="1"/>
  <c r="W21" i="7"/>
  <c r="X21" i="7" s="1"/>
  <c r="Z11" i="4"/>
  <c r="Z13" i="4" s="1"/>
  <c r="AB41" i="3"/>
  <c r="B58" i="2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F20" i="19" l="1"/>
  <c r="F25" i="19" s="1"/>
  <c r="X20" i="19"/>
  <c r="X25" i="19" s="1"/>
  <c r="X36" i="7"/>
  <c r="Z19" i="19"/>
  <c r="Z20" i="19" s="1"/>
  <c r="Z25" i="19" s="1"/>
  <c r="W20" i="19"/>
  <c r="W25" i="19" s="1"/>
  <c r="Z41" i="7"/>
  <c r="Z45" i="7" s="1"/>
  <c r="Z48" i="7" s="1"/>
  <c r="Z43" i="7"/>
  <c r="Z47" i="7" s="1"/>
  <c r="Z14" i="7"/>
  <c r="E20" i="19"/>
  <c r="E25" i="19" s="1"/>
  <c r="J20" i="19"/>
  <c r="J25" i="19" s="1"/>
  <c r="AA11" i="4"/>
  <c r="AA13" i="4" s="1"/>
  <c r="AC41" i="3"/>
  <c r="AE17" i="4"/>
  <c r="V20" i="19"/>
  <c r="V25" i="19" s="1"/>
  <c r="Y28" i="7"/>
  <c r="Y33" i="7" s="1"/>
  <c r="Y34" i="7" s="1"/>
  <c r="W12" i="8" s="1"/>
  <c r="Y18" i="7"/>
  <c r="Y19" i="7" s="1"/>
  <c r="Y21" i="7" s="1"/>
  <c r="U20" i="19"/>
  <c r="U25" i="19" s="1"/>
  <c r="Y20" i="19"/>
  <c r="Y25" i="19" s="1"/>
  <c r="AD7" i="19"/>
  <c r="AC4" i="29"/>
  <c r="AC7" i="4"/>
  <c r="AD7" i="7"/>
  <c r="AC7" i="25"/>
  <c r="AB7" i="8"/>
  <c r="AE8" i="3"/>
  <c r="AA6" i="19"/>
  <c r="AA6" i="7"/>
  <c r="Z6" i="4"/>
  <c r="Y6" i="8"/>
  <c r="AB7" i="3"/>
  <c r="AB21" i="3" s="1"/>
  <c r="Z6" i="25"/>
  <c r="AA35" i="3"/>
  <c r="AA36" i="3" s="1"/>
  <c r="AA38" i="3" s="1"/>
  <c r="AA21" i="3"/>
  <c r="E50" i="7"/>
  <c r="C22" i="4"/>
  <c r="R20" i="19"/>
  <c r="R25" i="19" s="1"/>
  <c r="T20" i="19"/>
  <c r="T25" i="19" s="1"/>
  <c r="Q20" i="19"/>
  <c r="Q25" i="19" s="1"/>
  <c r="D22" i="4" l="1"/>
  <c r="D28" i="4" s="1"/>
  <c r="D30" i="4" s="1"/>
  <c r="F50" i="7"/>
  <c r="Y36" i="7"/>
  <c r="Z36" i="7" s="1"/>
  <c r="AF17" i="4"/>
  <c r="AB11" i="4"/>
  <c r="AB13" i="4" s="1"/>
  <c r="AD41" i="3"/>
  <c r="Z28" i="7"/>
  <c r="Z33" i="7" s="1"/>
  <c r="Z34" i="7" s="1"/>
  <c r="X12" i="8" s="1"/>
  <c r="Z18" i="7"/>
  <c r="Z19" i="7" s="1"/>
  <c r="Z21" i="7" s="1"/>
  <c r="AB6" i="19"/>
  <c r="AB6" i="7"/>
  <c r="AA6" i="4"/>
  <c r="AA6" i="25"/>
  <c r="Z6" i="8"/>
  <c r="AC7" i="3"/>
  <c r="AB35" i="3"/>
  <c r="AB36" i="3" s="1"/>
  <c r="AB38" i="3" s="1"/>
  <c r="AE7" i="19"/>
  <c r="AE7" i="7"/>
  <c r="AD7" i="4"/>
  <c r="AF8" i="3"/>
  <c r="AD4" i="29"/>
  <c r="AD7" i="25"/>
  <c r="AC7" i="8"/>
  <c r="AA14" i="7"/>
  <c r="AA43" i="7"/>
  <c r="AA47" i="7" s="1"/>
  <c r="AA41" i="7"/>
  <c r="AA45" i="7" s="1"/>
  <c r="AA48" i="7" s="1"/>
  <c r="N31" i="2"/>
  <c r="O31" i="2" s="1"/>
  <c r="C28" i="4"/>
  <c r="C30" i="4" s="1"/>
  <c r="Y32" i="4"/>
  <c r="X11" i="8" s="1"/>
  <c r="AA19" i="19"/>
  <c r="AA20" i="19" s="1"/>
  <c r="AA25" i="19" s="1"/>
  <c r="AA21" i="7" l="1"/>
  <c r="AG17" i="4"/>
  <c r="Z32" i="4"/>
  <c r="Y11" i="8" s="1"/>
  <c r="AC11" i="4"/>
  <c r="AC13" i="4" s="1"/>
  <c r="AE41" i="3"/>
  <c r="G50" i="7"/>
  <c r="E22" i="4"/>
  <c r="E28" i="4" s="1"/>
  <c r="E30" i="4" s="1"/>
  <c r="AA18" i="7"/>
  <c r="AA19" i="7" s="1"/>
  <c r="AA28" i="7"/>
  <c r="AA33" i="7" s="1"/>
  <c r="AA34" i="7" s="1"/>
  <c r="Y12" i="8" s="1"/>
  <c r="AB41" i="7"/>
  <c r="AB45" i="7" s="1"/>
  <c r="AB43" i="7"/>
  <c r="AB47" i="7" s="1"/>
  <c r="AB14" i="7"/>
  <c r="AC6" i="19"/>
  <c r="AC35" i="3"/>
  <c r="AC36" i="3" s="1"/>
  <c r="AC38" i="3" s="1"/>
  <c r="AC6" i="7"/>
  <c r="AD7" i="3"/>
  <c r="AD21" i="3"/>
  <c r="AB6" i="4"/>
  <c r="AB6" i="25"/>
  <c r="AA6" i="8"/>
  <c r="AA36" i="7"/>
  <c r="AC21" i="3"/>
  <c r="C74" i="2"/>
  <c r="D34" i="4"/>
  <c r="D11" i="25"/>
  <c r="C38" i="6"/>
  <c r="C29" i="6"/>
  <c r="C11" i="6" s="1"/>
  <c r="C13" i="6" s="1"/>
  <c r="AF7" i="19"/>
  <c r="AE7" i="4"/>
  <c r="AF7" i="7"/>
  <c r="AG8" i="3"/>
  <c r="AD7" i="8"/>
  <c r="AE7" i="25"/>
  <c r="AE4" i="29"/>
  <c r="B74" i="2"/>
  <c r="C11" i="25"/>
  <c r="C13" i="25" s="1"/>
  <c r="C34" i="4"/>
  <c r="B38" i="6"/>
  <c r="D74" i="2" l="1"/>
  <c r="E11" i="25"/>
  <c r="E34" i="4"/>
  <c r="D38" i="6"/>
  <c r="D29" i="6"/>
  <c r="D11" i="6" s="1"/>
  <c r="D13" i="6" s="1"/>
  <c r="H50" i="7"/>
  <c r="F22" i="4"/>
  <c r="F28" i="4" s="1"/>
  <c r="F30" i="4" s="1"/>
  <c r="B11" i="6"/>
  <c r="B13" i="6" s="1"/>
  <c r="B37" i="6" s="1"/>
  <c r="AB48" i="7"/>
  <c r="B76" i="2"/>
  <c r="AD6" i="19"/>
  <c r="AC6" i="4"/>
  <c r="AE7" i="3"/>
  <c r="AD35" i="3"/>
  <c r="AD36" i="3" s="1"/>
  <c r="AD38" i="3" s="1"/>
  <c r="AD6" i="7"/>
  <c r="AE21" i="3"/>
  <c r="AB6" i="8"/>
  <c r="AC6" i="25"/>
  <c r="AF41" i="3"/>
  <c r="AD11" i="4"/>
  <c r="AD13" i="4" s="1"/>
  <c r="AC14" i="7"/>
  <c r="AC41" i="7"/>
  <c r="AC45" i="7" s="1"/>
  <c r="AC48" i="7" s="1"/>
  <c r="AB32" i="4" s="1"/>
  <c r="AA11" i="8" s="1"/>
  <c r="AC43" i="7"/>
  <c r="AC47" i="7" s="1"/>
  <c r="AB18" i="7"/>
  <c r="AB19" i="7" s="1"/>
  <c r="AB21" i="7" s="1"/>
  <c r="AB28" i="7"/>
  <c r="AB33" i="7" s="1"/>
  <c r="AB34" i="7" s="1"/>
  <c r="Z12" i="8" s="1"/>
  <c r="AG7" i="19"/>
  <c r="AF7" i="4"/>
  <c r="AG7" i="7"/>
  <c r="AF4" i="29"/>
  <c r="AH8" i="3"/>
  <c r="AE7" i="8"/>
  <c r="AF7" i="25"/>
  <c r="AC21" i="7" l="1"/>
  <c r="AE11" i="4"/>
  <c r="AE13" i="4" s="1"/>
  <c r="AG41" i="3"/>
  <c r="I50" i="7"/>
  <c r="G22" i="4"/>
  <c r="G28" i="4" s="1"/>
  <c r="G30" i="4" s="1"/>
  <c r="AA32" i="4"/>
  <c r="Z11" i="8" s="1"/>
  <c r="AC19" i="19"/>
  <c r="AC20" i="19" s="1"/>
  <c r="AC25" i="19" s="1"/>
  <c r="AB19" i="19"/>
  <c r="AB20" i="19" s="1"/>
  <c r="AB25" i="19" s="1"/>
  <c r="F34" i="4"/>
  <c r="F11" i="25"/>
  <c r="E38" i="6"/>
  <c r="E29" i="6"/>
  <c r="AH7" i="19"/>
  <c r="AH7" i="7"/>
  <c r="AF7" i="8"/>
  <c r="AG7" i="4"/>
  <c r="AG7" i="25"/>
  <c r="AB36" i="7"/>
  <c r="AD14" i="7"/>
  <c r="AD43" i="7"/>
  <c r="AD47" i="7" s="1"/>
  <c r="AD41" i="7"/>
  <c r="AD45" i="7" s="1"/>
  <c r="B42" i="6"/>
  <c r="B35" i="6"/>
  <c r="B39" i="6"/>
  <c r="AC28" i="7"/>
  <c r="AC33" i="7" s="1"/>
  <c r="AC34" i="7" s="1"/>
  <c r="AA12" i="8" s="1"/>
  <c r="AC18" i="7"/>
  <c r="AC19" i="7" s="1"/>
  <c r="AE6" i="19"/>
  <c r="AD6" i="4"/>
  <c r="AE6" i="7"/>
  <c r="AF7" i="3"/>
  <c r="AC6" i="8"/>
  <c r="AE35" i="3"/>
  <c r="AE36" i="3" s="1"/>
  <c r="AE38" i="3" s="1"/>
  <c r="AF21" i="3"/>
  <c r="AD6" i="25"/>
  <c r="B48" i="6" l="1"/>
  <c r="B56" i="6"/>
  <c r="AE43" i="7"/>
  <c r="AE47" i="7" s="1"/>
  <c r="AE14" i="7"/>
  <c r="AE41" i="7"/>
  <c r="AE45" i="7" s="1"/>
  <c r="AE48" i="7" s="1"/>
  <c r="AD32" i="4" s="1"/>
  <c r="AC11" i="8" s="1"/>
  <c r="G34" i="4"/>
  <c r="G11" i="25"/>
  <c r="F29" i="6"/>
  <c r="F38" i="6"/>
  <c r="J50" i="7"/>
  <c r="H22" i="4"/>
  <c r="H28" i="4" s="1"/>
  <c r="H30" i="4" s="1"/>
  <c r="AD28" i="7"/>
  <c r="AD33" i="7" s="1"/>
  <c r="AD34" i="7" s="1"/>
  <c r="AB12" i="8" s="1"/>
  <c r="AD18" i="7"/>
  <c r="AD19" i="7" s="1"/>
  <c r="AD21" i="7"/>
  <c r="AC36" i="7"/>
  <c r="AD36" i="7" s="1"/>
  <c r="AD48" i="7"/>
  <c r="AH41" i="3"/>
  <c r="AG11" i="4" s="1"/>
  <c r="AG13" i="4" s="1"/>
  <c r="AF11" i="4"/>
  <c r="AF13" i="4" s="1"/>
  <c r="AF6" i="19"/>
  <c r="AE6" i="4"/>
  <c r="AF6" i="7"/>
  <c r="AF35" i="3"/>
  <c r="AF36" i="3" s="1"/>
  <c r="AF38" i="3" s="1"/>
  <c r="AG7" i="3"/>
  <c r="AG21" i="3"/>
  <c r="AD6" i="8"/>
  <c r="AE6" i="25"/>
  <c r="B44" i="6"/>
  <c r="B45" i="6"/>
  <c r="C24" i="6" s="1"/>
  <c r="E11" i="6"/>
  <c r="E13" i="6" s="1"/>
  <c r="AC32" i="4" l="1"/>
  <c r="AB11" i="8" s="1"/>
  <c r="AE19" i="19"/>
  <c r="AE20" i="19" s="1"/>
  <c r="AE25" i="19" s="1"/>
  <c r="AD19" i="19"/>
  <c r="AD20" i="19" s="1"/>
  <c r="AD25" i="19" s="1"/>
  <c r="F11" i="6"/>
  <c r="F13" i="6" s="1"/>
  <c r="B57" i="6"/>
  <c r="C36" i="4" s="1"/>
  <c r="C38" i="4" s="1"/>
  <c r="AG6" i="19"/>
  <c r="AG6" i="7"/>
  <c r="AF6" i="4"/>
  <c r="AH7" i="3"/>
  <c r="AH21" i="3" s="1"/>
  <c r="AG35" i="3"/>
  <c r="AG36" i="3" s="1"/>
  <c r="AG38" i="3" s="1"/>
  <c r="AF6" i="25"/>
  <c r="AE6" i="8"/>
  <c r="H34" i="4"/>
  <c r="H11" i="25"/>
  <c r="G38" i="6"/>
  <c r="G29" i="6"/>
  <c r="G11" i="6" s="1"/>
  <c r="G13" i="6" s="1"/>
  <c r="AF41" i="7"/>
  <c r="AF45" i="7" s="1"/>
  <c r="AF48" i="7" s="1"/>
  <c r="AF14" i="7"/>
  <c r="AF43" i="7"/>
  <c r="AF47" i="7" s="1"/>
  <c r="C27" i="6"/>
  <c r="C28" i="6"/>
  <c r="B50" i="6"/>
  <c r="B52" i="6" s="1"/>
  <c r="C16" i="25"/>
  <c r="AE36" i="7"/>
  <c r="AE21" i="7"/>
  <c r="AE18" i="7"/>
  <c r="AE19" i="7" s="1"/>
  <c r="AE28" i="7"/>
  <c r="AE33" i="7" s="1"/>
  <c r="AE34" i="7" s="1"/>
  <c r="AC12" i="8" s="1"/>
  <c r="I22" i="4"/>
  <c r="I28" i="4" s="1"/>
  <c r="I30" i="4" s="1"/>
  <c r="K50" i="7"/>
  <c r="AE32" i="4" l="1"/>
  <c r="AD11" i="8" s="1"/>
  <c r="AF19" i="19"/>
  <c r="AF20" i="19" s="1"/>
  <c r="AF25" i="19" s="1"/>
  <c r="C33" i="6"/>
  <c r="C26" i="6"/>
  <c r="C30" i="6" s="1"/>
  <c r="AG41" i="7"/>
  <c r="AG45" i="7" s="1"/>
  <c r="AG48" i="7" s="1"/>
  <c r="AG43" i="7"/>
  <c r="AG47" i="7" s="1"/>
  <c r="AG14" i="7"/>
  <c r="H38" i="6"/>
  <c r="I34" i="4"/>
  <c r="I11" i="25"/>
  <c r="H29" i="6"/>
  <c r="AF18" i="7"/>
  <c r="AF19" i="7" s="1"/>
  <c r="AF21" i="7" s="1"/>
  <c r="AF28" i="7"/>
  <c r="AF33" i="7" s="1"/>
  <c r="AF34" i="7" s="1"/>
  <c r="AD12" i="8" s="1"/>
  <c r="C40" i="4"/>
  <c r="C41" i="4" s="1"/>
  <c r="B10" i="8"/>
  <c r="B13" i="8" s="1"/>
  <c r="B58" i="6"/>
  <c r="AH6" i="19"/>
  <c r="AG6" i="25"/>
  <c r="AH6" i="7"/>
  <c r="AH35" i="3"/>
  <c r="AH36" i="3" s="1"/>
  <c r="AH38" i="3" s="1"/>
  <c r="AF6" i="8"/>
  <c r="AG6" i="4"/>
  <c r="L50" i="7"/>
  <c r="J22" i="4"/>
  <c r="J28" i="4" s="1"/>
  <c r="J30" i="4" s="1"/>
  <c r="AF32" i="4" l="1"/>
  <c r="AE11" i="8" s="1"/>
  <c r="AG19" i="19"/>
  <c r="AG20" i="19" s="1"/>
  <c r="AG25" i="19" s="1"/>
  <c r="C43" i="4"/>
  <c r="I38" i="6"/>
  <c r="J34" i="4"/>
  <c r="J11" i="25"/>
  <c r="I29" i="6"/>
  <c r="I11" i="6" s="1"/>
  <c r="I13" i="6" s="1"/>
  <c r="M50" i="7"/>
  <c r="K22" i="4"/>
  <c r="K28" i="4" s="1"/>
  <c r="K30" i="4" s="1"/>
  <c r="B28" i="8"/>
  <c r="B16" i="8"/>
  <c r="H11" i="6"/>
  <c r="H13" i="6" s="1"/>
  <c r="C37" i="6"/>
  <c r="C36" i="6"/>
  <c r="AG18" i="7"/>
  <c r="AG19" i="7" s="1"/>
  <c r="AG21" i="7" s="1"/>
  <c r="AG28" i="7"/>
  <c r="AG33" i="7" s="1"/>
  <c r="AG34" i="7" s="1"/>
  <c r="AE12" i="8" s="1"/>
  <c r="AH41" i="7"/>
  <c r="AH45" i="7" s="1"/>
  <c r="AH43" i="7"/>
  <c r="AH47" i="7" s="1"/>
  <c r="AH14" i="7"/>
  <c r="AF36" i="7"/>
  <c r="AG36" i="7" s="1"/>
  <c r="C42" i="6" l="1"/>
  <c r="C39" i="6"/>
  <c r="B19" i="8"/>
  <c r="B21" i="8"/>
  <c r="B24" i="8" s="1"/>
  <c r="D42" i="19"/>
  <c r="D43" i="19" s="1"/>
  <c r="B75" i="2"/>
  <c r="C35" i="6"/>
  <c r="AH48" i="7"/>
  <c r="D12" i="25"/>
  <c r="D13" i="25" s="1"/>
  <c r="C49" i="6"/>
  <c r="K11" i="25"/>
  <c r="K34" i="4"/>
  <c r="J29" i="6"/>
  <c r="J38" i="6"/>
  <c r="AH18" i="7"/>
  <c r="AH19" i="7" s="1"/>
  <c r="AH21" i="7" s="1"/>
  <c r="AH28" i="7"/>
  <c r="AH33" i="7" s="1"/>
  <c r="AH34" i="7" s="1"/>
  <c r="AF12" i="8" s="1"/>
  <c r="L22" i="4"/>
  <c r="L28" i="4" s="1"/>
  <c r="L30" i="4" s="1"/>
  <c r="N50" i="7"/>
  <c r="B22" i="8" l="1"/>
  <c r="C18" i="8" s="1"/>
  <c r="L34" i="4"/>
  <c r="L44" i="25"/>
  <c r="L11" i="25"/>
  <c r="K29" i="6"/>
  <c r="K38" i="6"/>
  <c r="B29" i="8"/>
  <c r="B30" i="8" s="1"/>
  <c r="J11" i="6"/>
  <c r="J13" i="6" s="1"/>
  <c r="C76" i="2"/>
  <c r="AH36" i="7"/>
  <c r="AG32" i="4"/>
  <c r="AF11" i="8" s="1"/>
  <c r="AH19" i="19"/>
  <c r="AH20" i="19" s="1"/>
  <c r="AH25" i="19" s="1"/>
  <c r="C45" i="6"/>
  <c r="D24" i="6" s="1"/>
  <c r="C44" i="6"/>
  <c r="O50" i="7"/>
  <c r="M22" i="4"/>
  <c r="M28" i="4" s="1"/>
  <c r="M30" i="4" s="1"/>
  <c r="C56" i="6"/>
  <c r="C48" i="6"/>
  <c r="C50" i="6" l="1"/>
  <c r="C52" i="6" s="1"/>
  <c r="D16" i="25"/>
  <c r="K11" i="6"/>
  <c r="K13" i="6" s="1"/>
  <c r="C57" i="6"/>
  <c r="D36" i="4" s="1"/>
  <c r="D38" i="4" s="1"/>
  <c r="M34" i="4"/>
  <c r="L38" i="6"/>
  <c r="M11" i="25"/>
  <c r="L29" i="6"/>
  <c r="L11" i="6" s="1"/>
  <c r="L13" i="6" s="1"/>
  <c r="N22" i="4"/>
  <c r="N28" i="4" s="1"/>
  <c r="N30" i="4" s="1"/>
  <c r="P50" i="7"/>
  <c r="D27" i="6"/>
  <c r="D28" i="6"/>
  <c r="B33" i="8"/>
  <c r="D30" i="6" l="1"/>
  <c r="D33" i="6"/>
  <c r="B38" i="8"/>
  <c r="B41" i="8" s="1"/>
  <c r="C15" i="25" s="1"/>
  <c r="B36" i="8"/>
  <c r="D40" i="4"/>
  <c r="D43" i="4" s="1"/>
  <c r="D41" i="4"/>
  <c r="C10" i="8"/>
  <c r="C13" i="8" s="1"/>
  <c r="Q50" i="7"/>
  <c r="O22" i="4"/>
  <c r="O28" i="4" s="1"/>
  <c r="O30" i="4" s="1"/>
  <c r="C58" i="6"/>
  <c r="D26" i="6"/>
  <c r="M38" i="6"/>
  <c r="N34" i="4"/>
  <c r="N11" i="25"/>
  <c r="M29" i="6"/>
  <c r="M11" i="6" s="1"/>
  <c r="M13" i="6" s="1"/>
  <c r="C75" i="2" l="1"/>
  <c r="E42" i="19"/>
  <c r="E43" i="19" s="1"/>
  <c r="B39" i="8"/>
  <c r="C35" i="8" s="1"/>
  <c r="R50" i="7"/>
  <c r="P22" i="4"/>
  <c r="P28" i="4" s="1"/>
  <c r="P30" i="4" s="1"/>
  <c r="O34" i="4"/>
  <c r="O11" i="25"/>
  <c r="N38" i="6"/>
  <c r="N29" i="6"/>
  <c r="C16" i="8"/>
  <c r="C28" i="8"/>
  <c r="D32" i="19"/>
  <c r="C18" i="25"/>
  <c r="C21" i="25" s="1"/>
  <c r="D36" i="6"/>
  <c r="D37" i="6" s="1"/>
  <c r="D39" i="6" l="1"/>
  <c r="D42" i="6"/>
  <c r="D35" i="6"/>
  <c r="D37" i="19"/>
  <c r="D45" i="19" s="1"/>
  <c r="D47" i="19" s="1"/>
  <c r="C19" i="8"/>
  <c r="C21" i="8"/>
  <c r="P34" i="4"/>
  <c r="P11" i="25"/>
  <c r="O29" i="6"/>
  <c r="O38" i="6"/>
  <c r="N11" i="6"/>
  <c r="N13" i="6" s="1"/>
  <c r="B77" i="2"/>
  <c r="C43" i="25"/>
  <c r="C45" i="25" s="1"/>
  <c r="C57" i="25"/>
  <c r="C59" i="25" s="1"/>
  <c r="C27" i="25"/>
  <c r="C28" i="25" s="1"/>
  <c r="C29" i="25" s="1"/>
  <c r="D25" i="25" s="1"/>
  <c r="C50" i="25"/>
  <c r="C52" i="25" s="1"/>
  <c r="C37" i="25"/>
  <c r="C38" i="25" s="1"/>
  <c r="Q22" i="4"/>
  <c r="Q28" i="4" s="1"/>
  <c r="Q30" i="4" s="1"/>
  <c r="S50" i="7"/>
  <c r="E12" i="25"/>
  <c r="E13" i="25" s="1"/>
  <c r="D49" i="6"/>
  <c r="C24" i="8" l="1"/>
  <c r="O11" i="6"/>
  <c r="O13" i="6" s="1"/>
  <c r="D26" i="25"/>
  <c r="D56" i="6"/>
  <c r="D48" i="6"/>
  <c r="T50" i="7"/>
  <c r="R22" i="4"/>
  <c r="R28" i="4" s="1"/>
  <c r="R30" i="4" s="1"/>
  <c r="Q34" i="4"/>
  <c r="Q11" i="25"/>
  <c r="P29" i="6"/>
  <c r="P11" i="6" s="1"/>
  <c r="P13" i="6" s="1"/>
  <c r="P38" i="6"/>
  <c r="C22" i="8"/>
  <c r="D18" i="8" s="1"/>
  <c r="D76" i="2"/>
  <c r="D45" i="6"/>
  <c r="E24" i="6" s="1"/>
  <c r="D44" i="6"/>
  <c r="E28" i="6" l="1"/>
  <c r="E27" i="6"/>
  <c r="Q29" i="6"/>
  <c r="Q38" i="6"/>
  <c r="R34" i="4"/>
  <c r="R11" i="25"/>
  <c r="U50" i="7"/>
  <c r="S22" i="4"/>
  <c r="S28" i="4" s="1"/>
  <c r="S30" i="4" s="1"/>
  <c r="D50" i="6"/>
  <c r="D52" i="6" s="1"/>
  <c r="E16" i="25"/>
  <c r="D57" i="6"/>
  <c r="E36" i="4" s="1"/>
  <c r="E38" i="4" s="1"/>
  <c r="D58" i="6"/>
  <c r="C29" i="8"/>
  <c r="C30" i="8" s="1"/>
  <c r="E30" i="6" l="1"/>
  <c r="E33" i="6"/>
  <c r="E40" i="4"/>
  <c r="E43" i="4" s="1"/>
  <c r="E41" i="4"/>
  <c r="D10" i="8"/>
  <c r="D13" i="8" s="1"/>
  <c r="C33" i="8"/>
  <c r="E26" i="6"/>
  <c r="S11" i="25"/>
  <c r="S34" i="4"/>
  <c r="R38" i="6"/>
  <c r="R29" i="6"/>
  <c r="R11" i="6" s="1"/>
  <c r="R13" i="6" s="1"/>
  <c r="V50" i="7"/>
  <c r="T22" i="4"/>
  <c r="T28" i="4" s="1"/>
  <c r="T30" i="4" s="1"/>
  <c r="Q11" i="6"/>
  <c r="Q13" i="6" s="1"/>
  <c r="F42" i="19" l="1"/>
  <c r="F43" i="19" s="1"/>
  <c r="D75" i="2"/>
  <c r="C36" i="8"/>
  <c r="C38" i="8"/>
  <c r="D28" i="8"/>
  <c r="D16" i="8"/>
  <c r="T34" i="4"/>
  <c r="T11" i="25"/>
  <c r="S29" i="6"/>
  <c r="S38" i="6"/>
  <c r="W50" i="7"/>
  <c r="U22" i="4"/>
  <c r="U28" i="4" s="1"/>
  <c r="U30" i="4" s="1"/>
  <c r="E36" i="6"/>
  <c r="F12" i="25" l="1"/>
  <c r="F13" i="25" s="1"/>
  <c r="E49" i="6"/>
  <c r="D21" i="8"/>
  <c r="D19" i="8"/>
  <c r="V22" i="4"/>
  <c r="V28" i="4" s="1"/>
  <c r="V30" i="4" s="1"/>
  <c r="X50" i="7"/>
  <c r="S11" i="6"/>
  <c r="S13" i="6" s="1"/>
  <c r="C41" i="8"/>
  <c r="D15" i="25" s="1"/>
  <c r="U34" i="4"/>
  <c r="U11" i="25"/>
  <c r="T38" i="6"/>
  <c r="T29" i="6"/>
  <c r="T11" i="6" s="1"/>
  <c r="T13" i="6" s="1"/>
  <c r="C39" i="8"/>
  <c r="D35" i="8" s="1"/>
  <c r="E37" i="6"/>
  <c r="V34" i="4" l="1"/>
  <c r="V11" i="25"/>
  <c r="U38" i="6"/>
  <c r="U29" i="6"/>
  <c r="U11" i="6" s="1"/>
  <c r="U13" i="6" s="1"/>
  <c r="E42" i="6"/>
  <c r="E35" i="6"/>
  <c r="D24" i="8"/>
  <c r="W22" i="4"/>
  <c r="W28" i="4" s="1"/>
  <c r="W30" i="4" s="1"/>
  <c r="Y50" i="7"/>
  <c r="D22" i="8"/>
  <c r="E18" i="8" s="1"/>
  <c r="D18" i="25"/>
  <c r="D21" i="25" s="1"/>
  <c r="E32" i="19"/>
  <c r="E56" i="6" l="1"/>
  <c r="E48" i="6"/>
  <c r="E39" i="6"/>
  <c r="X22" i="4"/>
  <c r="X28" i="4" s="1"/>
  <c r="X30" i="4" s="1"/>
  <c r="Z50" i="7"/>
  <c r="E45" i="6"/>
  <c r="F24" i="6" s="1"/>
  <c r="E44" i="6"/>
  <c r="E37" i="19"/>
  <c r="E45" i="19" s="1"/>
  <c r="E47" i="19" s="1"/>
  <c r="V29" i="6"/>
  <c r="W44" i="25"/>
  <c r="W11" i="25"/>
  <c r="W34" i="4"/>
  <c r="V38" i="6"/>
  <c r="C77" i="2"/>
  <c r="D43" i="25"/>
  <c r="D45" i="25" s="1"/>
  <c r="D27" i="25"/>
  <c r="D28" i="25" s="1"/>
  <c r="D29" i="25" s="1"/>
  <c r="E25" i="25" s="1"/>
  <c r="D57" i="25"/>
  <c r="D59" i="25" s="1"/>
  <c r="D50" i="25"/>
  <c r="D52" i="25" s="1"/>
  <c r="D37" i="25"/>
  <c r="D38" i="25" s="1"/>
  <c r="D29" i="8"/>
  <c r="D30" i="8" s="1"/>
  <c r="E57" i="6" l="1"/>
  <c r="F36" i="4" s="1"/>
  <c r="F38" i="4" s="1"/>
  <c r="X34" i="4"/>
  <c r="X11" i="25"/>
  <c r="W38" i="6"/>
  <c r="W29" i="6"/>
  <c r="W11" i="6" s="1"/>
  <c r="W13" i="6" s="1"/>
  <c r="D33" i="8"/>
  <c r="F27" i="6"/>
  <c r="F28" i="6" s="1"/>
  <c r="E26" i="25"/>
  <c r="V11" i="6"/>
  <c r="V13" i="6" s="1"/>
  <c r="E58" i="6"/>
  <c r="AA50" i="7"/>
  <c r="Y22" i="4"/>
  <c r="Y28" i="4" s="1"/>
  <c r="Y30" i="4" s="1"/>
  <c r="E50" i="6"/>
  <c r="E52" i="6" s="1"/>
  <c r="F16" i="25"/>
  <c r="F30" i="6" l="1"/>
  <c r="F33" i="6"/>
  <c r="F26" i="6"/>
  <c r="AB50" i="7"/>
  <c r="Z22" i="4"/>
  <c r="Z28" i="4" s="1"/>
  <c r="Z30" i="4" s="1"/>
  <c r="X38" i="6"/>
  <c r="Y34" i="4"/>
  <c r="Y11" i="25"/>
  <c r="X29" i="6"/>
  <c r="X11" i="6" s="1"/>
  <c r="X13" i="6" s="1"/>
  <c r="D38" i="8"/>
  <c r="D36" i="8"/>
  <c r="F40" i="4"/>
  <c r="E10" i="8"/>
  <c r="E13" i="8" s="1"/>
  <c r="F43" i="4" l="1"/>
  <c r="G42" i="19" s="1"/>
  <c r="G43" i="19" s="1"/>
  <c r="D39" i="8"/>
  <c r="E35" i="8" s="1"/>
  <c r="D41" i="8"/>
  <c r="E15" i="25" s="1"/>
  <c r="E16" i="8"/>
  <c r="E28" i="8"/>
  <c r="Y29" i="6"/>
  <c r="Y11" i="6" s="1"/>
  <c r="Y13" i="6" s="1"/>
  <c r="Y38" i="6"/>
  <c r="Z34" i="4"/>
  <c r="Z11" i="25"/>
  <c r="AC50" i="7"/>
  <c r="AA22" i="4"/>
  <c r="AA28" i="4" s="1"/>
  <c r="AA30" i="4" s="1"/>
  <c r="F41" i="4"/>
  <c r="F36" i="6"/>
  <c r="F37" i="6" s="1"/>
  <c r="F39" i="6" l="1"/>
  <c r="F42" i="6"/>
  <c r="F35" i="6"/>
  <c r="E21" i="8"/>
  <c r="E19" i="8"/>
  <c r="AD50" i="7"/>
  <c r="AB22" i="4"/>
  <c r="AB28" i="4" s="1"/>
  <c r="AB30" i="4" s="1"/>
  <c r="E18" i="25"/>
  <c r="E21" i="25" s="1"/>
  <c r="F32" i="19"/>
  <c r="AA11" i="25"/>
  <c r="AA34" i="4"/>
  <c r="Z38" i="6"/>
  <c r="Z29" i="6"/>
  <c r="Z11" i="6" s="1"/>
  <c r="Z13" i="6" s="1"/>
  <c r="F49" i="6"/>
  <c r="G12" i="25"/>
  <c r="G13" i="25" s="1"/>
  <c r="D77" i="2" l="1"/>
  <c r="E57" i="25"/>
  <c r="E59" i="25" s="1"/>
  <c r="E43" i="25"/>
  <c r="E45" i="25" s="1"/>
  <c r="E27" i="25"/>
  <c r="E28" i="25" s="1"/>
  <c r="E29" i="25" s="1"/>
  <c r="F25" i="25" s="1"/>
  <c r="E50" i="25"/>
  <c r="E52" i="25" s="1"/>
  <c r="E37" i="25"/>
  <c r="E38" i="25" s="1"/>
  <c r="F45" i="6"/>
  <c r="G24" i="6" s="1"/>
  <c r="F44" i="6"/>
  <c r="AB34" i="4"/>
  <c r="AB11" i="25"/>
  <c r="AA38" i="6"/>
  <c r="AA29" i="6"/>
  <c r="AA11" i="6" s="1"/>
  <c r="AA13" i="6" s="1"/>
  <c r="E22" i="8"/>
  <c r="F18" i="8" s="1"/>
  <c r="E24" i="8"/>
  <c r="AE50" i="7"/>
  <c r="AC22" i="4"/>
  <c r="AC28" i="4" s="1"/>
  <c r="AC30" i="4" s="1"/>
  <c r="F37" i="19"/>
  <c r="F45" i="19" s="1"/>
  <c r="F47" i="19" s="1"/>
  <c r="F48" i="6"/>
  <c r="F56" i="6"/>
  <c r="F57" i="6" l="1"/>
  <c r="G36" i="4" s="1"/>
  <c r="G38" i="4" s="1"/>
  <c r="AC34" i="4"/>
  <c r="AC11" i="25"/>
  <c r="AB29" i="6"/>
  <c r="AB38" i="6"/>
  <c r="F26" i="25"/>
  <c r="E29" i="8"/>
  <c r="E30" i="8" s="1"/>
  <c r="G27" i="6"/>
  <c r="AF50" i="7"/>
  <c r="AD22" i="4"/>
  <c r="AD28" i="4" s="1"/>
  <c r="AD30" i="4" s="1"/>
  <c r="F50" i="6"/>
  <c r="F52" i="6" s="1"/>
  <c r="G16" i="25"/>
  <c r="G28" i="6" l="1"/>
  <c r="AG50" i="7"/>
  <c r="AE22" i="4"/>
  <c r="AE28" i="4" s="1"/>
  <c r="AE30" i="4" s="1"/>
  <c r="AB11" i="6"/>
  <c r="AB13" i="6" s="1"/>
  <c r="F58" i="6"/>
  <c r="E33" i="8"/>
  <c r="G40" i="4"/>
  <c r="G41" i="4" s="1"/>
  <c r="F10" i="8"/>
  <c r="F13" i="8" s="1"/>
  <c r="AD34" i="4"/>
  <c r="AD11" i="25"/>
  <c r="AC29" i="6"/>
  <c r="AC38" i="6"/>
  <c r="G43" i="4" l="1"/>
  <c r="H42" i="19" s="1"/>
  <c r="H43" i="19" s="1"/>
  <c r="AC11" i="6"/>
  <c r="AC13" i="6" s="1"/>
  <c r="E36" i="8"/>
  <c r="E38" i="8"/>
  <c r="AF22" i="4"/>
  <c r="AF28" i="4" s="1"/>
  <c r="AF30" i="4" s="1"/>
  <c r="AH50" i="7"/>
  <c r="AG22" i="4" s="1"/>
  <c r="AG28" i="4" s="1"/>
  <c r="AG30" i="4" s="1"/>
  <c r="F16" i="8"/>
  <c r="F28" i="8"/>
  <c r="AE34" i="4"/>
  <c r="AE11" i="25"/>
  <c r="AD38" i="6"/>
  <c r="AD29" i="6"/>
  <c r="AD11" i="6" s="1"/>
  <c r="AD13" i="6" s="1"/>
  <c r="G33" i="6"/>
  <c r="G26" i="6"/>
  <c r="G30" i="6" s="1"/>
  <c r="G36" i="6" l="1"/>
  <c r="AG34" i="4"/>
  <c r="AF38" i="6"/>
  <c r="AG11" i="25"/>
  <c r="AF29" i="6"/>
  <c r="AF11" i="6" s="1"/>
  <c r="AF13" i="6" s="1"/>
  <c r="AF34" i="4"/>
  <c r="AG44" i="25"/>
  <c r="AF11" i="25"/>
  <c r="AE38" i="6"/>
  <c r="AE29" i="6"/>
  <c r="AE11" i="6" s="1"/>
  <c r="AE13" i="6" s="1"/>
  <c r="E41" i="8"/>
  <c r="F15" i="25" s="1"/>
  <c r="E39" i="8"/>
  <c r="F35" i="8" s="1"/>
  <c r="F21" i="8"/>
  <c r="F19" i="8"/>
  <c r="G49" i="6" l="1"/>
  <c r="H12" i="25"/>
  <c r="H13" i="25" s="1"/>
  <c r="F22" i="8"/>
  <c r="G18" i="8" s="1"/>
  <c r="F24" i="8"/>
  <c r="F18" i="25"/>
  <c r="F21" i="25" s="1"/>
  <c r="G32" i="19"/>
  <c r="G37" i="6"/>
  <c r="F50" i="25" l="1"/>
  <c r="F52" i="25" s="1"/>
  <c r="F37" i="25"/>
  <c r="F38" i="25" s="1"/>
  <c r="F43" i="25"/>
  <c r="F45" i="25" s="1"/>
  <c r="F27" i="25"/>
  <c r="F28" i="25" s="1"/>
  <c r="F29" i="25" s="1"/>
  <c r="G25" i="25" s="1"/>
  <c r="F57" i="25"/>
  <c r="F59" i="25" s="1"/>
  <c r="G37" i="19"/>
  <c r="G45" i="19" s="1"/>
  <c r="G47" i="19" s="1"/>
  <c r="F29" i="8"/>
  <c r="F30" i="8" s="1"/>
  <c r="G42" i="6"/>
  <c r="G35" i="6"/>
  <c r="G39" i="6" s="1"/>
  <c r="G44" i="6" l="1"/>
  <c r="G45" i="6"/>
  <c r="H24" i="6" s="1"/>
  <c r="F33" i="8"/>
  <c r="G48" i="6"/>
  <c r="G56" i="6"/>
  <c r="G26" i="25"/>
  <c r="G57" i="6" l="1"/>
  <c r="H36" i="4" s="1"/>
  <c r="H38" i="4" s="1"/>
  <c r="G50" i="6"/>
  <c r="G52" i="6" s="1"/>
  <c r="H16" i="25"/>
  <c r="F36" i="8"/>
  <c r="F38" i="8"/>
  <c r="G58" i="6"/>
  <c r="H27" i="6"/>
  <c r="H28" i="6" l="1"/>
  <c r="F41" i="8"/>
  <c r="G15" i="25" s="1"/>
  <c r="F39" i="8"/>
  <c r="G35" i="8" s="1"/>
  <c r="H40" i="4"/>
  <c r="G10" i="8"/>
  <c r="G13" i="8" s="1"/>
  <c r="H41" i="4"/>
  <c r="H43" i="4" s="1"/>
  <c r="I42" i="19" s="1"/>
  <c r="I43" i="19" s="1"/>
  <c r="G18" i="25" l="1"/>
  <c r="G21" i="25" s="1"/>
  <c r="H32" i="19"/>
  <c r="G28" i="8"/>
  <c r="G16" i="8"/>
  <c r="H33" i="6"/>
  <c r="H26" i="6"/>
  <c r="H30" i="6" s="1"/>
  <c r="H37" i="19" l="1"/>
  <c r="H45" i="19" s="1"/>
  <c r="H47" i="19" s="1"/>
  <c r="H36" i="6"/>
  <c r="G19" i="8"/>
  <c r="G21" i="8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G24" i="8" l="1"/>
  <c r="G22" i="8"/>
  <c r="H18" i="8" s="1"/>
  <c r="I12" i="25"/>
  <c r="I13" i="25" s="1"/>
  <c r="H49" i="6"/>
  <c r="H37" i="6"/>
  <c r="H26" i="25"/>
  <c r="H42" i="6" l="1"/>
  <c r="H35" i="6"/>
  <c r="G29" i="8"/>
  <c r="G30" i="8" s="1"/>
  <c r="H48" i="6" l="1"/>
  <c r="H56" i="6"/>
  <c r="G33" i="8"/>
  <c r="H44" i="6"/>
  <c r="H45" i="6"/>
  <c r="I24" i="6" s="1"/>
  <c r="H39" i="6"/>
  <c r="I28" i="6" l="1"/>
  <c r="I27" i="6"/>
  <c r="G36" i="8"/>
  <c r="G38" i="8"/>
  <c r="H50" i="6"/>
  <c r="H52" i="6" s="1"/>
  <c r="I16" i="25"/>
  <c r="H57" i="6"/>
  <c r="I36" i="4" s="1"/>
  <c r="I38" i="4" s="1"/>
  <c r="H58" i="6"/>
  <c r="G41" i="8" l="1"/>
  <c r="H15" i="25" s="1"/>
  <c r="G39" i="8"/>
  <c r="H35" i="8" s="1"/>
  <c r="I33" i="6"/>
  <c r="H10" i="8"/>
  <c r="H13" i="8" s="1"/>
  <c r="I40" i="4"/>
  <c r="I43" i="4" s="1"/>
  <c r="J42" i="19" s="1"/>
  <c r="J43" i="19" s="1"/>
  <c r="I41" i="4"/>
  <c r="I26" i="6"/>
  <c r="I30" i="6" s="1"/>
  <c r="H18" i="25" l="1"/>
  <c r="H21" i="25" s="1"/>
  <c r="I32" i="19"/>
  <c r="H28" i="8"/>
  <c r="H16" i="8"/>
  <c r="I36" i="6"/>
  <c r="J12" i="25" l="1"/>
  <c r="J13" i="25" s="1"/>
  <c r="I49" i="6"/>
  <c r="H21" i="8"/>
  <c r="H19" i="8"/>
  <c r="I37" i="6"/>
  <c r="H37" i="25"/>
  <c r="H38" i="25" s="1"/>
  <c r="H50" i="25"/>
  <c r="H52" i="25" s="1"/>
  <c r="H57" i="25"/>
  <c r="H59" i="25" s="1"/>
  <c r="H43" i="25"/>
  <c r="H45" i="25" s="1"/>
  <c r="H27" i="25"/>
  <c r="H28" i="25" s="1"/>
  <c r="H29" i="25" s="1"/>
  <c r="I25" i="25" s="1"/>
  <c r="I37" i="19"/>
  <c r="I45" i="19" s="1"/>
  <c r="I47" i="19" s="1"/>
  <c r="H24" i="8" l="1"/>
  <c r="I42" i="6"/>
  <c r="I35" i="6"/>
  <c r="H22" i="8"/>
  <c r="I18" i="8" s="1"/>
  <c r="I26" i="25"/>
  <c r="I44" i="6" l="1"/>
  <c r="I45" i="6"/>
  <c r="J24" i="6" s="1"/>
  <c r="I48" i="6"/>
  <c r="I56" i="6"/>
  <c r="I39" i="6"/>
  <c r="H29" i="8"/>
  <c r="H30" i="8" s="1"/>
  <c r="I57" i="6" l="1"/>
  <c r="J36" i="4" s="1"/>
  <c r="J38" i="4" s="1"/>
  <c r="I50" i="6"/>
  <c r="I52" i="6" s="1"/>
  <c r="J16" i="25"/>
  <c r="H33" i="8"/>
  <c r="I58" i="6"/>
  <c r="J27" i="6"/>
  <c r="H38" i="8" l="1"/>
  <c r="H36" i="8"/>
  <c r="J28" i="6"/>
  <c r="J40" i="4"/>
  <c r="J41" i="4" s="1"/>
  <c r="I10" i="8"/>
  <c r="I13" i="8" s="1"/>
  <c r="I16" i="8" l="1"/>
  <c r="I28" i="8"/>
  <c r="J43" i="4"/>
  <c r="K42" i="19" s="1"/>
  <c r="K43" i="19" s="1"/>
  <c r="H39" i="8"/>
  <c r="I35" i="8" s="1"/>
  <c r="J33" i="6"/>
  <c r="J26" i="6"/>
  <c r="J30" i="6" s="1"/>
  <c r="H41" i="8"/>
  <c r="I15" i="25" s="1"/>
  <c r="J35" i="6" l="1"/>
  <c r="J36" i="6"/>
  <c r="J37" i="6"/>
  <c r="I18" i="25"/>
  <c r="I21" i="25" s="1"/>
  <c r="J32" i="19"/>
  <c r="I19" i="8"/>
  <c r="I21" i="8"/>
  <c r="J37" i="19" l="1"/>
  <c r="J45" i="19" s="1"/>
  <c r="J47" i="19" s="1"/>
  <c r="J20" i="8"/>
  <c r="I24" i="8"/>
  <c r="J42" i="6"/>
  <c r="J39" i="6"/>
  <c r="J48" i="6"/>
  <c r="J56" i="6"/>
  <c r="I22" i="8"/>
  <c r="J18" i="8" s="1"/>
  <c r="I57" i="25"/>
  <c r="I59" i="25" s="1"/>
  <c r="I27" i="25"/>
  <c r="I28" i="25" s="1"/>
  <c r="I29" i="25" s="1"/>
  <c r="J25" i="25" s="1"/>
  <c r="I37" i="25"/>
  <c r="I38" i="25" s="1"/>
  <c r="I50" i="25"/>
  <c r="I52" i="25" s="1"/>
  <c r="I43" i="25"/>
  <c r="I45" i="25" s="1"/>
  <c r="J49" i="6"/>
  <c r="K12" i="25"/>
  <c r="K13" i="25" s="1"/>
  <c r="I29" i="8" l="1"/>
  <c r="I30" i="8" s="1"/>
  <c r="J44" i="6"/>
  <c r="J45" i="6"/>
  <c r="K24" i="6" s="1"/>
  <c r="J50" i="6"/>
  <c r="J52" i="6" s="1"/>
  <c r="K16" i="25"/>
  <c r="J26" i="25"/>
  <c r="J57" i="6" l="1"/>
  <c r="K27" i="6"/>
  <c r="K28" i="6" s="1"/>
  <c r="I33" i="8"/>
  <c r="K33" i="6" l="1"/>
  <c r="K26" i="6"/>
  <c r="K30" i="6" s="1"/>
  <c r="I38" i="8"/>
  <c r="I36" i="8"/>
  <c r="K36" i="4"/>
  <c r="K38" i="4" s="1"/>
  <c r="J58" i="6"/>
  <c r="K35" i="6" l="1"/>
  <c r="K36" i="6"/>
  <c r="K37" i="6"/>
  <c r="I39" i="8"/>
  <c r="J35" i="8" s="1"/>
  <c r="K40" i="4"/>
  <c r="K43" i="4" s="1"/>
  <c r="L42" i="19" s="1"/>
  <c r="L43" i="19" s="1"/>
  <c r="K41" i="4"/>
  <c r="J10" i="8"/>
  <c r="J13" i="8" s="1"/>
  <c r="I41" i="8"/>
  <c r="J15" i="25" s="1"/>
  <c r="K56" i="6" l="1"/>
  <c r="K48" i="6"/>
  <c r="J18" i="25"/>
  <c r="J21" i="25" s="1"/>
  <c r="K32" i="19"/>
  <c r="J16" i="8"/>
  <c r="J28" i="8"/>
  <c r="K42" i="6"/>
  <c r="K39" i="6"/>
  <c r="L12" i="25"/>
  <c r="L13" i="25" s="1"/>
  <c r="K49" i="6"/>
  <c r="K37" i="19" l="1"/>
  <c r="K45" i="19" s="1"/>
  <c r="K47" i="19" s="1"/>
  <c r="K50" i="6"/>
  <c r="K52" i="6" s="1"/>
  <c r="L16" i="25"/>
  <c r="J19" i="8"/>
  <c r="J21" i="8"/>
  <c r="J37" i="25"/>
  <c r="J38" i="25" s="1"/>
  <c r="J50" i="25"/>
  <c r="J52" i="25" s="1"/>
  <c r="J43" i="25"/>
  <c r="J45" i="25" s="1"/>
  <c r="J57" i="25"/>
  <c r="J59" i="25" s="1"/>
  <c r="J27" i="25"/>
  <c r="J28" i="25" s="1"/>
  <c r="J29" i="25" s="1"/>
  <c r="K25" i="25" s="1"/>
  <c r="K45" i="6"/>
  <c r="L24" i="6" s="1"/>
  <c r="K44" i="6"/>
  <c r="K20" i="8" l="1"/>
  <c r="J24" i="8"/>
  <c r="L27" i="6"/>
  <c r="L28" i="6"/>
  <c r="K26" i="25"/>
  <c r="K57" i="6"/>
  <c r="J22" i="8"/>
  <c r="K18" i="8" s="1"/>
  <c r="J29" i="8" l="1"/>
  <c r="J30" i="8" s="1"/>
  <c r="L30" i="6"/>
  <c r="L33" i="6"/>
  <c r="B20" i="6"/>
  <c r="L36" i="4"/>
  <c r="L38" i="4" s="1"/>
  <c r="K58" i="6"/>
  <c r="L26" i="6"/>
  <c r="L35" i="6" l="1"/>
  <c r="L36" i="6"/>
  <c r="L52" i="6"/>
  <c r="L37" i="6"/>
  <c r="J33" i="8"/>
  <c r="L40" i="4"/>
  <c r="L43" i="4" s="1"/>
  <c r="M42" i="19" s="1"/>
  <c r="M43" i="19" s="1"/>
  <c r="L41" i="4"/>
  <c r="K10" i="8"/>
  <c r="K13" i="8" s="1"/>
  <c r="L56" i="6" l="1"/>
  <c r="L48" i="6"/>
  <c r="K28" i="8"/>
  <c r="K16" i="8"/>
  <c r="J38" i="8"/>
  <c r="J36" i="8"/>
  <c r="L42" i="6"/>
  <c r="L39" i="6"/>
  <c r="M12" i="25"/>
  <c r="M13" i="25" s="1"/>
  <c r="L49" i="6"/>
  <c r="J41" i="8" l="1"/>
  <c r="K15" i="25" s="1"/>
  <c r="L50" i="6"/>
  <c r="M16" i="25"/>
  <c r="L44" i="6"/>
  <c r="L45" i="6"/>
  <c r="M24" i="6" s="1"/>
  <c r="J39" i="8"/>
  <c r="K35" i="8" s="1"/>
  <c r="K19" i="8"/>
  <c r="K21" i="8"/>
  <c r="K18" i="25" l="1"/>
  <c r="K21" i="25" s="1"/>
  <c r="L32" i="19"/>
  <c r="L57" i="6"/>
  <c r="L20" i="8"/>
  <c r="K24" i="8"/>
  <c r="K22" i="8"/>
  <c r="L18" i="8" s="1"/>
  <c r="M27" i="6"/>
  <c r="K29" i="8" l="1"/>
  <c r="K30" i="8" s="1"/>
  <c r="M28" i="6"/>
  <c r="M36" i="4"/>
  <c r="M38" i="4" s="1"/>
  <c r="L58" i="6"/>
  <c r="L37" i="19"/>
  <c r="L45" i="19" s="1"/>
  <c r="L47" i="19" s="1"/>
  <c r="K27" i="25"/>
  <c r="K28" i="25" s="1"/>
  <c r="K29" i="25" s="1"/>
  <c r="L25" i="25" s="1"/>
  <c r="K57" i="25"/>
  <c r="K59" i="25" s="1"/>
  <c r="K37" i="25"/>
  <c r="K38" i="25" s="1"/>
  <c r="K50" i="25"/>
  <c r="K52" i="25" s="1"/>
  <c r="K43" i="25"/>
  <c r="K45" i="25" s="1"/>
  <c r="M33" i="6" l="1"/>
  <c r="M26" i="6"/>
  <c r="M30" i="6" s="1"/>
  <c r="L26" i="25"/>
  <c r="M40" i="4"/>
  <c r="L10" i="8"/>
  <c r="L13" i="8" s="1"/>
  <c r="K33" i="8"/>
  <c r="M43" i="4" l="1"/>
  <c r="N42" i="19" s="1"/>
  <c r="N43" i="19" s="1"/>
  <c r="M41" i="4"/>
  <c r="K38" i="8"/>
  <c r="K36" i="8"/>
  <c r="M36" i="6"/>
  <c r="M37" i="6"/>
  <c r="L24" i="8"/>
  <c r="L28" i="8"/>
  <c r="L16" i="8"/>
  <c r="M42" i="6" l="1"/>
  <c r="L29" i="8"/>
  <c r="L30" i="8" s="1"/>
  <c r="K41" i="8"/>
  <c r="L15" i="25" s="1"/>
  <c r="M35" i="6"/>
  <c r="N12" i="25"/>
  <c r="N13" i="25" s="1"/>
  <c r="M49" i="6"/>
  <c r="K39" i="8"/>
  <c r="L35" i="8" s="1"/>
  <c r="L21" i="8"/>
  <c r="L19" i="8"/>
  <c r="L33" i="8" l="1"/>
  <c r="L41" i="8"/>
  <c r="M15" i="25" s="1"/>
  <c r="M18" i="25" s="1"/>
  <c r="M21" i="25" s="1"/>
  <c r="L18" i="25"/>
  <c r="L21" i="25" s="1"/>
  <c r="M32" i="19"/>
  <c r="M45" i="6"/>
  <c r="N24" i="6" s="1"/>
  <c r="M44" i="6"/>
  <c r="M56" i="6"/>
  <c r="M48" i="6"/>
  <c r="M20" i="8"/>
  <c r="L22" i="8"/>
  <c r="M18" i="8" s="1"/>
  <c r="M39" i="6"/>
  <c r="L38" i="8" l="1"/>
  <c r="L36" i="8"/>
  <c r="M57" i="6"/>
  <c r="N36" i="4" s="1"/>
  <c r="N38" i="4" s="1"/>
  <c r="N32" i="19"/>
  <c r="M37" i="19"/>
  <c r="M45" i="19" s="1"/>
  <c r="M47" i="19" s="1"/>
  <c r="N28" i="6"/>
  <c r="N26" i="6"/>
  <c r="N27" i="6"/>
  <c r="L43" i="25"/>
  <c r="L45" i="25" s="1"/>
  <c r="C46" i="25" s="1"/>
  <c r="C69" i="2" s="1"/>
  <c r="L27" i="25"/>
  <c r="L28" i="25" s="1"/>
  <c r="L29" i="25" s="1"/>
  <c r="M25" i="25" s="1"/>
  <c r="L57" i="25"/>
  <c r="L59" i="25" s="1"/>
  <c r="C60" i="25" s="1"/>
  <c r="C71" i="2" s="1"/>
  <c r="L50" i="25"/>
  <c r="L52" i="25" s="1"/>
  <c r="C53" i="25" s="1"/>
  <c r="C70" i="2" s="1"/>
  <c r="L37" i="25"/>
  <c r="L38" i="25" s="1"/>
  <c r="C39" i="25" s="1"/>
  <c r="M50" i="6"/>
  <c r="M52" i="6" s="1"/>
  <c r="N16" i="25"/>
  <c r="M43" i="25"/>
  <c r="M45" i="25" s="1"/>
  <c r="M27" i="25"/>
  <c r="M57" i="25"/>
  <c r="M59" i="25" s="1"/>
  <c r="M50" i="25"/>
  <c r="M52" i="25" s="1"/>
  <c r="M37" i="25"/>
  <c r="M38" i="25" s="1"/>
  <c r="N30" i="6" l="1"/>
  <c r="N33" i="6"/>
  <c r="N37" i="19"/>
  <c r="N45" i="19" s="1"/>
  <c r="N47" i="19" s="1"/>
  <c r="M26" i="25"/>
  <c r="C68" i="2"/>
  <c r="B9" i="16"/>
  <c r="B12" i="16" s="1"/>
  <c r="L39" i="8"/>
  <c r="M35" i="8" s="1"/>
  <c r="N40" i="4"/>
  <c r="N41" i="4"/>
  <c r="N43" i="4" s="1"/>
  <c r="O42" i="19" s="1"/>
  <c r="O43" i="19" s="1"/>
  <c r="M10" i="8"/>
  <c r="M13" i="8" s="1"/>
  <c r="M28" i="25"/>
  <c r="M29" i="25" s="1"/>
  <c r="N25" i="25" s="1"/>
  <c r="M58" i="6"/>
  <c r="N26" i="25" l="1"/>
  <c r="M16" i="8"/>
  <c r="M24" i="8"/>
  <c r="M28" i="8"/>
  <c r="N36" i="6"/>
  <c r="O12" i="25" l="1"/>
  <c r="O13" i="25" s="1"/>
  <c r="N49" i="6"/>
  <c r="M21" i="8"/>
  <c r="M19" i="8"/>
  <c r="N37" i="6"/>
  <c r="M29" i="8"/>
  <c r="M30" i="8" s="1"/>
  <c r="M33" i="8" l="1"/>
  <c r="M41" i="8"/>
  <c r="N15" i="25" s="1"/>
  <c r="N42" i="6"/>
  <c r="N35" i="6"/>
  <c r="N39" i="6" s="1"/>
  <c r="N20" i="8"/>
  <c r="M22" i="8"/>
  <c r="N18" i="8" s="1"/>
  <c r="M36" i="8" l="1"/>
  <c r="M38" i="8"/>
  <c r="N48" i="6"/>
  <c r="N56" i="6"/>
  <c r="N45" i="6"/>
  <c r="O24" i="6" s="1"/>
  <c r="N44" i="6"/>
  <c r="O32" i="19"/>
  <c r="N18" i="25"/>
  <c r="N21" i="25" s="1"/>
  <c r="O37" i="19" l="1"/>
  <c r="O45" i="19" s="1"/>
  <c r="O47" i="19" s="1"/>
  <c r="N57" i="6"/>
  <c r="O36" i="4" s="1"/>
  <c r="O38" i="4" s="1"/>
  <c r="N58" i="6"/>
  <c r="N50" i="6"/>
  <c r="N52" i="6" s="1"/>
  <c r="O16" i="25"/>
  <c r="O27" i="6"/>
  <c r="O28" i="6"/>
  <c r="M39" i="8"/>
  <c r="N35" i="8" s="1"/>
  <c r="N50" i="25"/>
  <c r="N52" i="25" s="1"/>
  <c r="N43" i="25"/>
  <c r="N45" i="25" s="1"/>
  <c r="N27" i="25"/>
  <c r="N28" i="25" s="1"/>
  <c r="N29" i="25" s="1"/>
  <c r="O25" i="25" s="1"/>
  <c r="N57" i="25"/>
  <c r="N59" i="25" s="1"/>
  <c r="N37" i="25"/>
  <c r="N38" i="25" s="1"/>
  <c r="O40" i="4" l="1"/>
  <c r="O41" i="4" s="1"/>
  <c r="O43" i="4" s="1"/>
  <c r="P42" i="19" s="1"/>
  <c r="P43" i="19" s="1"/>
  <c r="N10" i="8"/>
  <c r="N13" i="8" s="1"/>
  <c r="O33" i="6"/>
  <c r="O26" i="6"/>
  <c r="O30" i="6" s="1"/>
  <c r="O26" i="25"/>
  <c r="O37" i="6" l="1"/>
  <c r="O36" i="6"/>
  <c r="N16" i="8"/>
  <c r="N24" i="8"/>
  <c r="N28" i="8"/>
  <c r="N30" i="8" l="1"/>
  <c r="N21" i="8"/>
  <c r="N19" i="8"/>
  <c r="O42" i="6"/>
  <c r="N29" i="8"/>
  <c r="O35" i="6"/>
  <c r="O49" i="6"/>
  <c r="P12" i="25"/>
  <c r="P13" i="25" s="1"/>
  <c r="N22" i="8" l="1"/>
  <c r="O18" i="8" s="1"/>
  <c r="N41" i="8"/>
  <c r="O15" i="25" s="1"/>
  <c r="N33" i="8"/>
  <c r="O56" i="6"/>
  <c r="O48" i="6"/>
  <c r="O45" i="6"/>
  <c r="P24" i="6" s="1"/>
  <c r="O44" i="6"/>
  <c r="O39" i="6"/>
  <c r="O20" i="8"/>
  <c r="O57" i="6" l="1"/>
  <c r="P36" i="4" s="1"/>
  <c r="P38" i="4" s="1"/>
  <c r="P27" i="6"/>
  <c r="P28" i="6"/>
  <c r="P16" i="25"/>
  <c r="O50" i="6"/>
  <c r="O52" i="6" s="1"/>
  <c r="N38" i="8"/>
  <c r="N36" i="8"/>
  <c r="P32" i="19"/>
  <c r="O18" i="25"/>
  <c r="O21" i="25" s="1"/>
  <c r="P37" i="19" l="1"/>
  <c r="P45" i="19" s="1"/>
  <c r="P47" i="19" s="1"/>
  <c r="O27" i="25"/>
  <c r="O28" i="25" s="1"/>
  <c r="O29" i="25" s="1"/>
  <c r="P25" i="25" s="1"/>
  <c r="O37" i="25"/>
  <c r="O38" i="25" s="1"/>
  <c r="O43" i="25"/>
  <c r="O45" i="25" s="1"/>
  <c r="O50" i="25"/>
  <c r="O52" i="25" s="1"/>
  <c r="O57" i="25"/>
  <c r="O59" i="25" s="1"/>
  <c r="N39" i="8"/>
  <c r="O35" i="8" s="1"/>
  <c r="O58" i="6"/>
  <c r="P33" i="6"/>
  <c r="P26" i="6"/>
  <c r="P30" i="6" s="1"/>
  <c r="P40" i="4"/>
  <c r="P41" i="4"/>
  <c r="P43" i="4" s="1"/>
  <c r="Q42" i="19" s="1"/>
  <c r="Q43" i="19" s="1"/>
  <c r="O10" i="8"/>
  <c r="O13" i="8" s="1"/>
  <c r="P26" i="25" l="1"/>
  <c r="O28" i="8"/>
  <c r="O16" i="8"/>
  <c r="O24" i="8"/>
  <c r="P36" i="6"/>
  <c r="P37" i="6" s="1"/>
  <c r="P39" i="6" l="1"/>
  <c r="P42" i="6"/>
  <c r="P35" i="6"/>
  <c r="Q12" i="25"/>
  <c r="Q13" i="25" s="1"/>
  <c r="P49" i="6"/>
  <c r="O19" i="8"/>
  <c r="O21" i="8"/>
  <c r="O29" i="8"/>
  <c r="O30" i="8" s="1"/>
  <c r="O33" i="8" l="1"/>
  <c r="O41" i="8"/>
  <c r="P15" i="25" s="1"/>
  <c r="P44" i="6"/>
  <c r="P45" i="6"/>
  <c r="Q24" i="6" s="1"/>
  <c r="O22" i="8"/>
  <c r="P18" i="8" s="1"/>
  <c r="P20" i="8"/>
  <c r="P48" i="6"/>
  <c r="P56" i="6"/>
  <c r="P50" i="6" l="1"/>
  <c r="P52" i="6" s="1"/>
  <c r="Q16" i="25"/>
  <c r="O36" i="8"/>
  <c r="O38" i="8"/>
  <c r="P57" i="6"/>
  <c r="Q36" i="4" s="1"/>
  <c r="Q38" i="4" s="1"/>
  <c r="P58" i="6"/>
  <c r="Q27" i="6"/>
  <c r="P18" i="25"/>
  <c r="P21" i="25" s="1"/>
  <c r="Q32" i="19"/>
  <c r="Q37" i="19" l="1"/>
  <c r="Q45" i="19" s="1"/>
  <c r="Q47" i="19" s="1"/>
  <c r="O39" i="8"/>
  <c r="P35" i="8" s="1"/>
  <c r="Q40" i="4"/>
  <c r="Q43" i="4" s="1"/>
  <c r="R42" i="19" s="1"/>
  <c r="R43" i="19" s="1"/>
  <c r="P10" i="8"/>
  <c r="P13" i="8" s="1"/>
  <c r="Q41" i="4"/>
  <c r="P37" i="25"/>
  <c r="P38" i="25" s="1"/>
  <c r="P50" i="25"/>
  <c r="P52" i="25" s="1"/>
  <c r="P43" i="25"/>
  <c r="P45" i="25" s="1"/>
  <c r="P27" i="25"/>
  <c r="P28" i="25" s="1"/>
  <c r="P29" i="25" s="1"/>
  <c r="Q25" i="25" s="1"/>
  <c r="P57" i="25"/>
  <c r="P59" i="25" s="1"/>
  <c r="Q28" i="6"/>
  <c r="Q26" i="25" l="1"/>
  <c r="Q33" i="6"/>
  <c r="Q26" i="6"/>
  <c r="Q30" i="6" s="1"/>
  <c r="P28" i="8"/>
  <c r="P16" i="8"/>
  <c r="P24" i="8"/>
  <c r="P30" i="8" l="1"/>
  <c r="Q36" i="6"/>
  <c r="Q37" i="6" s="1"/>
  <c r="P29" i="8"/>
  <c r="P19" i="8"/>
  <c r="P21" i="8"/>
  <c r="Q42" i="6" l="1"/>
  <c r="Q35" i="6"/>
  <c r="Q20" i="8"/>
  <c r="P33" i="8"/>
  <c r="P41" i="8"/>
  <c r="Q15" i="25" s="1"/>
  <c r="P22" i="8"/>
  <c r="Q18" i="8" s="1"/>
  <c r="R12" i="25"/>
  <c r="R13" i="25" s="1"/>
  <c r="Q49" i="6"/>
  <c r="P38" i="8" l="1"/>
  <c r="P36" i="8"/>
  <c r="Q48" i="6"/>
  <c r="Q56" i="6"/>
  <c r="Q44" i="6"/>
  <c r="Q45" i="6"/>
  <c r="R24" i="6" s="1"/>
  <c r="R32" i="19"/>
  <c r="Q18" i="25"/>
  <c r="Q21" i="25" s="1"/>
  <c r="Q39" i="6"/>
  <c r="R37" i="19" l="1"/>
  <c r="R45" i="19" s="1"/>
  <c r="R47" i="19" s="1"/>
  <c r="Q57" i="6"/>
  <c r="R36" i="4" s="1"/>
  <c r="R38" i="4" s="1"/>
  <c r="Q50" i="6"/>
  <c r="Q52" i="6" s="1"/>
  <c r="R16" i="25"/>
  <c r="Q37" i="8"/>
  <c r="R27" i="6"/>
  <c r="Q58" i="6"/>
  <c r="Q57" i="25"/>
  <c r="Q59" i="25" s="1"/>
  <c r="Q27" i="25"/>
  <c r="Q28" i="25" s="1"/>
  <c r="Q29" i="25" s="1"/>
  <c r="R25" i="25" s="1"/>
  <c r="Q37" i="25"/>
  <c r="Q38" i="25" s="1"/>
  <c r="Q50" i="25"/>
  <c r="Q52" i="25" s="1"/>
  <c r="Q43" i="25"/>
  <c r="Q45" i="25" s="1"/>
  <c r="P39" i="8"/>
  <c r="Q35" i="8" s="1"/>
  <c r="R28" i="6" l="1"/>
  <c r="R40" i="4"/>
  <c r="R41" i="4"/>
  <c r="R43" i="4"/>
  <c r="S42" i="19" s="1"/>
  <c r="S43" i="19" s="1"/>
  <c r="Q10" i="8"/>
  <c r="Q13" i="8" s="1"/>
  <c r="R26" i="25"/>
  <c r="Q28" i="8" l="1"/>
  <c r="Q16" i="8"/>
  <c r="Q24" i="8"/>
  <c r="R33" i="6"/>
  <c r="R26" i="6"/>
  <c r="R30" i="6" s="1"/>
  <c r="Q29" i="8" l="1"/>
  <c r="Q30" i="8" s="1"/>
  <c r="R36" i="6"/>
  <c r="Q21" i="8"/>
  <c r="Q19" i="8"/>
  <c r="Q41" i="8" l="1"/>
  <c r="R15" i="25" s="1"/>
  <c r="Q33" i="8"/>
  <c r="R49" i="6"/>
  <c r="S12" i="25"/>
  <c r="S13" i="25" s="1"/>
  <c r="R37" i="6"/>
  <c r="R20" i="8"/>
  <c r="Q22" i="8"/>
  <c r="R18" i="8" s="1"/>
  <c r="R42" i="6" l="1"/>
  <c r="R35" i="6"/>
  <c r="S32" i="19"/>
  <c r="R18" i="25"/>
  <c r="R21" i="25" s="1"/>
  <c r="Q38" i="8"/>
  <c r="Q36" i="8"/>
  <c r="R44" i="6" l="1"/>
  <c r="R45" i="6"/>
  <c r="S24" i="6" s="1"/>
  <c r="Q39" i="8"/>
  <c r="R35" i="8" s="1"/>
  <c r="S37" i="19"/>
  <c r="S45" i="19" s="1"/>
  <c r="S47" i="19" s="1"/>
  <c r="R48" i="6"/>
  <c r="R56" i="6"/>
  <c r="R37" i="8"/>
  <c r="R37" i="25"/>
  <c r="R38" i="25" s="1"/>
  <c r="R50" i="25"/>
  <c r="R52" i="25" s="1"/>
  <c r="R43" i="25"/>
  <c r="R45" i="25" s="1"/>
  <c r="R27" i="25"/>
  <c r="R28" i="25" s="1"/>
  <c r="R29" i="25" s="1"/>
  <c r="S25" i="25" s="1"/>
  <c r="R57" i="25"/>
  <c r="R59" i="25" s="1"/>
  <c r="R39" i="6"/>
  <c r="R58" i="6" l="1"/>
  <c r="R50" i="6"/>
  <c r="R52" i="6" s="1"/>
  <c r="S16" i="25"/>
  <c r="S27" i="6"/>
  <c r="S28" i="6"/>
  <c r="S26" i="25"/>
  <c r="R57" i="6"/>
  <c r="S36" i="4" s="1"/>
  <c r="S38" i="4" s="1"/>
  <c r="S33" i="6" l="1"/>
  <c r="S26" i="6"/>
  <c r="S30" i="6" s="1"/>
  <c r="S40" i="4"/>
  <c r="S41" i="4"/>
  <c r="S43" i="4" s="1"/>
  <c r="T42" i="19" s="1"/>
  <c r="T43" i="19" s="1"/>
  <c r="R10" i="8"/>
  <c r="R13" i="8" s="1"/>
  <c r="S36" i="6" l="1"/>
  <c r="S37" i="6"/>
  <c r="R28" i="8"/>
  <c r="R16" i="8"/>
  <c r="R24" i="8"/>
  <c r="R19" i="8" l="1"/>
  <c r="R21" i="8"/>
  <c r="S42" i="6"/>
  <c r="R29" i="8"/>
  <c r="R30" i="8"/>
  <c r="T12" i="25"/>
  <c r="T13" i="25" s="1"/>
  <c r="S49" i="6"/>
  <c r="S35" i="6"/>
  <c r="S39" i="6" s="1"/>
  <c r="R22" i="8" l="1"/>
  <c r="S18" i="8" s="1"/>
  <c r="R41" i="8"/>
  <c r="S15" i="25" s="1"/>
  <c r="R33" i="8"/>
  <c r="S45" i="6"/>
  <c r="T24" i="6" s="1"/>
  <c r="S44" i="6"/>
  <c r="S56" i="6"/>
  <c r="S48" i="6"/>
  <c r="S20" i="8"/>
  <c r="S58" i="6" l="1"/>
  <c r="T27" i="6"/>
  <c r="T28" i="6"/>
  <c r="T26" i="6" s="1"/>
  <c r="R38" i="8"/>
  <c r="R36" i="8"/>
  <c r="R39" i="8" s="1"/>
  <c r="S35" i="8" s="1"/>
  <c r="S50" i="6"/>
  <c r="S52" i="6" s="1"/>
  <c r="T16" i="25"/>
  <c r="S57" i="6"/>
  <c r="T36" i="4" s="1"/>
  <c r="T38" i="4" s="1"/>
  <c r="T32" i="19"/>
  <c r="S18" i="25"/>
  <c r="S21" i="25" s="1"/>
  <c r="T37" i="19" l="1"/>
  <c r="T45" i="19" s="1"/>
  <c r="T47" i="19" s="1"/>
  <c r="S37" i="8"/>
  <c r="T40" i="4"/>
  <c r="T41" i="4" s="1"/>
  <c r="T43" i="4" s="1"/>
  <c r="U42" i="19" s="1"/>
  <c r="U43" i="19" s="1"/>
  <c r="S10" i="8"/>
  <c r="S13" i="8" s="1"/>
  <c r="S50" i="25"/>
  <c r="S52" i="25" s="1"/>
  <c r="S37" i="25"/>
  <c r="S38" i="25" s="1"/>
  <c r="S57" i="25"/>
  <c r="S59" i="25" s="1"/>
  <c r="S43" i="25"/>
  <c r="S45" i="25" s="1"/>
  <c r="S27" i="25"/>
  <c r="S28" i="25" s="1"/>
  <c r="S29" i="25" s="1"/>
  <c r="T25" i="25" s="1"/>
  <c r="T30" i="6"/>
  <c r="T33" i="6"/>
  <c r="S28" i="8" l="1"/>
  <c r="S24" i="8"/>
  <c r="S16" i="8"/>
  <c r="T36" i="6"/>
  <c r="T37" i="6"/>
  <c r="T26" i="25"/>
  <c r="T42" i="6" l="1"/>
  <c r="U12" i="25"/>
  <c r="U13" i="25" s="1"/>
  <c r="T49" i="6"/>
  <c r="S29" i="8"/>
  <c r="S30" i="8" s="1"/>
  <c r="T35" i="6"/>
  <c r="S19" i="8"/>
  <c r="S21" i="8"/>
  <c r="S33" i="8" l="1"/>
  <c r="S41" i="8"/>
  <c r="T15" i="25" s="1"/>
  <c r="T56" i="6"/>
  <c r="T48" i="6"/>
  <c r="T44" i="6"/>
  <c r="T45" i="6"/>
  <c r="U24" i="6" s="1"/>
  <c r="S22" i="8"/>
  <c r="T20" i="8"/>
  <c r="T39" i="6"/>
  <c r="S36" i="8" l="1"/>
  <c r="S39" i="8" s="1"/>
  <c r="S38" i="8"/>
  <c r="U27" i="6"/>
  <c r="U28" i="6" s="1"/>
  <c r="T57" i="6"/>
  <c r="U36" i="4" s="1"/>
  <c r="U38" i="4" s="1"/>
  <c r="T50" i="6"/>
  <c r="T52" i="6" s="1"/>
  <c r="U16" i="25"/>
  <c r="U32" i="19"/>
  <c r="T18" i="25"/>
  <c r="T21" i="25" s="1"/>
  <c r="U30" i="6" l="1"/>
  <c r="U33" i="6"/>
  <c r="U26" i="6"/>
  <c r="U40" i="4"/>
  <c r="U41" i="4" s="1"/>
  <c r="T10" i="8"/>
  <c r="T13" i="8" s="1"/>
  <c r="U37" i="19"/>
  <c r="U45" i="19" s="1"/>
  <c r="U47" i="19" s="1"/>
  <c r="T43" i="25"/>
  <c r="T45" i="25" s="1"/>
  <c r="T57" i="25"/>
  <c r="T59" i="25" s="1"/>
  <c r="T37" i="25"/>
  <c r="T38" i="25" s="1"/>
  <c r="T50" i="25"/>
  <c r="T52" i="25" s="1"/>
  <c r="T27" i="25"/>
  <c r="T28" i="25" s="1"/>
  <c r="T29" i="25" s="1"/>
  <c r="U25" i="25" s="1"/>
  <c r="T58" i="6"/>
  <c r="T37" i="8"/>
  <c r="U36" i="6" l="1"/>
  <c r="T16" i="8"/>
  <c r="T28" i="8"/>
  <c r="T24" i="8"/>
  <c r="U43" i="4"/>
  <c r="V42" i="19" s="1"/>
  <c r="V43" i="19" s="1"/>
  <c r="U26" i="25"/>
  <c r="T29" i="8" l="1"/>
  <c r="T21" i="8"/>
  <c r="T19" i="8"/>
  <c r="T30" i="8"/>
  <c r="V12" i="25"/>
  <c r="V13" i="25" s="1"/>
  <c r="U49" i="6"/>
  <c r="U37" i="6"/>
  <c r="T33" i="8" l="1"/>
  <c r="T41" i="8"/>
  <c r="U15" i="25" s="1"/>
  <c r="T22" i="8"/>
  <c r="U18" i="8" s="1"/>
  <c r="U20" i="8"/>
  <c r="U42" i="6"/>
  <c r="U35" i="6"/>
  <c r="T36" i="8" l="1"/>
  <c r="T38" i="8"/>
  <c r="U56" i="6"/>
  <c r="U48" i="6"/>
  <c r="U39" i="6"/>
  <c r="U44" i="6"/>
  <c r="U45" i="6"/>
  <c r="V24" i="6" s="1"/>
  <c r="U18" i="25"/>
  <c r="U21" i="25" s="1"/>
  <c r="V32" i="19"/>
  <c r="V28" i="6" l="1"/>
  <c r="V26" i="6"/>
  <c r="V27" i="6"/>
  <c r="U27" i="25"/>
  <c r="U28" i="25" s="1"/>
  <c r="U29" i="25" s="1"/>
  <c r="V25" i="25" s="1"/>
  <c r="U57" i="25"/>
  <c r="U59" i="25" s="1"/>
  <c r="U43" i="25"/>
  <c r="U45" i="25" s="1"/>
  <c r="U37" i="25"/>
  <c r="U38" i="25" s="1"/>
  <c r="U50" i="25"/>
  <c r="U52" i="25" s="1"/>
  <c r="U57" i="6"/>
  <c r="V36" i="4" s="1"/>
  <c r="V38" i="4" s="1"/>
  <c r="U50" i="6"/>
  <c r="U52" i="6" s="1"/>
  <c r="V16" i="25"/>
  <c r="U37" i="8"/>
  <c r="V37" i="19"/>
  <c r="V45" i="19" s="1"/>
  <c r="V47" i="19" s="1"/>
  <c r="T39" i="8"/>
  <c r="U35" i="8" s="1"/>
  <c r="V26" i="25" l="1"/>
  <c r="V40" i="4"/>
  <c r="V41" i="4"/>
  <c r="V43" i="4" s="1"/>
  <c r="W42" i="19" s="1"/>
  <c r="W43" i="19" s="1"/>
  <c r="U10" i="8"/>
  <c r="U13" i="8" s="1"/>
  <c r="V30" i="6"/>
  <c r="V33" i="6"/>
  <c r="U58" i="6"/>
  <c r="V36" i="6" l="1"/>
  <c r="U24" i="8"/>
  <c r="U28" i="8"/>
  <c r="U16" i="8"/>
  <c r="W12" i="25" l="1"/>
  <c r="W13" i="25" s="1"/>
  <c r="V49" i="6"/>
  <c r="V37" i="6"/>
  <c r="U21" i="8"/>
  <c r="U19" i="8"/>
  <c r="U29" i="8"/>
  <c r="U30" i="8" s="1"/>
  <c r="U33" i="8" l="1"/>
  <c r="U41" i="8"/>
  <c r="V15" i="25" s="1"/>
  <c r="V20" i="8"/>
  <c r="U22" i="8"/>
  <c r="V18" i="8" s="1"/>
  <c r="V42" i="6"/>
  <c r="V35" i="6"/>
  <c r="V48" i="6" l="1"/>
  <c r="V56" i="6"/>
  <c r="U36" i="8"/>
  <c r="U38" i="8"/>
  <c r="V39" i="6"/>
  <c r="V45" i="6"/>
  <c r="W24" i="6" s="1"/>
  <c r="V44" i="6"/>
  <c r="W32" i="19"/>
  <c r="V18" i="25"/>
  <c r="V21" i="25" s="1"/>
  <c r="V57" i="6" l="1"/>
  <c r="W36" i="4" s="1"/>
  <c r="W38" i="4" s="1"/>
  <c r="W37" i="19"/>
  <c r="W45" i="19" s="1"/>
  <c r="W47" i="19" s="1"/>
  <c r="W27" i="6"/>
  <c r="W28" i="6"/>
  <c r="U39" i="8"/>
  <c r="V35" i="8" s="1"/>
  <c r="V50" i="6"/>
  <c r="V52" i="6" s="1"/>
  <c r="W16" i="25"/>
  <c r="V37" i="8"/>
  <c r="V50" i="25"/>
  <c r="V52" i="25" s="1"/>
  <c r="V43" i="25"/>
  <c r="V45" i="25" s="1"/>
  <c r="V27" i="25"/>
  <c r="V28" i="25" s="1"/>
  <c r="V29" i="25" s="1"/>
  <c r="W25" i="25" s="1"/>
  <c r="V57" i="25"/>
  <c r="V59" i="25" s="1"/>
  <c r="V37" i="25"/>
  <c r="V38" i="25" s="1"/>
  <c r="V58" i="6"/>
  <c r="W30" i="6" l="1"/>
  <c r="W33" i="6"/>
  <c r="W26" i="6"/>
  <c r="W26" i="25"/>
  <c r="W41" i="4"/>
  <c r="V10" i="8"/>
  <c r="V13" i="8" s="1"/>
  <c r="W40" i="4"/>
  <c r="W43" i="4" s="1"/>
  <c r="X42" i="19" s="1"/>
  <c r="X43" i="19" s="1"/>
  <c r="V16" i="8" l="1"/>
  <c r="V24" i="8"/>
  <c r="V28" i="8"/>
  <c r="W36" i="6"/>
  <c r="V21" i="8" l="1"/>
  <c r="V19" i="8"/>
  <c r="X12" i="25"/>
  <c r="X13" i="25" s="1"/>
  <c r="W49" i="6"/>
  <c r="W37" i="6"/>
  <c r="V29" i="8"/>
  <c r="V30" i="8" s="1"/>
  <c r="V33" i="8" l="1"/>
  <c r="V41" i="8"/>
  <c r="W15" i="25" s="1"/>
  <c r="W20" i="8"/>
  <c r="W42" i="6"/>
  <c r="W35" i="6"/>
  <c r="V22" i="8"/>
  <c r="W18" i="8" s="1"/>
  <c r="W56" i="6" l="1"/>
  <c r="W48" i="6"/>
  <c r="W45" i="6"/>
  <c r="X24" i="6" s="1"/>
  <c r="W44" i="6"/>
  <c r="V38" i="8"/>
  <c r="W37" i="8" s="1"/>
  <c r="V36" i="8"/>
  <c r="V39" i="8" s="1"/>
  <c r="W35" i="8" s="1"/>
  <c r="X32" i="19"/>
  <c r="W18" i="25"/>
  <c r="W21" i="25" s="1"/>
  <c r="W39" i="6"/>
  <c r="X37" i="19" l="1"/>
  <c r="X45" i="19" s="1"/>
  <c r="X47" i="19" s="1"/>
  <c r="W27" i="25"/>
  <c r="W28" i="25" s="1"/>
  <c r="W29" i="25" s="1"/>
  <c r="X25" i="25" s="1"/>
  <c r="W37" i="25"/>
  <c r="W38" i="25" s="1"/>
  <c r="W43" i="25"/>
  <c r="W45" i="25" s="1"/>
  <c r="W57" i="25"/>
  <c r="W59" i="25" s="1"/>
  <c r="W50" i="25"/>
  <c r="W52" i="25" s="1"/>
  <c r="W58" i="6"/>
  <c r="W57" i="6"/>
  <c r="X36" i="4" s="1"/>
  <c r="X38" i="4" s="1"/>
  <c r="X27" i="6"/>
  <c r="X28" i="6"/>
  <c r="W50" i="6"/>
  <c r="W52" i="6" s="1"/>
  <c r="X16" i="25"/>
  <c r="W10" i="8" l="1"/>
  <c r="W13" i="8" s="1"/>
  <c r="X40" i="4"/>
  <c r="X41" i="4" s="1"/>
  <c r="X43" i="4" s="1"/>
  <c r="Y42" i="19" s="1"/>
  <c r="Y43" i="19" s="1"/>
  <c r="X26" i="25"/>
  <c r="X30" i="6"/>
  <c r="X33" i="6"/>
  <c r="X26" i="6"/>
  <c r="X36" i="6" l="1"/>
  <c r="X37" i="6"/>
  <c r="W28" i="8"/>
  <c r="W16" i="8"/>
  <c r="W24" i="8"/>
  <c r="W19" i="8" l="1"/>
  <c r="W21" i="8"/>
  <c r="X42" i="6"/>
  <c r="X35" i="6"/>
  <c r="X39" i="6" s="1"/>
  <c r="W29" i="8"/>
  <c r="W30" i="8"/>
  <c r="X49" i="6"/>
  <c r="Y12" i="25"/>
  <c r="Y13" i="25" s="1"/>
  <c r="W22" i="8" l="1"/>
  <c r="X18" i="8" s="1"/>
  <c r="W33" i="8"/>
  <c r="W41" i="8"/>
  <c r="X15" i="25" s="1"/>
  <c r="X48" i="6"/>
  <c r="X56" i="6"/>
  <c r="X45" i="6"/>
  <c r="Y24" i="6" s="1"/>
  <c r="X44" i="6"/>
  <c r="X20" i="8"/>
  <c r="X58" i="6" l="1"/>
  <c r="X57" i="6"/>
  <c r="Y36" i="4" s="1"/>
  <c r="Y38" i="4" s="1"/>
  <c r="X50" i="6"/>
  <c r="X52" i="6" s="1"/>
  <c r="Y16" i="25"/>
  <c r="Y32" i="19"/>
  <c r="X18" i="25"/>
  <c r="X21" i="25" s="1"/>
  <c r="W36" i="8"/>
  <c r="W38" i="8"/>
  <c r="X37" i="8" s="1"/>
  <c r="Y27" i="6"/>
  <c r="Y28" i="6"/>
  <c r="W39" i="8" l="1"/>
  <c r="X35" i="8" s="1"/>
  <c r="X27" i="25"/>
  <c r="X28" i="25" s="1"/>
  <c r="X29" i="25" s="1"/>
  <c r="Y25" i="25" s="1"/>
  <c r="X43" i="25"/>
  <c r="X45" i="25" s="1"/>
  <c r="X57" i="25"/>
  <c r="X59" i="25" s="1"/>
  <c r="X50" i="25"/>
  <c r="X52" i="25" s="1"/>
  <c r="X37" i="25"/>
  <c r="X38" i="25" s="1"/>
  <c r="Y41" i="4"/>
  <c r="Y43" i="4" s="1"/>
  <c r="Z42" i="19" s="1"/>
  <c r="Z43" i="19" s="1"/>
  <c r="X10" i="8"/>
  <c r="X13" i="8" s="1"/>
  <c r="Y40" i="4"/>
  <c r="Y37" i="19"/>
  <c r="Y45" i="19" s="1"/>
  <c r="Y47" i="19" s="1"/>
  <c r="Y33" i="6"/>
  <c r="Y26" i="6"/>
  <c r="Y30" i="6" s="1"/>
  <c r="X28" i="8" l="1"/>
  <c r="X16" i="8"/>
  <c r="X24" i="8"/>
  <c r="Y36" i="6"/>
  <c r="Y26" i="25"/>
  <c r="Z12" i="25" l="1"/>
  <c r="Z13" i="25" s="1"/>
  <c r="Y49" i="6"/>
  <c r="Y37" i="6"/>
  <c r="X29" i="8"/>
  <c r="X30" i="8" s="1"/>
  <c r="X19" i="8"/>
  <c r="X21" i="8"/>
  <c r="X41" i="8" l="1"/>
  <c r="Y15" i="25" s="1"/>
  <c r="X33" i="8"/>
  <c r="X22" i="8"/>
  <c r="Y18" i="8" s="1"/>
  <c r="Y42" i="6"/>
  <c r="Y35" i="6"/>
  <c r="Y20" i="8"/>
  <c r="Z32" i="19" l="1"/>
  <c r="Y18" i="25"/>
  <c r="Y21" i="25" s="1"/>
  <c r="Y48" i="6"/>
  <c r="Y56" i="6"/>
  <c r="Y44" i="6"/>
  <c r="Y45" i="6"/>
  <c r="Z24" i="6" s="1"/>
  <c r="Y39" i="6"/>
  <c r="X38" i="8"/>
  <c r="Y37" i="8" s="1"/>
  <c r="X36" i="8"/>
  <c r="Z26" i="6" l="1"/>
  <c r="Z27" i="6"/>
  <c r="Z28" i="6"/>
  <c r="Y58" i="6"/>
  <c r="Y50" i="6"/>
  <c r="Y52" i="6" s="1"/>
  <c r="Z16" i="25"/>
  <c r="Z37" i="19"/>
  <c r="Z45" i="19" s="1"/>
  <c r="Z47" i="19" s="1"/>
  <c r="Y57" i="6"/>
  <c r="Z36" i="4" s="1"/>
  <c r="Z38" i="4" s="1"/>
  <c r="X39" i="8"/>
  <c r="Y35" i="8" s="1"/>
  <c r="Y57" i="25"/>
  <c r="Y59" i="25" s="1"/>
  <c r="Y27" i="25"/>
  <c r="Y28" i="25" s="1"/>
  <c r="Y29" i="25" s="1"/>
  <c r="Z25" i="25" s="1"/>
  <c r="Y37" i="25"/>
  <c r="Y38" i="25" s="1"/>
  <c r="Y50" i="25"/>
  <c r="Y52" i="25" s="1"/>
  <c r="Y43" i="25"/>
  <c r="Y45" i="25" s="1"/>
  <c r="Z26" i="25" l="1"/>
  <c r="Z33" i="6"/>
  <c r="Z30" i="6"/>
  <c r="Z40" i="4"/>
  <c r="Z41" i="4" s="1"/>
  <c r="Z43" i="4" s="1"/>
  <c r="AA42" i="19" s="1"/>
  <c r="AA43" i="19" s="1"/>
  <c r="Y10" i="8"/>
  <c r="Y13" i="8" s="1"/>
  <c r="Z36" i="6" l="1"/>
  <c r="Y16" i="8"/>
  <c r="Y28" i="8"/>
  <c r="Y24" i="8"/>
  <c r="Y29" i="8" l="1"/>
  <c r="Y30" i="8" s="1"/>
  <c r="Y21" i="8"/>
  <c r="Y19" i="8"/>
  <c r="Y22" i="8" s="1"/>
  <c r="Z18" i="8" s="1"/>
  <c r="AA12" i="25"/>
  <c r="AA13" i="25" s="1"/>
  <c r="Z49" i="6"/>
  <c r="Z37" i="6"/>
  <c r="Y41" i="8" l="1"/>
  <c r="Z15" i="25" s="1"/>
  <c r="Y33" i="8"/>
  <c r="Z42" i="6"/>
  <c r="Z35" i="6"/>
  <c r="Z20" i="8"/>
  <c r="Z44" i="6" l="1"/>
  <c r="Z45" i="6"/>
  <c r="AA24" i="6" s="1"/>
  <c r="Y38" i="8"/>
  <c r="Z37" i="8" s="1"/>
  <c r="Y36" i="8"/>
  <c r="Y39" i="8" s="1"/>
  <c r="Z35" i="8" s="1"/>
  <c r="AA32" i="19"/>
  <c r="Z18" i="25"/>
  <c r="Z21" i="25" s="1"/>
  <c r="Z48" i="6"/>
  <c r="Z56" i="6"/>
  <c r="Z39" i="6"/>
  <c r="AA37" i="19" l="1"/>
  <c r="AA45" i="19" s="1"/>
  <c r="AA47" i="19" s="1"/>
  <c r="Z50" i="6"/>
  <c r="Z52" i="6" s="1"/>
  <c r="AA16" i="25"/>
  <c r="Z57" i="6"/>
  <c r="AA36" i="4" s="1"/>
  <c r="AA38" i="4" s="1"/>
  <c r="Z37" i="25"/>
  <c r="Z38" i="25" s="1"/>
  <c r="Z50" i="25"/>
  <c r="Z52" i="25" s="1"/>
  <c r="Z27" i="25"/>
  <c r="Z28" i="25" s="1"/>
  <c r="Z29" i="25" s="1"/>
  <c r="AA25" i="25" s="1"/>
  <c r="Z43" i="25"/>
  <c r="Z45" i="25" s="1"/>
  <c r="Z57" i="25"/>
  <c r="Z59" i="25" s="1"/>
  <c r="AA27" i="6"/>
  <c r="AA28" i="6"/>
  <c r="AA26" i="6"/>
  <c r="AA26" i="25" l="1"/>
  <c r="AA40" i="4"/>
  <c r="AA41" i="4"/>
  <c r="AA43" i="4"/>
  <c r="AB42" i="19" s="1"/>
  <c r="AB43" i="19" s="1"/>
  <c r="Z10" i="8"/>
  <c r="Z13" i="8" s="1"/>
  <c r="AA33" i="6"/>
  <c r="AA30" i="6"/>
  <c r="Z58" i="6"/>
  <c r="Z16" i="8" l="1"/>
  <c r="Z28" i="8"/>
  <c r="Z24" i="8"/>
  <c r="AA36" i="6"/>
  <c r="Z19" i="8" l="1"/>
  <c r="Z22" i="8" s="1"/>
  <c r="AA18" i="8" s="1"/>
  <c r="Z21" i="8"/>
  <c r="AA49" i="6"/>
  <c r="AB12" i="25"/>
  <c r="AB13" i="25" s="1"/>
  <c r="AA37" i="6"/>
  <c r="Z29" i="8"/>
  <c r="Z30" i="8"/>
  <c r="Z41" i="8" l="1"/>
  <c r="AA15" i="25" s="1"/>
  <c r="Z33" i="8"/>
  <c r="AA42" i="6"/>
  <c r="AA35" i="6"/>
  <c r="AA39" i="6" s="1"/>
  <c r="AA20" i="8"/>
  <c r="AB32" i="19" l="1"/>
  <c r="AA18" i="25"/>
  <c r="AA21" i="25" s="1"/>
  <c r="AA45" i="6"/>
  <c r="AB24" i="6" s="1"/>
  <c r="AA44" i="6"/>
  <c r="AA56" i="6"/>
  <c r="AA48" i="6"/>
  <c r="Z38" i="8"/>
  <c r="AA37" i="8" s="1"/>
  <c r="Z36" i="8"/>
  <c r="Z39" i="8" s="1"/>
  <c r="AA35" i="8" s="1"/>
  <c r="AA50" i="6" l="1"/>
  <c r="AA52" i="6" s="1"/>
  <c r="AB16" i="25"/>
  <c r="AA57" i="6"/>
  <c r="AB36" i="4" s="1"/>
  <c r="AB38" i="4" s="1"/>
  <c r="AB27" i="6"/>
  <c r="AB28" i="6"/>
  <c r="AB26" i="6"/>
  <c r="AA37" i="25"/>
  <c r="AA38" i="25" s="1"/>
  <c r="AA50" i="25"/>
  <c r="AA52" i="25" s="1"/>
  <c r="AA27" i="25"/>
  <c r="AA28" i="25" s="1"/>
  <c r="AA29" i="25" s="1"/>
  <c r="AB25" i="25" s="1"/>
  <c r="AA57" i="25"/>
  <c r="AA59" i="25" s="1"/>
  <c r="AA43" i="25"/>
  <c r="AA45" i="25" s="1"/>
  <c r="AB37" i="19"/>
  <c r="AB45" i="19" s="1"/>
  <c r="AB47" i="19" s="1"/>
  <c r="AB41" i="4" l="1"/>
  <c r="AB43" i="4" s="1"/>
  <c r="AC42" i="19" s="1"/>
  <c r="AC43" i="19" s="1"/>
  <c r="AB40" i="4"/>
  <c r="AA10" i="8"/>
  <c r="AA13" i="8" s="1"/>
  <c r="AB30" i="6"/>
  <c r="AB33" i="6"/>
  <c r="AB26" i="25"/>
  <c r="AA58" i="6"/>
  <c r="AB36" i="6" l="1"/>
  <c r="AB37" i="6"/>
  <c r="AA24" i="8"/>
  <c r="AA16" i="8"/>
  <c r="AA28" i="8"/>
  <c r="AB42" i="6" l="1"/>
  <c r="AC12" i="25"/>
  <c r="AC13" i="25" s="1"/>
  <c r="AB49" i="6"/>
  <c r="AA19" i="8"/>
  <c r="AA21" i="8"/>
  <c r="AA29" i="8"/>
  <c r="AA30" i="8" s="1"/>
  <c r="AB35" i="6"/>
  <c r="AA33" i="8" l="1"/>
  <c r="AA41" i="8"/>
  <c r="AB15" i="25" s="1"/>
  <c r="AB20" i="8"/>
  <c r="AB56" i="6"/>
  <c r="AB48" i="6"/>
  <c r="AB44" i="6"/>
  <c r="AB45" i="6"/>
  <c r="AC24" i="6" s="1"/>
  <c r="AA22" i="8"/>
  <c r="AB18" i="8" s="1"/>
  <c r="AB39" i="6"/>
  <c r="AC28" i="6" l="1"/>
  <c r="AC27" i="6"/>
  <c r="AB57" i="6"/>
  <c r="AC36" i="4" s="1"/>
  <c r="AC38" i="4" s="1"/>
  <c r="AB58" i="6"/>
  <c r="AC32" i="19"/>
  <c r="AB18" i="25"/>
  <c r="AB21" i="25" s="1"/>
  <c r="AA36" i="8"/>
  <c r="AA39" i="8" s="1"/>
  <c r="AB35" i="8" s="1"/>
  <c r="AA38" i="8"/>
  <c r="AB37" i="8" s="1"/>
  <c r="AB50" i="6"/>
  <c r="AB52" i="6" s="1"/>
  <c r="AC16" i="25"/>
  <c r="AC33" i="6" l="1"/>
  <c r="AB43" i="25"/>
  <c r="AB45" i="25" s="1"/>
  <c r="AB37" i="25"/>
  <c r="AB38" i="25" s="1"/>
  <c r="AB50" i="25"/>
  <c r="AB52" i="25" s="1"/>
  <c r="AB27" i="25"/>
  <c r="AB28" i="25" s="1"/>
  <c r="AB29" i="25" s="1"/>
  <c r="AC25" i="25" s="1"/>
  <c r="AB57" i="25"/>
  <c r="AB59" i="25" s="1"/>
  <c r="AC40" i="4"/>
  <c r="AB10" i="8"/>
  <c r="AB13" i="8" s="1"/>
  <c r="AC26" i="6"/>
  <c r="AC30" i="6" s="1"/>
  <c r="AC37" i="19"/>
  <c r="AC45" i="19" s="1"/>
  <c r="AC47" i="19" s="1"/>
  <c r="AC26" i="25" l="1"/>
  <c r="AC36" i="6"/>
  <c r="AC41" i="4"/>
  <c r="AC43" i="4" s="1"/>
  <c r="AD42" i="19" s="1"/>
  <c r="AD43" i="19" s="1"/>
  <c r="AB24" i="8"/>
  <c r="AB16" i="8"/>
  <c r="AB28" i="8"/>
  <c r="AD12" i="25" l="1"/>
  <c r="AD13" i="25" s="1"/>
  <c r="AC49" i="6"/>
  <c r="AB30" i="8"/>
  <c r="AC37" i="6"/>
  <c r="AB21" i="8"/>
  <c r="AB19" i="8"/>
  <c r="AB22" i="8" s="1"/>
  <c r="AC18" i="8" s="1"/>
  <c r="AB29" i="8"/>
  <c r="AC42" i="6" l="1"/>
  <c r="AC35" i="6"/>
  <c r="AB33" i="8"/>
  <c r="AB41" i="8"/>
  <c r="AC15" i="25" s="1"/>
  <c r="AC20" i="8"/>
  <c r="AC45" i="6" l="1"/>
  <c r="AD24" i="6" s="1"/>
  <c r="AC44" i="6"/>
  <c r="AC56" i="6"/>
  <c r="AC48" i="6"/>
  <c r="AD32" i="19"/>
  <c r="AC18" i="25"/>
  <c r="AC21" i="25" s="1"/>
  <c r="AB36" i="8"/>
  <c r="AB39" i="8" s="1"/>
  <c r="AC35" i="8" s="1"/>
  <c r="AB38" i="8"/>
  <c r="AC37" i="8" s="1"/>
  <c r="AC39" i="6"/>
  <c r="AD37" i="19" l="1"/>
  <c r="AD45" i="19" s="1"/>
  <c r="AD47" i="19" s="1"/>
  <c r="AD27" i="6"/>
  <c r="AD28" i="6" s="1"/>
  <c r="AC57" i="25"/>
  <c r="AC59" i="25" s="1"/>
  <c r="AC37" i="25"/>
  <c r="AC38" i="25" s="1"/>
  <c r="AC50" i="25"/>
  <c r="AC52" i="25" s="1"/>
  <c r="AC27" i="25"/>
  <c r="AC28" i="25" s="1"/>
  <c r="AC29" i="25" s="1"/>
  <c r="AD25" i="25" s="1"/>
  <c r="AC43" i="25"/>
  <c r="AC45" i="25" s="1"/>
  <c r="AD16" i="25"/>
  <c r="AC50" i="6"/>
  <c r="AC52" i="6" s="1"/>
  <c r="AC57" i="6"/>
  <c r="AD36" i="4" s="1"/>
  <c r="AD38" i="4" s="1"/>
  <c r="AD33" i="6" l="1"/>
  <c r="AD30" i="6"/>
  <c r="AD26" i="6"/>
  <c r="AC58" i="6"/>
  <c r="AD40" i="4"/>
  <c r="AD41" i="4" s="1"/>
  <c r="AD43" i="4" s="1"/>
  <c r="AE42" i="19" s="1"/>
  <c r="AE43" i="19" s="1"/>
  <c r="AC10" i="8"/>
  <c r="AC13" i="8" s="1"/>
  <c r="AD26" i="25"/>
  <c r="AC16" i="8" l="1"/>
  <c r="AC28" i="8"/>
  <c r="AC24" i="8"/>
  <c r="AD36" i="6"/>
  <c r="AC30" i="8" l="1"/>
  <c r="AE12" i="25"/>
  <c r="AE13" i="25" s="1"/>
  <c r="AD49" i="6"/>
  <c r="AD37" i="6"/>
  <c r="AC29" i="8"/>
  <c r="AC21" i="8"/>
  <c r="AD20" i="8" s="1"/>
  <c r="AC19" i="8"/>
  <c r="AC22" i="8" s="1"/>
  <c r="AD18" i="8" s="1"/>
  <c r="AC33" i="8" l="1"/>
  <c r="AC41" i="8"/>
  <c r="AD15" i="25" s="1"/>
  <c r="AD42" i="6"/>
  <c r="AD39" i="6"/>
  <c r="AD35" i="6"/>
  <c r="AD56" i="6" l="1"/>
  <c r="AD48" i="6"/>
  <c r="AE32" i="19"/>
  <c r="AD18" i="25"/>
  <c r="AD21" i="25" s="1"/>
  <c r="AC38" i="8"/>
  <c r="AD37" i="8" s="1"/>
  <c r="AC36" i="8"/>
  <c r="AC39" i="8" s="1"/>
  <c r="AD35" i="8" s="1"/>
  <c r="AD44" i="6"/>
  <c r="AD45" i="6"/>
  <c r="AE24" i="6" s="1"/>
  <c r="AD57" i="6" l="1"/>
  <c r="AE36" i="4" s="1"/>
  <c r="AE38" i="4" s="1"/>
  <c r="AE27" i="6"/>
  <c r="AE37" i="19"/>
  <c r="AE45" i="19" s="1"/>
  <c r="AE47" i="19" s="1"/>
  <c r="AD58" i="6"/>
  <c r="AD50" i="25"/>
  <c r="AD52" i="25" s="1"/>
  <c r="AD57" i="25"/>
  <c r="AD59" i="25" s="1"/>
  <c r="AD37" i="25"/>
  <c r="AD38" i="25" s="1"/>
  <c r="AD43" i="25"/>
  <c r="AD45" i="25" s="1"/>
  <c r="AD27" i="25"/>
  <c r="AD28" i="25" s="1"/>
  <c r="AD29" i="25" s="1"/>
  <c r="AE25" i="25" s="1"/>
  <c r="AD50" i="6"/>
  <c r="AD52" i="6" s="1"/>
  <c r="AE16" i="25"/>
  <c r="AE28" i="6" l="1"/>
  <c r="AE26" i="25"/>
  <c r="AE40" i="4"/>
  <c r="AE41" i="4"/>
  <c r="AE43" i="4" s="1"/>
  <c r="AF42" i="19" s="1"/>
  <c r="AF43" i="19" s="1"/>
  <c r="AD10" i="8"/>
  <c r="AD13" i="8" s="1"/>
  <c r="AD16" i="8" l="1"/>
  <c r="AD24" i="8"/>
  <c r="AD28" i="8"/>
  <c r="AE33" i="6"/>
  <c r="AE26" i="6"/>
  <c r="AE30" i="6" s="1"/>
  <c r="AE36" i="6" l="1"/>
  <c r="AE37" i="6" s="1"/>
  <c r="AD29" i="8"/>
  <c r="AD30" i="8" s="1"/>
  <c r="AD21" i="8"/>
  <c r="AE20" i="8" s="1"/>
  <c r="AD19" i="8"/>
  <c r="AD22" i="8" s="1"/>
  <c r="AE18" i="8" s="1"/>
  <c r="AE39" i="6" l="1"/>
  <c r="AE42" i="6"/>
  <c r="AE35" i="6"/>
  <c r="AD33" i="8"/>
  <c r="AD41" i="8"/>
  <c r="AE15" i="25" s="1"/>
  <c r="AF12" i="25"/>
  <c r="AF13" i="25" s="1"/>
  <c r="AE49" i="6"/>
  <c r="AE45" i="6" l="1"/>
  <c r="AF24" i="6" s="1"/>
  <c r="AE44" i="6"/>
  <c r="AF32" i="19"/>
  <c r="AE18" i="25"/>
  <c r="AE21" i="25" s="1"/>
  <c r="AD36" i="8"/>
  <c r="AD38" i="8"/>
  <c r="AE37" i="8" s="1"/>
  <c r="AE48" i="6"/>
  <c r="AE56" i="6"/>
  <c r="AE50" i="6" l="1"/>
  <c r="AE52" i="6" s="1"/>
  <c r="AF16" i="25"/>
  <c r="AF27" i="6"/>
  <c r="AD39" i="8"/>
  <c r="AE35" i="8" s="1"/>
  <c r="AE27" i="25"/>
  <c r="AE28" i="25" s="1"/>
  <c r="AE29" i="25" s="1"/>
  <c r="AF25" i="25" s="1"/>
  <c r="AE37" i="25"/>
  <c r="AE38" i="25" s="1"/>
  <c r="AE43" i="25"/>
  <c r="AE45" i="25" s="1"/>
  <c r="AE57" i="25"/>
  <c r="AE59" i="25" s="1"/>
  <c r="AE50" i="25"/>
  <c r="AE52" i="25" s="1"/>
  <c r="AF37" i="19"/>
  <c r="AF45" i="19" s="1"/>
  <c r="AF47" i="19" s="1"/>
  <c r="AE57" i="6"/>
  <c r="AF36" i="4" s="1"/>
  <c r="AF38" i="4" s="1"/>
  <c r="AF26" i="25" l="1"/>
  <c r="AE58" i="6"/>
  <c r="AF40" i="4"/>
  <c r="AF43" i="4" s="1"/>
  <c r="AG42" i="19" s="1"/>
  <c r="AG43" i="19" s="1"/>
  <c r="AE10" i="8"/>
  <c r="AE13" i="8" s="1"/>
  <c r="AF41" i="4"/>
  <c r="AF28" i="6"/>
  <c r="AE28" i="8" l="1"/>
  <c r="AE16" i="8"/>
  <c r="AE24" i="8"/>
  <c r="AF33" i="6"/>
  <c r="AF26" i="6"/>
  <c r="AF30" i="6" s="1"/>
  <c r="AF36" i="6" l="1"/>
  <c r="AE19" i="8"/>
  <c r="AE21" i="8"/>
  <c r="AF20" i="8" s="1"/>
  <c r="AE29" i="8"/>
  <c r="AE30" i="8"/>
  <c r="AG12" i="25" l="1"/>
  <c r="AG13" i="25" s="1"/>
  <c r="AF49" i="6"/>
  <c r="AE41" i="8"/>
  <c r="AF15" i="25" s="1"/>
  <c r="AE33" i="8"/>
  <c r="AE22" i="8"/>
  <c r="AF18" i="8" s="1"/>
  <c r="AF37" i="6"/>
  <c r="AG32" i="19" l="1"/>
  <c r="AF18" i="25"/>
  <c r="AF21" i="25" s="1"/>
  <c r="AF42" i="6"/>
  <c r="AF35" i="6"/>
  <c r="AE36" i="8"/>
  <c r="AE39" i="8" s="1"/>
  <c r="AF35" i="8" s="1"/>
  <c r="AE38" i="8"/>
  <c r="AF37" i="8" s="1"/>
  <c r="AF48" i="6" l="1"/>
  <c r="AF56" i="6"/>
  <c r="B77" i="6"/>
  <c r="E66" i="6" s="1"/>
  <c r="G35" i="2" s="1"/>
  <c r="AF45" i="6"/>
  <c r="AF44" i="6"/>
  <c r="AF57" i="6" s="1"/>
  <c r="AG36" i="4" s="1"/>
  <c r="AG38" i="4" s="1"/>
  <c r="AF27" i="25"/>
  <c r="AF28" i="25" s="1"/>
  <c r="AF29" i="25" s="1"/>
  <c r="AG25" i="25" s="1"/>
  <c r="AF57" i="25"/>
  <c r="AF59" i="25" s="1"/>
  <c r="AF43" i="25"/>
  <c r="AF45" i="25" s="1"/>
  <c r="AF37" i="25"/>
  <c r="AF38" i="25" s="1"/>
  <c r="AF50" i="25"/>
  <c r="AF52" i="25" s="1"/>
  <c r="AF39" i="6"/>
  <c r="AG37" i="19"/>
  <c r="AG45" i="19" s="1"/>
  <c r="AG47" i="19" s="1"/>
  <c r="AG43" i="4" l="1"/>
  <c r="AH42" i="19" s="1"/>
  <c r="AH43" i="19" s="1"/>
  <c r="AF10" i="8"/>
  <c r="AF13" i="8" s="1"/>
  <c r="AG40" i="4"/>
  <c r="AG41" i="4"/>
  <c r="AF58" i="6"/>
  <c r="AG26" i="25"/>
  <c r="AF50" i="6"/>
  <c r="AF52" i="6" s="1"/>
  <c r="AG16" i="25"/>
  <c r="E69" i="6" l="1"/>
  <c r="E68" i="6"/>
  <c r="AF28" i="8"/>
  <c r="AF16" i="8"/>
  <c r="AF24" i="8"/>
  <c r="AF29" i="8" l="1"/>
  <c r="AF19" i="8"/>
  <c r="AF22" i="8" s="1"/>
  <c r="AF21" i="8"/>
  <c r="AF30" i="8"/>
  <c r="D65" i="2"/>
  <c r="C9" i="16"/>
  <c r="C12" i="16" s="1"/>
  <c r="C65" i="2"/>
  <c r="D9" i="16"/>
  <c r="D12" i="16" s="1"/>
  <c r="AF33" i="8" l="1"/>
  <c r="AF41" i="8"/>
  <c r="AG15" i="25" s="1"/>
  <c r="AH32" i="19" l="1"/>
  <c r="AH37" i="19" s="1"/>
  <c r="AH45" i="19" s="1"/>
  <c r="AH47" i="19" s="1"/>
  <c r="AG18" i="25"/>
  <c r="AG21" i="25" s="1"/>
  <c r="AF38" i="8"/>
  <c r="AF36" i="8"/>
  <c r="AF39" i="8" l="1"/>
  <c r="AG57" i="25"/>
  <c r="AG59" i="25" s="1"/>
  <c r="AG27" i="25"/>
  <c r="AG28" i="25" s="1"/>
  <c r="AG29" i="25" s="1"/>
  <c r="AG43" i="25"/>
  <c r="AG45" i="25" s="1"/>
  <c r="AG50" i="25"/>
  <c r="AG52" i="25" s="1"/>
  <c r="AG37" i="25"/>
  <c r="AG38" i="25" s="1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<sst xmlns="http://schemas.openxmlformats.org/spreadsheetml/2006/main" count="911" uniqueCount="477">
  <si>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</si>
  <si>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</si>
  <si>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</si>
  <si>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</si>
  <si>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</si>
  <si>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</si>
  <si>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</si>
  <si>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</si>
  <si>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</si>
  <si>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</si>
  <si>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</si>
  <si>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</si>
  <si>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</si>
  <si>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</si>
  <si>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</si>
  <si>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</si>
  <si>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</si>
  <si>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</si>
  <si>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</si>
  <si>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</si>
  <si>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</si>
  <si>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</si>
  <si>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</si>
  <si>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</si>
  <si>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</si>
  <si>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</si>
  <si>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</si>
  <si>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</si>
  <si>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</si>
  <si>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</si>
  <si>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</si>
  <si>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</si>
  <si>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</si>
  <si>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</si>
  <si>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</si>
  <si>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</si>
  <si>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</si>
  <si>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</si>
  <si>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</si>
  <si>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</si>
  <si>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</si>
  <si>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</si>
  <si>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</si>
  <si>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</si>
  <si>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</si>
  <si>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</si>
  <si>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</si>
  <si>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</si>
  <si>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</si>
  <si>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</si>
  <si>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</si>
  <si>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</si>
  <si>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</si>
  <si>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</si>
  <si>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</si>
  <si>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</si>
  <si>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</si>
  <si>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</si>
  <si>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</si>
  <si>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</si>
  <si>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</si>
  <si>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</si>
  <si>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</si>
  <si>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</si>
  <si>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</si>
  <si>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</si>
  <si>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</si>
  <si>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</si>
  <si>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</si>
  <si>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</si>
  <si>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</si>
  <si>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</si>
  <si>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</si>
  <si>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</si>
  <si>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</si>
  <si>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</si>
  <si>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</si>
  <si>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</si>
  <si>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</si>
  <si>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</si>
  <si>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</si>
  <si>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</si>
  <si>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</si>
  <si>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</si>
  <si>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</si>
  <si>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</si>
  <si>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</si>
  <si>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</si>
  <si>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</si>
  <si>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</si>
  <si>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</si>
  <si>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</si>
  <si>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</si>
  <si>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</si>
  <si>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</si>
  <si>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</si>
  <si>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</si>
  <si>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</si>
  <si>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</si>
  <si>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</si>
  <si>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</si>
  <si>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</si>
  <si>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</si>
  <si>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</si>
  <si>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</si>
  <si>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</si>
  <si>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</si>
  <si>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</si>
  <si>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</si>
  <si>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</si>
  <si>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</si>
  <si>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</si>
  <si>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</si>
  <si>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</si>
  <si>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</si>
  <si>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</si>
  <si>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</si>
  <si>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</si>
  <si>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</si>
  <si>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</si>
  <si>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</si>
  <si>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</si>
  <si>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</si>
  <si>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</si>
  <si>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</si>
  <si>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</si>
  <si>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</si>
  <si>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</si>
  <si>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</si>
  <si>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</si>
  <si>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</si>
  <si>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</si>
  <si>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</si>
  <si>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</si>
  <si>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</si>
  <si>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</si>
  <si>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</si>
  <si>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</si>
  <si>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</si>
  <si>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</si>
  <si>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</si>
  <si>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</si>
  <si>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</si>
  <si>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</si>
  <si>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</si>
  <si>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</si>
  <si>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</si>
  <si>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</si>
  <si>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</si>
  <si>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</si>
  <si>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</si>
  <si>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</si>
  <si>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</si>
  <si>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</si>
  <si>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</si>
  <si>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</si>
  <si>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</si>
  <si>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</si>
  <si>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</si>
  <si>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</si>
  <si>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</si>
  <si>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</si>
  <si>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</si>
  <si>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</si>
  <si>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</si>
  <si>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</si>
  <si>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</si>
  <si>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</si>
  <si>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</si>
  <si>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</si>
  <si>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</si>
  <si>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</si>
  <si>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</si>
  <si>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</si>
  <si>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</si>
  <si>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</si>
  <si>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</si>
  <si>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</si>
  <si>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</si>
  <si>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</si>
  <si>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</si>
  <si>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</si>
  <si>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</si>
  <si>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</si>
  <si>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</si>
  <si>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</si>
  <si>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</si>
  <si>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</si>
  <si>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</si>
  <si>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</si>
  <si>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</si>
  <si>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</si>
  <si>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</si>
  <si>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</si>
  <si>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</si>
  <si>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</si>
  <si>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</si>
  <si>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</si>
  <si>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</si>
  <si>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</si>
  <si>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</si>
  <si>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</si>
  <si>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</si>
  <si>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</si>
  <si>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</si>
  <si>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</si>
  <si>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</si>
  <si>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</si>
  <si>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</si>
  <si>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</si>
  <si>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</si>
  <si>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</si>
  <si>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</si>
  <si>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</si>
  <si>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</si>
  <si>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</si>
  <si>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</si>
  <si>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</si>
  <si>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</si>
  <si>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</si>
  <si>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</si>
  <si>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</si>
  <si>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</si>
  <si>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</si>
  <si>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</si>
  <si>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</si>
  <si>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</si>
  <si>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</si>
  <si>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</si>
  <si>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</si>
  <si>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</si>
  <si>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</si>
  <si>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</si>
  <si>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</si>
  <si>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</si>
  <si>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</si>
  <si>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</si>
  <si>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</si>
  <si>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</si>
  <si>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</si>
  <si>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</si>
  <si>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</si>
  <si>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</si>
  <si>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</si>
  <si>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</si>
  <si>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</si>
  <si>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</si>
  <si>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</si>
  <si>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</si>
  <si>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</si>
  <si>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</si>
  <si>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</si>
  <si>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</si>
  <si>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</si>
  <si>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</si>
  <si>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</si>
  <si>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</si>
  <si>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</si>
  <si>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</si>
  <si>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</si>
  <si>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</si>
  <si>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</si>
  <si>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</si>
  <si>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</si>
  <si>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</si>
  <si>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</si>
  <si>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</si>
  <si>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</si>
  <si>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</si>
  <si>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</si>
  <si>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</si>
  <si>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</si>
  <si>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</si>
  <si>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</si>
  <si>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</si>
  <si>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</si>
  <si>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</si>
  <si>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</si>
  <si>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</si>
  <si>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</si>
  <si>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</si>
  <si>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</si>
  <si>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</si>
  <si>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</si>
  <si>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</si>
  <si>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</si>
  <si>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</si>
  <si>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</si>
  <si>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</si>
  <si>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</si>
  <si>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</si>
  <si>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</si>
  <si>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</si>
  <si>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</si>
  <si>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</si>
  <si>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</si>
  <si>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</si>
  <si>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</si>
  <si>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</si>
  <si>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</si>
  <si>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</si>
  <si>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</si>
  <si>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</si>
  <si>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</si>
  <si>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</si>
  <si>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</si>
  <si>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</si>
  <si>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</si>
  <si>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</si>
  <si>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</si>
  <si>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</si>
  <si>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</si>
  <si>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</si>
  <si>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</si>
  <si>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</si>
  <si>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</si>
  <si>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</si>
  <si>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</si>
  <si>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</si>
  <si>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</si>
  <si>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</si>
  <si>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</si>
  <si>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</si>
  <si>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</si>
  <si>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</si>
  <si>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</si>
  <si>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</si>
  <si>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</si>
  <si>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</si>
  <si>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</si>
  <si>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</si>
  <si>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</si>
  <si>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</si>
  <si>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</si>
  <si>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</si>
  <si>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</si>
  <si>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</si>
  <si>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</si>
  <si>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</si>
  <si>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</si>
  <si>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</si>
  <si>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</si>
  <si>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</si>
  <si>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</si>
  <si>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</si>
  <si>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</si>
  <si>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</si>
  <si>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</si>
  <si>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</si>
  <si>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</si>
  <si>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</si>
  <si>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</si>
  <si>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</si>
  <si>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</si>
  <si>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</si>
  <si>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</si>
  <si>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</si>
  <si>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</si>
  <si>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</si>
  <si>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</si>
  <si>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</si>
  <si>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</si>
  <si>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</si>
  <si>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</si>
  <si>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</si>
  <si>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</si>
  <si>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</si>
  <si>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</si>
  <si>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</si>
  <si>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</si>
  <si>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</si>
  <si>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</si>
  <si>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</si>
  <si>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</si>
  <si>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</si>
  <si>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</si>
  <si>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</si>
  <si>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</si>
  <si>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</si>
  <si>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</si>
  <si>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</si>
  <si>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</si>
  <si>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</si>
  <si>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</si>
  <si>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</si>
  <si>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</si>
  <si>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</si>
  <si>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</si>
  <si>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</si>
  <si>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</si>
  <si>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</si>
  <si>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</si>
  <si>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</si>
  <si>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</si>
  <si>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</si>
  <si>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</si>
  <si>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</si>
  <si>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</si>
  <si>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</si>
  <si>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</si>
  <si>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</si>
  <si>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</si>
  <si>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</si>
  <si>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</si>
  <si>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</si>
  <si>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</si>
  <si>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</si>
  <si>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</si>
  <si>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</si>
  <si>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</si>
  <si>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</si>
  <si>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</si>
  <si>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</si>
  <si>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</si>
  <si>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</si>
  <si>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</si>
  <si>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</si>
  <si>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</si>
  <si>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</si>
  <si>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</si>
  <si>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</si>
  <si>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</si>
  <si>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</si>
  <si>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</si>
  <si>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</si>
  <si>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</si>
  <si>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</si>
  <si>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</si>
  <si>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</si>
  <si>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</si>
  <si>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</si>
  <si>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</si>
  <si>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</si>
  <si>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</si>
  <si>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</si>
  <si>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</si>
  <si>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</si>
  <si>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</si>
  <si>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</si>
  <si>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</si>
  <si>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</si>
  <si>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</si>
  <si>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</si>
  <si>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</si>
  <si>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</si>
  <si>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</si>
  <si>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</si>
  <si>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</si>
  <si>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</si>
  <si>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</si>
  <si>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</si>
  <si>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</si>
  <si>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</si>
  <si>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</si>
  <si>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</si>
  <si>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</si>
  <si>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</si>
  <si>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</si>
  <si>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</si>
  <si>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</si>
  <si>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</si>
  <si>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</si>
  <si>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EES Load</t>
  </si>
  <si>
    <t>MWh</t>
  </si>
  <si>
    <t>Expenses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</si>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</sst>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7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166" fontId="3" fillId="0" borderId="0" xfId="4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164" fontId="22" fillId="11" borderId="0" xfId="0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54832"/>
        <c:axId val="146055392"/>
      </c:lineChart>
      <c:catAx>
        <c:axId val="14605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53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605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05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03216"/>
        <c:axId val="237303776"/>
      </c:lineChart>
      <c:catAx>
        <c:axId val="23730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303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730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730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0" t="s">
        <v>164</v>
      </c>
      <c r="C2" s="5"/>
    </row>
    <row r="3" spans="1:18" s="46" customFormat="1" ht="15.75"/>
    <row r="4" spans="1:18" s="46" customFormat="1" ht="18.75">
      <c r="A4" s="471">
        <v>1</v>
      </c>
      <c r="B4" s="206" t="s">
        <v>400</v>
      </c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1"/>
      <c r="Q4" s="471"/>
    </row>
    <row r="5" spans="1:18" s="46" customFormat="1" ht="18.75">
      <c r="B5" s="206" t="s">
        <v>401</v>
      </c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1"/>
      <c r="Q5" s="471"/>
    </row>
    <row r="6" spans="1:18" s="46" customFormat="1" ht="15.75">
      <c r="A6" s="12">
        <v>2</v>
      </c>
      <c r="B6" s="53" t="s">
        <v>311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319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0" t="s">
        <v>205</v>
      </c>
    </row>
    <row r="13" spans="1:18" s="46" customFormat="1" ht="15.75">
      <c r="A13" s="472"/>
      <c r="B13" s="12"/>
      <c r="C13" s="12"/>
      <c r="D13" s="12"/>
      <c r="E13" s="12"/>
      <c r="F13" s="12"/>
      <c r="G13" s="12"/>
      <c r="H13" s="12"/>
      <c r="I13" s="473" t="s">
        <v>206</v>
      </c>
      <c r="J13" s="12"/>
      <c r="K13" s="12"/>
      <c r="L13" s="12"/>
      <c r="M13" s="12"/>
      <c r="N13" s="12"/>
      <c r="O13" s="473"/>
      <c r="P13" s="12"/>
    </row>
    <row r="14" spans="1:18" s="46" customFormat="1" ht="15.75">
      <c r="A14" s="12">
        <v>1</v>
      </c>
      <c r="B14" s="12" t="s">
        <v>372</v>
      </c>
      <c r="C14" s="12"/>
      <c r="D14" s="12"/>
      <c r="E14" s="12"/>
      <c r="F14" s="12"/>
      <c r="G14" s="12"/>
      <c r="H14" s="12"/>
      <c r="I14" s="12" t="s">
        <v>207</v>
      </c>
      <c r="J14" s="12"/>
      <c r="K14" s="12"/>
      <c r="L14" s="12"/>
      <c r="M14" s="12"/>
      <c r="N14" s="12"/>
      <c r="O14" s="474"/>
      <c r="P14" s="12"/>
    </row>
    <row r="15" spans="1:18" s="46" customFormat="1" ht="15.75">
      <c r="A15" s="12"/>
      <c r="B15" s="12" t="s">
        <v>272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4"/>
      <c r="P15" s="12"/>
    </row>
    <row r="16" spans="1:18" s="46" customFormat="1" ht="15.75">
      <c r="A16" s="12">
        <v>2</v>
      </c>
      <c r="B16" s="12" t="s">
        <v>233</v>
      </c>
      <c r="C16" s="12"/>
      <c r="D16" s="12"/>
      <c r="E16" s="12"/>
      <c r="F16" s="12"/>
      <c r="G16" s="12"/>
      <c r="H16" s="12"/>
      <c r="I16" s="12" t="s">
        <v>207</v>
      </c>
      <c r="J16" s="12"/>
      <c r="K16" s="12"/>
      <c r="L16" s="12"/>
      <c r="M16" s="12"/>
      <c r="N16" s="12"/>
      <c r="O16" s="474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367</v>
      </c>
      <c r="J17" s="12"/>
      <c r="K17" s="12"/>
      <c r="L17" s="12"/>
      <c r="M17" s="12"/>
      <c r="N17" s="12"/>
      <c r="O17" s="474"/>
      <c r="P17" s="12"/>
    </row>
    <row r="18" spans="1:16" s="46" customFormat="1" ht="15.75">
      <c r="A18" s="12">
        <v>4</v>
      </c>
      <c r="B18" s="12" t="s">
        <v>258</v>
      </c>
      <c r="C18" s="12"/>
      <c r="D18" s="12"/>
      <c r="E18" s="12"/>
      <c r="F18" s="12"/>
      <c r="G18" s="12"/>
      <c r="H18" s="12"/>
      <c r="I18" s="12" t="s">
        <v>419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313</v>
      </c>
      <c r="C19" s="12"/>
      <c r="D19" s="12"/>
      <c r="E19" s="12"/>
      <c r="F19" s="12"/>
      <c r="G19" s="12"/>
      <c r="H19" s="12"/>
      <c r="I19" s="12" t="s">
        <v>282</v>
      </c>
      <c r="J19" s="12"/>
      <c r="K19" s="12"/>
      <c r="L19" s="12"/>
      <c r="M19" s="12"/>
      <c r="N19" s="12"/>
      <c r="O19" s="474"/>
      <c r="P19" s="12"/>
    </row>
    <row r="20" spans="1:16" s="46" customFormat="1" ht="15.75">
      <c r="A20" s="12">
        <v>6</v>
      </c>
      <c r="B20" s="12" t="s">
        <v>333</v>
      </c>
      <c r="C20" s="12"/>
      <c r="D20" s="12"/>
      <c r="E20" s="12"/>
      <c r="F20" s="12"/>
      <c r="G20" s="12"/>
      <c r="H20" s="12"/>
      <c r="I20" s="12" t="s">
        <v>334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365</v>
      </c>
      <c r="C21" s="12"/>
      <c r="D21" s="12"/>
      <c r="E21" s="12"/>
      <c r="F21" s="12"/>
      <c r="G21" s="12"/>
      <c r="H21" s="12"/>
      <c r="I21" s="12" t="s">
        <v>282</v>
      </c>
      <c r="J21" s="12"/>
      <c r="K21" s="12"/>
      <c r="L21" s="12"/>
      <c r="M21" s="12"/>
      <c r="N21" s="12"/>
      <c r="O21" s="474"/>
      <c r="P21" s="12"/>
    </row>
    <row r="22" spans="1:16" s="46" customFormat="1" ht="15.75">
      <c r="A22" s="12">
        <v>8</v>
      </c>
      <c r="B22" s="12" t="s">
        <v>368</v>
      </c>
      <c r="C22" s="12"/>
      <c r="D22" s="12"/>
      <c r="E22" s="12"/>
      <c r="F22" s="12"/>
      <c r="G22" s="12"/>
      <c r="H22" s="12"/>
      <c r="I22" s="12" t="s">
        <v>369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409</v>
      </c>
      <c r="C23" s="12"/>
      <c r="D23" s="12"/>
      <c r="E23" s="12"/>
      <c r="F23" s="12"/>
      <c r="G23" s="12"/>
      <c r="H23" s="12"/>
      <c r="I23" s="12" t="s">
        <v>282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0" t="s">
        <v>275</v>
      </c>
    </row>
    <row r="28" spans="1:16" s="46" customFormat="1" ht="18.75">
      <c r="A28" s="281"/>
    </row>
    <row r="29" spans="1:16" s="46" customFormat="1" ht="15.75">
      <c r="A29" s="12"/>
      <c r="B29" s="475" t="s">
        <v>300</v>
      </c>
      <c r="C29" s="12"/>
      <c r="D29" s="12"/>
      <c r="E29" s="475" t="s">
        <v>299</v>
      </c>
      <c r="F29" s="475"/>
      <c r="G29" s="475"/>
      <c r="H29" s="475" t="s">
        <v>301</v>
      </c>
      <c r="I29" s="12"/>
      <c r="J29" s="12"/>
    </row>
    <row r="30" spans="1:16" s="46" customFormat="1" ht="15.75">
      <c r="A30" s="12"/>
      <c r="B30" s="12" t="s">
        <v>374</v>
      </c>
      <c r="C30" s="12"/>
      <c r="D30" s="12"/>
      <c r="E30" s="12" t="s">
        <v>284</v>
      </c>
      <c r="F30" s="12"/>
      <c r="G30" s="12"/>
      <c r="H30" s="12" t="s">
        <v>296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285</v>
      </c>
      <c r="F31" s="12"/>
      <c r="G31" s="12"/>
      <c r="H31" s="12" t="s">
        <v>297</v>
      </c>
      <c r="I31" s="12"/>
      <c r="J31" s="12"/>
    </row>
    <row r="32" spans="1:16" s="46" customFormat="1" ht="15.75">
      <c r="A32" s="12"/>
      <c r="B32" s="12" t="s">
        <v>375</v>
      </c>
      <c r="C32" s="12"/>
      <c r="D32" s="12"/>
      <c r="E32" s="12" t="s">
        <v>286</v>
      </c>
      <c r="F32" s="12"/>
      <c r="G32" s="12"/>
      <c r="H32" s="12" t="s">
        <v>298</v>
      </c>
      <c r="I32" s="12"/>
      <c r="J32" s="12"/>
    </row>
    <row r="33" spans="1:10" s="46" customFormat="1" ht="15.75">
      <c r="A33" s="12"/>
      <c r="B33" s="12" t="s">
        <v>280</v>
      </c>
      <c r="C33" s="12"/>
      <c r="D33" s="12"/>
      <c r="E33" s="12" t="s">
        <v>281</v>
      </c>
      <c r="F33" s="12"/>
      <c r="G33" s="12"/>
      <c r="H33" s="12" t="s">
        <v>293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282</v>
      </c>
      <c r="F34" s="12"/>
      <c r="G34" s="12"/>
      <c r="H34" s="12" t="s">
        <v>294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283</v>
      </c>
      <c r="F35" s="12"/>
      <c r="G35" s="12"/>
      <c r="H35" s="12" t="s">
        <v>295</v>
      </c>
      <c r="I35" s="12"/>
      <c r="J35" s="12"/>
    </row>
    <row r="36" spans="1:10" s="46" customFormat="1" ht="15.75">
      <c r="A36" s="12"/>
      <c r="B36" s="12" t="s">
        <v>278</v>
      </c>
      <c r="C36" s="12"/>
      <c r="D36" s="12"/>
      <c r="E36" s="12" t="s">
        <v>279</v>
      </c>
      <c r="F36" s="12"/>
      <c r="G36" s="12"/>
      <c r="H36" s="12" t="s">
        <v>292</v>
      </c>
      <c r="I36" s="12"/>
      <c r="J36" s="12"/>
    </row>
    <row r="37" spans="1:10" s="46" customFormat="1" ht="15.75">
      <c r="A37" s="12"/>
      <c r="B37" s="12" t="s">
        <v>333</v>
      </c>
      <c r="C37" s="12"/>
      <c r="D37" s="12"/>
      <c r="E37" s="12" t="s">
        <v>334</v>
      </c>
      <c r="F37" s="12"/>
      <c r="G37" s="12"/>
      <c r="H37" s="12" t="s">
        <v>331</v>
      </c>
      <c r="I37" s="12"/>
      <c r="J37" s="12"/>
    </row>
    <row r="38" spans="1:10" s="46" customFormat="1" ht="15.75">
      <c r="A38" s="12"/>
      <c r="B38" s="12" t="s">
        <v>276</v>
      </c>
      <c r="C38" s="12"/>
      <c r="D38" s="12"/>
      <c r="E38" s="12" t="s">
        <v>277</v>
      </c>
      <c r="F38" s="12"/>
      <c r="G38" s="12"/>
      <c r="H38" s="12" t="s">
        <v>332</v>
      </c>
      <c r="I38" s="12"/>
      <c r="J38" s="12"/>
    </row>
    <row r="39" spans="1:10" s="46" customFormat="1" ht="15.75">
      <c r="A39" s="12"/>
      <c r="B39" s="12" t="s">
        <v>414</v>
      </c>
      <c r="C39" s="12"/>
      <c r="D39" s="12"/>
      <c r="E39" s="12" t="s">
        <v>398</v>
      </c>
      <c r="F39" s="12"/>
      <c r="G39" s="12"/>
      <c r="H39" s="12" t="s">
        <v>399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423</v>
      </c>
      <c r="F40" s="12"/>
      <c r="G40" s="12"/>
      <c r="H40" s="12" t="s">
        <v>424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207</v>
      </c>
      <c r="F41" s="12"/>
      <c r="G41" s="12"/>
      <c r="H41" s="12" t="s">
        <v>291</v>
      </c>
      <c r="I41" s="12"/>
      <c r="J41" s="12"/>
    </row>
    <row r="42" spans="1:10" s="46" customFormat="1" ht="15.75">
      <c r="A42" s="12"/>
      <c r="B42" s="12" t="s">
        <v>370</v>
      </c>
      <c r="C42" s="12"/>
      <c r="D42" s="12"/>
      <c r="E42" s="12" t="s">
        <v>396</v>
      </c>
      <c r="F42" s="12"/>
      <c r="G42" s="12"/>
      <c r="H42" s="12" t="s">
        <v>397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369</v>
      </c>
      <c r="F43" s="12"/>
      <c r="G43" s="12"/>
      <c r="H43" s="12" t="s">
        <v>371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5"/>
    </row>
    <row r="6" spans="1:34">
      <c r="D6" s="211">
        <f>'Price_Technical Assumption'!D7</f>
        <v>0.66666666666666663</v>
      </c>
      <c r="E6" s="211">
        <f>'Price_Technical Assumption'!E7</f>
        <v>1.6666666666666665</v>
      </c>
      <c r="F6" s="211">
        <f>'Price_Technical Assumption'!F7</f>
        <v>2.6666666666666665</v>
      </c>
      <c r="G6" s="211">
        <f>'Price_Technical Assumption'!G7</f>
        <v>3.6666666666666665</v>
      </c>
      <c r="H6" s="211">
        <f>'Price_Technical Assumption'!H7</f>
        <v>4.6666666666666661</v>
      </c>
      <c r="I6" s="211">
        <f>'Price_Technical Assumption'!I7</f>
        <v>5.6666666666666661</v>
      </c>
      <c r="J6" s="211">
        <f>'Price_Technical Assumption'!J7</f>
        <v>6.6666666666666661</v>
      </c>
      <c r="K6" s="211">
        <f>'Price_Technical Assumption'!K7</f>
        <v>7.6666666666666661</v>
      </c>
      <c r="L6" s="211">
        <f>'Price_Technical Assumption'!L7</f>
        <v>8.6666666666666661</v>
      </c>
      <c r="M6" s="211">
        <f>'Price_Technical Assumption'!M7</f>
        <v>9.6666666666666661</v>
      </c>
      <c r="N6" s="211">
        <f>'Price_Technical Assumption'!N7</f>
        <v>10.666666666666666</v>
      </c>
      <c r="O6" s="211">
        <f>'Price_Technical Assumption'!O7</f>
        <v>11.666666666666666</v>
      </c>
      <c r="P6" s="211">
        <f>'Price_Technical Assumption'!P7</f>
        <v>12.666666666666666</v>
      </c>
      <c r="Q6" s="211">
        <f>'Price_Technical Assumption'!Q7</f>
        <v>13.666666666666666</v>
      </c>
      <c r="R6" s="211">
        <f>'Price_Technical Assumption'!R7</f>
        <v>14.666666666666666</v>
      </c>
      <c r="S6" s="211">
        <f>'Price_Technical Assumption'!S7</f>
        <v>15.666666666666666</v>
      </c>
      <c r="T6" s="211">
        <f>'Price_Technical Assumption'!T7</f>
        <v>16.666666666666664</v>
      </c>
      <c r="U6" s="211">
        <f>'Price_Technical Assumption'!U7</f>
        <v>17.666666666666664</v>
      </c>
      <c r="V6" s="211">
        <f>'Price_Technical Assumption'!V7</f>
        <v>18.666666666666664</v>
      </c>
      <c r="W6" s="211">
        <f>'Price_Technical Assumption'!W7</f>
        <v>19.666666666666664</v>
      </c>
      <c r="X6" s="211">
        <f>'Price_Technical Assumption'!X7</f>
        <v>20.666666666666664</v>
      </c>
      <c r="Y6" s="211">
        <f>'Price_Technical Assumption'!Y7</f>
        <v>21.666666666666664</v>
      </c>
      <c r="Z6" s="211">
        <f>'Price_Technical Assumption'!Z7</f>
        <v>22.666666666666664</v>
      </c>
      <c r="AA6" s="211">
        <f>'Price_Technical Assumption'!AA7</f>
        <v>23.666666666666664</v>
      </c>
      <c r="AB6" s="211">
        <f>'Price_Technical Assumption'!AB7</f>
        <v>24.666666666666664</v>
      </c>
      <c r="AC6" s="211">
        <f>'Price_Technical Assumption'!AC7</f>
        <v>25.666666666666664</v>
      </c>
      <c r="AD6" s="211">
        <f>'Price_Technical Assumption'!AD7</f>
        <v>26.666666666666664</v>
      </c>
      <c r="AE6" s="211">
        <f>'Price_Technical Assumption'!AE7</f>
        <v>27.666666666666664</v>
      </c>
      <c r="AF6" s="211">
        <f>'Price_Technical Assumption'!AF7</f>
        <v>28.666666666666664</v>
      </c>
      <c r="AG6" s="211">
        <f>'Price_Technical Assumption'!AG7</f>
        <v>29.666666666666664</v>
      </c>
      <c r="AH6" s="211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5">
        <f>IS!C8</f>
        <v>37256</v>
      </c>
      <c r="E8" s="205">
        <f>IS!D8</f>
        <v>37621</v>
      </c>
      <c r="F8" s="205">
        <f>IS!E8</f>
        <v>37986</v>
      </c>
      <c r="G8" s="205">
        <f>IS!F8</f>
        <v>38352</v>
      </c>
      <c r="H8" s="205">
        <f>IS!G8</f>
        <v>38717</v>
      </c>
      <c r="I8" s="205">
        <f>IS!H8</f>
        <v>39082</v>
      </c>
      <c r="J8" s="205">
        <f>IS!I8</f>
        <v>39447</v>
      </c>
      <c r="K8" s="205">
        <f>IS!J8</f>
        <v>39813</v>
      </c>
      <c r="L8" s="205">
        <f>IS!K8</f>
        <v>40178</v>
      </c>
      <c r="M8" s="205">
        <f>IS!L8</f>
        <v>40543</v>
      </c>
      <c r="N8" s="205">
        <f>IS!M8</f>
        <v>40908</v>
      </c>
      <c r="O8" s="205">
        <f>IS!N8</f>
        <v>41274</v>
      </c>
      <c r="P8" s="205">
        <f>IS!O8</f>
        <v>41639</v>
      </c>
      <c r="Q8" s="205">
        <f>IS!P8</f>
        <v>42004</v>
      </c>
      <c r="R8" s="205">
        <f>IS!Q8</f>
        <v>42369</v>
      </c>
      <c r="S8" s="205">
        <f>IS!R8</f>
        <v>42735</v>
      </c>
      <c r="T8" s="205">
        <f>IS!S8</f>
        <v>43100</v>
      </c>
      <c r="U8" s="205">
        <f>IS!T8</f>
        <v>43465</v>
      </c>
      <c r="V8" s="205">
        <f>IS!U8</f>
        <v>43830</v>
      </c>
      <c r="W8" s="205">
        <f>IS!V8</f>
        <v>44196</v>
      </c>
      <c r="X8" s="205">
        <f>IS!W8</f>
        <v>44561</v>
      </c>
      <c r="Y8" s="205">
        <f>IS!X8</f>
        <v>44926</v>
      </c>
      <c r="Z8" s="205">
        <f>IS!Y8</f>
        <v>45291</v>
      </c>
      <c r="AA8" s="205">
        <f>IS!Z8</f>
        <v>45657</v>
      </c>
      <c r="AB8" s="205">
        <f>IS!AA8</f>
        <v>46022</v>
      </c>
      <c r="AC8" s="205">
        <f>IS!AB8</f>
        <v>46387</v>
      </c>
      <c r="AD8" s="205">
        <f>IS!AC8</f>
        <v>46752</v>
      </c>
      <c r="AE8" s="205">
        <f>IS!AD8</f>
        <v>47118</v>
      </c>
      <c r="AF8" s="205">
        <f>IS!AE8</f>
        <v>47483</v>
      </c>
      <c r="AG8" s="205">
        <f>IS!AF8</f>
        <v>47848</v>
      </c>
      <c r="AH8" s="205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249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250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318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249</v>
      </c>
      <c r="B16" s="374">
        <f>Assumptions!C34+Assumptions!C46+Assumptions!C38</f>
        <v>100002.00392639755</v>
      </c>
      <c r="C16" s="304"/>
      <c r="D16" s="18">
        <f>$B$16*D12</f>
        <v>5000.1001963198778</v>
      </c>
      <c r="E16" s="18">
        <f t="shared" ref="E16:Y16" si="0">$B$16*E12</f>
        <v>9500.1903730077665</v>
      </c>
      <c r="F16" s="18">
        <f t="shared" si="0"/>
        <v>8550.1713357069912</v>
      </c>
      <c r="G16" s="18">
        <f t="shared" si="0"/>
        <v>7700.1543023326112</v>
      </c>
      <c r="H16" s="18">
        <f t="shared" si="0"/>
        <v>6930.13887209935</v>
      </c>
      <c r="I16" s="18">
        <f t="shared" si="0"/>
        <v>6230.1248446145673</v>
      </c>
      <c r="J16" s="18">
        <f t="shared" si="0"/>
        <v>5900.118231657455</v>
      </c>
      <c r="K16" s="18">
        <f t="shared" si="0"/>
        <v>5910.1184320500952</v>
      </c>
      <c r="L16" s="18">
        <f t="shared" si="0"/>
        <v>5900.118231657455</v>
      </c>
      <c r="M16" s="18">
        <f t="shared" si="0"/>
        <v>5910.1184320500952</v>
      </c>
      <c r="N16" s="18">
        <f t="shared" si="0"/>
        <v>5900.118231657455</v>
      </c>
      <c r="O16" s="18">
        <f t="shared" si="0"/>
        <v>5910.1184320500952</v>
      </c>
      <c r="P16" s="18">
        <f t="shared" si="0"/>
        <v>5900.118231657455</v>
      </c>
      <c r="Q16" s="18">
        <f t="shared" si="0"/>
        <v>5910.1184320500952</v>
      </c>
      <c r="R16" s="18">
        <f t="shared" si="0"/>
        <v>5900.118231657455</v>
      </c>
      <c r="S16" s="18">
        <f t="shared" si="0"/>
        <v>2950.0591158287275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250</v>
      </c>
      <c r="B17" s="303">
        <f>Assumptions!C50-Assumptions!C46-Assumptions!C47</f>
        <v>3723.92</v>
      </c>
      <c r="C17" s="304"/>
      <c r="D17" s="301">
        <f>$B$17*D13</f>
        <v>496.52266666666668</v>
      </c>
      <c r="E17" s="301">
        <f t="shared" ref="E17:AH17" si="2">$B$17*E13</f>
        <v>744.78400000000011</v>
      </c>
      <c r="F17" s="301">
        <f t="shared" si="2"/>
        <v>744.78400000000011</v>
      </c>
      <c r="G17" s="301">
        <f t="shared" si="2"/>
        <v>744.78400000000011</v>
      </c>
      <c r="H17" s="301">
        <f t="shared" si="2"/>
        <v>744.78400000000011</v>
      </c>
      <c r="I17" s="301">
        <f t="shared" si="2"/>
        <v>248.2613333333334</v>
      </c>
      <c r="J17" s="301">
        <f t="shared" si="2"/>
        <v>0</v>
      </c>
      <c r="K17" s="301">
        <f t="shared" si="2"/>
        <v>0</v>
      </c>
      <c r="L17" s="301">
        <f t="shared" si="2"/>
        <v>0</v>
      </c>
      <c r="M17" s="301">
        <f t="shared" si="2"/>
        <v>0</v>
      </c>
      <c r="N17" s="301">
        <f t="shared" si="2"/>
        <v>0</v>
      </c>
      <c r="O17" s="301">
        <f t="shared" si="2"/>
        <v>0</v>
      </c>
      <c r="P17" s="301">
        <f t="shared" si="2"/>
        <v>0</v>
      </c>
      <c r="Q17" s="301">
        <f t="shared" si="2"/>
        <v>0</v>
      </c>
      <c r="R17" s="301">
        <f t="shared" si="2"/>
        <v>0</v>
      </c>
      <c r="S17" s="301">
        <f t="shared" si="2"/>
        <v>0</v>
      </c>
      <c r="T17" s="301">
        <f t="shared" si="2"/>
        <v>0</v>
      </c>
      <c r="U17" s="301">
        <f t="shared" si="2"/>
        <v>0</v>
      </c>
      <c r="V17" s="301">
        <f t="shared" si="2"/>
        <v>0</v>
      </c>
      <c r="W17" s="301">
        <f t="shared" si="2"/>
        <v>0</v>
      </c>
      <c r="X17" s="301">
        <f t="shared" si="2"/>
        <v>0</v>
      </c>
      <c r="Y17" s="301">
        <f t="shared" si="2"/>
        <v>0</v>
      </c>
      <c r="Z17" s="301">
        <f t="shared" si="2"/>
        <v>0</v>
      </c>
      <c r="AA17" s="301">
        <f t="shared" si="2"/>
        <v>0</v>
      </c>
      <c r="AB17" s="301">
        <f t="shared" si="2"/>
        <v>0</v>
      </c>
      <c r="AC17" s="301">
        <f t="shared" si="2"/>
        <v>0</v>
      </c>
      <c r="AD17" s="301">
        <f t="shared" si="2"/>
        <v>0</v>
      </c>
      <c r="AE17" s="301">
        <f t="shared" si="2"/>
        <v>0</v>
      </c>
      <c r="AF17" s="301">
        <f t="shared" si="2"/>
        <v>0</v>
      </c>
      <c r="AG17" s="301">
        <f t="shared" si="2"/>
        <v>0</v>
      </c>
      <c r="AH17" s="301">
        <f t="shared" si="2"/>
        <v>0</v>
      </c>
    </row>
    <row r="18" spans="1:36" s="10" customFormat="1" ht="15">
      <c r="A18" s="22" t="s">
        <v>318</v>
      </c>
      <c r="B18" s="375">
        <f>Assumptions!$C$56</f>
        <v>1000</v>
      </c>
      <c r="C18" s="304"/>
      <c r="D18" s="376">
        <f>$B$18*D14</f>
        <v>33.333333333333336</v>
      </c>
      <c r="E18" s="376">
        <f t="shared" ref="E18:Y18" si="3">$B$18*E14</f>
        <v>50</v>
      </c>
      <c r="F18" s="376">
        <f t="shared" si="3"/>
        <v>50</v>
      </c>
      <c r="G18" s="376">
        <f t="shared" si="3"/>
        <v>50</v>
      </c>
      <c r="H18" s="376">
        <f t="shared" si="3"/>
        <v>50</v>
      </c>
      <c r="I18" s="376">
        <f t="shared" si="3"/>
        <v>50</v>
      </c>
      <c r="J18" s="376">
        <f t="shared" si="3"/>
        <v>50</v>
      </c>
      <c r="K18" s="376">
        <f t="shared" si="3"/>
        <v>50</v>
      </c>
      <c r="L18" s="376">
        <f t="shared" si="3"/>
        <v>50</v>
      </c>
      <c r="M18" s="376">
        <f t="shared" si="3"/>
        <v>50</v>
      </c>
      <c r="N18" s="376">
        <f t="shared" si="3"/>
        <v>50</v>
      </c>
      <c r="O18" s="376">
        <f t="shared" si="3"/>
        <v>50</v>
      </c>
      <c r="P18" s="376">
        <f t="shared" si="3"/>
        <v>50</v>
      </c>
      <c r="Q18" s="376">
        <f t="shared" si="3"/>
        <v>50</v>
      </c>
      <c r="R18" s="376">
        <f t="shared" si="3"/>
        <v>50</v>
      </c>
      <c r="S18" s="376">
        <f t="shared" si="3"/>
        <v>50</v>
      </c>
      <c r="T18" s="376">
        <f t="shared" si="3"/>
        <v>50</v>
      </c>
      <c r="U18" s="376">
        <f t="shared" si="3"/>
        <v>50</v>
      </c>
      <c r="V18" s="376">
        <f t="shared" si="3"/>
        <v>50</v>
      </c>
      <c r="W18" s="376">
        <f t="shared" si="3"/>
        <v>50</v>
      </c>
      <c r="X18" s="376">
        <f t="shared" si="3"/>
        <v>16.666666666666671</v>
      </c>
      <c r="Y18" s="376">
        <f t="shared" si="3"/>
        <v>0</v>
      </c>
      <c r="Z18" s="376">
        <f t="shared" ref="Z18:AH18" si="4">$B$18*Z14</f>
        <v>0</v>
      </c>
      <c r="AA18" s="376">
        <f t="shared" si="4"/>
        <v>0</v>
      </c>
      <c r="AB18" s="376">
        <f t="shared" si="4"/>
        <v>0</v>
      </c>
      <c r="AC18" s="376">
        <f t="shared" si="4"/>
        <v>0</v>
      </c>
      <c r="AD18" s="376">
        <f t="shared" si="4"/>
        <v>0</v>
      </c>
      <c r="AE18" s="376">
        <f t="shared" si="4"/>
        <v>0</v>
      </c>
      <c r="AF18" s="376">
        <f t="shared" si="4"/>
        <v>0</v>
      </c>
      <c r="AG18" s="376">
        <f t="shared" si="4"/>
        <v>0</v>
      </c>
      <c r="AH18" s="376">
        <f t="shared" si="4"/>
        <v>0</v>
      </c>
    </row>
    <row r="19" spans="1:36" s="10" customFormat="1">
      <c r="A19" s="22" t="s">
        <v>62</v>
      </c>
      <c r="B19" s="18">
        <f>SUM(B16:B18)</f>
        <v>104725.92392639755</v>
      </c>
      <c r="C19" s="304"/>
      <c r="D19" s="18">
        <f t="shared" ref="D19:Y19" si="5">SUM(D16:D18)</f>
        <v>5529.9561963198776</v>
      </c>
      <c r="E19" s="18">
        <f t="shared" si="5"/>
        <v>10294.974373007766</v>
      </c>
      <c r="F19" s="18">
        <f t="shared" si="5"/>
        <v>9344.9553357069908</v>
      </c>
      <c r="G19" s="18">
        <f t="shared" si="5"/>
        <v>8494.9383023326118</v>
      </c>
      <c r="H19" s="18">
        <f t="shared" si="5"/>
        <v>7724.9228720993506</v>
      </c>
      <c r="I19" s="18">
        <f t="shared" si="5"/>
        <v>6528.3861779479012</v>
      </c>
      <c r="J19" s="18">
        <f t="shared" si="5"/>
        <v>5950.118231657455</v>
      </c>
      <c r="K19" s="18">
        <f t="shared" si="5"/>
        <v>5960.1184320500952</v>
      </c>
      <c r="L19" s="18">
        <f t="shared" si="5"/>
        <v>5950.118231657455</v>
      </c>
      <c r="M19" s="18">
        <f t="shared" si="5"/>
        <v>5960.1184320500952</v>
      </c>
      <c r="N19" s="18">
        <f t="shared" si="5"/>
        <v>5950.118231657455</v>
      </c>
      <c r="O19" s="18">
        <f t="shared" si="5"/>
        <v>5960.1184320500952</v>
      </c>
      <c r="P19" s="18">
        <f t="shared" si="5"/>
        <v>5950.118231657455</v>
      </c>
      <c r="Q19" s="18">
        <f t="shared" si="5"/>
        <v>5960.1184320500952</v>
      </c>
      <c r="R19" s="18">
        <f t="shared" si="5"/>
        <v>5950.118231657455</v>
      </c>
      <c r="S19" s="18">
        <f t="shared" si="5"/>
        <v>3000.0591158287275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4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5">
        <f>B19</f>
        <v>104725.92392639755</v>
      </c>
      <c r="C21" s="377"/>
      <c r="D21" s="305">
        <f>B19-D19</f>
        <v>99195.967730077668</v>
      </c>
      <c r="E21" s="305">
        <f>D21-E19</f>
        <v>88900.993357069907</v>
      </c>
      <c r="F21" s="305">
        <f t="shared" ref="F21:X21" si="7">E21-F19</f>
        <v>79556.038021362911</v>
      </c>
      <c r="G21" s="305">
        <f t="shared" si="7"/>
        <v>71061.099719030302</v>
      </c>
      <c r="H21" s="305">
        <f t="shared" si="7"/>
        <v>63336.176846930954</v>
      </c>
      <c r="I21" s="305">
        <f t="shared" si="7"/>
        <v>56807.790668983056</v>
      </c>
      <c r="J21" s="305">
        <f t="shared" si="7"/>
        <v>50857.6724373256</v>
      </c>
      <c r="K21" s="305">
        <f t="shared" si="7"/>
        <v>44897.554005275502</v>
      </c>
      <c r="L21" s="305">
        <f t="shared" si="7"/>
        <v>38947.435773618046</v>
      </c>
      <c r="M21" s="305">
        <f t="shared" si="7"/>
        <v>32987.317341567948</v>
      </c>
      <c r="N21" s="305">
        <f t="shared" si="7"/>
        <v>27037.199109910493</v>
      </c>
      <c r="O21" s="305">
        <f t="shared" si="7"/>
        <v>21077.080677860398</v>
      </c>
      <c r="P21" s="305">
        <f t="shared" si="7"/>
        <v>15126.962446202942</v>
      </c>
      <c r="Q21" s="305">
        <f t="shared" si="7"/>
        <v>9166.8440141528481</v>
      </c>
      <c r="R21" s="305">
        <f t="shared" si="7"/>
        <v>3216.7257824953931</v>
      </c>
      <c r="S21" s="305">
        <f t="shared" si="7"/>
        <v>216.66666666666561</v>
      </c>
      <c r="T21" s="305">
        <f t="shared" si="7"/>
        <v>166.66666666666561</v>
      </c>
      <c r="U21" s="305">
        <f t="shared" si="7"/>
        <v>116.66666666666561</v>
      </c>
      <c r="V21" s="305">
        <f t="shared" si="7"/>
        <v>66.666666666665606</v>
      </c>
      <c r="W21" s="305">
        <f t="shared" si="7"/>
        <v>16.666666666665606</v>
      </c>
      <c r="X21" s="305">
        <f t="shared" si="7"/>
        <v>-1.0658141036401503E-12</v>
      </c>
      <c r="Y21" s="305">
        <f>X21-Y19</f>
        <v>-1.0658141036401503E-12</v>
      </c>
      <c r="Z21" s="305">
        <f t="shared" ref="Z21:AH21" si="8">Y21-Z19</f>
        <v>-1.0658141036401503E-12</v>
      </c>
      <c r="AA21" s="305">
        <f t="shared" si="8"/>
        <v>-1.0658141036401503E-12</v>
      </c>
      <c r="AB21" s="305">
        <f t="shared" si="8"/>
        <v>-1.0658141036401503E-12</v>
      </c>
      <c r="AC21" s="305">
        <f t="shared" si="8"/>
        <v>-1.0658141036401503E-12</v>
      </c>
      <c r="AD21" s="305">
        <f t="shared" si="8"/>
        <v>-1.0658141036401503E-12</v>
      </c>
      <c r="AE21" s="305">
        <f t="shared" si="8"/>
        <v>-1.0658141036401503E-12</v>
      </c>
      <c r="AF21" s="305">
        <f t="shared" si="8"/>
        <v>-1.0658141036401503E-12</v>
      </c>
      <c r="AG21" s="305">
        <f t="shared" si="8"/>
        <v>-1.0658141036401503E-12</v>
      </c>
      <c r="AH21" s="305">
        <f t="shared" si="8"/>
        <v>-1.0658141036401503E-12</v>
      </c>
      <c r="AI21" s="302"/>
      <c r="AJ21" s="302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249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250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318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249</v>
      </c>
      <c r="B31" s="374">
        <f>B16</f>
        <v>100002.00392639755</v>
      </c>
      <c r="C31" s="304"/>
      <c r="D31" s="18">
        <f>$B$31*D26</f>
        <v>5000.1001963198778</v>
      </c>
      <c r="E31" s="18">
        <f t="shared" ref="E31:Y31" si="14">$B$31*E26</f>
        <v>9500.1903730077665</v>
      </c>
      <c r="F31" s="18">
        <f t="shared" si="14"/>
        <v>8550.1713357069912</v>
      </c>
      <c r="G31" s="18">
        <f t="shared" si="14"/>
        <v>7700.1543023326112</v>
      </c>
      <c r="H31" s="18">
        <f t="shared" si="14"/>
        <v>6930.13887209935</v>
      </c>
      <c r="I31" s="18">
        <f t="shared" si="14"/>
        <v>6230.1248446145673</v>
      </c>
      <c r="J31" s="18">
        <f t="shared" si="14"/>
        <v>5900.118231657455</v>
      </c>
      <c r="K31" s="18">
        <f t="shared" si="14"/>
        <v>5910.1184320500952</v>
      </c>
      <c r="L31" s="18">
        <f t="shared" si="14"/>
        <v>5900.118231657455</v>
      </c>
      <c r="M31" s="18">
        <f t="shared" si="14"/>
        <v>5910.1184320500952</v>
      </c>
      <c r="N31" s="18">
        <f t="shared" si="14"/>
        <v>5900.118231657455</v>
      </c>
      <c r="O31" s="18">
        <f t="shared" si="14"/>
        <v>5910.1184320500952</v>
      </c>
      <c r="P31" s="18">
        <f t="shared" si="14"/>
        <v>5900.118231657455</v>
      </c>
      <c r="Q31" s="18">
        <f t="shared" si="14"/>
        <v>5910.1184320500952</v>
      </c>
      <c r="R31" s="18">
        <f t="shared" si="14"/>
        <v>5900.118231657455</v>
      </c>
      <c r="S31" s="18">
        <f t="shared" si="14"/>
        <v>2950.0591158287275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250</v>
      </c>
      <c r="B32" s="303">
        <f>B17</f>
        <v>3723.92</v>
      </c>
      <c r="C32" s="304"/>
      <c r="D32" s="301">
        <f>D27*$B$32</f>
        <v>496.52266666666668</v>
      </c>
      <c r="E32" s="301">
        <f t="shared" ref="E32:AH32" si="16">E27*$B$32</f>
        <v>744.78400000000011</v>
      </c>
      <c r="F32" s="301">
        <f t="shared" si="16"/>
        <v>744.78400000000011</v>
      </c>
      <c r="G32" s="301">
        <f t="shared" si="16"/>
        <v>744.78400000000011</v>
      </c>
      <c r="H32" s="301">
        <f t="shared" si="16"/>
        <v>744.78400000000011</v>
      </c>
      <c r="I32" s="301">
        <f t="shared" si="16"/>
        <v>248.2613333333334</v>
      </c>
      <c r="J32" s="301">
        <f t="shared" si="16"/>
        <v>0</v>
      </c>
      <c r="K32" s="301">
        <f t="shared" si="16"/>
        <v>0</v>
      </c>
      <c r="L32" s="301">
        <f t="shared" si="16"/>
        <v>0</v>
      </c>
      <c r="M32" s="301">
        <f t="shared" si="16"/>
        <v>0</v>
      </c>
      <c r="N32" s="301">
        <f t="shared" si="16"/>
        <v>0</v>
      </c>
      <c r="O32" s="301">
        <f t="shared" si="16"/>
        <v>0</v>
      </c>
      <c r="P32" s="301">
        <f t="shared" si="16"/>
        <v>0</v>
      </c>
      <c r="Q32" s="301">
        <f t="shared" si="16"/>
        <v>0</v>
      </c>
      <c r="R32" s="301">
        <f t="shared" si="16"/>
        <v>0</v>
      </c>
      <c r="S32" s="301">
        <f t="shared" si="16"/>
        <v>0</v>
      </c>
      <c r="T32" s="301">
        <f t="shared" si="16"/>
        <v>0</v>
      </c>
      <c r="U32" s="301">
        <f t="shared" si="16"/>
        <v>0</v>
      </c>
      <c r="V32" s="301">
        <f t="shared" si="16"/>
        <v>0</v>
      </c>
      <c r="W32" s="301">
        <f t="shared" si="16"/>
        <v>0</v>
      </c>
      <c r="X32" s="301">
        <f t="shared" si="16"/>
        <v>0</v>
      </c>
      <c r="Y32" s="301">
        <f t="shared" si="16"/>
        <v>0</v>
      </c>
      <c r="Z32" s="301">
        <f t="shared" si="16"/>
        <v>0</v>
      </c>
      <c r="AA32" s="301">
        <f t="shared" si="16"/>
        <v>0</v>
      </c>
      <c r="AB32" s="301">
        <f t="shared" si="16"/>
        <v>0</v>
      </c>
      <c r="AC32" s="301">
        <f t="shared" si="16"/>
        <v>0</v>
      </c>
      <c r="AD32" s="301">
        <f t="shared" si="16"/>
        <v>0</v>
      </c>
      <c r="AE32" s="301">
        <f t="shared" si="16"/>
        <v>0</v>
      </c>
      <c r="AF32" s="301">
        <f t="shared" si="16"/>
        <v>0</v>
      </c>
      <c r="AG32" s="301">
        <f t="shared" si="16"/>
        <v>0</v>
      </c>
      <c r="AH32" s="301">
        <f t="shared" si="16"/>
        <v>0</v>
      </c>
    </row>
    <row r="33" spans="1:38" s="10" customFormat="1" ht="15">
      <c r="A33" s="22" t="s">
        <v>318</v>
      </c>
      <c r="B33" s="375">
        <f>B18</f>
        <v>1000</v>
      </c>
      <c r="C33" s="304"/>
      <c r="D33" s="376">
        <f t="shared" ref="D33:Y33" si="17">$B33*D28</f>
        <v>33.333333333333336</v>
      </c>
      <c r="E33" s="376">
        <f t="shared" si="17"/>
        <v>50</v>
      </c>
      <c r="F33" s="376">
        <f t="shared" si="17"/>
        <v>50</v>
      </c>
      <c r="G33" s="376">
        <f t="shared" si="17"/>
        <v>50</v>
      </c>
      <c r="H33" s="376">
        <f t="shared" si="17"/>
        <v>50</v>
      </c>
      <c r="I33" s="376">
        <f t="shared" si="17"/>
        <v>50</v>
      </c>
      <c r="J33" s="376">
        <f t="shared" si="17"/>
        <v>50</v>
      </c>
      <c r="K33" s="376">
        <f t="shared" si="17"/>
        <v>50</v>
      </c>
      <c r="L33" s="376">
        <f t="shared" si="17"/>
        <v>50</v>
      </c>
      <c r="M33" s="376">
        <f t="shared" si="17"/>
        <v>50</v>
      </c>
      <c r="N33" s="376">
        <f t="shared" si="17"/>
        <v>50</v>
      </c>
      <c r="O33" s="376">
        <f t="shared" si="17"/>
        <v>50</v>
      </c>
      <c r="P33" s="376">
        <f t="shared" si="17"/>
        <v>50</v>
      </c>
      <c r="Q33" s="376">
        <f t="shared" si="17"/>
        <v>50</v>
      </c>
      <c r="R33" s="376">
        <f t="shared" si="17"/>
        <v>50</v>
      </c>
      <c r="S33" s="376">
        <f t="shared" si="17"/>
        <v>50</v>
      </c>
      <c r="T33" s="376">
        <f t="shared" si="17"/>
        <v>50</v>
      </c>
      <c r="U33" s="376">
        <f t="shared" si="17"/>
        <v>50</v>
      </c>
      <c r="V33" s="376">
        <f t="shared" si="17"/>
        <v>50</v>
      </c>
      <c r="W33" s="376">
        <f t="shared" si="17"/>
        <v>50</v>
      </c>
      <c r="X33" s="376">
        <f t="shared" si="17"/>
        <v>16.666666666666671</v>
      </c>
      <c r="Y33" s="376">
        <f t="shared" si="17"/>
        <v>0</v>
      </c>
      <c r="Z33" s="376">
        <f t="shared" ref="Z33:AH33" si="18">$B33*Z28</f>
        <v>0</v>
      </c>
      <c r="AA33" s="376">
        <f t="shared" si="18"/>
        <v>0</v>
      </c>
      <c r="AB33" s="376">
        <f t="shared" si="18"/>
        <v>0</v>
      </c>
      <c r="AC33" s="376">
        <f t="shared" si="18"/>
        <v>0</v>
      </c>
      <c r="AD33" s="376">
        <f t="shared" si="18"/>
        <v>0</v>
      </c>
      <c r="AE33" s="376">
        <f t="shared" si="18"/>
        <v>0</v>
      </c>
      <c r="AF33" s="376">
        <f t="shared" si="18"/>
        <v>0</v>
      </c>
      <c r="AG33" s="376">
        <f t="shared" si="18"/>
        <v>0</v>
      </c>
      <c r="AH33" s="376">
        <f t="shared" si="18"/>
        <v>0</v>
      </c>
    </row>
    <row r="34" spans="1:38" s="10" customFormat="1">
      <c r="A34" s="16" t="s">
        <v>62</v>
      </c>
      <c r="B34" s="18">
        <f>SUM(B31:B33)</f>
        <v>104725.92392639755</v>
      </c>
      <c r="C34" s="304"/>
      <c r="D34" s="18">
        <f t="shared" ref="D34:Y34" si="19">SUM(D31:D33)</f>
        <v>5529.9561963198776</v>
      </c>
      <c r="E34" s="18">
        <f t="shared" si="19"/>
        <v>10294.974373007766</v>
      </c>
      <c r="F34" s="18">
        <f t="shared" si="19"/>
        <v>9344.9553357069908</v>
      </c>
      <c r="G34" s="18">
        <f t="shared" si="19"/>
        <v>8494.9383023326118</v>
      </c>
      <c r="H34" s="18">
        <f t="shared" si="19"/>
        <v>7724.9228720993506</v>
      </c>
      <c r="I34" s="18">
        <f t="shared" si="19"/>
        <v>6528.3861779479012</v>
      </c>
      <c r="J34" s="18">
        <f t="shared" si="19"/>
        <v>5950.118231657455</v>
      </c>
      <c r="K34" s="18">
        <f t="shared" si="19"/>
        <v>5960.1184320500952</v>
      </c>
      <c r="L34" s="18">
        <f t="shared" si="19"/>
        <v>5950.118231657455</v>
      </c>
      <c r="M34" s="18">
        <f t="shared" si="19"/>
        <v>5960.1184320500952</v>
      </c>
      <c r="N34" s="18">
        <f t="shared" si="19"/>
        <v>5950.118231657455</v>
      </c>
      <c r="O34" s="18">
        <f t="shared" si="19"/>
        <v>5960.1184320500952</v>
      </c>
      <c r="P34" s="18">
        <f t="shared" si="19"/>
        <v>5950.118231657455</v>
      </c>
      <c r="Q34" s="18">
        <f t="shared" si="19"/>
        <v>5960.1184320500952</v>
      </c>
      <c r="R34" s="18">
        <f t="shared" si="19"/>
        <v>5950.118231657455</v>
      </c>
      <c r="S34" s="18">
        <f t="shared" si="19"/>
        <v>3000.0591158287275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5">
        <f>B34</f>
        <v>104725.92392639755</v>
      </c>
      <c r="C36" s="379"/>
      <c r="D36" s="305">
        <f>B34-D34</f>
        <v>99195.967730077668</v>
      </c>
      <c r="E36" s="305">
        <f>D36-E34</f>
        <v>88900.993357069907</v>
      </c>
      <c r="F36" s="305">
        <f t="shared" ref="F36:W36" si="21">E36-F34</f>
        <v>79556.038021362911</v>
      </c>
      <c r="G36" s="305">
        <f t="shared" si="21"/>
        <v>71061.099719030302</v>
      </c>
      <c r="H36" s="305">
        <f t="shared" si="21"/>
        <v>63336.176846930954</v>
      </c>
      <c r="I36" s="305">
        <f t="shared" si="21"/>
        <v>56807.790668983056</v>
      </c>
      <c r="J36" s="305">
        <f t="shared" si="21"/>
        <v>50857.6724373256</v>
      </c>
      <c r="K36" s="305">
        <f t="shared" si="21"/>
        <v>44897.554005275502</v>
      </c>
      <c r="L36" s="305">
        <f t="shared" si="21"/>
        <v>38947.435773618046</v>
      </c>
      <c r="M36" s="305">
        <f t="shared" si="21"/>
        <v>32987.317341567948</v>
      </c>
      <c r="N36" s="305">
        <f t="shared" si="21"/>
        <v>27037.199109910493</v>
      </c>
      <c r="O36" s="305">
        <f t="shared" si="21"/>
        <v>21077.080677860398</v>
      </c>
      <c r="P36" s="305">
        <f t="shared" si="21"/>
        <v>15126.962446202942</v>
      </c>
      <c r="Q36" s="305">
        <f t="shared" si="21"/>
        <v>9166.8440141528481</v>
      </c>
      <c r="R36" s="305">
        <f t="shared" si="21"/>
        <v>3216.7257824953931</v>
      </c>
      <c r="S36" s="305">
        <f t="shared" si="21"/>
        <v>216.66666666666561</v>
      </c>
      <c r="T36" s="305">
        <f t="shared" si="21"/>
        <v>166.66666666666561</v>
      </c>
      <c r="U36" s="305">
        <f t="shared" si="21"/>
        <v>116.66666666666561</v>
      </c>
      <c r="V36" s="305">
        <f t="shared" si="21"/>
        <v>66.666666666665606</v>
      </c>
      <c r="W36" s="305">
        <f t="shared" si="21"/>
        <v>16.666666666665606</v>
      </c>
      <c r="X36" s="305">
        <f>W36-X34</f>
        <v>-1.0658141036401503E-12</v>
      </c>
      <c r="Y36" s="305">
        <f>X36-Y34</f>
        <v>-1.0658141036401503E-12</v>
      </c>
      <c r="Z36" s="305">
        <f t="shared" ref="Z36:AH36" si="22">Y36-Z34</f>
        <v>-1.0658141036401503E-12</v>
      </c>
      <c r="AA36" s="305">
        <f t="shared" si="22"/>
        <v>-1.0658141036401503E-12</v>
      </c>
      <c r="AB36" s="305">
        <f t="shared" si="22"/>
        <v>-1.0658141036401503E-12</v>
      </c>
      <c r="AC36" s="305">
        <f t="shared" si="22"/>
        <v>-1.0658141036401503E-12</v>
      </c>
      <c r="AD36" s="305">
        <f t="shared" si="22"/>
        <v>-1.0658141036401503E-12</v>
      </c>
      <c r="AE36" s="305">
        <f t="shared" si="22"/>
        <v>-1.0658141036401503E-12</v>
      </c>
      <c r="AF36" s="305">
        <f t="shared" si="22"/>
        <v>-1.0658141036401503E-12</v>
      </c>
      <c r="AG36" s="305">
        <f t="shared" si="22"/>
        <v>-1.0658141036401503E-12</v>
      </c>
      <c r="AH36" s="305">
        <f t="shared" si="22"/>
        <v>-1.0658141036401503E-12</v>
      </c>
      <c r="AI36" s="302"/>
      <c r="AJ36" s="302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2" t="s">
        <v>66</v>
      </c>
    </row>
    <row r="41" spans="1:38" s="10" customFormat="1">
      <c r="A41" s="21" t="s">
        <v>373</v>
      </c>
      <c r="B41" s="31">
        <f>Assumptions!$N$44</f>
        <v>30</v>
      </c>
      <c r="C41" s="373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250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318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249</v>
      </c>
      <c r="B45" s="374">
        <f>B16</f>
        <v>100002.00392639755</v>
      </c>
      <c r="C45" s="304"/>
      <c r="D45" s="18">
        <f t="shared" ref="D45:Y45" si="24">D41*$B$45</f>
        <v>2000.0400785279508</v>
      </c>
      <c r="E45" s="18">
        <f t="shared" si="24"/>
        <v>3000.0601177919261</v>
      </c>
      <c r="F45" s="18">
        <f t="shared" si="24"/>
        <v>3000.0601177919261</v>
      </c>
      <c r="G45" s="18">
        <f t="shared" si="24"/>
        <v>3000.0601177919261</v>
      </c>
      <c r="H45" s="18">
        <f t="shared" si="24"/>
        <v>3000.0601177919261</v>
      </c>
      <c r="I45" s="18">
        <f t="shared" si="24"/>
        <v>3000.0601177919261</v>
      </c>
      <c r="J45" s="18">
        <f t="shared" si="24"/>
        <v>3000.0601177919261</v>
      </c>
      <c r="K45" s="18">
        <f t="shared" si="24"/>
        <v>3000.0601177919261</v>
      </c>
      <c r="L45" s="18">
        <f t="shared" si="24"/>
        <v>3000.0601177919261</v>
      </c>
      <c r="M45" s="18">
        <f t="shared" si="24"/>
        <v>3000.0601177919261</v>
      </c>
      <c r="N45" s="18">
        <f t="shared" si="24"/>
        <v>3000.0601177919261</v>
      </c>
      <c r="O45" s="18">
        <f t="shared" si="24"/>
        <v>3000.0601177919261</v>
      </c>
      <c r="P45" s="18">
        <f t="shared" si="24"/>
        <v>3000.0601177919261</v>
      </c>
      <c r="Q45" s="18">
        <f t="shared" si="24"/>
        <v>3000.0601177919261</v>
      </c>
      <c r="R45" s="18">
        <f t="shared" si="24"/>
        <v>3000.0601177919261</v>
      </c>
      <c r="S45" s="18">
        <f t="shared" si="24"/>
        <v>3000.0601177919261</v>
      </c>
      <c r="T45" s="18">
        <f t="shared" si="24"/>
        <v>3000.0601177919261</v>
      </c>
      <c r="U45" s="18">
        <f t="shared" si="24"/>
        <v>3000.0601177919261</v>
      </c>
      <c r="V45" s="18">
        <f t="shared" si="24"/>
        <v>3000.0601177919261</v>
      </c>
      <c r="W45" s="18">
        <f t="shared" si="24"/>
        <v>3000.0601177919261</v>
      </c>
      <c r="X45" s="18">
        <f t="shared" si="24"/>
        <v>3000.0601177919261</v>
      </c>
      <c r="Y45" s="18">
        <f t="shared" si="24"/>
        <v>3000.0601177919261</v>
      </c>
      <c r="Z45" s="18">
        <f t="shared" ref="Z45:AH45" si="25">Z41*$B$45</f>
        <v>3000.0601177919261</v>
      </c>
      <c r="AA45" s="18">
        <f t="shared" si="25"/>
        <v>3000.0601177919261</v>
      </c>
      <c r="AB45" s="18">
        <f t="shared" si="25"/>
        <v>3000.0601177919261</v>
      </c>
      <c r="AC45" s="18">
        <f t="shared" si="25"/>
        <v>3000.0601177919261</v>
      </c>
      <c r="AD45" s="18">
        <f t="shared" si="25"/>
        <v>3000.0601177919261</v>
      </c>
      <c r="AE45" s="18">
        <f t="shared" si="25"/>
        <v>3000.0601177919261</v>
      </c>
      <c r="AF45" s="18">
        <f t="shared" si="25"/>
        <v>3000.0601177919261</v>
      </c>
      <c r="AG45" s="18">
        <f t="shared" si="25"/>
        <v>3000.0601177919261</v>
      </c>
      <c r="AH45" s="18">
        <f t="shared" si="25"/>
        <v>1000.0200392639757</v>
      </c>
      <c r="AI45" s="20"/>
      <c r="AJ45" s="20"/>
      <c r="AK45" s="20"/>
      <c r="AL45" s="20"/>
    </row>
    <row r="46" spans="1:38" s="10" customFormat="1">
      <c r="A46" s="21" t="s">
        <v>250</v>
      </c>
      <c r="B46" s="303">
        <f>B17</f>
        <v>3723.92</v>
      </c>
      <c r="C46" s="304"/>
      <c r="D46" s="301">
        <f>D42*$B$46</f>
        <v>496.52266666666668</v>
      </c>
      <c r="E46" s="301">
        <f t="shared" ref="E46:AH46" si="26">E42*$B$46</f>
        <v>744.78400000000011</v>
      </c>
      <c r="F46" s="301">
        <f t="shared" si="26"/>
        <v>744.78400000000011</v>
      </c>
      <c r="G46" s="301">
        <f t="shared" si="26"/>
        <v>744.78400000000011</v>
      </c>
      <c r="H46" s="301">
        <f t="shared" si="26"/>
        <v>744.78400000000011</v>
      </c>
      <c r="I46" s="301">
        <f t="shared" si="26"/>
        <v>248.2613333333334</v>
      </c>
      <c r="J46" s="301">
        <f t="shared" si="26"/>
        <v>0</v>
      </c>
      <c r="K46" s="301">
        <f t="shared" si="26"/>
        <v>0</v>
      </c>
      <c r="L46" s="301">
        <f t="shared" si="26"/>
        <v>0</v>
      </c>
      <c r="M46" s="301">
        <f t="shared" si="26"/>
        <v>0</v>
      </c>
      <c r="N46" s="301">
        <f t="shared" si="26"/>
        <v>0</v>
      </c>
      <c r="O46" s="301">
        <f t="shared" si="26"/>
        <v>0</v>
      </c>
      <c r="P46" s="301">
        <f t="shared" si="26"/>
        <v>0</v>
      </c>
      <c r="Q46" s="301">
        <f t="shared" si="26"/>
        <v>0</v>
      </c>
      <c r="R46" s="301">
        <f t="shared" si="26"/>
        <v>0</v>
      </c>
      <c r="S46" s="301">
        <f t="shared" si="26"/>
        <v>0</v>
      </c>
      <c r="T46" s="301">
        <f t="shared" si="26"/>
        <v>0</v>
      </c>
      <c r="U46" s="301">
        <f t="shared" si="26"/>
        <v>0</v>
      </c>
      <c r="V46" s="301">
        <f t="shared" si="26"/>
        <v>0</v>
      </c>
      <c r="W46" s="301">
        <f t="shared" si="26"/>
        <v>0</v>
      </c>
      <c r="X46" s="301">
        <f t="shared" si="26"/>
        <v>0</v>
      </c>
      <c r="Y46" s="301">
        <f t="shared" si="26"/>
        <v>0</v>
      </c>
      <c r="Z46" s="301">
        <f t="shared" si="26"/>
        <v>0</v>
      </c>
      <c r="AA46" s="301">
        <f t="shared" si="26"/>
        <v>0</v>
      </c>
      <c r="AB46" s="301">
        <f t="shared" si="26"/>
        <v>0</v>
      </c>
      <c r="AC46" s="301">
        <f t="shared" si="26"/>
        <v>0</v>
      </c>
      <c r="AD46" s="301">
        <f t="shared" si="26"/>
        <v>0</v>
      </c>
      <c r="AE46" s="301">
        <f t="shared" si="26"/>
        <v>0</v>
      </c>
      <c r="AF46" s="301">
        <f t="shared" si="26"/>
        <v>0</v>
      </c>
      <c r="AG46" s="301">
        <f t="shared" si="26"/>
        <v>0</v>
      </c>
      <c r="AH46" s="301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318</v>
      </c>
      <c r="B47" s="375">
        <f>B18</f>
        <v>1000</v>
      </c>
      <c r="C47" s="304"/>
      <c r="D47" s="376">
        <f t="shared" ref="D47:Y47" si="27">D43*$B$47</f>
        <v>33.333333333333336</v>
      </c>
      <c r="E47" s="376">
        <f t="shared" si="27"/>
        <v>50</v>
      </c>
      <c r="F47" s="376">
        <f t="shared" si="27"/>
        <v>50</v>
      </c>
      <c r="G47" s="376">
        <f t="shared" si="27"/>
        <v>50</v>
      </c>
      <c r="H47" s="376">
        <f t="shared" si="27"/>
        <v>50</v>
      </c>
      <c r="I47" s="376">
        <f t="shared" si="27"/>
        <v>50</v>
      </c>
      <c r="J47" s="376">
        <f t="shared" si="27"/>
        <v>50</v>
      </c>
      <c r="K47" s="376">
        <f t="shared" si="27"/>
        <v>50</v>
      </c>
      <c r="L47" s="376">
        <f t="shared" si="27"/>
        <v>50</v>
      </c>
      <c r="M47" s="376">
        <f t="shared" si="27"/>
        <v>50</v>
      </c>
      <c r="N47" s="376">
        <f t="shared" si="27"/>
        <v>50</v>
      </c>
      <c r="O47" s="376">
        <f t="shared" si="27"/>
        <v>50</v>
      </c>
      <c r="P47" s="376">
        <f t="shared" si="27"/>
        <v>50</v>
      </c>
      <c r="Q47" s="376">
        <f t="shared" si="27"/>
        <v>50</v>
      </c>
      <c r="R47" s="376">
        <f t="shared" si="27"/>
        <v>50</v>
      </c>
      <c r="S47" s="376">
        <f t="shared" si="27"/>
        <v>50</v>
      </c>
      <c r="T47" s="376">
        <f t="shared" si="27"/>
        <v>50</v>
      </c>
      <c r="U47" s="376">
        <f t="shared" si="27"/>
        <v>50</v>
      </c>
      <c r="V47" s="376">
        <f t="shared" si="27"/>
        <v>50</v>
      </c>
      <c r="W47" s="376">
        <f t="shared" si="27"/>
        <v>50</v>
      </c>
      <c r="X47" s="376">
        <f t="shared" si="27"/>
        <v>16.666666666666671</v>
      </c>
      <c r="Y47" s="376">
        <f t="shared" si="27"/>
        <v>0</v>
      </c>
      <c r="Z47" s="376">
        <f t="shared" ref="Z47:AH47" si="28">Z43*$B$47</f>
        <v>0</v>
      </c>
      <c r="AA47" s="376">
        <f t="shared" si="28"/>
        <v>0</v>
      </c>
      <c r="AB47" s="376">
        <f t="shared" si="28"/>
        <v>0</v>
      </c>
      <c r="AC47" s="376">
        <f t="shared" si="28"/>
        <v>0</v>
      </c>
      <c r="AD47" s="376">
        <f t="shared" si="28"/>
        <v>0</v>
      </c>
      <c r="AE47" s="376">
        <f t="shared" si="28"/>
        <v>0</v>
      </c>
      <c r="AF47" s="376">
        <f t="shared" si="28"/>
        <v>0</v>
      </c>
      <c r="AG47" s="376">
        <f t="shared" si="28"/>
        <v>0</v>
      </c>
      <c r="AH47" s="376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104725.92392639755</v>
      </c>
      <c r="C48" s="304"/>
      <c r="D48" s="18">
        <f t="shared" ref="D48:Y48" si="29">SUM(D45:D47)</f>
        <v>2529.896078527951</v>
      </c>
      <c r="E48" s="18">
        <f t="shared" si="29"/>
        <v>3794.8441177919262</v>
      </c>
      <c r="F48" s="18">
        <f t="shared" si="29"/>
        <v>3794.8441177919262</v>
      </c>
      <c r="G48" s="18">
        <f t="shared" si="29"/>
        <v>3794.8441177919262</v>
      </c>
      <c r="H48" s="18">
        <f t="shared" si="29"/>
        <v>3794.8441177919262</v>
      </c>
      <c r="I48" s="18">
        <f t="shared" si="29"/>
        <v>3298.3214511252595</v>
      </c>
      <c r="J48" s="18">
        <f t="shared" si="29"/>
        <v>3050.0601177919261</v>
      </c>
      <c r="K48" s="18">
        <f t="shared" si="29"/>
        <v>3050.0601177919261</v>
      </c>
      <c r="L48" s="18">
        <f t="shared" si="29"/>
        <v>3050.0601177919261</v>
      </c>
      <c r="M48" s="18">
        <f t="shared" si="29"/>
        <v>3050.0601177919261</v>
      </c>
      <c r="N48" s="18">
        <f t="shared" si="29"/>
        <v>3050.0601177919261</v>
      </c>
      <c r="O48" s="18">
        <f t="shared" si="29"/>
        <v>3050.0601177919261</v>
      </c>
      <c r="P48" s="18">
        <f t="shared" si="29"/>
        <v>3050.0601177919261</v>
      </c>
      <c r="Q48" s="18">
        <f t="shared" si="29"/>
        <v>3050.0601177919261</v>
      </c>
      <c r="R48" s="18">
        <f t="shared" si="29"/>
        <v>3050.0601177919261</v>
      </c>
      <c r="S48" s="18">
        <f t="shared" si="29"/>
        <v>3050.0601177919261</v>
      </c>
      <c r="T48" s="18">
        <f t="shared" si="29"/>
        <v>3050.0601177919261</v>
      </c>
      <c r="U48" s="18">
        <f t="shared" si="29"/>
        <v>3050.0601177919261</v>
      </c>
      <c r="V48" s="18">
        <f t="shared" si="29"/>
        <v>3050.0601177919261</v>
      </c>
      <c r="W48" s="18">
        <f t="shared" si="29"/>
        <v>3050.0601177919261</v>
      </c>
      <c r="X48" s="18">
        <f t="shared" si="29"/>
        <v>3016.7267844585926</v>
      </c>
      <c r="Y48" s="18">
        <f t="shared" si="29"/>
        <v>3000.0601177919261</v>
      </c>
      <c r="Z48" s="18">
        <f t="shared" ref="Z48:AH48" si="30">SUM(Z45:Z47)</f>
        <v>3000.0601177919261</v>
      </c>
      <c r="AA48" s="18">
        <f t="shared" si="30"/>
        <v>3000.0601177919261</v>
      </c>
      <c r="AB48" s="18">
        <f t="shared" si="30"/>
        <v>3000.0601177919261</v>
      </c>
      <c r="AC48" s="18">
        <f t="shared" si="30"/>
        <v>3000.0601177919261</v>
      </c>
      <c r="AD48" s="18">
        <f t="shared" si="30"/>
        <v>3000.0601177919261</v>
      </c>
      <c r="AE48" s="18">
        <f t="shared" si="30"/>
        <v>3000.0601177919261</v>
      </c>
      <c r="AF48" s="18">
        <f t="shared" si="30"/>
        <v>3000.0601177919261</v>
      </c>
      <c r="AG48" s="18">
        <f t="shared" si="30"/>
        <v>3000.0601177919261</v>
      </c>
      <c r="AH48" s="18">
        <f t="shared" si="30"/>
        <v>1000.0200392639757</v>
      </c>
      <c r="AI48" s="20"/>
      <c r="AJ48" s="20"/>
      <c r="AK48" s="20"/>
      <c r="AL48" s="20"/>
    </row>
    <row r="49" spans="1:38">
      <c r="A49" s="22"/>
      <c r="B49" s="18"/>
      <c r="C49" s="37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6" t="s">
        <v>67</v>
      </c>
      <c r="B50" s="380">
        <f>B48</f>
        <v>104725.92392639755</v>
      </c>
      <c r="C50" s="379"/>
      <c r="D50" s="305">
        <f>B48-D48</f>
        <v>102196.0278478696</v>
      </c>
      <c r="E50" s="305">
        <f>D50-E48</f>
        <v>98401.183730077668</v>
      </c>
      <c r="F50" s="305">
        <f t="shared" ref="F50:Y50" si="31">E50-F48</f>
        <v>94606.339612285738</v>
      </c>
      <c r="G50" s="305">
        <f t="shared" si="31"/>
        <v>90811.495494493807</v>
      </c>
      <c r="H50" s="305">
        <f t="shared" si="31"/>
        <v>87016.651376701877</v>
      </c>
      <c r="I50" s="305">
        <f t="shared" si="31"/>
        <v>83718.329925576618</v>
      </c>
      <c r="J50" s="305">
        <f t="shared" si="31"/>
        <v>80668.269807784687</v>
      </c>
      <c r="K50" s="305">
        <f t="shared" si="31"/>
        <v>77618.209689992756</v>
      </c>
      <c r="L50" s="305">
        <f t="shared" si="31"/>
        <v>74568.149572200826</v>
      </c>
      <c r="M50" s="305">
        <f t="shared" si="31"/>
        <v>71518.089454408895</v>
      </c>
      <c r="N50" s="305">
        <f t="shared" si="31"/>
        <v>68468.029336616964</v>
      </c>
      <c r="O50" s="305">
        <f t="shared" si="31"/>
        <v>65417.969218825041</v>
      </c>
      <c r="P50" s="305">
        <f t="shared" si="31"/>
        <v>62367.909101033118</v>
      </c>
      <c r="Q50" s="305">
        <f t="shared" si="31"/>
        <v>59317.848983241194</v>
      </c>
      <c r="R50" s="305">
        <f t="shared" si="31"/>
        <v>56267.788865449271</v>
      </c>
      <c r="S50" s="305">
        <f t="shared" si="31"/>
        <v>53217.728747657347</v>
      </c>
      <c r="T50" s="305">
        <f t="shared" si="31"/>
        <v>50167.668629865424</v>
      </c>
      <c r="U50" s="305">
        <f t="shared" si="31"/>
        <v>47117.608512073501</v>
      </c>
      <c r="V50" s="305">
        <f t="shared" si="31"/>
        <v>44067.548394281577</v>
      </c>
      <c r="W50" s="305">
        <f t="shared" si="31"/>
        <v>41017.488276489654</v>
      </c>
      <c r="X50" s="305">
        <f t="shared" si="31"/>
        <v>38000.761492031059</v>
      </c>
      <c r="Y50" s="305">
        <f t="shared" si="31"/>
        <v>35000.701374239135</v>
      </c>
      <c r="Z50" s="305">
        <f t="shared" ref="Z50:AH50" si="32">Y50-Z48</f>
        <v>32000.641256447208</v>
      </c>
      <c r="AA50" s="305">
        <f t="shared" si="32"/>
        <v>29000.581138655281</v>
      </c>
      <c r="AB50" s="305">
        <f t="shared" si="32"/>
        <v>26000.521020863354</v>
      </c>
      <c r="AC50" s="305">
        <f t="shared" si="32"/>
        <v>23000.460903071427</v>
      </c>
      <c r="AD50" s="305">
        <f t="shared" si="32"/>
        <v>20000.4007852795</v>
      </c>
      <c r="AE50" s="305">
        <f t="shared" si="32"/>
        <v>17000.340667487573</v>
      </c>
      <c r="AF50" s="305">
        <f t="shared" si="32"/>
        <v>14000.280549695646</v>
      </c>
      <c r="AG50" s="305">
        <f t="shared" si="32"/>
        <v>11000.220431903719</v>
      </c>
      <c r="AH50" s="305">
        <f t="shared" si="32"/>
        <v>10000.200392639743</v>
      </c>
      <c r="AI50" s="238"/>
      <c r="AJ50" s="238"/>
      <c r="AK50" s="238"/>
      <c r="AL50" s="238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4">
        <f>'Price_Technical Assumption'!D7</f>
        <v>0.66666666666666663</v>
      </c>
      <c r="C6" s="214">
        <f>'Price_Technical Assumption'!E7</f>
        <v>1.6666666666666665</v>
      </c>
      <c r="D6" s="214">
        <f>'Price_Technical Assumption'!F7</f>
        <v>2.6666666666666665</v>
      </c>
      <c r="E6" s="214">
        <f>'Price_Technical Assumption'!G7</f>
        <v>3.6666666666666665</v>
      </c>
      <c r="F6" s="214">
        <f>'Price_Technical Assumption'!H7</f>
        <v>4.6666666666666661</v>
      </c>
      <c r="G6" s="214">
        <f>'Price_Technical Assumption'!I7</f>
        <v>5.6666666666666661</v>
      </c>
      <c r="H6" s="214">
        <f>'Price_Technical Assumption'!J7</f>
        <v>6.6666666666666661</v>
      </c>
      <c r="I6" s="214">
        <f>'Price_Technical Assumption'!K7</f>
        <v>7.6666666666666661</v>
      </c>
      <c r="J6" s="214">
        <f>'Price_Technical Assumption'!L7</f>
        <v>8.6666666666666661</v>
      </c>
      <c r="K6" s="214">
        <f>'Price_Technical Assumption'!M7</f>
        <v>9.6666666666666661</v>
      </c>
      <c r="L6" s="214">
        <f>'Price_Technical Assumption'!N7</f>
        <v>10.666666666666666</v>
      </c>
      <c r="M6" s="214">
        <f>'Price_Technical Assumption'!O7</f>
        <v>11.666666666666666</v>
      </c>
      <c r="N6" s="214">
        <f>'Price_Technical Assumption'!P7</f>
        <v>12.666666666666666</v>
      </c>
      <c r="O6" s="214">
        <f>'Price_Technical Assumption'!Q7</f>
        <v>13.666666666666666</v>
      </c>
      <c r="P6" s="214">
        <f>'Price_Technical Assumption'!R7</f>
        <v>14.666666666666666</v>
      </c>
      <c r="Q6" s="214">
        <f>'Price_Technical Assumption'!S7</f>
        <v>15.666666666666666</v>
      </c>
      <c r="R6" s="214">
        <f>'Price_Technical Assumption'!T7</f>
        <v>16.666666666666664</v>
      </c>
      <c r="S6" s="214">
        <f>'Price_Technical Assumption'!U7</f>
        <v>17.666666666666664</v>
      </c>
      <c r="T6" s="214">
        <f>'Price_Technical Assumption'!V7</f>
        <v>18.666666666666664</v>
      </c>
      <c r="U6" s="214">
        <f>'Price_Technical Assumption'!W7</f>
        <v>19.666666666666664</v>
      </c>
      <c r="V6" s="214">
        <f>'Price_Technical Assumption'!X7</f>
        <v>20.666666666666664</v>
      </c>
      <c r="W6" s="214">
        <f>'Price_Technical Assumption'!Y7</f>
        <v>21.666666666666664</v>
      </c>
      <c r="X6" s="214">
        <f>'Price_Technical Assumption'!Z7</f>
        <v>22.666666666666664</v>
      </c>
      <c r="Y6" s="214">
        <f>'Price_Technical Assumption'!AA7</f>
        <v>23.666666666666664</v>
      </c>
      <c r="Z6" s="214">
        <f>'Price_Technical Assumption'!AB7</f>
        <v>24.666666666666664</v>
      </c>
      <c r="AA6" s="214">
        <f>'Price_Technical Assumption'!AC7</f>
        <v>25.666666666666664</v>
      </c>
      <c r="AB6" s="214">
        <f>'Price_Technical Assumption'!AD7</f>
        <v>26.666666666666664</v>
      </c>
      <c r="AC6" s="214">
        <f>'Price_Technical Assumption'!AE7</f>
        <v>27.666666666666664</v>
      </c>
      <c r="AD6" s="214">
        <f>'Price_Technical Assumption'!AF7</f>
        <v>28.666666666666664</v>
      </c>
      <c r="AE6" s="214">
        <f>'Price_Technical Assumption'!AG7</f>
        <v>29.666666666666664</v>
      </c>
      <c r="AF6" s="214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5">
        <f>Depreciation!D8</f>
        <v>37256</v>
      </c>
      <c r="C8" s="205">
        <f>Depreciation!E8</f>
        <v>37621</v>
      </c>
      <c r="D8" s="205">
        <f>Depreciation!F8</f>
        <v>37986</v>
      </c>
      <c r="E8" s="205">
        <f>Depreciation!G8</f>
        <v>38352</v>
      </c>
      <c r="F8" s="205">
        <f>Depreciation!H8</f>
        <v>38717</v>
      </c>
      <c r="G8" s="205">
        <f>Depreciation!I8</f>
        <v>39082</v>
      </c>
      <c r="H8" s="205">
        <f>Depreciation!J8</f>
        <v>39447</v>
      </c>
      <c r="I8" s="205">
        <f>Depreciation!K8</f>
        <v>39813</v>
      </c>
      <c r="J8" s="205">
        <f>Depreciation!L8</f>
        <v>40178</v>
      </c>
      <c r="K8" s="205">
        <f>Depreciation!M8</f>
        <v>40543</v>
      </c>
      <c r="L8" s="205">
        <f>Depreciation!N8</f>
        <v>40908</v>
      </c>
      <c r="M8" s="205">
        <f>Depreciation!O8</f>
        <v>41274</v>
      </c>
      <c r="N8" s="205">
        <f>Depreciation!P8</f>
        <v>41639</v>
      </c>
      <c r="O8" s="205">
        <f>Depreciation!Q8</f>
        <v>42004</v>
      </c>
      <c r="P8" s="205">
        <f>Depreciation!R8</f>
        <v>42369</v>
      </c>
      <c r="Q8" s="205">
        <f>Depreciation!S8</f>
        <v>42735</v>
      </c>
      <c r="R8" s="205">
        <f>Depreciation!T8</f>
        <v>43100</v>
      </c>
      <c r="S8" s="205">
        <f>Depreciation!U8</f>
        <v>43465</v>
      </c>
      <c r="T8" s="205">
        <f>Depreciation!V8</f>
        <v>43830</v>
      </c>
      <c r="U8" s="205">
        <f>Depreciation!W8</f>
        <v>44196</v>
      </c>
      <c r="V8" s="205">
        <f>Depreciation!X8</f>
        <v>44561</v>
      </c>
      <c r="W8" s="205">
        <f>Depreciation!Y8</f>
        <v>44926</v>
      </c>
      <c r="X8" s="205">
        <f>Depreciation!Z8</f>
        <v>45291</v>
      </c>
      <c r="Y8" s="205">
        <f>Depreciation!AA8</f>
        <v>45657</v>
      </c>
      <c r="Z8" s="205">
        <f>Depreciation!AB8</f>
        <v>46022</v>
      </c>
      <c r="AA8" s="205">
        <f>Depreciation!AC8</f>
        <v>46387</v>
      </c>
      <c r="AB8" s="205">
        <f>Depreciation!AD8</f>
        <v>46752</v>
      </c>
      <c r="AC8" s="205">
        <f>Depreciation!AE8</f>
        <v>47118</v>
      </c>
      <c r="AD8" s="205">
        <f>Depreciation!AF8</f>
        <v>47483</v>
      </c>
      <c r="AE8" s="205">
        <f>Depreciation!AG8</f>
        <v>47848</v>
      </c>
      <c r="AF8" s="205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211</v>
      </c>
      <c r="B10" s="19">
        <f>IS!C38</f>
        <v>7832.4576071123174</v>
      </c>
      <c r="C10" s="19">
        <f>IS!D38</f>
        <v>6797.2823370278638</v>
      </c>
      <c r="D10" s="19">
        <f>IS!E38</f>
        <v>7806.7757700336633</v>
      </c>
      <c r="E10" s="19">
        <f>IS!F38</f>
        <v>8745.9920901634869</v>
      </c>
      <c r="F10" s="19">
        <f>IS!G38</f>
        <v>9164.9059671392461</v>
      </c>
      <c r="G10" s="19">
        <f>IS!H38</f>
        <v>10063.456402691136</v>
      </c>
      <c r="H10" s="19">
        <f>IS!I38</f>
        <v>10459.464585003754</v>
      </c>
      <c r="I10" s="19">
        <f>IS!J38</f>
        <v>11068.162986143934</v>
      </c>
      <c r="J10" s="19">
        <f>IS!K38</f>
        <v>11483.191787392076</v>
      </c>
      <c r="K10" s="19">
        <f>IS!L38</f>
        <v>8281.4520910091524</v>
      </c>
      <c r="L10" s="19">
        <f>IS!M38</f>
        <v>-5062.3404636687674</v>
      </c>
      <c r="M10" s="19">
        <f>IS!N38</f>
        <v>-5153.3255354825196</v>
      </c>
      <c r="N10" s="19">
        <f>IS!O38</f>
        <v>-5321.3710484656158</v>
      </c>
      <c r="O10" s="19">
        <f>IS!P38</f>
        <v>-5503.9946740090363</v>
      </c>
      <c r="P10" s="19">
        <f>IS!Q38</f>
        <v>-5702.7105999770138</v>
      </c>
      <c r="Q10" s="19">
        <f>IS!R38</f>
        <v>-5918.733183665272</v>
      </c>
      <c r="R10" s="19">
        <f>IS!S38</f>
        <v>-6154.0409586798514</v>
      </c>
      <c r="S10" s="19">
        <f>IS!T38</f>
        <v>-6409.7214616744459</v>
      </c>
      <c r="T10" s="19">
        <f>IS!U38</f>
        <v>-6687.8497243523807</v>
      </c>
      <c r="U10" s="19">
        <f>IS!V38</f>
        <v>-6990.1543573421286</v>
      </c>
      <c r="V10" s="19">
        <f>IS!W38</f>
        <v>-7286.0539220729697</v>
      </c>
      <c r="W10" s="19">
        <f>IS!X38</f>
        <v>-7627.1265846632032</v>
      </c>
      <c r="X10" s="19">
        <f>IS!Y38</f>
        <v>-8016.188091889785</v>
      </c>
      <c r="Y10" s="19">
        <f>IS!Z38</f>
        <v>-8439.0212890897801</v>
      </c>
      <c r="Z10" s="19">
        <f>IS!AA38</f>
        <v>-8899.2468943357962</v>
      </c>
      <c r="AA10" s="19">
        <f>IS!AB38</f>
        <v>-9399.2270026073711</v>
      </c>
      <c r="AB10" s="19">
        <f>IS!AC38</f>
        <v>-9942.9033035594366</v>
      </c>
      <c r="AC10" s="19">
        <f>IS!AD38</f>
        <v>-10533.732595237776</v>
      </c>
      <c r="AD10" s="19">
        <f>IS!AE38</f>
        <v>-11176.657639102959</v>
      </c>
      <c r="AE10" s="19">
        <f>IS!AF38</f>
        <v>-11875.088476445719</v>
      </c>
      <c r="AF10" s="19">
        <f>IS!AG38</f>
        <v>-10670.525486523969</v>
      </c>
    </row>
    <row r="11" spans="1:32">
      <c r="A11" s="21" t="s">
        <v>69</v>
      </c>
      <c r="B11" s="19">
        <f>IS!C32</f>
        <v>2529.896078527951</v>
      </c>
      <c r="C11" s="19">
        <f>IS!D32</f>
        <v>3794.8441177919262</v>
      </c>
      <c r="D11" s="19">
        <f>IS!E32</f>
        <v>3794.8441177919262</v>
      </c>
      <c r="E11" s="19">
        <f>IS!F32</f>
        <v>3794.8441177919262</v>
      </c>
      <c r="F11" s="19">
        <f>IS!G32</f>
        <v>3794.8441177919262</v>
      </c>
      <c r="G11" s="19">
        <f>IS!H32</f>
        <v>3298.3214511252595</v>
      </c>
      <c r="H11" s="19">
        <f>IS!I32</f>
        <v>3050.0601177919261</v>
      </c>
      <c r="I11" s="19">
        <f>IS!J32</f>
        <v>3050.0601177919261</v>
      </c>
      <c r="J11" s="19">
        <f>IS!K32</f>
        <v>3050.0601177919261</v>
      </c>
      <c r="K11" s="19">
        <f>IS!L32</f>
        <v>3050.0601177919261</v>
      </c>
      <c r="L11" s="19">
        <f>IS!M32</f>
        <v>3050.0601177919261</v>
      </c>
      <c r="M11" s="19">
        <f>IS!N32</f>
        <v>3050.0601177919261</v>
      </c>
      <c r="N11" s="19">
        <f>IS!O32</f>
        <v>3050.0601177919261</v>
      </c>
      <c r="O11" s="19">
        <f>IS!P32</f>
        <v>3050.0601177919261</v>
      </c>
      <c r="P11" s="19">
        <f>IS!Q32</f>
        <v>3050.0601177919261</v>
      </c>
      <c r="Q11" s="19">
        <f>IS!R32</f>
        <v>3050.0601177919261</v>
      </c>
      <c r="R11" s="19">
        <f>IS!S32</f>
        <v>3050.0601177919261</v>
      </c>
      <c r="S11" s="19">
        <f>IS!T32</f>
        <v>3050.0601177919261</v>
      </c>
      <c r="T11" s="19">
        <f>IS!U32</f>
        <v>3050.0601177919261</v>
      </c>
      <c r="U11" s="19">
        <f>IS!V32</f>
        <v>3050.0601177919261</v>
      </c>
      <c r="V11" s="19">
        <f>IS!W32</f>
        <v>3016.7267844585926</v>
      </c>
      <c r="W11" s="19">
        <f>IS!X32</f>
        <v>3000.0601177919261</v>
      </c>
      <c r="X11" s="19">
        <f>IS!Y32</f>
        <v>3000.0601177919261</v>
      </c>
      <c r="Y11" s="19">
        <f>IS!Z32</f>
        <v>3000.0601177919261</v>
      </c>
      <c r="Z11" s="19">
        <f>IS!AA32</f>
        <v>3000.0601177919261</v>
      </c>
      <c r="AA11" s="19">
        <f>IS!AB32</f>
        <v>3000.0601177919261</v>
      </c>
      <c r="AB11" s="19">
        <f>IS!AC32</f>
        <v>3000.0601177919261</v>
      </c>
      <c r="AC11" s="19">
        <f>IS!AD32</f>
        <v>3000.0601177919261</v>
      </c>
      <c r="AD11" s="19">
        <f>IS!AE32</f>
        <v>3000.0601177919261</v>
      </c>
      <c r="AE11" s="19">
        <f>IS!AF32</f>
        <v>3000.0601177919261</v>
      </c>
      <c r="AF11" s="19">
        <f>IS!AG32</f>
        <v>1000.0200392639757</v>
      </c>
    </row>
    <row r="12" spans="1:32" ht="15">
      <c r="A12" s="21" t="s">
        <v>70</v>
      </c>
      <c r="B12" s="131">
        <f>-Depreciation!D34</f>
        <v>-5529.9561963198776</v>
      </c>
      <c r="C12" s="131">
        <f>-Depreciation!E34</f>
        <v>-10294.974373007766</v>
      </c>
      <c r="D12" s="131">
        <f>-Depreciation!F34</f>
        <v>-9344.9553357069908</v>
      </c>
      <c r="E12" s="131">
        <f>-Depreciation!G34</f>
        <v>-8494.9383023326118</v>
      </c>
      <c r="F12" s="131">
        <f>-Depreciation!H34</f>
        <v>-7724.9228720993506</v>
      </c>
      <c r="G12" s="131">
        <f>-Depreciation!I34</f>
        <v>-6528.3861779479012</v>
      </c>
      <c r="H12" s="131">
        <f>-Depreciation!J34</f>
        <v>-5950.118231657455</v>
      </c>
      <c r="I12" s="131">
        <f>-Depreciation!K34</f>
        <v>-5960.1184320500952</v>
      </c>
      <c r="J12" s="131">
        <f>-Depreciation!L34</f>
        <v>-5950.118231657455</v>
      </c>
      <c r="K12" s="131">
        <f>-Depreciation!M34</f>
        <v>-5960.1184320500952</v>
      </c>
      <c r="L12" s="131">
        <f>-Depreciation!N34</f>
        <v>-5950.118231657455</v>
      </c>
      <c r="M12" s="131">
        <f>-Depreciation!O34</f>
        <v>-5960.1184320500952</v>
      </c>
      <c r="N12" s="131">
        <f>-Depreciation!P34</f>
        <v>-5950.118231657455</v>
      </c>
      <c r="O12" s="131">
        <f>-Depreciation!Q34</f>
        <v>-5960.1184320500952</v>
      </c>
      <c r="P12" s="131">
        <f>-Depreciation!R34</f>
        <v>-5950.118231657455</v>
      </c>
      <c r="Q12" s="131">
        <f>-Depreciation!S34</f>
        <v>-3000.0591158287275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4832.3974893203904</v>
      </c>
      <c r="C13" s="23">
        <f t="shared" ref="C13:W13" si="0">SUM(C10:C12)</f>
        <v>297.15208181202433</v>
      </c>
      <c r="D13" s="23">
        <f t="shared" si="0"/>
        <v>2256.6645521185983</v>
      </c>
      <c r="E13" s="23">
        <f t="shared" si="0"/>
        <v>4045.8979056228018</v>
      </c>
      <c r="F13" s="23">
        <f t="shared" si="0"/>
        <v>5234.8272128318222</v>
      </c>
      <c r="G13" s="23">
        <f t="shared" si="0"/>
        <v>6833.3916758684936</v>
      </c>
      <c r="H13" s="23">
        <f t="shared" si="0"/>
        <v>7559.4064711382243</v>
      </c>
      <c r="I13" s="23">
        <f t="shared" si="0"/>
        <v>8158.1046718857642</v>
      </c>
      <c r="J13" s="23">
        <f t="shared" si="0"/>
        <v>8583.1336735265468</v>
      </c>
      <c r="K13" s="23">
        <f t="shared" si="0"/>
        <v>5371.3937767509842</v>
      </c>
      <c r="L13" s="23">
        <f t="shared" si="0"/>
        <v>-7962.3985775342962</v>
      </c>
      <c r="M13" s="23">
        <f t="shared" si="0"/>
        <v>-8063.3838497406887</v>
      </c>
      <c r="N13" s="23">
        <f t="shared" si="0"/>
        <v>-8221.4291623311437</v>
      </c>
      <c r="O13" s="23">
        <f t="shared" si="0"/>
        <v>-8414.0529882672054</v>
      </c>
      <c r="P13" s="23">
        <f t="shared" si="0"/>
        <v>-8602.7687138425426</v>
      </c>
      <c r="Q13" s="23">
        <f t="shared" si="0"/>
        <v>-5868.7321817020729</v>
      </c>
      <c r="R13" s="23">
        <f t="shared" si="0"/>
        <v>-3153.9808408879253</v>
      </c>
      <c r="S13" s="23">
        <f t="shared" si="0"/>
        <v>-3409.6613438825198</v>
      </c>
      <c r="T13" s="23">
        <f t="shared" si="0"/>
        <v>-3687.7896065604546</v>
      </c>
      <c r="U13" s="23">
        <f t="shared" si="0"/>
        <v>-3990.0942395502025</v>
      </c>
      <c r="V13" s="23">
        <f t="shared" si="0"/>
        <v>-4285.9938042810436</v>
      </c>
      <c r="W13" s="23">
        <f t="shared" si="0"/>
        <v>-4627.066466871277</v>
      </c>
      <c r="X13" s="23">
        <f t="shared" ref="X13:AF13" si="1">SUM(X10:X12)</f>
        <v>-5016.1279740978589</v>
      </c>
      <c r="Y13" s="23">
        <f t="shared" si="1"/>
        <v>-5438.961171297854</v>
      </c>
      <c r="Z13" s="23">
        <f t="shared" si="1"/>
        <v>-5899.1867765438701</v>
      </c>
      <c r="AA13" s="23">
        <f t="shared" si="1"/>
        <v>-6399.166884815445</v>
      </c>
      <c r="AB13" s="23">
        <f t="shared" si="1"/>
        <v>-6942.8431857675105</v>
      </c>
      <c r="AC13" s="23">
        <f t="shared" si="1"/>
        <v>-7533.6724774458498</v>
      </c>
      <c r="AD13" s="23">
        <f t="shared" si="1"/>
        <v>-8176.5975213110332</v>
      </c>
      <c r="AE13" s="23">
        <f t="shared" si="1"/>
        <v>-8875.0283586537917</v>
      </c>
      <c r="AF13" s="23">
        <f t="shared" si="1"/>
        <v>-9670.5054472599932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338.26782425242737</v>
      </c>
      <c r="C16" s="19">
        <f t="shared" si="2"/>
        <v>20.800645726841704</v>
      </c>
      <c r="D16" s="19">
        <f t="shared" si="2"/>
        <v>157.9665186483019</v>
      </c>
      <c r="E16" s="19">
        <f t="shared" si="2"/>
        <v>283.21285339359616</v>
      </c>
      <c r="F16" s="19">
        <f t="shared" si="2"/>
        <v>366.4379048982276</v>
      </c>
      <c r="G16" s="19">
        <f t="shared" si="2"/>
        <v>478.33741731079459</v>
      </c>
      <c r="H16" s="19">
        <f t="shared" si="2"/>
        <v>529.15845297967576</v>
      </c>
      <c r="I16" s="19">
        <f t="shared" si="2"/>
        <v>571.0673270320035</v>
      </c>
      <c r="J16" s="19">
        <f t="shared" si="2"/>
        <v>600.81935714685835</v>
      </c>
      <c r="K16" s="19">
        <f t="shared" si="2"/>
        <v>375.99756437256895</v>
      </c>
      <c r="L16" s="19">
        <f t="shared" si="2"/>
        <v>-557.36790042740074</v>
      </c>
      <c r="M16" s="19">
        <f t="shared" si="2"/>
        <v>-564.43686948184825</v>
      </c>
      <c r="N16" s="19">
        <f t="shared" si="2"/>
        <v>-575.50004136318012</v>
      </c>
      <c r="O16" s="19">
        <f t="shared" si="2"/>
        <v>-588.98370917870443</v>
      </c>
      <c r="P16" s="19">
        <f t="shared" si="2"/>
        <v>-602.19380996897803</v>
      </c>
      <c r="Q16" s="19">
        <f t="shared" si="2"/>
        <v>-410.81125271914516</v>
      </c>
      <c r="R16" s="19">
        <f t="shared" si="2"/>
        <v>-220.7786588621548</v>
      </c>
      <c r="S16" s="19">
        <f t="shared" si="2"/>
        <v>-238.6762940717764</v>
      </c>
      <c r="T16" s="19">
        <f t="shared" si="2"/>
        <v>-258.14527245923182</v>
      </c>
      <c r="U16" s="19">
        <f t="shared" si="2"/>
        <v>-279.30659676851423</v>
      </c>
      <c r="V16" s="19">
        <f t="shared" si="2"/>
        <v>-300.0195662996731</v>
      </c>
      <c r="W16" s="19">
        <f t="shared" si="2"/>
        <v>-323.89465268098945</v>
      </c>
      <c r="X16" s="19">
        <f t="shared" si="2"/>
        <v>-351.12895818685018</v>
      </c>
      <c r="Y16" s="19">
        <f t="shared" si="2"/>
        <v>-380.7272819908498</v>
      </c>
      <c r="Z16" s="19">
        <f t="shared" si="2"/>
        <v>-412.94307435807093</v>
      </c>
      <c r="AA16" s="19">
        <f t="shared" si="2"/>
        <v>-447.94168193708117</v>
      </c>
      <c r="AB16" s="19">
        <f t="shared" si="2"/>
        <v>-485.99902300372577</v>
      </c>
      <c r="AC16" s="19">
        <f t="shared" si="2"/>
        <v>-527.35707342120952</v>
      </c>
      <c r="AD16" s="19">
        <f t="shared" si="2"/>
        <v>-572.36182649177238</v>
      </c>
      <c r="AE16" s="19">
        <f t="shared" si="2"/>
        <v>-621.25198510576547</v>
      </c>
      <c r="AF16" s="19">
        <f t="shared" si="2"/>
        <v>-676.93538130819957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557.36790042740074</v>
      </c>
      <c r="N18" s="19">
        <f t="shared" si="3"/>
        <v>1121.804769909249</v>
      </c>
      <c r="O18" s="19">
        <f t="shared" si="3"/>
        <v>1697.3048112724291</v>
      </c>
      <c r="P18" s="19">
        <f>O22</f>
        <v>2286.2885204511335</v>
      </c>
      <c r="Q18" s="19">
        <f t="shared" si="3"/>
        <v>2888.4823304201118</v>
      </c>
      <c r="R18" s="19">
        <f t="shared" si="3"/>
        <v>3299.293583139257</v>
      </c>
      <c r="S18" s="19">
        <f t="shared" si="3"/>
        <v>3520.0722420014117</v>
      </c>
      <c r="T18" s="19">
        <v>0</v>
      </c>
      <c r="U18" s="19">
        <f t="shared" si="3"/>
        <v>-299.22262796816892</v>
      </c>
      <c r="V18" s="19">
        <f t="shared" si="3"/>
        <v>-26.985000254102204</v>
      </c>
      <c r="W18" s="19">
        <f t="shared" si="3"/>
        <v>261.97139416423903</v>
      </c>
      <c r="X18" s="19">
        <f t="shared" ref="X18:AF18" si="4">W22</f>
        <v>572.38237902970423</v>
      </c>
      <c r="Y18" s="19">
        <f t="shared" si="4"/>
        <v>910.30123642628087</v>
      </c>
      <c r="Z18" s="19">
        <f t="shared" si="4"/>
        <v>1291.0285184171307</v>
      </c>
      <c r="AA18" s="19">
        <f t="shared" si="4"/>
        <v>1703.9715927752018</v>
      </c>
      <c r="AB18" s="19">
        <f t="shared" si="4"/>
        <v>2151.9132747122831</v>
      </c>
      <c r="AC18" s="19">
        <f t="shared" si="4"/>
        <v>2637.9122977160087</v>
      </c>
      <c r="AD18" s="19">
        <f t="shared" si="4"/>
        <v>2930.7886839102812</v>
      </c>
      <c r="AE18" s="19">
        <f t="shared" si="4"/>
        <v>3475.368571816447</v>
      </c>
      <c r="AF18" s="19">
        <f t="shared" si="4"/>
        <v>4061.6822986595648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557.36790042740074</v>
      </c>
      <c r="M19" s="140">
        <f t="shared" si="5"/>
        <v>564.43686948184825</v>
      </c>
      <c r="N19" s="140">
        <f t="shared" si="5"/>
        <v>575.50004136318012</v>
      </c>
      <c r="O19" s="140">
        <f t="shared" si="5"/>
        <v>588.98370917870443</v>
      </c>
      <c r="P19" s="140">
        <f t="shared" si="5"/>
        <v>602.19380996897803</v>
      </c>
      <c r="Q19" s="140">
        <f t="shared" si="5"/>
        <v>410.81125271914516</v>
      </c>
      <c r="R19" s="140">
        <f t="shared" si="5"/>
        <v>220.7786588621548</v>
      </c>
      <c r="S19" s="140">
        <f t="shared" si="5"/>
        <v>238.6762940717764</v>
      </c>
      <c r="T19" s="140">
        <f t="shared" si="5"/>
        <v>258.14527245923182</v>
      </c>
      <c r="U19" s="140">
        <f t="shared" si="5"/>
        <v>279.30659676851423</v>
      </c>
      <c r="V19" s="140">
        <f t="shared" si="5"/>
        <v>300.0195662996731</v>
      </c>
      <c r="W19" s="140">
        <f t="shared" si="5"/>
        <v>323.89465268098945</v>
      </c>
      <c r="X19" s="140">
        <f t="shared" ref="X19:AF19" si="6">IF(X16&lt;0,-X16,0)</f>
        <v>351.12895818685018</v>
      </c>
      <c r="Y19" s="140">
        <f t="shared" si="6"/>
        <v>380.7272819908498</v>
      </c>
      <c r="Z19" s="140">
        <f t="shared" si="6"/>
        <v>412.94307435807093</v>
      </c>
      <c r="AA19" s="140">
        <f t="shared" si="6"/>
        <v>447.94168193708117</v>
      </c>
      <c r="AB19" s="140">
        <f t="shared" si="6"/>
        <v>485.99902300372577</v>
      </c>
      <c r="AC19" s="140">
        <f t="shared" si="6"/>
        <v>527.35707342120952</v>
      </c>
      <c r="AD19" s="140">
        <f t="shared" si="6"/>
        <v>572.36182649177238</v>
      </c>
      <c r="AE19" s="140">
        <f t="shared" si="6"/>
        <v>621.25198510576547</v>
      </c>
      <c r="AF19" s="140">
        <f t="shared" si="6"/>
        <v>676.93538130819957</v>
      </c>
    </row>
    <row r="20" spans="1:32">
      <c r="A20" s="13" t="s">
        <v>289</v>
      </c>
      <c r="B20" s="466">
        <v>0</v>
      </c>
      <c r="C20" s="467">
        <v>0</v>
      </c>
      <c r="D20" s="467">
        <v>0</v>
      </c>
      <c r="E20" s="467">
        <v>0</v>
      </c>
      <c r="F20" s="467">
        <v>0</v>
      </c>
      <c r="G20" s="467">
        <v>0</v>
      </c>
      <c r="H20" s="467">
        <v>0</v>
      </c>
      <c r="I20" s="468">
        <v>0</v>
      </c>
      <c r="J20" s="469">
        <f>IF(-SUM(B21:I21, B20:I20)&gt;B19,0,-B19-SUM(B21:I21,B20:I20))</f>
        <v>0</v>
      </c>
      <c r="K20" s="469">
        <f t="shared" ref="K20:AF20" si="7">IF(-SUM(C21:J21, C20:J20)&gt;C19,0,-C19-SUM(C21:J21,C20:J20))</f>
        <v>0</v>
      </c>
      <c r="L20" s="469">
        <f t="shared" si="7"/>
        <v>0</v>
      </c>
      <c r="M20" s="469">
        <f t="shared" si="7"/>
        <v>0</v>
      </c>
      <c r="N20" s="469">
        <f t="shared" si="7"/>
        <v>0</v>
      </c>
      <c r="O20" s="469">
        <f t="shared" si="7"/>
        <v>0</v>
      </c>
      <c r="P20" s="469">
        <f t="shared" si="7"/>
        <v>0</v>
      </c>
      <c r="Q20" s="469">
        <f t="shared" si="7"/>
        <v>0</v>
      </c>
      <c r="R20" s="469">
        <f t="shared" si="7"/>
        <v>0</v>
      </c>
      <c r="S20" s="469">
        <f t="shared" si="7"/>
        <v>0</v>
      </c>
      <c r="T20" s="469">
        <f t="shared" si="7"/>
        <v>-557.36790042740074</v>
      </c>
      <c r="U20" s="469">
        <f t="shared" si="7"/>
        <v>-7.068969054447507</v>
      </c>
      <c r="V20" s="469">
        <f t="shared" si="7"/>
        <v>-11.063171881331868</v>
      </c>
      <c r="W20" s="469">
        <f t="shared" si="7"/>
        <v>-13.483667815524313</v>
      </c>
      <c r="X20" s="469">
        <f t="shared" si="7"/>
        <v>-13.2101007902736</v>
      </c>
      <c r="Y20" s="469">
        <f t="shared" si="7"/>
        <v>0</v>
      </c>
      <c r="Z20" s="469">
        <f t="shared" si="7"/>
        <v>0</v>
      </c>
      <c r="AA20" s="469">
        <f t="shared" si="7"/>
        <v>0</v>
      </c>
      <c r="AB20" s="469">
        <f t="shared" si="7"/>
        <v>0</v>
      </c>
      <c r="AC20" s="469">
        <f t="shared" si="7"/>
        <v>-234.48068722693694</v>
      </c>
      <c r="AD20" s="469">
        <f t="shared" si="7"/>
        <v>-27.781938585606383</v>
      </c>
      <c r="AE20" s="469">
        <f t="shared" si="7"/>
        <v>-34.938258262648219</v>
      </c>
      <c r="AF20" s="469">
        <f t="shared" si="7"/>
        <v>-40.717973321385045</v>
      </c>
    </row>
    <row r="21" spans="1:32">
      <c r="A21" s="13" t="s">
        <v>288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557.36790042740074</v>
      </c>
      <c r="M22" s="133">
        <f t="shared" si="10"/>
        <v>1121.804769909249</v>
      </c>
      <c r="N22" s="133">
        <f t="shared" si="10"/>
        <v>1697.3048112724291</v>
      </c>
      <c r="O22" s="133">
        <f t="shared" si="10"/>
        <v>2286.2885204511335</v>
      </c>
      <c r="P22" s="133">
        <f t="shared" si="10"/>
        <v>2888.4823304201118</v>
      </c>
      <c r="Q22" s="133">
        <f t="shared" si="10"/>
        <v>3299.293583139257</v>
      </c>
      <c r="R22" s="133">
        <f t="shared" si="10"/>
        <v>3520.0722420014117</v>
      </c>
      <c r="S22" s="133">
        <f t="shared" si="10"/>
        <v>3758.748536073188</v>
      </c>
      <c r="T22" s="133">
        <f t="shared" si="10"/>
        <v>-299.22262796816892</v>
      </c>
      <c r="U22" s="133">
        <f t="shared" si="10"/>
        <v>-26.985000254102204</v>
      </c>
      <c r="V22" s="133">
        <f t="shared" si="10"/>
        <v>261.97139416423903</v>
      </c>
      <c r="W22" s="133">
        <f t="shared" si="10"/>
        <v>572.38237902970423</v>
      </c>
      <c r="X22" s="133">
        <f t="shared" si="10"/>
        <v>910.30123642628087</v>
      </c>
      <c r="Y22" s="133">
        <f t="shared" si="10"/>
        <v>1291.0285184171307</v>
      </c>
      <c r="Z22" s="133">
        <f t="shared" si="10"/>
        <v>1703.9715927752018</v>
      </c>
      <c r="AA22" s="133">
        <f t="shared" si="10"/>
        <v>2151.9132747122831</v>
      </c>
      <c r="AB22" s="133">
        <f t="shared" si="10"/>
        <v>2637.9122977160087</v>
      </c>
      <c r="AC22" s="133">
        <f t="shared" si="10"/>
        <v>2930.7886839102812</v>
      </c>
      <c r="AD22" s="133">
        <f t="shared" si="10"/>
        <v>3475.368571816447</v>
      </c>
      <c r="AE22" s="133">
        <f t="shared" si="10"/>
        <v>4061.6822986595648</v>
      </c>
      <c r="AF22" s="133">
        <f t="shared" si="10"/>
        <v>4697.8997066463789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213</v>
      </c>
      <c r="B24" s="137">
        <f>IF(B13&lt;0,0,B21+B16)</f>
        <v>338.26782425242737</v>
      </c>
      <c r="C24" s="137">
        <f t="shared" ref="C24:AF24" si="11">IF(C13&lt;0,0,C21+C16)</f>
        <v>20.800645726841704</v>
      </c>
      <c r="D24" s="137">
        <f t="shared" si="11"/>
        <v>157.9665186483019</v>
      </c>
      <c r="E24" s="137">
        <f t="shared" si="11"/>
        <v>283.21285339359616</v>
      </c>
      <c r="F24" s="137">
        <f t="shared" si="11"/>
        <v>366.4379048982276</v>
      </c>
      <c r="G24" s="137">
        <f t="shared" si="11"/>
        <v>478.33741731079459</v>
      </c>
      <c r="H24" s="137">
        <f t="shared" si="11"/>
        <v>529.15845297967576</v>
      </c>
      <c r="I24" s="137">
        <f t="shared" si="11"/>
        <v>571.0673270320035</v>
      </c>
      <c r="J24" s="137">
        <f t="shared" si="11"/>
        <v>600.81935714685835</v>
      </c>
      <c r="K24" s="137">
        <f t="shared" si="11"/>
        <v>375.99756437256895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4832.3974893203904</v>
      </c>
      <c r="C28" s="19">
        <f t="shared" ref="C28:AF28" si="12">C13</f>
        <v>297.15208181202433</v>
      </c>
      <c r="D28" s="19">
        <f t="shared" si="12"/>
        <v>2256.6645521185983</v>
      </c>
      <c r="E28" s="19">
        <f t="shared" si="12"/>
        <v>4045.8979056228018</v>
      </c>
      <c r="F28" s="19">
        <f t="shared" si="12"/>
        <v>5234.8272128318222</v>
      </c>
      <c r="G28" s="19">
        <f t="shared" si="12"/>
        <v>6833.3916758684936</v>
      </c>
      <c r="H28" s="19">
        <f t="shared" si="12"/>
        <v>7559.4064711382243</v>
      </c>
      <c r="I28" s="19">
        <f t="shared" si="12"/>
        <v>8158.1046718857642</v>
      </c>
      <c r="J28" s="19">
        <f t="shared" si="12"/>
        <v>8583.1336735265468</v>
      </c>
      <c r="K28" s="19">
        <f t="shared" si="12"/>
        <v>5371.3937767509842</v>
      </c>
      <c r="L28" s="19">
        <f t="shared" si="12"/>
        <v>-7962.3985775342962</v>
      </c>
      <c r="M28" s="19">
        <f t="shared" si="12"/>
        <v>-8063.3838497406887</v>
      </c>
      <c r="N28" s="19">
        <f t="shared" si="12"/>
        <v>-8221.4291623311437</v>
      </c>
      <c r="O28" s="19">
        <f t="shared" si="12"/>
        <v>-8414.0529882672054</v>
      </c>
      <c r="P28" s="19">
        <f t="shared" si="12"/>
        <v>-8602.7687138425426</v>
      </c>
      <c r="Q28" s="19">
        <f t="shared" si="12"/>
        <v>-5868.7321817020729</v>
      </c>
      <c r="R28" s="19">
        <f t="shared" si="12"/>
        <v>-3153.9808408879253</v>
      </c>
      <c r="S28" s="19">
        <f t="shared" si="12"/>
        <v>-3409.6613438825198</v>
      </c>
      <c r="T28" s="19">
        <f t="shared" si="12"/>
        <v>-3687.7896065604546</v>
      </c>
      <c r="U28" s="19">
        <f t="shared" si="12"/>
        <v>-3990.0942395502025</v>
      </c>
      <c r="V28" s="19">
        <f t="shared" si="12"/>
        <v>-4285.9938042810436</v>
      </c>
      <c r="W28" s="19">
        <f t="shared" si="12"/>
        <v>-4627.066466871277</v>
      </c>
      <c r="X28" s="19">
        <f t="shared" si="12"/>
        <v>-5016.1279740978589</v>
      </c>
      <c r="Y28" s="19">
        <f t="shared" si="12"/>
        <v>-5438.961171297854</v>
      </c>
      <c r="Z28" s="19">
        <f t="shared" si="12"/>
        <v>-5899.1867765438701</v>
      </c>
      <c r="AA28" s="19">
        <f t="shared" si="12"/>
        <v>-6399.166884815445</v>
      </c>
      <c r="AB28" s="19">
        <f t="shared" si="12"/>
        <v>-6942.8431857675105</v>
      </c>
      <c r="AC28" s="19">
        <f t="shared" si="12"/>
        <v>-7533.6724774458498</v>
      </c>
      <c r="AD28" s="19">
        <f t="shared" si="12"/>
        <v>-8176.5975213110332</v>
      </c>
      <c r="AE28" s="19">
        <f t="shared" si="12"/>
        <v>-8875.0283586537917</v>
      </c>
      <c r="AF28" s="19">
        <f t="shared" si="12"/>
        <v>-9670.5054472599932</v>
      </c>
    </row>
    <row r="29" spans="1:32" ht="15">
      <c r="A29" s="21" t="s">
        <v>77</v>
      </c>
      <c r="B29" s="135">
        <f>-B24</f>
        <v>-338.26782425242737</v>
      </c>
      <c r="C29" s="135">
        <f t="shared" ref="C29:AF29" si="13">-C24</f>
        <v>-20.800645726841704</v>
      </c>
      <c r="D29" s="135">
        <f t="shared" si="13"/>
        <v>-157.9665186483019</v>
      </c>
      <c r="E29" s="135">
        <f t="shared" si="13"/>
        <v>-283.21285339359616</v>
      </c>
      <c r="F29" s="135">
        <f t="shared" si="13"/>
        <v>-366.4379048982276</v>
      </c>
      <c r="G29" s="135">
        <f t="shared" si="13"/>
        <v>-478.33741731079459</v>
      </c>
      <c r="H29" s="135">
        <f t="shared" si="13"/>
        <v>-529.15845297967576</v>
      </c>
      <c r="I29" s="135">
        <f t="shared" si="13"/>
        <v>-571.0673270320035</v>
      </c>
      <c r="J29" s="135">
        <f t="shared" si="13"/>
        <v>-600.81935714685835</v>
      </c>
      <c r="K29" s="135">
        <f t="shared" si="13"/>
        <v>-375.99756437256895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212</v>
      </c>
      <c r="B30" s="44">
        <f t="shared" ref="B30:AF30" si="14">SUM(B28:B29)</f>
        <v>4494.1296650679633</v>
      </c>
      <c r="C30" s="44">
        <f t="shared" si="14"/>
        <v>276.35143608518263</v>
      </c>
      <c r="D30" s="44">
        <f t="shared" si="14"/>
        <v>2098.6980334702962</v>
      </c>
      <c r="E30" s="44">
        <f t="shared" si="14"/>
        <v>3762.6850522292057</v>
      </c>
      <c r="F30" s="44">
        <f t="shared" si="14"/>
        <v>4868.3893079335949</v>
      </c>
      <c r="G30" s="44">
        <f t="shared" si="14"/>
        <v>6355.0542585576986</v>
      </c>
      <c r="H30" s="44">
        <f t="shared" si="14"/>
        <v>7030.2480181585488</v>
      </c>
      <c r="I30" s="44">
        <f t="shared" si="14"/>
        <v>7587.0373448537612</v>
      </c>
      <c r="J30" s="44">
        <f t="shared" si="14"/>
        <v>7982.3143163796885</v>
      </c>
      <c r="K30" s="44">
        <f t="shared" si="14"/>
        <v>4995.3962123784149</v>
      </c>
      <c r="L30" s="44">
        <f t="shared" si="14"/>
        <v>-7962.3985775342962</v>
      </c>
      <c r="M30" s="44">
        <f t="shared" si="14"/>
        <v>-8063.3838497406887</v>
      </c>
      <c r="N30" s="44">
        <f t="shared" si="14"/>
        <v>-8221.4291623311437</v>
      </c>
      <c r="O30" s="44">
        <f t="shared" si="14"/>
        <v>-8414.0529882672054</v>
      </c>
      <c r="P30" s="44">
        <f t="shared" si="14"/>
        <v>-8602.7687138425426</v>
      </c>
      <c r="Q30" s="44">
        <f t="shared" si="14"/>
        <v>-5868.7321817020729</v>
      </c>
      <c r="R30" s="44">
        <f t="shared" si="14"/>
        <v>-3153.9808408879253</v>
      </c>
      <c r="S30" s="44">
        <f t="shared" si="14"/>
        <v>-3409.6613438825198</v>
      </c>
      <c r="T30" s="44">
        <f t="shared" si="14"/>
        <v>-3687.7896065604546</v>
      </c>
      <c r="U30" s="44">
        <f t="shared" si="14"/>
        <v>-3990.0942395502025</v>
      </c>
      <c r="V30" s="44">
        <f t="shared" si="14"/>
        <v>-4285.9938042810436</v>
      </c>
      <c r="W30" s="44">
        <f t="shared" si="14"/>
        <v>-4627.066466871277</v>
      </c>
      <c r="X30" s="44">
        <f t="shared" si="14"/>
        <v>-5016.1279740978589</v>
      </c>
      <c r="Y30" s="44">
        <f t="shared" si="14"/>
        <v>-5438.961171297854</v>
      </c>
      <c r="Z30" s="44">
        <f t="shared" si="14"/>
        <v>-5899.1867765438701</v>
      </c>
      <c r="AA30" s="44">
        <f t="shared" si="14"/>
        <v>-6399.166884815445</v>
      </c>
      <c r="AB30" s="44">
        <f t="shared" si="14"/>
        <v>-6942.8431857675105</v>
      </c>
      <c r="AC30" s="44">
        <f t="shared" si="14"/>
        <v>-7533.6724774458498</v>
      </c>
      <c r="AD30" s="44">
        <f t="shared" si="14"/>
        <v>-8176.5975213110332</v>
      </c>
      <c r="AE30" s="44">
        <f t="shared" si="14"/>
        <v>-8875.0283586537917</v>
      </c>
      <c r="AF30" s="44">
        <f t="shared" si="14"/>
        <v>-9670.5054472599932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1572.9453827737871</v>
      </c>
      <c r="C33" s="19">
        <f t="shared" ref="C33:W33" si="15">C30*C32</f>
        <v>96.723002629813919</v>
      </c>
      <c r="D33" s="19">
        <f t="shared" si="15"/>
        <v>734.54431171460362</v>
      </c>
      <c r="E33" s="19">
        <f t="shared" si="15"/>
        <v>1316.9397682802219</v>
      </c>
      <c r="F33" s="19">
        <f t="shared" si="15"/>
        <v>1703.9362577767581</v>
      </c>
      <c r="G33" s="19">
        <f t="shared" si="15"/>
        <v>2224.2689904951944</v>
      </c>
      <c r="H33" s="19">
        <f t="shared" si="15"/>
        <v>2460.5868063554917</v>
      </c>
      <c r="I33" s="19">
        <f t="shared" si="15"/>
        <v>2655.4630706988164</v>
      </c>
      <c r="J33" s="19">
        <f t="shared" si="15"/>
        <v>2793.810010732891</v>
      </c>
      <c r="K33" s="19">
        <f t="shared" si="15"/>
        <v>1748.3886743324451</v>
      </c>
      <c r="L33" s="19">
        <f t="shared" si="15"/>
        <v>-2786.8395021370034</v>
      </c>
      <c r="M33" s="19">
        <f t="shared" si="15"/>
        <v>-2822.1843474092407</v>
      </c>
      <c r="N33" s="19">
        <f t="shared" si="15"/>
        <v>-2877.5002068159001</v>
      </c>
      <c r="O33" s="19">
        <f t="shared" si="15"/>
        <v>-2944.9185458935217</v>
      </c>
      <c r="P33" s="19">
        <f t="shared" si="15"/>
        <v>-3010.9690498448899</v>
      </c>
      <c r="Q33" s="19">
        <f t="shared" si="15"/>
        <v>-2054.0562635957253</v>
      </c>
      <c r="R33" s="19">
        <f t="shared" si="15"/>
        <v>-1103.8932943107739</v>
      </c>
      <c r="S33" s="19">
        <f t="shared" si="15"/>
        <v>-1193.3814703588819</v>
      </c>
      <c r="T33" s="19">
        <f t="shared" si="15"/>
        <v>-1290.7263622961591</v>
      </c>
      <c r="U33" s="19">
        <f t="shared" si="15"/>
        <v>-1396.5329838425707</v>
      </c>
      <c r="V33" s="19">
        <f t="shared" si="15"/>
        <v>-1500.0978314983652</v>
      </c>
      <c r="W33" s="19">
        <f t="shared" si="15"/>
        <v>-1619.4732634049469</v>
      </c>
      <c r="X33" s="19">
        <f t="shared" ref="X33:AF33" si="16">X30*X32</f>
        <v>-1755.6447909342505</v>
      </c>
      <c r="Y33" s="19">
        <f t="shared" si="16"/>
        <v>-1903.6364099542488</v>
      </c>
      <c r="Z33" s="19">
        <f t="shared" si="16"/>
        <v>-2064.7153717903543</v>
      </c>
      <c r="AA33" s="19">
        <f t="shared" si="16"/>
        <v>-2239.7084096854055</v>
      </c>
      <c r="AB33" s="19">
        <f t="shared" si="16"/>
        <v>-2429.9951150186284</v>
      </c>
      <c r="AC33" s="19">
        <f t="shared" si="16"/>
        <v>-2636.7853671060475</v>
      </c>
      <c r="AD33" s="19">
        <f t="shared" si="16"/>
        <v>-2861.8091324588613</v>
      </c>
      <c r="AE33" s="19">
        <f t="shared" si="16"/>
        <v>-3106.2599255288269</v>
      </c>
      <c r="AF33" s="19">
        <f t="shared" si="16"/>
        <v>-3384.6769065409976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2786.8395021370034</v>
      </c>
      <c r="N35" s="19">
        <f t="shared" si="17"/>
        <v>5609.0238495462436</v>
      </c>
      <c r="O35" s="19">
        <f t="shared" si="17"/>
        <v>8486.5240563621446</v>
      </c>
      <c r="P35" s="19">
        <f t="shared" si="17"/>
        <v>11431.442602255665</v>
      </c>
      <c r="Q35" s="19">
        <f t="shared" si="17"/>
        <v>14442.411652100556</v>
      </c>
      <c r="R35" s="19">
        <f t="shared" si="17"/>
        <v>16496.467915696281</v>
      </c>
      <c r="S35" s="19">
        <f t="shared" si="17"/>
        <v>17600.361210007053</v>
      </c>
      <c r="T35" s="19">
        <v>0</v>
      </c>
      <c r="U35" s="19">
        <f t="shared" ref="U35:AF35" si="18">T39</f>
        <v>1290.7263622961591</v>
      </c>
      <c r="V35" s="19">
        <f t="shared" si="18"/>
        <v>2687.2593461387296</v>
      </c>
      <c r="W35" s="19">
        <f t="shared" si="18"/>
        <v>4187.3571776370945</v>
      </c>
      <c r="X35" s="19">
        <f t="shared" si="18"/>
        <v>5806.8304410420415</v>
      </c>
      <c r="Y35" s="19">
        <f t="shared" si="18"/>
        <v>7562.475231976292</v>
      </c>
      <c r="Z35" s="19">
        <f t="shared" si="18"/>
        <v>9466.1116419305399</v>
      </c>
      <c r="AA35" s="19">
        <f t="shared" si="18"/>
        <v>11530.827013720895</v>
      </c>
      <c r="AB35" s="19">
        <f t="shared" si="18"/>
        <v>10983.695921269296</v>
      </c>
      <c r="AC35" s="19">
        <f t="shared" si="18"/>
        <v>13378.346191015688</v>
      </c>
      <c r="AD35" s="19">
        <f t="shared" si="18"/>
        <v>15959.815698715076</v>
      </c>
      <c r="AE35" s="19">
        <f t="shared" si="18"/>
        <v>18754.206492096317</v>
      </c>
      <c r="AF35" s="19">
        <f t="shared" si="18"/>
        <v>21794.415913673773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2786.8395021370034</v>
      </c>
      <c r="M36" s="140">
        <f t="shared" si="19"/>
        <v>2822.1843474092407</v>
      </c>
      <c r="N36" s="140">
        <f t="shared" si="19"/>
        <v>2877.5002068159001</v>
      </c>
      <c r="O36" s="140">
        <f t="shared" si="19"/>
        <v>2944.9185458935217</v>
      </c>
      <c r="P36" s="140">
        <f t="shared" si="19"/>
        <v>3010.9690498448899</v>
      </c>
      <c r="Q36" s="140">
        <f t="shared" si="19"/>
        <v>2054.0562635957253</v>
      </c>
      <c r="R36" s="140">
        <f t="shared" si="19"/>
        <v>1103.8932943107739</v>
      </c>
      <c r="S36" s="140">
        <f t="shared" si="19"/>
        <v>1193.3814703588819</v>
      </c>
      <c r="T36" s="140">
        <f t="shared" si="19"/>
        <v>1290.7263622961591</v>
      </c>
      <c r="U36" s="140">
        <f t="shared" si="19"/>
        <v>1396.5329838425707</v>
      </c>
      <c r="V36" s="140">
        <f t="shared" si="19"/>
        <v>1500.0978314983652</v>
      </c>
      <c r="W36" s="140">
        <f t="shared" si="19"/>
        <v>1619.4732634049469</v>
      </c>
      <c r="X36" s="140">
        <f t="shared" si="19"/>
        <v>1755.6447909342505</v>
      </c>
      <c r="Y36" s="140">
        <f t="shared" si="19"/>
        <v>1903.6364099542488</v>
      </c>
      <c r="Z36" s="140">
        <f t="shared" si="19"/>
        <v>2064.7153717903543</v>
      </c>
      <c r="AA36" s="140">
        <f t="shared" si="19"/>
        <v>2239.7084096854055</v>
      </c>
      <c r="AB36" s="140">
        <f t="shared" si="19"/>
        <v>2429.9951150186284</v>
      </c>
      <c r="AC36" s="140">
        <f t="shared" si="19"/>
        <v>2636.7853671060475</v>
      </c>
      <c r="AD36" s="140">
        <f t="shared" si="19"/>
        <v>2861.8091324588613</v>
      </c>
      <c r="AE36" s="140">
        <f t="shared" si="19"/>
        <v>3106.2599255288269</v>
      </c>
      <c r="AF36" s="140">
        <f t="shared" si="19"/>
        <v>3384.6769065409976</v>
      </c>
    </row>
    <row r="37" spans="1:32">
      <c r="A37" s="13" t="s">
        <v>289</v>
      </c>
      <c r="B37" s="466">
        <v>0</v>
      </c>
      <c r="C37" s="467">
        <v>0</v>
      </c>
      <c r="D37" s="467">
        <v>0</v>
      </c>
      <c r="E37" s="467">
        <v>0</v>
      </c>
      <c r="F37" s="467">
        <v>0</v>
      </c>
      <c r="G37" s="467">
        <v>0</v>
      </c>
      <c r="H37" s="467">
        <v>0</v>
      </c>
      <c r="I37" s="467">
        <v>0</v>
      </c>
      <c r="J37" s="467">
        <v>0</v>
      </c>
      <c r="K37" s="467">
        <v>0</v>
      </c>
      <c r="L37" s="467">
        <v>0</v>
      </c>
      <c r="M37" s="467">
        <v>0</v>
      </c>
      <c r="N37" s="467">
        <v>0</v>
      </c>
      <c r="O37" s="467">
        <v>0</v>
      </c>
      <c r="P37" s="468">
        <v>0</v>
      </c>
      <c r="Q37" s="469">
        <f>IF(-SUM(B38:P38, B37:P37)&gt;B36,0,-B36-SUM(B38:P38,B37:P37))</f>
        <v>0</v>
      </c>
      <c r="R37" s="469">
        <f t="shared" ref="R37:AF37" si="20">IF(-SUM(C38:Q38, C37:Q37)&gt;C36,0,-C36-SUM(C38:Q38,C37:Q37))</f>
        <v>0</v>
      </c>
      <c r="S37" s="469">
        <f t="shared" si="20"/>
        <v>0</v>
      </c>
      <c r="T37" s="469">
        <f t="shared" si="20"/>
        <v>0</v>
      </c>
      <c r="U37" s="469">
        <f t="shared" si="20"/>
        <v>0</v>
      </c>
      <c r="V37" s="469">
        <f t="shared" si="20"/>
        <v>0</v>
      </c>
      <c r="W37" s="469">
        <f t="shared" si="20"/>
        <v>0</v>
      </c>
      <c r="X37" s="469">
        <f t="shared" si="20"/>
        <v>0</v>
      </c>
      <c r="Y37" s="469">
        <f t="shared" si="20"/>
        <v>0</v>
      </c>
      <c r="Z37" s="469">
        <f t="shared" si="20"/>
        <v>0</v>
      </c>
      <c r="AA37" s="469">
        <f t="shared" si="20"/>
        <v>-2786.8395021370034</v>
      </c>
      <c r="AB37" s="469">
        <f t="shared" si="20"/>
        <v>-35.344845272237308</v>
      </c>
      <c r="AC37" s="469">
        <f t="shared" si="20"/>
        <v>-55.315859406659456</v>
      </c>
      <c r="AD37" s="469">
        <f t="shared" si="20"/>
        <v>-67.418339077621567</v>
      </c>
      <c r="AE37" s="469">
        <f t="shared" si="20"/>
        <v>-66.050503951368228</v>
      </c>
      <c r="AF37" s="469">
        <f t="shared" si="20"/>
        <v>0</v>
      </c>
    </row>
    <row r="38" spans="1:32">
      <c r="A38" s="13" t="s">
        <v>290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2786.8395021370034</v>
      </c>
      <c r="M39" s="133">
        <f t="shared" si="23"/>
        <v>5609.0238495462436</v>
      </c>
      <c r="N39" s="133">
        <f t="shared" si="23"/>
        <v>8486.5240563621446</v>
      </c>
      <c r="O39" s="133">
        <f t="shared" si="23"/>
        <v>11431.442602255665</v>
      </c>
      <c r="P39" s="133">
        <f t="shared" si="23"/>
        <v>14442.411652100556</v>
      </c>
      <c r="Q39" s="133">
        <f t="shared" si="23"/>
        <v>16496.467915696281</v>
      </c>
      <c r="R39" s="133">
        <f t="shared" si="23"/>
        <v>17600.361210007053</v>
      </c>
      <c r="S39" s="133">
        <f t="shared" si="23"/>
        <v>18793.742680365936</v>
      </c>
      <c r="T39" s="133">
        <f t="shared" si="23"/>
        <v>1290.7263622961591</v>
      </c>
      <c r="U39" s="133">
        <f t="shared" si="23"/>
        <v>2687.2593461387296</v>
      </c>
      <c r="V39" s="133">
        <f t="shared" si="23"/>
        <v>4187.3571776370945</v>
      </c>
      <c r="W39" s="133">
        <f t="shared" si="23"/>
        <v>5806.8304410420415</v>
      </c>
      <c r="X39" s="133">
        <f t="shared" si="23"/>
        <v>7562.475231976292</v>
      </c>
      <c r="Y39" s="133">
        <f t="shared" si="23"/>
        <v>9466.1116419305399</v>
      </c>
      <c r="Z39" s="133">
        <f t="shared" si="23"/>
        <v>11530.827013720895</v>
      </c>
      <c r="AA39" s="133">
        <f t="shared" si="23"/>
        <v>10983.695921269296</v>
      </c>
      <c r="AB39" s="133">
        <f t="shared" si="23"/>
        <v>13378.346191015688</v>
      </c>
      <c r="AC39" s="133">
        <f t="shared" si="23"/>
        <v>15959.815698715076</v>
      </c>
      <c r="AD39" s="133">
        <f t="shared" si="23"/>
        <v>18754.206492096317</v>
      </c>
      <c r="AE39" s="133">
        <f t="shared" si="23"/>
        <v>21794.415913673773</v>
      </c>
      <c r="AF39" s="133">
        <f t="shared" si="23"/>
        <v>25179.09282021477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213</v>
      </c>
      <c r="B41" s="137">
        <f>IF(B30&lt;0,0,B38+B33)</f>
        <v>1572.9453827737871</v>
      </c>
      <c r="C41" s="137">
        <f t="shared" ref="C41:AF41" si="24">IF(C30&lt;0,0,C38+C33)</f>
        <v>96.723002629813919</v>
      </c>
      <c r="D41" s="137">
        <f t="shared" si="24"/>
        <v>734.54431171460362</v>
      </c>
      <c r="E41" s="137">
        <f t="shared" si="24"/>
        <v>1316.9397682802219</v>
      </c>
      <c r="F41" s="137">
        <f t="shared" si="24"/>
        <v>1703.9362577767581</v>
      </c>
      <c r="G41" s="137">
        <f t="shared" si="24"/>
        <v>2224.2689904951944</v>
      </c>
      <c r="H41" s="137">
        <f t="shared" si="24"/>
        <v>2460.5868063554917</v>
      </c>
      <c r="I41" s="137">
        <f t="shared" si="24"/>
        <v>2655.4630706988164</v>
      </c>
      <c r="J41" s="137">
        <f t="shared" si="24"/>
        <v>2793.810010732891</v>
      </c>
      <c r="K41" s="137">
        <f t="shared" si="24"/>
        <v>1748.3886743324451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J46" sqref="J46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190</v>
      </c>
      <c r="B4" s="215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351</v>
      </c>
      <c r="B6" s="231"/>
      <c r="C6" s="442">
        <v>33317.08</v>
      </c>
      <c r="D6" s="232"/>
      <c r="E6" s="232"/>
      <c r="F6" s="232"/>
      <c r="G6" s="232"/>
      <c r="H6" s="232"/>
      <c r="I6" s="233"/>
      <c r="J6" s="232"/>
      <c r="K6" s="232"/>
      <c r="L6" s="232"/>
      <c r="M6" s="232"/>
      <c r="N6" s="232"/>
      <c r="O6" s="233"/>
      <c r="P6" s="232"/>
      <c r="Q6" s="232"/>
      <c r="R6" s="232"/>
      <c r="S6" s="232"/>
      <c r="T6" s="232"/>
      <c r="U6" s="233"/>
      <c r="V6" s="232"/>
      <c r="W6" s="232"/>
      <c r="X6" s="235"/>
      <c r="Y6" s="235"/>
    </row>
    <row r="7" spans="1:25">
      <c r="A7" s="63" t="s">
        <v>197</v>
      </c>
      <c r="B7" s="231"/>
      <c r="C7" s="452">
        <v>8</v>
      </c>
      <c r="D7" s="232"/>
      <c r="E7" s="232"/>
      <c r="F7" s="232"/>
      <c r="G7" s="232"/>
      <c r="H7" s="232"/>
      <c r="I7" s="233"/>
      <c r="J7" s="232"/>
      <c r="K7" s="232"/>
      <c r="L7" s="232"/>
      <c r="M7" s="232"/>
      <c r="N7" s="232"/>
      <c r="O7" s="233"/>
      <c r="P7" s="232"/>
      <c r="Q7" s="232"/>
      <c r="R7" s="232"/>
      <c r="S7" s="232"/>
      <c r="T7" s="232"/>
      <c r="U7" s="233"/>
      <c r="V7" s="232"/>
      <c r="W7" s="232"/>
      <c r="X7" s="235"/>
      <c r="Y7" s="235"/>
    </row>
    <row r="8" spans="1:25">
      <c r="A8" s="63" t="s">
        <v>195</v>
      </c>
      <c r="B8" s="231"/>
      <c r="C8" s="525">
        <f>Assumptions!H39</f>
        <v>8.5000000000000006E-2</v>
      </c>
      <c r="D8" s="240">
        <f>C8/360</f>
        <v>2.3611111111111112E-4</v>
      </c>
      <c r="E8" s="232"/>
      <c r="F8" s="232"/>
      <c r="G8" s="232"/>
      <c r="H8" s="232"/>
      <c r="I8" s="233"/>
      <c r="J8" s="232"/>
      <c r="K8" s="232"/>
      <c r="L8" s="232"/>
      <c r="M8" s="232"/>
      <c r="N8" s="232"/>
      <c r="O8" s="233"/>
      <c r="P8" s="232"/>
      <c r="Q8" s="232"/>
      <c r="R8" s="232"/>
      <c r="S8" s="232"/>
      <c r="T8" s="232"/>
      <c r="U8" s="233"/>
      <c r="V8" s="232"/>
      <c r="W8" s="232"/>
      <c r="X8" s="235"/>
      <c r="Y8" s="235"/>
    </row>
    <row r="9" spans="1:25">
      <c r="A9" s="63"/>
      <c r="B9" s="231"/>
      <c r="C9" s="239" t="s">
        <v>196</v>
      </c>
      <c r="D9" s="239" t="s">
        <v>232</v>
      </c>
      <c r="E9" s="232"/>
      <c r="F9" s="232"/>
      <c r="G9" s="232"/>
      <c r="H9" s="232"/>
      <c r="I9" s="233"/>
      <c r="J9" s="232"/>
      <c r="K9" s="232"/>
      <c r="L9" s="232"/>
      <c r="M9" s="232"/>
      <c r="N9" s="232"/>
      <c r="O9" s="233"/>
      <c r="P9" s="232"/>
      <c r="Q9" s="232"/>
      <c r="R9" s="232"/>
      <c r="S9" s="232"/>
      <c r="T9" s="232"/>
      <c r="U9" s="233"/>
      <c r="V9" s="232"/>
      <c r="W9" s="232"/>
      <c r="X9" s="235"/>
      <c r="Y9" s="235"/>
    </row>
    <row r="10" spans="1:25">
      <c r="A10" s="63"/>
      <c r="B10" s="231"/>
      <c r="C10" s="239"/>
      <c r="D10" s="239"/>
      <c r="E10" s="232"/>
      <c r="F10" s="232"/>
      <c r="G10" s="232"/>
      <c r="H10" s="232"/>
      <c r="I10" s="233"/>
      <c r="J10" s="232"/>
      <c r="K10" s="232"/>
      <c r="L10" s="232"/>
      <c r="M10" s="232"/>
      <c r="N10" s="232"/>
      <c r="O10" s="233"/>
      <c r="P10" s="232"/>
      <c r="Q10" s="232"/>
      <c r="R10" s="232"/>
      <c r="S10" s="232"/>
      <c r="T10" s="232"/>
      <c r="U10" s="233"/>
      <c r="V10" s="232"/>
      <c r="W10" s="232"/>
      <c r="X10" s="235"/>
      <c r="Y10" s="235"/>
    </row>
    <row r="11" spans="1:25">
      <c r="A11" s="63"/>
      <c r="B11" s="231"/>
      <c r="C11" s="239"/>
      <c r="D11" s="239"/>
      <c r="E11" s="232"/>
      <c r="F11" s="232"/>
      <c r="G11" s="232"/>
      <c r="H11" s="232"/>
      <c r="I11" s="233"/>
      <c r="J11" s="232"/>
      <c r="K11" s="232"/>
      <c r="L11" s="232"/>
      <c r="M11" s="232"/>
      <c r="N11" s="232"/>
      <c r="O11" s="233"/>
      <c r="P11" s="232"/>
      <c r="Q11" s="232"/>
      <c r="R11" s="232"/>
      <c r="S11" s="232"/>
      <c r="T11" s="232"/>
      <c r="U11" s="233"/>
      <c r="V11" s="232"/>
      <c r="W11" s="232"/>
      <c r="X11" s="235"/>
      <c r="Y11" s="235"/>
    </row>
    <row r="12" spans="1:25">
      <c r="A12" s="5"/>
      <c r="B12" s="228"/>
      <c r="C12" s="228"/>
      <c r="D12" s="229" t="s">
        <v>184</v>
      </c>
      <c r="E12" s="227" t="s">
        <v>191</v>
      </c>
      <c r="F12" s="228"/>
      <c r="G12" s="228"/>
      <c r="H12" s="228"/>
      <c r="I12" s="228"/>
      <c r="J12" s="223"/>
    </row>
    <row r="13" spans="1:25">
      <c r="A13" s="227" t="s">
        <v>181</v>
      </c>
      <c r="B13" s="5"/>
      <c r="C13" s="5"/>
      <c r="D13" s="229" t="s">
        <v>192</v>
      </c>
      <c r="E13" s="229" t="s">
        <v>185</v>
      </c>
      <c r="F13" s="229" t="s">
        <v>186</v>
      </c>
      <c r="G13" s="234" t="s">
        <v>187</v>
      </c>
      <c r="H13" s="229" t="s">
        <v>188</v>
      </c>
      <c r="I13" s="229" t="s">
        <v>189</v>
      </c>
      <c r="J13" s="66"/>
    </row>
    <row r="14" spans="1:25">
      <c r="A14" s="224" t="s">
        <v>182</v>
      </c>
      <c r="B14" s="224" t="s">
        <v>132</v>
      </c>
      <c r="C14" s="224" t="s">
        <v>183</v>
      </c>
      <c r="D14" s="224" t="s">
        <v>194</v>
      </c>
      <c r="E14" s="224" t="s">
        <v>194</v>
      </c>
      <c r="F14" s="224" t="s">
        <v>194</v>
      </c>
      <c r="G14" s="224" t="s">
        <v>194</v>
      </c>
      <c r="H14" s="224" t="s">
        <v>194</v>
      </c>
      <c r="I14" s="224" t="s">
        <v>194</v>
      </c>
      <c r="J14" s="66"/>
    </row>
    <row r="15" spans="1:25">
      <c r="A15" s="225">
        <v>1</v>
      </c>
      <c r="B15" s="226">
        <v>36617</v>
      </c>
      <c r="C15" s="267">
        <f>HLOOKUP(Assumptions!$H$12,IDC!$H$40:$L$56,2+F42)</f>
        <v>0.1</v>
      </c>
      <c r="D15" s="236">
        <f>D59*Assumptions!H12</f>
        <v>57041.798429326831</v>
      </c>
      <c r="E15" s="237">
        <f t="shared" ref="E15:E33" si="0">C15*$C$6</f>
        <v>3331.7080000000005</v>
      </c>
      <c r="F15" s="237">
        <f t="shared" ref="F15:F33" si="1">+E15+D15</f>
        <v>60373.50642932683</v>
      </c>
      <c r="G15" s="237">
        <f>F15+H15</f>
        <v>60373.50642932683</v>
      </c>
      <c r="H15" s="237">
        <v>0</v>
      </c>
      <c r="I15" s="237">
        <v>0</v>
      </c>
      <c r="K15" s="440"/>
    </row>
    <row r="16" spans="1:25">
      <c r="A16" s="225">
        <f t="shared" ref="A16:A33" si="2">A15+1</f>
        <v>2</v>
      </c>
      <c r="B16" s="226">
        <v>36647</v>
      </c>
      <c r="C16" s="267">
        <f>HLOOKUP(Assumptions!$H$12,IDC!$H$40:$L$56,2+F43)</f>
        <v>0.12</v>
      </c>
      <c r="D16" s="236">
        <v>0</v>
      </c>
      <c r="E16" s="237">
        <f t="shared" si="0"/>
        <v>3998.0496000000003</v>
      </c>
      <c r="F16" s="237">
        <f t="shared" si="1"/>
        <v>3998.0496000000003</v>
      </c>
      <c r="G16" s="237">
        <f t="shared" ref="G16:G33" si="3">F16+G15+H16</f>
        <v>64799.201699867896</v>
      </c>
      <c r="H16" s="237">
        <f>IF(A16&gt;$C$7+1,0,G15*(B16-B15)*$D$8)</f>
        <v>427.64567054106504</v>
      </c>
      <c r="I16" s="237">
        <f>IF(A16&lt;=$C$7+1,H16+I15,I15)</f>
        <v>427.64567054106504</v>
      </c>
      <c r="K16" s="440"/>
    </row>
    <row r="17" spans="1:11">
      <c r="A17" s="225">
        <f t="shared" si="2"/>
        <v>3</v>
      </c>
      <c r="B17" s="226">
        <v>36678</v>
      </c>
      <c r="C17" s="267">
        <f>HLOOKUP(Assumptions!$H$12,IDC!$H$40:$L$56,2+F44)</f>
        <v>0.1</v>
      </c>
      <c r="D17" s="236">
        <v>0</v>
      </c>
      <c r="E17" s="237">
        <f t="shared" si="0"/>
        <v>3331.7080000000005</v>
      </c>
      <c r="F17" s="237">
        <f t="shared" si="1"/>
        <v>3331.7080000000005</v>
      </c>
      <c r="G17" s="237">
        <f t="shared" si="3"/>
        <v>68605.203856754437</v>
      </c>
      <c r="H17" s="237">
        <f t="shared" ref="H17:H33" si="4">IF(A17&gt;$C$7+1,0,G16*(B17-B16)*$D$8)</f>
        <v>474.29415688653307</v>
      </c>
      <c r="I17" s="237">
        <f t="shared" ref="I17:I33" si="5">IF(A17&lt;=$C$7+1,H17+I16,I16)</f>
        <v>901.93982742759817</v>
      </c>
      <c r="K17" s="440"/>
    </row>
    <row r="18" spans="1:11">
      <c r="A18" s="225">
        <f t="shared" si="2"/>
        <v>4</v>
      </c>
      <c r="B18" s="226">
        <v>36708</v>
      </c>
      <c r="C18" s="267">
        <f>HLOOKUP(Assumptions!$H$12,IDC!$H$40:$L$56,2+F45)</f>
        <v>0.13</v>
      </c>
      <c r="D18" s="236">
        <v>0</v>
      </c>
      <c r="E18" s="237">
        <f t="shared" si="0"/>
        <v>4331.2204000000002</v>
      </c>
      <c r="F18" s="237">
        <f t="shared" si="1"/>
        <v>4331.2204000000002</v>
      </c>
      <c r="G18" s="237">
        <f t="shared" si="3"/>
        <v>73422.37778407312</v>
      </c>
      <c r="H18" s="237">
        <f t="shared" si="4"/>
        <v>485.95352731867729</v>
      </c>
      <c r="I18" s="237">
        <f t="shared" si="5"/>
        <v>1387.8933547462755</v>
      </c>
      <c r="K18" s="440"/>
    </row>
    <row r="19" spans="1:11">
      <c r="A19" s="225">
        <f t="shared" si="2"/>
        <v>5</v>
      </c>
      <c r="B19" s="226">
        <v>36739</v>
      </c>
      <c r="C19" s="267">
        <f>HLOOKUP(Assumptions!$H$12,IDC!$H$40:$L$56,2+F46)</f>
        <v>0.13</v>
      </c>
      <c r="D19" s="236">
        <v>0</v>
      </c>
      <c r="E19" s="237">
        <f t="shared" si="0"/>
        <v>4331.2204000000002</v>
      </c>
      <c r="F19" s="237">
        <f t="shared" si="1"/>
        <v>4331.2204000000002</v>
      </c>
      <c r="G19" s="237">
        <f t="shared" si="3"/>
        <v>78291.009199242661</v>
      </c>
      <c r="H19" s="237">
        <f t="shared" si="4"/>
        <v>537.41101516953518</v>
      </c>
      <c r="I19" s="237">
        <f t="shared" si="5"/>
        <v>1925.3043699158106</v>
      </c>
      <c r="K19" s="440"/>
    </row>
    <row r="20" spans="1:11">
      <c r="A20" s="225">
        <f t="shared" si="2"/>
        <v>6</v>
      </c>
      <c r="B20" s="226">
        <v>36770</v>
      </c>
      <c r="C20" s="267">
        <f>HLOOKUP(Assumptions!$H$12,IDC!$H$40:$L$56,2+F47)</f>
        <v>0.1</v>
      </c>
      <c r="D20" s="236">
        <v>0</v>
      </c>
      <c r="E20" s="237">
        <f t="shared" si="0"/>
        <v>3331.7080000000005</v>
      </c>
      <c r="F20" s="237">
        <f t="shared" si="1"/>
        <v>3331.7080000000005</v>
      </c>
      <c r="G20" s="237">
        <f t="shared" si="3"/>
        <v>82195.763891576004</v>
      </c>
      <c r="H20" s="237">
        <f t="shared" si="4"/>
        <v>573.04669233334562</v>
      </c>
      <c r="I20" s="237">
        <f t="shared" si="5"/>
        <v>2498.3510622491563</v>
      </c>
      <c r="K20" s="440"/>
    </row>
    <row r="21" spans="1:11">
      <c r="A21" s="225">
        <f t="shared" si="2"/>
        <v>7</v>
      </c>
      <c r="B21" s="226">
        <v>36800</v>
      </c>
      <c r="C21" s="267">
        <f>HLOOKUP(Assumptions!$H$12,IDC!$H$40:$L$56,2+F48)</f>
        <v>0.12</v>
      </c>
      <c r="D21" s="236">
        <v>0</v>
      </c>
      <c r="E21" s="237">
        <f t="shared" si="0"/>
        <v>3998.0496000000003</v>
      </c>
      <c r="F21" s="237">
        <f t="shared" si="1"/>
        <v>3998.0496000000003</v>
      </c>
      <c r="G21" s="237">
        <f t="shared" si="3"/>
        <v>86776.033485808002</v>
      </c>
      <c r="H21" s="237">
        <f t="shared" si="4"/>
        <v>582.21999423199668</v>
      </c>
      <c r="I21" s="237">
        <f t="shared" si="5"/>
        <v>3080.5710564811529</v>
      </c>
      <c r="K21" s="440"/>
    </row>
    <row r="22" spans="1:11">
      <c r="A22" s="225">
        <f t="shared" si="2"/>
        <v>8</v>
      </c>
      <c r="B22" s="226">
        <v>36831</v>
      </c>
      <c r="C22" s="267">
        <f>HLOOKUP(Assumptions!$H$12,IDC!$H$40:$L$56,2+F49)</f>
        <v>0.12</v>
      </c>
      <c r="D22" s="236">
        <v>0</v>
      </c>
      <c r="E22" s="237">
        <f t="shared" si="0"/>
        <v>3998.0496000000003</v>
      </c>
      <c r="F22" s="237">
        <f t="shared" si="1"/>
        <v>3998.0496000000003</v>
      </c>
      <c r="G22" s="237">
        <f t="shared" si="3"/>
        <v>91409.235442016623</v>
      </c>
      <c r="H22" s="237">
        <f t="shared" si="4"/>
        <v>635.15235620862245</v>
      </c>
      <c r="I22" s="237">
        <f t="shared" si="5"/>
        <v>3715.7234126897756</v>
      </c>
      <c r="K22" s="440"/>
    </row>
    <row r="23" spans="1:11">
      <c r="A23" s="225">
        <f t="shared" si="2"/>
        <v>9</v>
      </c>
      <c r="B23" s="226">
        <v>36861</v>
      </c>
      <c r="C23" s="267">
        <f>HLOOKUP(Assumptions!$H$12,IDC!$H$40:$L$56,2+F50)</f>
        <v>0.08</v>
      </c>
      <c r="D23" s="236">
        <v>0</v>
      </c>
      <c r="E23" s="237">
        <f t="shared" si="0"/>
        <v>2665.3664000000003</v>
      </c>
      <c r="F23" s="237">
        <f t="shared" si="1"/>
        <v>2665.3664000000003</v>
      </c>
      <c r="G23" s="237">
        <f t="shared" si="3"/>
        <v>94722.083926397579</v>
      </c>
      <c r="H23" s="237">
        <f t="shared" si="4"/>
        <v>647.48208438095105</v>
      </c>
      <c r="I23" s="237">
        <f t="shared" si="5"/>
        <v>4363.2054970707268</v>
      </c>
      <c r="K23" s="440"/>
    </row>
    <row r="24" spans="1:11">
      <c r="A24" s="225">
        <f t="shared" si="2"/>
        <v>10</v>
      </c>
      <c r="B24" s="226">
        <v>36892</v>
      </c>
      <c r="C24" s="267">
        <f>HLOOKUP(Assumptions!$H$12,IDC!$H$40:$L$56,2+F51)</f>
        <v>0</v>
      </c>
      <c r="D24" s="236">
        <v>0</v>
      </c>
      <c r="E24" s="237">
        <f t="shared" si="0"/>
        <v>0</v>
      </c>
      <c r="F24" s="237">
        <f t="shared" si="1"/>
        <v>0</v>
      </c>
      <c r="G24" s="237">
        <f t="shared" si="3"/>
        <v>94722.083926397579</v>
      </c>
      <c r="H24" s="237">
        <f t="shared" si="4"/>
        <v>0</v>
      </c>
      <c r="I24" s="237">
        <f t="shared" si="5"/>
        <v>4363.2054970707268</v>
      </c>
      <c r="K24" s="440"/>
    </row>
    <row r="25" spans="1:11">
      <c r="A25" s="225">
        <f t="shared" si="2"/>
        <v>11</v>
      </c>
      <c r="B25" s="226">
        <v>36923</v>
      </c>
      <c r="C25" s="267">
        <f>HLOOKUP(Assumptions!$H$12,IDC!$H$40:$L$56,2+F52)</f>
        <v>0</v>
      </c>
      <c r="D25" s="236">
        <v>0</v>
      </c>
      <c r="E25" s="237">
        <f t="shared" si="0"/>
        <v>0</v>
      </c>
      <c r="F25" s="237">
        <f t="shared" si="1"/>
        <v>0</v>
      </c>
      <c r="G25" s="237">
        <f t="shared" si="3"/>
        <v>94722.083926397579</v>
      </c>
      <c r="H25" s="237">
        <f t="shared" si="4"/>
        <v>0</v>
      </c>
      <c r="I25" s="237">
        <f t="shared" si="5"/>
        <v>4363.2054970707268</v>
      </c>
      <c r="K25" s="440"/>
    </row>
    <row r="26" spans="1:11">
      <c r="A26" s="225">
        <f t="shared" si="2"/>
        <v>12</v>
      </c>
      <c r="B26" s="226">
        <v>36951</v>
      </c>
      <c r="C26" s="267">
        <f>HLOOKUP(Assumptions!$H$12,IDC!$H$40:$L$56,2+F53)</f>
        <v>0</v>
      </c>
      <c r="D26" s="236">
        <v>0</v>
      </c>
      <c r="E26" s="237">
        <f t="shared" si="0"/>
        <v>0</v>
      </c>
      <c r="F26" s="237">
        <f t="shared" si="1"/>
        <v>0</v>
      </c>
      <c r="G26" s="237">
        <f t="shared" si="3"/>
        <v>94722.083926397579</v>
      </c>
      <c r="H26" s="237">
        <f t="shared" si="4"/>
        <v>0</v>
      </c>
      <c r="I26" s="237">
        <f t="shared" si="5"/>
        <v>4363.2054970707268</v>
      </c>
      <c r="K26" s="440"/>
    </row>
    <row r="27" spans="1:11">
      <c r="A27" s="225">
        <f t="shared" si="2"/>
        <v>13</v>
      </c>
      <c r="B27" s="226">
        <v>36982</v>
      </c>
      <c r="C27" s="267">
        <f>HLOOKUP(Assumptions!$H$12,IDC!$H$40:$L$56,2+F54)</f>
        <v>0</v>
      </c>
      <c r="D27" s="236">
        <v>0</v>
      </c>
      <c r="E27" s="237">
        <f t="shared" si="0"/>
        <v>0</v>
      </c>
      <c r="F27" s="237">
        <f t="shared" si="1"/>
        <v>0</v>
      </c>
      <c r="G27" s="237">
        <f t="shared" si="3"/>
        <v>94722.083926397579</v>
      </c>
      <c r="H27" s="237">
        <f t="shared" si="4"/>
        <v>0</v>
      </c>
      <c r="I27" s="237">
        <f t="shared" si="5"/>
        <v>4363.2054970707268</v>
      </c>
      <c r="K27" s="440"/>
    </row>
    <row r="28" spans="1:11">
      <c r="A28" s="225">
        <f t="shared" si="2"/>
        <v>14</v>
      </c>
      <c r="B28" s="226">
        <v>37012</v>
      </c>
      <c r="C28" s="267">
        <f>HLOOKUP(Assumptions!$H$12,IDC!$H$40:$L$56,2+F55)</f>
        <v>0</v>
      </c>
      <c r="D28" s="236">
        <v>0</v>
      </c>
      <c r="E28" s="237">
        <f t="shared" si="0"/>
        <v>0</v>
      </c>
      <c r="F28" s="237">
        <f t="shared" si="1"/>
        <v>0</v>
      </c>
      <c r="G28" s="237">
        <f t="shared" si="3"/>
        <v>94722.083926397579</v>
      </c>
      <c r="H28" s="237">
        <f t="shared" si="4"/>
        <v>0</v>
      </c>
      <c r="I28" s="237">
        <f t="shared" si="5"/>
        <v>4363.2054970707268</v>
      </c>
      <c r="K28" s="440"/>
    </row>
    <row r="29" spans="1:11">
      <c r="A29" s="225">
        <f t="shared" si="2"/>
        <v>15</v>
      </c>
      <c r="B29" s="226">
        <v>37043</v>
      </c>
      <c r="C29" s="267">
        <f>HLOOKUP(Assumptions!$H$12,IDC!$H$40:$L$56,2+F56)</f>
        <v>0</v>
      </c>
      <c r="D29" s="236">
        <v>0</v>
      </c>
      <c r="E29" s="237">
        <f t="shared" si="0"/>
        <v>0</v>
      </c>
      <c r="F29" s="237">
        <f t="shared" si="1"/>
        <v>0</v>
      </c>
      <c r="G29" s="237">
        <f t="shared" si="3"/>
        <v>94722.083926397579</v>
      </c>
      <c r="H29" s="237">
        <f t="shared" si="4"/>
        <v>0</v>
      </c>
      <c r="I29" s="237">
        <f t="shared" si="5"/>
        <v>4363.2054970707268</v>
      </c>
      <c r="K29" s="440"/>
    </row>
    <row r="30" spans="1:11">
      <c r="A30" s="225">
        <f t="shared" si="2"/>
        <v>16</v>
      </c>
      <c r="B30" s="226">
        <v>37073</v>
      </c>
      <c r="C30" s="267">
        <v>0</v>
      </c>
      <c r="D30" s="236">
        <v>0</v>
      </c>
      <c r="E30" s="237">
        <f t="shared" si="0"/>
        <v>0</v>
      </c>
      <c r="F30" s="237">
        <f t="shared" si="1"/>
        <v>0</v>
      </c>
      <c r="G30" s="237">
        <f t="shared" si="3"/>
        <v>94722.083926397579</v>
      </c>
      <c r="H30" s="237">
        <f t="shared" si="4"/>
        <v>0</v>
      </c>
      <c r="I30" s="237">
        <f t="shared" si="5"/>
        <v>4363.2054970707268</v>
      </c>
      <c r="K30" s="440"/>
    </row>
    <row r="31" spans="1:11">
      <c r="A31" s="225">
        <f t="shared" si="2"/>
        <v>17</v>
      </c>
      <c r="B31" s="226">
        <v>37104</v>
      </c>
      <c r="C31" s="267">
        <v>0</v>
      </c>
      <c r="D31" s="236">
        <v>0</v>
      </c>
      <c r="E31" s="237">
        <f t="shared" si="0"/>
        <v>0</v>
      </c>
      <c r="F31" s="237">
        <f t="shared" si="1"/>
        <v>0</v>
      </c>
      <c r="G31" s="237">
        <f t="shared" si="3"/>
        <v>94722.083926397579</v>
      </c>
      <c r="H31" s="237">
        <f t="shared" si="4"/>
        <v>0</v>
      </c>
      <c r="I31" s="237">
        <f t="shared" si="5"/>
        <v>4363.2054970707268</v>
      </c>
      <c r="K31" s="440"/>
    </row>
    <row r="32" spans="1:11">
      <c r="A32" s="225">
        <f t="shared" si="2"/>
        <v>18</v>
      </c>
      <c r="B32" s="226">
        <v>37135</v>
      </c>
      <c r="C32" s="267">
        <v>0</v>
      </c>
      <c r="D32" s="236">
        <v>0</v>
      </c>
      <c r="E32" s="237">
        <f t="shared" si="0"/>
        <v>0</v>
      </c>
      <c r="F32" s="237">
        <f t="shared" si="1"/>
        <v>0</v>
      </c>
      <c r="G32" s="237">
        <f t="shared" si="3"/>
        <v>94722.083926397579</v>
      </c>
      <c r="H32" s="237">
        <f t="shared" si="4"/>
        <v>0</v>
      </c>
      <c r="I32" s="237">
        <f t="shared" si="5"/>
        <v>4363.2054970707268</v>
      </c>
      <c r="K32" s="440"/>
    </row>
    <row r="33" spans="1:12">
      <c r="A33" s="225">
        <f t="shared" si="2"/>
        <v>19</v>
      </c>
      <c r="B33" s="226">
        <v>37165</v>
      </c>
      <c r="C33" s="439">
        <v>0</v>
      </c>
      <c r="D33" s="241">
        <v>0</v>
      </c>
      <c r="E33" s="242">
        <f t="shared" si="0"/>
        <v>0</v>
      </c>
      <c r="F33" s="242">
        <f t="shared" si="1"/>
        <v>0</v>
      </c>
      <c r="G33" s="242">
        <f t="shared" si="3"/>
        <v>94722.083926397579</v>
      </c>
      <c r="H33" s="242">
        <f t="shared" si="4"/>
        <v>0</v>
      </c>
      <c r="I33" s="242">
        <f t="shared" si="5"/>
        <v>4363.2054970707268</v>
      </c>
      <c r="K33" s="440"/>
    </row>
    <row r="34" spans="1:12">
      <c r="C34" s="230">
        <f>SUM(C15:C33)</f>
        <v>1</v>
      </c>
      <c r="D34" s="238">
        <f>SUM(D15:D33)</f>
        <v>57041.798429326831</v>
      </c>
      <c r="E34" s="238">
        <f>SUM(E15:E33)</f>
        <v>33317.079999999994</v>
      </c>
      <c r="F34" s="238">
        <f>SUM(F15:F33)</f>
        <v>90358.87842932684</v>
      </c>
      <c r="G34" s="18"/>
      <c r="H34" s="238">
        <f>SUM(H15:H33)</f>
        <v>4363.2054970707268</v>
      </c>
      <c r="I34" s="238"/>
    </row>
    <row r="38" spans="1:12" ht="18.75">
      <c r="A38" s="61" t="s">
        <v>228</v>
      </c>
      <c r="B38" s="283"/>
      <c r="F38"/>
      <c r="G38"/>
      <c r="H38"/>
      <c r="I38"/>
      <c r="J38"/>
      <c r="K38"/>
      <c r="L38"/>
    </row>
    <row r="39" spans="1:12" ht="13.5" thickBot="1">
      <c r="F39" s="404" t="s">
        <v>429</v>
      </c>
    </row>
    <row r="40" spans="1:12">
      <c r="F40" s="422"/>
      <c r="G40" s="418" t="s">
        <v>337</v>
      </c>
      <c r="H40" s="418">
        <v>2</v>
      </c>
      <c r="I40" s="418">
        <v>3</v>
      </c>
      <c r="J40" s="558">
        <v>4</v>
      </c>
      <c r="K40" s="418">
        <v>5</v>
      </c>
      <c r="L40" s="419">
        <v>6</v>
      </c>
    </row>
    <row r="41" spans="1:12" ht="13.5" thickBot="1">
      <c r="A41" s="227" t="s">
        <v>338</v>
      </c>
      <c r="B41" s="227" t="s">
        <v>340</v>
      </c>
      <c r="C41" s="227" t="s">
        <v>342</v>
      </c>
      <c r="D41" s="227" t="s">
        <v>227</v>
      </c>
      <c r="F41" s="423" t="s">
        <v>182</v>
      </c>
      <c r="G41" s="420" t="s">
        <v>347</v>
      </c>
      <c r="H41" s="420">
        <v>6</v>
      </c>
      <c r="I41" s="420">
        <v>6.5</v>
      </c>
      <c r="J41" s="559">
        <v>7</v>
      </c>
      <c r="K41" s="420">
        <v>7.5</v>
      </c>
      <c r="L41" s="421">
        <v>8</v>
      </c>
    </row>
    <row r="42" spans="1:12" ht="13.5" thickBot="1">
      <c r="A42" s="227" t="s">
        <v>339</v>
      </c>
      <c r="B42" s="227" t="s">
        <v>341</v>
      </c>
      <c r="C42" s="227" t="s">
        <v>343</v>
      </c>
      <c r="D42" s="227" t="s">
        <v>344</v>
      </c>
      <c r="F42" s="424">
        <v>1</v>
      </c>
      <c r="G42" s="410"/>
      <c r="H42" s="522">
        <v>0.1</v>
      </c>
      <c r="I42" s="522">
        <v>0.1</v>
      </c>
      <c r="J42" s="560">
        <v>0.1</v>
      </c>
      <c r="K42" s="411">
        <v>0.1</v>
      </c>
      <c r="L42" s="412">
        <v>0.1</v>
      </c>
    </row>
    <row r="43" spans="1:12">
      <c r="A43" s="428" t="s">
        <v>226</v>
      </c>
      <c r="B43" s="429">
        <v>3</v>
      </c>
      <c r="C43" s="430">
        <v>36737</v>
      </c>
      <c r="D43" s="431">
        <v>36829</v>
      </c>
      <c r="F43" s="425">
        <v>2</v>
      </c>
      <c r="G43" s="179"/>
      <c r="H43" s="523">
        <v>0.04</v>
      </c>
      <c r="I43" s="523">
        <v>0.04</v>
      </c>
      <c r="J43" s="561">
        <v>0.12</v>
      </c>
      <c r="K43" s="413">
        <v>0.04</v>
      </c>
      <c r="L43" s="414">
        <v>0.04</v>
      </c>
    </row>
    <row r="44" spans="1:12">
      <c r="A44" s="432" t="s">
        <v>225</v>
      </c>
      <c r="B44" s="426">
        <v>3</v>
      </c>
      <c r="C44" s="427">
        <v>36768</v>
      </c>
      <c r="D44" s="433">
        <v>36829</v>
      </c>
      <c r="F44" s="425">
        <v>3</v>
      </c>
      <c r="G44" s="179"/>
      <c r="H44" s="523">
        <v>0.08</v>
      </c>
      <c r="I44" s="523">
        <v>0.08</v>
      </c>
      <c r="J44" s="561">
        <v>0.1</v>
      </c>
      <c r="K44" s="413">
        <v>0.08</v>
      </c>
      <c r="L44" s="414">
        <v>0.08</v>
      </c>
    </row>
    <row r="45" spans="1:12">
      <c r="A45" s="432" t="s">
        <v>224</v>
      </c>
      <c r="B45" s="426">
        <v>2</v>
      </c>
      <c r="C45" s="427">
        <v>36799</v>
      </c>
      <c r="D45" s="433">
        <v>36829</v>
      </c>
      <c r="F45" s="425">
        <v>4</v>
      </c>
      <c r="G45" s="179"/>
      <c r="H45" s="523">
        <v>0.12</v>
      </c>
      <c r="I45" s="523">
        <v>0.12</v>
      </c>
      <c r="J45" s="561">
        <v>0.13</v>
      </c>
      <c r="K45" s="413">
        <v>0.1</v>
      </c>
      <c r="L45" s="414">
        <v>0.1</v>
      </c>
    </row>
    <row r="46" spans="1:12">
      <c r="A46" s="432" t="s">
        <v>223</v>
      </c>
      <c r="B46" s="426">
        <v>3</v>
      </c>
      <c r="C46" s="427">
        <v>36829</v>
      </c>
      <c r="D46" s="433">
        <v>36829</v>
      </c>
      <c r="F46" s="425">
        <v>5</v>
      </c>
      <c r="G46" s="179"/>
      <c r="H46" s="523">
        <v>0.12</v>
      </c>
      <c r="I46" s="523">
        <v>0.12</v>
      </c>
      <c r="J46" s="561">
        <v>0.13</v>
      </c>
      <c r="K46" s="413">
        <v>0.11</v>
      </c>
      <c r="L46" s="414">
        <v>0.1</v>
      </c>
    </row>
    <row r="47" spans="1:12">
      <c r="A47" s="432" t="s">
        <v>222</v>
      </c>
      <c r="B47" s="426">
        <v>2</v>
      </c>
      <c r="C47" s="427">
        <v>36860</v>
      </c>
      <c r="D47" s="433">
        <v>36860</v>
      </c>
      <c r="F47" s="425">
        <v>6</v>
      </c>
      <c r="G47" s="179"/>
      <c r="H47" s="523">
        <v>0.12</v>
      </c>
      <c r="I47" s="523">
        <v>0.12</v>
      </c>
      <c r="J47" s="561">
        <v>0.1</v>
      </c>
      <c r="K47" s="413">
        <v>0.11</v>
      </c>
      <c r="L47" s="414">
        <v>0.1</v>
      </c>
    </row>
    <row r="48" spans="1:12">
      <c r="A48" s="434" t="s">
        <v>221</v>
      </c>
      <c r="B48" s="426">
        <v>2</v>
      </c>
      <c r="C48" s="427">
        <v>36890</v>
      </c>
      <c r="D48" s="433">
        <v>36890</v>
      </c>
      <c r="F48" s="425">
        <v>7</v>
      </c>
      <c r="G48" s="179"/>
      <c r="H48" s="523">
        <v>0.1</v>
      </c>
      <c r="I48" s="523">
        <v>0.1</v>
      </c>
      <c r="J48" s="561">
        <v>0.12</v>
      </c>
      <c r="K48" s="413">
        <v>0.1</v>
      </c>
      <c r="L48" s="414">
        <v>0.08</v>
      </c>
    </row>
    <row r="49" spans="1:12">
      <c r="A49" s="434" t="s">
        <v>220</v>
      </c>
      <c r="B49" s="426">
        <v>3</v>
      </c>
      <c r="C49" s="427">
        <v>36555</v>
      </c>
      <c r="D49" s="433">
        <v>36555</v>
      </c>
      <c r="F49" s="425">
        <v>8</v>
      </c>
      <c r="G49" s="179"/>
      <c r="H49" s="523">
        <v>0.08</v>
      </c>
      <c r="I49" s="523">
        <v>0.08</v>
      </c>
      <c r="J49" s="561">
        <v>0.12</v>
      </c>
      <c r="K49" s="413">
        <v>0.08</v>
      </c>
      <c r="L49" s="414">
        <v>0.08</v>
      </c>
    </row>
    <row r="50" spans="1:12">
      <c r="A50" s="434" t="s">
        <v>219</v>
      </c>
      <c r="B50" s="426">
        <v>2</v>
      </c>
      <c r="C50" s="427">
        <v>36950</v>
      </c>
      <c r="D50" s="433">
        <v>36950</v>
      </c>
      <c r="F50" s="425">
        <v>9</v>
      </c>
      <c r="G50" s="179"/>
      <c r="H50" s="523">
        <v>0.06</v>
      </c>
      <c r="I50" s="523">
        <v>0.06</v>
      </c>
      <c r="J50" s="561">
        <v>0.08</v>
      </c>
      <c r="K50" s="413">
        <v>0.06</v>
      </c>
      <c r="L50" s="414">
        <v>0.06</v>
      </c>
    </row>
    <row r="51" spans="1:12">
      <c r="A51" s="434" t="s">
        <v>218</v>
      </c>
      <c r="B51" s="426">
        <v>2</v>
      </c>
      <c r="C51" s="427">
        <v>36980</v>
      </c>
      <c r="D51" s="433">
        <v>36980</v>
      </c>
      <c r="F51" s="425">
        <v>10</v>
      </c>
      <c r="G51" s="179"/>
      <c r="H51" s="523">
        <v>0.06</v>
      </c>
      <c r="I51" s="523">
        <v>0.06</v>
      </c>
      <c r="J51" s="561">
        <v>0</v>
      </c>
      <c r="K51" s="413">
        <v>0.06</v>
      </c>
      <c r="L51" s="414">
        <v>0.06</v>
      </c>
    </row>
    <row r="52" spans="1:12" ht="13.5" thickBot="1">
      <c r="A52" s="435" t="s">
        <v>217</v>
      </c>
      <c r="B52" s="436">
        <v>2</v>
      </c>
      <c r="C52" s="437">
        <v>37011</v>
      </c>
      <c r="D52" s="438">
        <v>37011</v>
      </c>
      <c r="F52" s="425">
        <v>11</v>
      </c>
      <c r="G52" s="179"/>
      <c r="H52" s="523">
        <v>0.03</v>
      </c>
      <c r="I52" s="523">
        <v>0.03</v>
      </c>
      <c r="J52" s="561">
        <v>0</v>
      </c>
      <c r="K52" s="413">
        <v>0.03</v>
      </c>
      <c r="L52" s="414">
        <v>0.03</v>
      </c>
    </row>
    <row r="53" spans="1:12">
      <c r="F53" s="425">
        <v>12</v>
      </c>
      <c r="G53" s="179"/>
      <c r="H53" s="523">
        <v>0.04</v>
      </c>
      <c r="I53" s="523">
        <v>0.04</v>
      </c>
      <c r="J53" s="561">
        <v>0</v>
      </c>
      <c r="K53" s="413">
        <v>0.04</v>
      </c>
      <c r="L53" s="414">
        <v>0.04</v>
      </c>
    </row>
    <row r="54" spans="1:12" ht="13.5" thickBot="1">
      <c r="F54" s="425">
        <v>13</v>
      </c>
      <c r="G54" s="179"/>
      <c r="H54" s="523">
        <v>0.05</v>
      </c>
      <c r="I54" s="523">
        <v>0.05</v>
      </c>
      <c r="J54" s="561">
        <v>0</v>
      </c>
      <c r="K54" s="413">
        <v>0.04</v>
      </c>
      <c r="L54" s="414">
        <v>0.04</v>
      </c>
    </row>
    <row r="55" spans="1:12">
      <c r="A55" s="287" t="s">
        <v>345</v>
      </c>
      <c r="B55" s="38"/>
      <c r="C55" s="38"/>
      <c r="D55" s="284"/>
      <c r="F55" s="425">
        <v>14</v>
      </c>
      <c r="G55" s="179"/>
      <c r="H55" s="413">
        <v>0</v>
      </c>
      <c r="I55" s="413">
        <v>0</v>
      </c>
      <c r="J55" s="561">
        <v>0</v>
      </c>
      <c r="K55" s="413">
        <v>0.05</v>
      </c>
      <c r="L55" s="414">
        <v>0.04</v>
      </c>
    </row>
    <row r="56" spans="1:12" ht="13.5" thickBot="1">
      <c r="A56" s="41" t="s">
        <v>230</v>
      </c>
      <c r="B56" s="13"/>
      <c r="C56" s="13"/>
      <c r="D56" s="285">
        <v>13950</v>
      </c>
      <c r="F56" s="470">
        <v>15</v>
      </c>
      <c r="G56" s="415"/>
      <c r="H56" s="416">
        <v>0</v>
      </c>
      <c r="I56" s="416">
        <v>0</v>
      </c>
      <c r="J56" s="562">
        <v>0</v>
      </c>
      <c r="K56" s="416">
        <v>0</v>
      </c>
      <c r="L56" s="417">
        <v>0.05</v>
      </c>
    </row>
    <row r="57" spans="1:12" ht="13.5" thickBot="1">
      <c r="A57" s="41" t="s">
        <v>231</v>
      </c>
      <c r="B57" s="13"/>
      <c r="C57" s="13"/>
      <c r="D57" s="285">
        <v>289.6162739983738</v>
      </c>
      <c r="F57" s="441" t="s">
        <v>348</v>
      </c>
      <c r="G57" s="415"/>
      <c r="H57" s="416">
        <f>SUM(H42:H56)</f>
        <v>1.0000000000000002</v>
      </c>
      <c r="I57" s="416">
        <f>SUM(I42:I56)</f>
        <v>1.0000000000000002</v>
      </c>
      <c r="J57" s="562">
        <f>SUM(J42:J56)</f>
        <v>1</v>
      </c>
      <c r="K57" s="416">
        <f>SUM(K42:K56)</f>
        <v>1.0000000000000002</v>
      </c>
      <c r="L57" s="417">
        <f>SUM(L42:L56)</f>
        <v>1.0000000000000002</v>
      </c>
    </row>
    <row r="58" spans="1:12" ht="13.5" thickBot="1">
      <c r="A58" s="172" t="s">
        <v>229</v>
      </c>
      <c r="B58" s="42"/>
      <c r="C58" s="42"/>
      <c r="D58" s="286">
        <v>20.833333333333314</v>
      </c>
      <c r="E58" s="66"/>
    </row>
    <row r="59" spans="1:12" ht="13.5" thickBot="1">
      <c r="A59" s="288" t="s">
        <v>346</v>
      </c>
      <c r="B59" s="289"/>
      <c r="C59" s="289"/>
      <c r="D59" s="290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8" t="s">
        <v>432</v>
      </c>
    </row>
    <row r="2" spans="2:146">
      <c r="C2" t="s">
        <v>433</v>
      </c>
      <c r="O2" t="s">
        <v>434</v>
      </c>
      <c r="AA2" t="s">
        <v>435</v>
      </c>
      <c r="AM2" t="s">
        <v>436</v>
      </c>
      <c r="AY2" t="s">
        <v>437</v>
      </c>
      <c r="BK2" t="s">
        <v>438</v>
      </c>
      <c r="BW2" t="s">
        <v>439</v>
      </c>
      <c r="CI2" t="s">
        <v>440</v>
      </c>
      <c r="CU2" t="s">
        <v>441</v>
      </c>
      <c r="DG2" t="s">
        <v>442</v>
      </c>
      <c r="DS2" t="s">
        <v>443</v>
      </c>
      <c r="EE2" t="s">
        <v>444</v>
      </c>
    </row>
    <row r="3" spans="2:146">
      <c r="B3" s="529" t="s">
        <v>23</v>
      </c>
      <c r="C3" s="530" t="s">
        <v>445</v>
      </c>
      <c r="D3" s="530" t="s">
        <v>446</v>
      </c>
      <c r="E3" s="530" t="s">
        <v>447</v>
      </c>
      <c r="F3" s="530" t="s">
        <v>448</v>
      </c>
      <c r="G3" s="530" t="s">
        <v>449</v>
      </c>
      <c r="H3" s="530" t="s">
        <v>450</v>
      </c>
      <c r="I3" s="530" t="s">
        <v>451</v>
      </c>
      <c r="J3" s="530" t="s">
        <v>452</v>
      </c>
      <c r="K3" s="530" t="s">
        <v>453</v>
      </c>
      <c r="L3" s="530" t="s">
        <v>454</v>
      </c>
      <c r="M3" s="530" t="s">
        <v>455</v>
      </c>
      <c r="N3" s="530" t="s">
        <v>456</v>
      </c>
      <c r="O3" s="530" t="s">
        <v>445</v>
      </c>
      <c r="P3" s="530" t="s">
        <v>446</v>
      </c>
      <c r="Q3" s="530" t="s">
        <v>447</v>
      </c>
      <c r="R3" s="530" t="s">
        <v>448</v>
      </c>
      <c r="S3" s="530" t="s">
        <v>449</v>
      </c>
      <c r="T3" s="530" t="s">
        <v>450</v>
      </c>
      <c r="U3" s="530" t="s">
        <v>451</v>
      </c>
      <c r="V3" s="530" t="s">
        <v>452</v>
      </c>
      <c r="W3" s="530" t="s">
        <v>453</v>
      </c>
      <c r="X3" s="530" t="s">
        <v>454</v>
      </c>
      <c r="Y3" s="530" t="s">
        <v>455</v>
      </c>
      <c r="Z3" s="530" t="s">
        <v>456</v>
      </c>
      <c r="AA3" s="530" t="s">
        <v>445</v>
      </c>
      <c r="AB3" s="530" t="s">
        <v>446</v>
      </c>
      <c r="AC3" s="530" t="s">
        <v>447</v>
      </c>
      <c r="AD3" s="530" t="s">
        <v>448</v>
      </c>
      <c r="AE3" s="530" t="s">
        <v>449</v>
      </c>
      <c r="AF3" s="530" t="s">
        <v>450</v>
      </c>
      <c r="AG3" s="530" t="s">
        <v>451</v>
      </c>
      <c r="AH3" s="530" t="s">
        <v>452</v>
      </c>
      <c r="AI3" s="530" t="s">
        <v>453</v>
      </c>
      <c r="AJ3" s="530" t="s">
        <v>454</v>
      </c>
      <c r="AK3" s="530" t="s">
        <v>455</v>
      </c>
      <c r="AL3" s="530" t="s">
        <v>456</v>
      </c>
      <c r="AM3" s="530" t="s">
        <v>445</v>
      </c>
      <c r="AN3" s="530" t="s">
        <v>446</v>
      </c>
      <c r="AO3" s="530" t="s">
        <v>447</v>
      </c>
      <c r="AP3" s="530" t="s">
        <v>448</v>
      </c>
      <c r="AQ3" s="530" t="s">
        <v>449</v>
      </c>
      <c r="AR3" s="530" t="s">
        <v>450</v>
      </c>
      <c r="AS3" s="530" t="s">
        <v>451</v>
      </c>
      <c r="AT3" s="530" t="s">
        <v>452</v>
      </c>
      <c r="AU3" s="530" t="s">
        <v>453</v>
      </c>
      <c r="AV3" s="530" t="s">
        <v>454</v>
      </c>
      <c r="AW3" s="530" t="s">
        <v>455</v>
      </c>
      <c r="AX3" s="530" t="s">
        <v>456</v>
      </c>
      <c r="AY3" s="530" t="s">
        <v>445</v>
      </c>
      <c r="AZ3" s="530" t="s">
        <v>446</v>
      </c>
      <c r="BA3" s="530" t="s">
        <v>447</v>
      </c>
      <c r="BB3" s="530" t="s">
        <v>448</v>
      </c>
      <c r="BC3" s="530" t="s">
        <v>449</v>
      </c>
      <c r="BD3" s="530" t="s">
        <v>450</v>
      </c>
      <c r="BE3" s="530" t="s">
        <v>451</v>
      </c>
      <c r="BF3" s="530" t="s">
        <v>452</v>
      </c>
      <c r="BG3" s="530" t="s">
        <v>453</v>
      </c>
      <c r="BH3" s="530" t="s">
        <v>454</v>
      </c>
      <c r="BI3" s="530" t="s">
        <v>455</v>
      </c>
      <c r="BJ3" s="530" t="s">
        <v>456</v>
      </c>
      <c r="BK3" s="530" t="s">
        <v>445</v>
      </c>
      <c r="BL3" s="530" t="s">
        <v>446</v>
      </c>
      <c r="BM3" s="530" t="s">
        <v>447</v>
      </c>
      <c r="BN3" s="530" t="s">
        <v>448</v>
      </c>
      <c r="BO3" s="530" t="s">
        <v>449</v>
      </c>
      <c r="BP3" s="530" t="s">
        <v>450</v>
      </c>
      <c r="BQ3" s="530" t="s">
        <v>451</v>
      </c>
      <c r="BR3" s="530" t="s">
        <v>452</v>
      </c>
      <c r="BS3" s="530" t="s">
        <v>453</v>
      </c>
      <c r="BT3" s="530" t="s">
        <v>454</v>
      </c>
      <c r="BU3" s="530" t="s">
        <v>455</v>
      </c>
      <c r="BV3" s="530" t="s">
        <v>456</v>
      </c>
      <c r="BW3" s="530" t="s">
        <v>445</v>
      </c>
      <c r="BX3" s="530" t="s">
        <v>446</v>
      </c>
      <c r="BY3" s="530" t="s">
        <v>447</v>
      </c>
      <c r="BZ3" s="530" t="s">
        <v>448</v>
      </c>
      <c r="CA3" s="530" t="s">
        <v>449</v>
      </c>
      <c r="CB3" s="530" t="s">
        <v>450</v>
      </c>
      <c r="CC3" s="530" t="s">
        <v>451</v>
      </c>
      <c r="CD3" s="530" t="s">
        <v>452</v>
      </c>
      <c r="CE3" s="530" t="s">
        <v>453</v>
      </c>
      <c r="CF3" s="530" t="s">
        <v>454</v>
      </c>
      <c r="CG3" s="530" t="s">
        <v>455</v>
      </c>
      <c r="CH3" s="530" t="s">
        <v>456</v>
      </c>
      <c r="CI3" s="530" t="s">
        <v>445</v>
      </c>
      <c r="CJ3" s="530" t="s">
        <v>446</v>
      </c>
      <c r="CK3" s="530" t="s">
        <v>447</v>
      </c>
      <c r="CL3" s="530" t="s">
        <v>448</v>
      </c>
      <c r="CM3" s="530" t="s">
        <v>449</v>
      </c>
      <c r="CN3" s="530" t="s">
        <v>450</v>
      </c>
      <c r="CO3" s="530" t="s">
        <v>451</v>
      </c>
      <c r="CP3" s="530" t="s">
        <v>452</v>
      </c>
      <c r="CQ3" s="530" t="s">
        <v>453</v>
      </c>
      <c r="CR3" s="530" t="s">
        <v>454</v>
      </c>
      <c r="CS3" s="530" t="s">
        <v>455</v>
      </c>
      <c r="CT3" s="530" t="s">
        <v>456</v>
      </c>
      <c r="CU3" s="530" t="s">
        <v>445</v>
      </c>
      <c r="CV3" s="530" t="s">
        <v>446</v>
      </c>
      <c r="CW3" s="530" t="s">
        <v>447</v>
      </c>
      <c r="CX3" s="530" t="s">
        <v>448</v>
      </c>
      <c r="CY3" s="530" t="s">
        <v>449</v>
      </c>
      <c r="CZ3" s="530" t="s">
        <v>450</v>
      </c>
      <c r="DA3" s="530" t="s">
        <v>451</v>
      </c>
      <c r="DB3" s="530" t="s">
        <v>452</v>
      </c>
      <c r="DC3" s="530" t="s">
        <v>453</v>
      </c>
      <c r="DD3" s="530" t="s">
        <v>454</v>
      </c>
      <c r="DE3" s="530" t="s">
        <v>455</v>
      </c>
      <c r="DF3" s="530" t="s">
        <v>456</v>
      </c>
      <c r="DG3" s="530" t="s">
        <v>445</v>
      </c>
      <c r="DH3" s="530" t="s">
        <v>446</v>
      </c>
      <c r="DI3" s="530" t="s">
        <v>447</v>
      </c>
      <c r="DJ3" s="530" t="s">
        <v>448</v>
      </c>
      <c r="DK3" s="530" t="s">
        <v>449</v>
      </c>
      <c r="DL3" s="530" t="s">
        <v>450</v>
      </c>
      <c r="DM3" s="530" t="s">
        <v>451</v>
      </c>
      <c r="DN3" s="530" t="s">
        <v>452</v>
      </c>
      <c r="DO3" s="530" t="s">
        <v>453</v>
      </c>
      <c r="DP3" s="530" t="s">
        <v>454</v>
      </c>
      <c r="DQ3" s="530" t="s">
        <v>455</v>
      </c>
      <c r="DR3" s="530" t="s">
        <v>456</v>
      </c>
      <c r="DS3" s="530" t="s">
        <v>445</v>
      </c>
      <c r="DT3" s="530" t="s">
        <v>446</v>
      </c>
      <c r="DU3" s="530" t="s">
        <v>447</v>
      </c>
      <c r="DV3" s="530" t="s">
        <v>448</v>
      </c>
      <c r="DW3" s="530" t="s">
        <v>449</v>
      </c>
      <c r="DX3" s="530" t="s">
        <v>450</v>
      </c>
      <c r="DY3" s="530" t="s">
        <v>451</v>
      </c>
      <c r="DZ3" s="530" t="s">
        <v>452</v>
      </c>
      <c r="EA3" s="530" t="s">
        <v>453</v>
      </c>
      <c r="EB3" s="530" t="s">
        <v>454</v>
      </c>
      <c r="EC3" s="530" t="s">
        <v>455</v>
      </c>
      <c r="ED3" s="530" t="s">
        <v>456</v>
      </c>
      <c r="EE3" s="530" t="s">
        <v>445</v>
      </c>
      <c r="EF3" s="530" t="s">
        <v>446</v>
      </c>
      <c r="EG3" s="530" t="s">
        <v>447</v>
      </c>
      <c r="EH3" s="530" t="s">
        <v>448</v>
      </c>
      <c r="EI3" s="530" t="s">
        <v>449</v>
      </c>
      <c r="EJ3" s="530" t="s">
        <v>450</v>
      </c>
      <c r="EK3" s="530" t="s">
        <v>451</v>
      </c>
      <c r="EL3" s="530" t="s">
        <v>452</v>
      </c>
      <c r="EM3" s="530" t="s">
        <v>453</v>
      </c>
      <c r="EN3" s="530" t="s">
        <v>454</v>
      </c>
      <c r="EO3" s="530" t="s">
        <v>455</v>
      </c>
      <c r="EP3" s="530" t="s">
        <v>456</v>
      </c>
    </row>
    <row r="4" spans="2:146">
      <c r="B4" s="531">
        <v>2000</v>
      </c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  <c r="S4" s="532"/>
      <c r="T4" s="532"/>
      <c r="U4" s="532"/>
      <c r="V4" s="532"/>
      <c r="W4" s="532"/>
      <c r="X4" s="532"/>
      <c r="Y4" s="532"/>
      <c r="Z4" s="532"/>
      <c r="AA4" s="532">
        <v>-5.6837184239409728</v>
      </c>
      <c r="AB4" s="532">
        <v>-11.569054320609197</v>
      </c>
      <c r="AC4" s="532">
        <v>-11.892481160836867</v>
      </c>
      <c r="AD4" s="532">
        <v>-11.701224190750128</v>
      </c>
      <c r="AE4" s="532">
        <v>-9.4517091641553606</v>
      </c>
      <c r="AF4" s="532">
        <v>-6.4163112477082977</v>
      </c>
      <c r="AG4" s="532">
        <v>-21.865920815096956</v>
      </c>
      <c r="AH4" s="532">
        <v>-21.327865209749199</v>
      </c>
      <c r="AI4" s="532">
        <v>-25.652883515687897</v>
      </c>
      <c r="AJ4" s="532">
        <v>-21.733839788082804</v>
      </c>
      <c r="AK4" s="532">
        <v>-20.429749529932174</v>
      </c>
      <c r="AL4" s="532">
        <v>-21.888992659058641</v>
      </c>
      <c r="AM4" s="532">
        <v>-0.36214257591913668</v>
      </c>
      <c r="AN4" s="532">
        <v>-0.66297536976073657</v>
      </c>
      <c r="AO4" s="532">
        <v>-0.8720166540336427</v>
      </c>
      <c r="AP4" s="532">
        <v>-0.9446673823763323</v>
      </c>
      <c r="AQ4" s="532">
        <v>-0.76328254954863606</v>
      </c>
      <c r="AR4" s="532">
        <v>-0.41973404071102333</v>
      </c>
      <c r="AS4" s="532">
        <v>-0.86560208499753788</v>
      </c>
      <c r="AT4" s="532">
        <v>-0.86304799469408278</v>
      </c>
      <c r="AU4" s="532">
        <v>-1.1840168454546807</v>
      </c>
      <c r="AV4" s="532">
        <v>-1.1296453899010077</v>
      </c>
      <c r="AW4" s="532">
        <v>-0.81742817467790929</v>
      </c>
      <c r="AX4" s="532">
        <v>-0.86305790517679815</v>
      </c>
      <c r="AY4" s="532">
        <v>-0.7351933920488064</v>
      </c>
      <c r="AZ4" s="532">
        <v>-1.8707015287122359</v>
      </c>
      <c r="BA4" s="532">
        <v>-2.4606031417656928</v>
      </c>
      <c r="BB4" s="532">
        <v>-2.5648230869844082</v>
      </c>
      <c r="BC4" s="532">
        <v>-2.0770436784757855</v>
      </c>
      <c r="BD4" s="532">
        <v>-0.92198271113885322</v>
      </c>
      <c r="BE4" s="532">
        <v>-2.8969100295905807</v>
      </c>
      <c r="BF4" s="532">
        <v>-2.850706171284676</v>
      </c>
      <c r="BG4" s="532">
        <v>-4.9538864252793813</v>
      </c>
      <c r="BH4" s="532">
        <v>-4.0648949041419398</v>
      </c>
      <c r="BI4" s="532">
        <v>-2.503295164415968</v>
      </c>
      <c r="BJ4" s="532">
        <v>-2.8917485496129505</v>
      </c>
      <c r="BK4" s="532">
        <v>-0.17374803714290671</v>
      </c>
      <c r="BL4" s="532">
        <v>-0.29883428792262512</v>
      </c>
      <c r="BM4" s="532">
        <v>-0.48039755603339063</v>
      </c>
      <c r="BN4" s="532">
        <v>-0.53996408770675874</v>
      </c>
      <c r="BO4" s="532">
        <v>-0.47988635742934582</v>
      </c>
      <c r="BP4" s="532">
        <v>-0.22086411044326104</v>
      </c>
      <c r="BQ4" s="532">
        <v>-0.41313764310521489</v>
      </c>
      <c r="BR4" s="532">
        <v>-0.41141479328286878</v>
      </c>
      <c r="BS4" s="532">
        <v>-0.73386229064102859</v>
      </c>
      <c r="BT4" s="532">
        <v>-0.71895480608469731</v>
      </c>
      <c r="BU4" s="532">
        <v>-0.47097010089294727</v>
      </c>
      <c r="BV4" s="532">
        <v>-0.42976554037815856</v>
      </c>
      <c r="BW4" s="532">
        <v>-0.29827235829053589</v>
      </c>
      <c r="BX4" s="532">
        <v>-0.63464844823711886</v>
      </c>
      <c r="BY4" s="532">
        <v>-0.8965172766891214</v>
      </c>
      <c r="BZ4" s="532">
        <v>-0.95932132695536976</v>
      </c>
      <c r="CA4" s="532">
        <v>-0.83685650579487236</v>
      </c>
      <c r="CB4" s="532">
        <v>-0.37314162854968314</v>
      </c>
      <c r="CC4" s="532">
        <v>-0.62977987795285073</v>
      </c>
      <c r="CD4" s="532">
        <v>-0.63361808679586495</v>
      </c>
      <c r="CE4" s="532">
        <v>-1.3478895357077147</v>
      </c>
      <c r="CF4" s="532">
        <v>-1.1545278073089229</v>
      </c>
      <c r="CG4" s="532">
        <v>-0.62573343601362719</v>
      </c>
      <c r="CH4" s="532">
        <v>-0.6356426811128586</v>
      </c>
      <c r="CI4" s="532">
        <v>-0.33979568423873813</v>
      </c>
      <c r="CJ4" s="532">
        <v>-0.81550604411960215</v>
      </c>
      <c r="CK4" s="532">
        <v>-1.1609242799527337</v>
      </c>
      <c r="CL4" s="532">
        <v>-1.2371023176665643</v>
      </c>
      <c r="CM4" s="532">
        <v>-1.0462170874050545</v>
      </c>
      <c r="CN4" s="532">
        <v>-0.43519445618319669</v>
      </c>
      <c r="CO4" s="532">
        <v>-1.309736408304472</v>
      </c>
      <c r="CP4" s="532">
        <v>-1.295527908157321</v>
      </c>
      <c r="CQ4" s="532">
        <v>-2.5109697766884582</v>
      </c>
      <c r="CR4" s="532">
        <v>-2.1419057881173362</v>
      </c>
      <c r="CS4" s="532">
        <v>-1.1880731383286278</v>
      </c>
      <c r="CT4" s="532">
        <v>-1.3220539229754429</v>
      </c>
      <c r="CU4" s="532">
        <v>-0.33391023464435349</v>
      </c>
      <c r="CV4" s="532">
        <v>-0.77891849437572902</v>
      </c>
      <c r="CW4" s="532">
        <v>-1.0627130935964924</v>
      </c>
      <c r="CX4" s="532">
        <v>-1.1525537072808512</v>
      </c>
      <c r="CY4" s="532">
        <v>-0.97863639060250696</v>
      </c>
      <c r="CZ4" s="532">
        <v>-0.42682943728038286</v>
      </c>
      <c r="DA4" s="532">
        <v>-0.90983553538888662</v>
      </c>
      <c r="DB4" s="532">
        <v>-0.91736443946026058</v>
      </c>
      <c r="DC4" s="532">
        <v>-1.6844448559847951</v>
      </c>
      <c r="DD4" s="532">
        <v>-1.465931541320542</v>
      </c>
      <c r="DE4" s="532">
        <v>-0.86583098504519318</v>
      </c>
      <c r="DF4" s="532">
        <v>-0.91267778479171169</v>
      </c>
      <c r="DG4" s="532">
        <v>-1.6251603235446737</v>
      </c>
      <c r="DH4" s="532">
        <v>-4.2040756506743762</v>
      </c>
      <c r="DI4" s="532">
        <v>-4.8615557336238089</v>
      </c>
      <c r="DJ4" s="532">
        <v>-5.0030412506249711</v>
      </c>
      <c r="DK4" s="532">
        <v>-4.0364438898291883</v>
      </c>
      <c r="DL4" s="532">
        <v>-1.9972999508356857</v>
      </c>
      <c r="DM4" s="532">
        <v>-6.1004041270156684</v>
      </c>
      <c r="DN4" s="532">
        <v>-6.4259837541299616</v>
      </c>
      <c r="DO4" s="532">
        <v>-10.112255527943734</v>
      </c>
      <c r="DP4" s="532">
        <v>-8.2922340530889826</v>
      </c>
      <c r="DQ4" s="532">
        <v>-5.5892692890553404</v>
      </c>
      <c r="DR4" s="532">
        <v>-6.1298465906631883</v>
      </c>
      <c r="DS4" s="532">
        <v>-1.3987274169904342</v>
      </c>
      <c r="DT4" s="532">
        <v>-2.6815092783045968</v>
      </c>
      <c r="DU4" s="532">
        <v>-2.8210336854608138</v>
      </c>
      <c r="DV4" s="532">
        <v>-2.7903630024909853</v>
      </c>
      <c r="DW4" s="532">
        <v>-2.3469489145047042</v>
      </c>
      <c r="DX4" s="532">
        <v>-1.5725670627717936</v>
      </c>
      <c r="DY4" s="532">
        <v>-4.0426400763228925</v>
      </c>
      <c r="DZ4" s="532">
        <v>-4.0573080401654238</v>
      </c>
      <c r="EA4" s="532">
        <v>-4.8014137044569978</v>
      </c>
      <c r="EB4" s="532">
        <v>-4.2031236291995118</v>
      </c>
      <c r="EC4" s="532">
        <v>-3.9500657510733896</v>
      </c>
      <c r="ED4" s="532">
        <v>-4.0543160750816716</v>
      </c>
      <c r="EE4" s="532">
        <v>-0.81127479367607569</v>
      </c>
      <c r="EF4" s="532">
        <v>-1.5598828425119198</v>
      </c>
      <c r="EG4" s="532">
        <v>-1.6728447404140323</v>
      </c>
      <c r="EH4" s="532">
        <v>-1.6518463017086689</v>
      </c>
      <c r="EI4" s="532">
        <v>-1.4315642599949423</v>
      </c>
      <c r="EJ4" s="532">
        <v>-0.91366749859546348</v>
      </c>
      <c r="EK4" s="532">
        <v>-1.7886644590366971</v>
      </c>
      <c r="EL4" s="532">
        <v>-1.8368827495030706</v>
      </c>
      <c r="EM4" s="532">
        <v>-2.2670902554172412</v>
      </c>
      <c r="EN4" s="532">
        <v>-1.9870739481337099</v>
      </c>
      <c r="EO4" s="532">
        <v>-1.7642522111510766</v>
      </c>
      <c r="EP4" s="532">
        <v>-1.7880435513035406</v>
      </c>
    </row>
    <row r="5" spans="2:146">
      <c r="B5" s="531">
        <v>2001</v>
      </c>
      <c r="C5" s="532">
        <v>-5.3867534407376993</v>
      </c>
      <c r="D5" s="532">
        <v>-10.721120894728248</v>
      </c>
      <c r="E5" s="532">
        <v>-10.799831082541356</v>
      </c>
      <c r="F5" s="532">
        <v>-10.692148493783289</v>
      </c>
      <c r="G5" s="532">
        <v>-9.436809237805809</v>
      </c>
      <c r="H5" s="532">
        <v>-6.9675891911650041</v>
      </c>
      <c r="I5" s="532">
        <v>-13.190895256599957</v>
      </c>
      <c r="J5" s="532">
        <v>-14.103121697491423</v>
      </c>
      <c r="K5" s="532">
        <v>-16.823032922314773</v>
      </c>
      <c r="L5" s="532">
        <v>-14.394645994452004</v>
      </c>
      <c r="M5" s="532">
        <v>-13.37349852449322</v>
      </c>
      <c r="N5" s="532">
        <v>-13.596816112411737</v>
      </c>
      <c r="O5" s="532">
        <v>-6.3963484470989558</v>
      </c>
      <c r="P5" s="532">
        <v>-11.769819577219575</v>
      </c>
      <c r="Q5" s="532">
        <v>-11.893671310837641</v>
      </c>
      <c r="R5" s="532">
        <v>-11.765518383989793</v>
      </c>
      <c r="S5" s="532">
        <v>-10.150008251858804</v>
      </c>
      <c r="T5" s="532">
        <v>-7.6999729771136529</v>
      </c>
      <c r="U5" s="532">
        <v>-15.828412168841181</v>
      </c>
      <c r="V5" s="532">
        <v>-16.305223909986328</v>
      </c>
      <c r="W5" s="532">
        <v>-19.434806875455859</v>
      </c>
      <c r="X5" s="532">
        <v>-16.727370743737431</v>
      </c>
      <c r="Y5" s="532">
        <v>-15.373792814960852</v>
      </c>
      <c r="Z5" s="532">
        <v>-16.152236992590144</v>
      </c>
      <c r="AA5" s="532">
        <v>-5.1104423245665949</v>
      </c>
      <c r="AB5" s="532">
        <v>-10.094926334918286</v>
      </c>
      <c r="AC5" s="532">
        <v>-10.417182195915634</v>
      </c>
      <c r="AD5" s="532">
        <v>-10.364654979412267</v>
      </c>
      <c r="AE5" s="532">
        <v>-8.9745926524559607</v>
      </c>
      <c r="AF5" s="532">
        <v>-6.6734480904995532</v>
      </c>
      <c r="AG5" s="532">
        <v>-12.982750826089591</v>
      </c>
      <c r="AH5" s="532">
        <v>-13.036887142601469</v>
      </c>
      <c r="AI5" s="532">
        <v>-15.469495509438721</v>
      </c>
      <c r="AJ5" s="532">
        <v>-13.446170637803631</v>
      </c>
      <c r="AK5" s="532">
        <v>-12.71144451019669</v>
      </c>
      <c r="AL5" s="532">
        <v>-13.299390653896946</v>
      </c>
      <c r="AM5" s="532">
        <v>-4.0646417325311388</v>
      </c>
      <c r="AN5" s="532">
        <v>-7.6635361247648817</v>
      </c>
      <c r="AO5" s="532">
        <v>-8.353509361270568</v>
      </c>
      <c r="AP5" s="532">
        <v>-8.6126893035705372</v>
      </c>
      <c r="AQ5" s="532">
        <v>-7.1589543382714496</v>
      </c>
      <c r="AR5" s="532">
        <v>-5.1510785348398933</v>
      </c>
      <c r="AS5" s="532">
        <v>-9.6810799420784353</v>
      </c>
      <c r="AT5" s="532">
        <v>-9.8364153818299673</v>
      </c>
      <c r="AU5" s="532">
        <v>-12.187988448622608</v>
      </c>
      <c r="AV5" s="532">
        <v>-10.725240892113858</v>
      </c>
      <c r="AW5" s="532">
        <v>-8.9768736267395859</v>
      </c>
      <c r="AX5" s="532">
        <v>-9.8216370720744379</v>
      </c>
      <c r="AY5" s="532">
        <v>-3.2640963751798959</v>
      </c>
      <c r="AZ5" s="532">
        <v>-7.0695880567981071</v>
      </c>
      <c r="BA5" s="532">
        <v>-8.4377596957748189</v>
      </c>
      <c r="BB5" s="532">
        <v>-8.7110179114704849</v>
      </c>
      <c r="BC5" s="532">
        <v>-7.437249497803136</v>
      </c>
      <c r="BD5" s="532">
        <v>-4.3853709955266078</v>
      </c>
      <c r="BE5" s="532">
        <v>-8.8077674168764215</v>
      </c>
      <c r="BF5" s="532">
        <v>-8.9032721221292981</v>
      </c>
      <c r="BG5" s="532">
        <v>-14.355776481996267</v>
      </c>
      <c r="BH5" s="532">
        <v>-11.957180546825084</v>
      </c>
      <c r="BI5" s="532">
        <v>-8.0147909319542734</v>
      </c>
      <c r="BJ5" s="532">
        <v>-8.9680960242932937</v>
      </c>
      <c r="BK5" s="532">
        <v>-1.8703967728558812</v>
      </c>
      <c r="BL5" s="532">
        <v>-2.7319290540144734</v>
      </c>
      <c r="BM5" s="532">
        <v>-3.0602138438545219</v>
      </c>
      <c r="BN5" s="532">
        <v>-3.2224704649070839</v>
      </c>
      <c r="BO5" s="532">
        <v>-3.076688272690661</v>
      </c>
      <c r="BP5" s="532">
        <v>-2.4692454427106316</v>
      </c>
      <c r="BQ5" s="532">
        <v>-2.2119888202973574</v>
      </c>
      <c r="BR5" s="532">
        <v>-2.3589587447229134</v>
      </c>
      <c r="BS5" s="532">
        <v>-2.950305247234557</v>
      </c>
      <c r="BT5" s="532">
        <v>-2.9313718332932024</v>
      </c>
      <c r="BU5" s="532">
        <v>-2.4995535407401102</v>
      </c>
      <c r="BV5" s="532">
        <v>-2.3635338614993588</v>
      </c>
      <c r="BW5" s="532">
        <v>-88.749636006077822</v>
      </c>
      <c r="BX5" s="532">
        <v>-91.816651794612113</v>
      </c>
      <c r="BY5" s="532">
        <v>-97.502937498140085</v>
      </c>
      <c r="BZ5" s="532">
        <v>-97.862549266567882</v>
      </c>
      <c r="CA5" s="532">
        <v>-95.19806482227429</v>
      </c>
      <c r="CB5" s="532">
        <v>-91.30524627365412</v>
      </c>
      <c r="CC5" s="532">
        <v>-85.810799644253905</v>
      </c>
      <c r="CD5" s="532">
        <v>-87.115216613739648</v>
      </c>
      <c r="CE5" s="532">
        <v>-93.118396003427449</v>
      </c>
      <c r="CF5" s="532">
        <v>-94.147812385229912</v>
      </c>
      <c r="CG5" s="532">
        <v>-91.497409314812145</v>
      </c>
      <c r="CH5" s="532">
        <v>-88.58814575594451</v>
      </c>
      <c r="CI5" s="532">
        <v>-90.735801828640746</v>
      </c>
      <c r="CJ5" s="532">
        <v>-93.956153321725751</v>
      </c>
      <c r="CK5" s="532">
        <v>-100.33101232703569</v>
      </c>
      <c r="CL5" s="532">
        <v>-101.51676290301295</v>
      </c>
      <c r="CM5" s="532">
        <v>-98.140367921409933</v>
      </c>
      <c r="CN5" s="532">
        <v>-93.466640341840758</v>
      </c>
      <c r="CO5" s="532">
        <v>-90.318983324748757</v>
      </c>
      <c r="CP5" s="532">
        <v>-91.918845761401371</v>
      </c>
      <c r="CQ5" s="532">
        <v>-99.782436068871789</v>
      </c>
      <c r="CR5" s="532">
        <v>-101.11796417659703</v>
      </c>
      <c r="CS5" s="532">
        <v>-97.637679843343363</v>
      </c>
      <c r="CT5" s="532">
        <v>-93.974757977275033</v>
      </c>
      <c r="CU5" s="532">
        <v>-90.359965520046359</v>
      </c>
      <c r="CV5" s="532">
        <v>-93.316776178780174</v>
      </c>
      <c r="CW5" s="532">
        <v>-98.731604290154635</v>
      </c>
      <c r="CX5" s="532">
        <v>-99.552988648555043</v>
      </c>
      <c r="CY5" s="532">
        <v>-96.136181772680345</v>
      </c>
      <c r="CZ5" s="532">
        <v>-91.806139525127676</v>
      </c>
      <c r="DA5" s="532">
        <v>-91.661319407923756</v>
      </c>
      <c r="DB5" s="532">
        <v>-92.519737487026674</v>
      </c>
      <c r="DC5" s="532">
        <v>-99.868553201914878</v>
      </c>
      <c r="DD5" s="532">
        <v>-101.64869802550793</v>
      </c>
      <c r="DE5" s="532">
        <v>-98.456217055198564</v>
      </c>
      <c r="DF5" s="532">
        <v>-95.442057947790616</v>
      </c>
      <c r="DG5" s="532">
        <v>-86.650140660005732</v>
      </c>
      <c r="DH5" s="532">
        <v>-93.046108666018924</v>
      </c>
      <c r="DI5" s="532">
        <v>-98.332111537757669</v>
      </c>
      <c r="DJ5" s="532">
        <v>-99.094754361356166</v>
      </c>
      <c r="DK5" s="532">
        <v>-94.7201488378427</v>
      </c>
      <c r="DL5" s="532">
        <v>-88.854653526584741</v>
      </c>
      <c r="DM5" s="532">
        <v>-95.093521637214366</v>
      </c>
      <c r="DN5" s="532">
        <v>-96.708352154716437</v>
      </c>
      <c r="DO5" s="532">
        <v>-107.70904484398952</v>
      </c>
      <c r="DP5" s="532">
        <v>-106.55474083410211</v>
      </c>
      <c r="DQ5" s="532">
        <v>-99.52309920457644</v>
      </c>
      <c r="DR5" s="532">
        <v>-97.060812201718505</v>
      </c>
      <c r="DS5" s="532">
        <v>-83.186976960655556</v>
      </c>
      <c r="DT5" s="532">
        <v>-88.034367111725174</v>
      </c>
      <c r="DU5" s="532">
        <v>-91.591583007930112</v>
      </c>
      <c r="DV5" s="532">
        <v>-92.256573161712041</v>
      </c>
      <c r="DW5" s="532">
        <v>-89.247883443683975</v>
      </c>
      <c r="DX5" s="532">
        <v>-85.112693911650297</v>
      </c>
      <c r="DY5" s="532">
        <v>-87.944812356269438</v>
      </c>
      <c r="DZ5" s="532">
        <v>-89.368653244419335</v>
      </c>
      <c r="EA5" s="532">
        <v>-94.085046185494377</v>
      </c>
      <c r="EB5" s="532">
        <v>-94.533620677542501</v>
      </c>
      <c r="EC5" s="532">
        <v>-91.596818552906299</v>
      </c>
      <c r="ED5" s="532">
        <v>-89.203876227032509</v>
      </c>
      <c r="EE5" s="532">
        <v>-80.645170846714919</v>
      </c>
      <c r="EF5" s="532">
        <v>-85.966483961846876</v>
      </c>
      <c r="EG5" s="532">
        <v>-89.491366638915025</v>
      </c>
      <c r="EH5" s="532">
        <v>-89.298274909417444</v>
      </c>
      <c r="EI5" s="532">
        <v>-86.322349355551921</v>
      </c>
      <c r="EJ5" s="532">
        <v>-82.825330114893035</v>
      </c>
      <c r="EK5" s="532">
        <v>-82.316149811959406</v>
      </c>
      <c r="EL5" s="532">
        <v>-84.198557727781761</v>
      </c>
      <c r="EM5" s="532">
        <v>-88.004552865456503</v>
      </c>
      <c r="EN5" s="532">
        <v>-87.637028540455233</v>
      </c>
      <c r="EO5" s="532">
        <v>-85.671731345882066</v>
      </c>
      <c r="EP5" s="532">
        <v>-84.066464264720636</v>
      </c>
    </row>
    <row r="6" spans="2:146">
      <c r="B6" s="531">
        <v>2002</v>
      </c>
      <c r="C6" s="532">
        <v>-76.182649426801717</v>
      </c>
      <c r="D6" s="532">
        <v>-82.653144939052282</v>
      </c>
      <c r="E6" s="532">
        <v>-86.023893766732073</v>
      </c>
      <c r="F6" s="532">
        <v>-85.893527589128198</v>
      </c>
      <c r="G6" s="532">
        <v>-82.490565782356953</v>
      </c>
      <c r="H6" s="532">
        <v>-78.468749012835247</v>
      </c>
      <c r="I6" s="532">
        <v>-82.621063683993953</v>
      </c>
      <c r="J6" s="532">
        <v>-84.92723993544756</v>
      </c>
      <c r="K6" s="532">
        <v>-90.268673892973951</v>
      </c>
      <c r="L6" s="532">
        <v>-88.467271395985989</v>
      </c>
      <c r="M6" s="532">
        <v>-85.31106722777254</v>
      </c>
      <c r="N6" s="532">
        <v>-83.542149615228666</v>
      </c>
      <c r="O6" s="532">
        <v>-75.243633354766359</v>
      </c>
      <c r="P6" s="532">
        <v>-81.488114251545255</v>
      </c>
      <c r="Q6" s="532">
        <v>-84.484870357661208</v>
      </c>
      <c r="R6" s="532">
        <v>-83.984036564922221</v>
      </c>
      <c r="S6" s="532">
        <v>-80.52080120496565</v>
      </c>
      <c r="T6" s="532">
        <v>-76.747864066860686</v>
      </c>
      <c r="U6" s="532">
        <v>-82.511181965388772</v>
      </c>
      <c r="V6" s="532">
        <v>-84.15546524377713</v>
      </c>
      <c r="W6" s="532">
        <v>-89.31508723509134</v>
      </c>
      <c r="X6" s="532">
        <v>-86.964602174398507</v>
      </c>
      <c r="Y6" s="532">
        <v>-84.336768071701783</v>
      </c>
      <c r="Z6" s="532">
        <v>-83.416882279443499</v>
      </c>
      <c r="AA6" s="532">
        <v>-70.558814918092978</v>
      </c>
      <c r="AB6" s="532">
        <v>-75.997815157178991</v>
      </c>
      <c r="AC6" s="532">
        <v>-80.06912159751775</v>
      </c>
      <c r="AD6" s="532">
        <v>-81.048302672225077</v>
      </c>
      <c r="AE6" s="532">
        <v>-77.928089988564281</v>
      </c>
      <c r="AF6" s="532">
        <v>-74.183113536467232</v>
      </c>
      <c r="AG6" s="532">
        <v>-77.87394469167009</v>
      </c>
      <c r="AH6" s="532">
        <v>-78.937452243654732</v>
      </c>
      <c r="AI6" s="532">
        <v>-83.154197077642124</v>
      </c>
      <c r="AJ6" s="532">
        <v>-81.839425801219818</v>
      </c>
      <c r="AK6" s="532">
        <v>-79.882969343129872</v>
      </c>
      <c r="AL6" s="532">
        <v>-78.474267986826447</v>
      </c>
      <c r="AM6" s="532">
        <v>-78.411440817598958</v>
      </c>
      <c r="AN6" s="532">
        <v>-84.139152986630606</v>
      </c>
      <c r="AO6" s="532">
        <v>-88.942914804764143</v>
      </c>
      <c r="AP6" s="532">
        <v>-90.263278972403583</v>
      </c>
      <c r="AQ6" s="532">
        <v>-86.080436017941651</v>
      </c>
      <c r="AR6" s="532">
        <v>-80.975827739804956</v>
      </c>
      <c r="AS6" s="532">
        <v>-85.55225729622282</v>
      </c>
      <c r="AT6" s="532">
        <v>-86.836215873595151</v>
      </c>
      <c r="AU6" s="532">
        <v>-92.930860459355699</v>
      </c>
      <c r="AV6" s="532">
        <v>-91.044484515823427</v>
      </c>
      <c r="AW6" s="532">
        <v>-87.206559937232669</v>
      </c>
      <c r="AX6" s="532">
        <v>-86.081545041705482</v>
      </c>
      <c r="AY6" s="532">
        <v>-84.051490924516003</v>
      </c>
      <c r="AZ6" s="532">
        <v>-90.4730391590533</v>
      </c>
      <c r="BA6" s="532">
        <v>-96.814139246563713</v>
      </c>
      <c r="BB6" s="532">
        <v>-98.027469349283166</v>
      </c>
      <c r="BC6" s="532">
        <v>-93.720143605415686</v>
      </c>
      <c r="BD6" s="532">
        <v>-87.192079320472359</v>
      </c>
      <c r="BE6" s="532">
        <v>-92.091300468459536</v>
      </c>
      <c r="BF6" s="532">
        <v>-93.490878935497705</v>
      </c>
      <c r="BG6" s="532">
        <v>-104.63607810407093</v>
      </c>
      <c r="BH6" s="532">
        <v>-102.38429286220597</v>
      </c>
      <c r="BI6" s="532">
        <v>-95.58291453974249</v>
      </c>
      <c r="BJ6" s="532">
        <v>-93.976910573427062</v>
      </c>
      <c r="BK6" s="532">
        <v>-86.942583913142499</v>
      </c>
      <c r="BL6" s="532">
        <v>-89.990683525844759</v>
      </c>
      <c r="BM6" s="532">
        <v>-94.946685908885485</v>
      </c>
      <c r="BN6" s="532">
        <v>-95.500343117693518</v>
      </c>
      <c r="BO6" s="532">
        <v>-92.763403386248214</v>
      </c>
      <c r="BP6" s="532">
        <v>-89.553179407492692</v>
      </c>
      <c r="BQ6" s="532">
        <v>-88.458600332037008</v>
      </c>
      <c r="BR6" s="532">
        <v>-89.416546270908782</v>
      </c>
      <c r="BS6" s="532">
        <v>-94.011403137074169</v>
      </c>
      <c r="BT6" s="532">
        <v>-94.854407318061362</v>
      </c>
      <c r="BU6" s="532">
        <v>-92.633172379334326</v>
      </c>
      <c r="BV6" s="532">
        <v>-89.704237000070776</v>
      </c>
      <c r="BW6" s="532">
        <v>-88.791513734218412</v>
      </c>
      <c r="BX6" s="532">
        <v>-91.964684738072364</v>
      </c>
      <c r="BY6" s="532">
        <v>-97.695028048922822</v>
      </c>
      <c r="BZ6" s="532">
        <v>-98.060613764942346</v>
      </c>
      <c r="CA6" s="532">
        <v>-95.359629293508689</v>
      </c>
      <c r="CB6" s="532">
        <v>-91.360803670784748</v>
      </c>
      <c r="CC6" s="532">
        <v>-86.177337296725696</v>
      </c>
      <c r="CD6" s="532">
        <v>-87.474618731067523</v>
      </c>
      <c r="CE6" s="532">
        <v>-93.929014405384592</v>
      </c>
      <c r="CF6" s="532">
        <v>-94.763841777323321</v>
      </c>
      <c r="CG6" s="532">
        <v>-91.799657713612973</v>
      </c>
      <c r="CH6" s="532">
        <v>-88.952398597312879</v>
      </c>
      <c r="CI6" s="532">
        <v>-90.73393893886221</v>
      </c>
      <c r="CJ6" s="532">
        <v>-93.958576675391981</v>
      </c>
      <c r="CK6" s="532">
        <v>-100.33219469433411</v>
      </c>
      <c r="CL6" s="532">
        <v>-101.51715030638486</v>
      </c>
      <c r="CM6" s="532">
        <v>-98.139505819562018</v>
      </c>
      <c r="CN6" s="532">
        <v>-93.46457434969868</v>
      </c>
      <c r="CO6" s="532">
        <v>-90.095374618961117</v>
      </c>
      <c r="CP6" s="532">
        <v>-91.699082055325292</v>
      </c>
      <c r="CQ6" s="532">
        <v>-99.352222729505172</v>
      </c>
      <c r="CR6" s="532">
        <v>-100.76783289460352</v>
      </c>
      <c r="CS6" s="532">
        <v>-97.449112318804168</v>
      </c>
      <c r="CT6" s="532">
        <v>-93.7518887204766</v>
      </c>
      <c r="CU6" s="532">
        <v>-90.661312641658213</v>
      </c>
      <c r="CV6" s="532">
        <v>-94.226456952316354</v>
      </c>
      <c r="CW6" s="532">
        <v>-99.828611005240944</v>
      </c>
      <c r="CX6" s="532">
        <v>-100.68815283312938</v>
      </c>
      <c r="CY6" s="532">
        <v>-97.070099738650143</v>
      </c>
      <c r="CZ6" s="532">
        <v>-92.191150448193341</v>
      </c>
      <c r="DA6" s="532">
        <v>-93.077922191789526</v>
      </c>
      <c r="DB6" s="532">
        <v>-93.959851408768841</v>
      </c>
      <c r="DC6" s="532">
        <v>-102.47096779465099</v>
      </c>
      <c r="DD6" s="532">
        <v>-103.69383448294373</v>
      </c>
      <c r="DE6" s="532">
        <v>-99.681848735146133</v>
      </c>
      <c r="DF6" s="532">
        <v>-96.857345112274814</v>
      </c>
      <c r="DG6" s="532">
        <v>-86.212474835424899</v>
      </c>
      <c r="DH6" s="532">
        <v>-91.883811658884355</v>
      </c>
      <c r="DI6" s="532">
        <v>-97.020679336628305</v>
      </c>
      <c r="DJ6" s="532">
        <v>-97.757812907295232</v>
      </c>
      <c r="DK6" s="532">
        <v>-93.649518810011386</v>
      </c>
      <c r="DL6" s="532">
        <v>-88.318152174430693</v>
      </c>
      <c r="DM6" s="532">
        <v>-93.09808801215199</v>
      </c>
      <c r="DN6" s="532">
        <v>-94.60570714564696</v>
      </c>
      <c r="DO6" s="532">
        <v>-104.41746855619526</v>
      </c>
      <c r="DP6" s="532">
        <v>-103.89470564233977</v>
      </c>
      <c r="DQ6" s="532">
        <v>-97.716259439423524</v>
      </c>
      <c r="DR6" s="532">
        <v>-95.057710936147757</v>
      </c>
      <c r="DS6" s="532">
        <v>-83.18984846697785</v>
      </c>
      <c r="DT6" s="532">
        <v>-88.042157580646659</v>
      </c>
      <c r="DU6" s="532">
        <v>-91.595638014658306</v>
      </c>
      <c r="DV6" s="532">
        <v>-92.2590609987882</v>
      </c>
      <c r="DW6" s="532">
        <v>-89.249122343718895</v>
      </c>
      <c r="DX6" s="532">
        <v>-85.115703999136798</v>
      </c>
      <c r="DY6" s="532">
        <v>-86.893629848425263</v>
      </c>
      <c r="DZ6" s="532">
        <v>-88.313245125728372</v>
      </c>
      <c r="EA6" s="532">
        <v>-92.857115615223705</v>
      </c>
      <c r="EB6" s="532">
        <v>-93.481110821675827</v>
      </c>
      <c r="EC6" s="532">
        <v>-90.582096753623688</v>
      </c>
      <c r="ED6" s="532">
        <v>-88.149655804521402</v>
      </c>
      <c r="EE6" s="532">
        <v>-80.995465865002018</v>
      </c>
      <c r="EF6" s="532">
        <v>-86.674134794646676</v>
      </c>
      <c r="EG6" s="532">
        <v>-90.18690668339714</v>
      </c>
      <c r="EH6" s="532">
        <v>-89.972365188268142</v>
      </c>
      <c r="EI6" s="532">
        <v>-86.886563102312294</v>
      </c>
      <c r="EJ6" s="532">
        <v>-83.216927392888778</v>
      </c>
      <c r="EK6" s="532">
        <v>-83.943117757835523</v>
      </c>
      <c r="EL6" s="532">
        <v>-85.869958551141309</v>
      </c>
      <c r="EM6" s="532">
        <v>-89.990518857506842</v>
      </c>
      <c r="EN6" s="532">
        <v>-89.301006862807697</v>
      </c>
      <c r="EO6" s="532">
        <v>-87.230710314889166</v>
      </c>
      <c r="EP6" s="532">
        <v>-85.693033585853172</v>
      </c>
    </row>
    <row r="7" spans="2:146">
      <c r="B7" s="531">
        <v>2003</v>
      </c>
      <c r="C7" s="532">
        <v>-75.744991756249192</v>
      </c>
      <c r="D7" s="532">
        <v>-81.753192620054335</v>
      </c>
      <c r="E7" s="532">
        <v>-85.137446560250254</v>
      </c>
      <c r="F7" s="532">
        <v>-85.029999272544771</v>
      </c>
      <c r="G7" s="532">
        <v>-81.777025957687187</v>
      </c>
      <c r="H7" s="532">
        <v>-77.979651308733239</v>
      </c>
      <c r="I7" s="532">
        <v>-81.247561014918745</v>
      </c>
      <c r="J7" s="532">
        <v>-83.499444296863871</v>
      </c>
      <c r="K7" s="532">
        <v>-88.544446230990317</v>
      </c>
      <c r="L7" s="532">
        <v>-87.038081157935082</v>
      </c>
      <c r="M7" s="532">
        <v>-83.987598220380264</v>
      </c>
      <c r="N7" s="532">
        <v>-82.159831238658228</v>
      </c>
      <c r="O7" s="532">
        <v>-74.399335195190247</v>
      </c>
      <c r="P7" s="532">
        <v>-79.77413549821199</v>
      </c>
      <c r="Q7" s="532">
        <v>-82.781973622889396</v>
      </c>
      <c r="R7" s="532">
        <v>-82.31908935814441</v>
      </c>
      <c r="S7" s="532">
        <v>-79.178500124407961</v>
      </c>
      <c r="T7" s="532">
        <v>-75.804782411629603</v>
      </c>
      <c r="U7" s="532">
        <v>-79.782784892742683</v>
      </c>
      <c r="V7" s="532">
        <v>-81.388925154266545</v>
      </c>
      <c r="W7" s="532">
        <v>-85.963963815361822</v>
      </c>
      <c r="X7" s="532">
        <v>-84.163017298375962</v>
      </c>
      <c r="Y7" s="532">
        <v>-81.779347858652443</v>
      </c>
      <c r="Z7" s="532">
        <v>-80.668964055069893</v>
      </c>
      <c r="AA7" s="532">
        <v>-70.13038807211521</v>
      </c>
      <c r="AB7" s="532">
        <v>-75.11859151816634</v>
      </c>
      <c r="AC7" s="532">
        <v>-79.177407888763426</v>
      </c>
      <c r="AD7" s="532">
        <v>-80.174563856543173</v>
      </c>
      <c r="AE7" s="532">
        <v>-77.225971074925738</v>
      </c>
      <c r="AF7" s="532">
        <v>-73.699892377187055</v>
      </c>
      <c r="AG7" s="532">
        <v>-76.655508645817875</v>
      </c>
      <c r="AH7" s="532">
        <v>-77.749157626270787</v>
      </c>
      <c r="AI7" s="532">
        <v>-81.730722727508976</v>
      </c>
      <c r="AJ7" s="532">
        <v>-80.639365002201686</v>
      </c>
      <c r="AK7" s="532">
        <v>-78.747944835604287</v>
      </c>
      <c r="AL7" s="532">
        <v>-77.254520861704719</v>
      </c>
      <c r="AM7" s="532">
        <v>-84.52783246908534</v>
      </c>
      <c r="AN7" s="532">
        <v>-92.772423841946718</v>
      </c>
      <c r="AO7" s="532">
        <v>-102.70556745240981</v>
      </c>
      <c r="AP7" s="532">
        <v>-105.17925435578191</v>
      </c>
      <c r="AQ7" s="532">
        <v>-98.358937422853671</v>
      </c>
      <c r="AR7" s="532">
        <v>-88.467100172660494</v>
      </c>
      <c r="AS7" s="532">
        <v>-89.590323498960387</v>
      </c>
      <c r="AT7" s="532">
        <v>-91.047511866032494</v>
      </c>
      <c r="AU7" s="532">
        <v>-97.791825018090464</v>
      </c>
      <c r="AV7" s="532">
        <v>-96.880235392368959</v>
      </c>
      <c r="AW7" s="532">
        <v>-92.072196259792676</v>
      </c>
      <c r="AX7" s="532">
        <v>-90.332306200090798</v>
      </c>
      <c r="AY7" s="532">
        <v>-90.357946470417815</v>
      </c>
      <c r="AZ7" s="532">
        <v>-100.27080798332376</v>
      </c>
      <c r="BA7" s="532">
        <v>-112.56420199234603</v>
      </c>
      <c r="BB7" s="532">
        <v>-115.13899965799301</v>
      </c>
      <c r="BC7" s="532">
        <v>-107.69893339313182</v>
      </c>
      <c r="BD7" s="532">
        <v>-95.067775816393791</v>
      </c>
      <c r="BE7" s="532">
        <v>-96.187586818031377</v>
      </c>
      <c r="BF7" s="532">
        <v>-97.637565218018381</v>
      </c>
      <c r="BG7" s="532">
        <v>-109.43434292859064</v>
      </c>
      <c r="BH7" s="532">
        <v>-108.64900649809718</v>
      </c>
      <c r="BI7" s="532">
        <v>-100.72607826722128</v>
      </c>
      <c r="BJ7" s="532">
        <v>-98.279425347180378</v>
      </c>
      <c r="BK7" s="532">
        <v>-93.298851605712869</v>
      </c>
      <c r="BL7" s="532">
        <v>-102.44921407427196</v>
      </c>
      <c r="BM7" s="532">
        <v>-115.05769618499087</v>
      </c>
      <c r="BN7" s="532">
        <v>-116.76798679921312</v>
      </c>
      <c r="BO7" s="532">
        <v>-109.86033021031002</v>
      </c>
      <c r="BP7" s="532">
        <v>-97.911698800723997</v>
      </c>
      <c r="BQ7" s="532">
        <v>-94.855697477145824</v>
      </c>
      <c r="BR7" s="532">
        <v>-95.774024836729865</v>
      </c>
      <c r="BS7" s="532">
        <v>-103.45282699699447</v>
      </c>
      <c r="BT7" s="532">
        <v>-104.6451314992393</v>
      </c>
      <c r="BU7" s="532">
        <v>-99.96924390744941</v>
      </c>
      <c r="BV7" s="532">
        <v>-96.448116282243348</v>
      </c>
      <c r="BW7" s="532">
        <v>-95.6831248909712</v>
      </c>
      <c r="BX7" s="532">
        <v>-105.00024348924771</v>
      </c>
      <c r="BY7" s="532">
        <v>-117.80975449115553</v>
      </c>
      <c r="BZ7" s="532">
        <v>-119.01354443981954</v>
      </c>
      <c r="CA7" s="532">
        <v>-112.42670787660148</v>
      </c>
      <c r="CB7" s="532">
        <v>-100.10750567513361</v>
      </c>
      <c r="CC7" s="532">
        <v>-92.06094747023694</v>
      </c>
      <c r="CD7" s="532">
        <v>-93.349831537924459</v>
      </c>
      <c r="CE7" s="532">
        <v>-102.05543140434918</v>
      </c>
      <c r="CF7" s="532">
        <v>-103.61406100040949</v>
      </c>
      <c r="CG7" s="532">
        <v>-98.516425974355215</v>
      </c>
      <c r="CH7" s="532">
        <v>-95.033857506100631</v>
      </c>
      <c r="CI7" s="532">
        <v>-97.616680951583632</v>
      </c>
      <c r="CJ7" s="532">
        <v>-106.81655663860914</v>
      </c>
      <c r="CK7" s="532">
        <v>-120.5729905116721</v>
      </c>
      <c r="CL7" s="532">
        <v>-122.70520047789313</v>
      </c>
      <c r="CM7" s="532">
        <v>-115.26143686830719</v>
      </c>
      <c r="CN7" s="532">
        <v>-102.22985883497951</v>
      </c>
      <c r="CO7" s="532">
        <v>-96.017079748261636</v>
      </c>
      <c r="CP7" s="532">
        <v>-97.661567836650576</v>
      </c>
      <c r="CQ7" s="532">
        <v>-107.5757860947044</v>
      </c>
      <c r="CR7" s="532">
        <v>-109.63965742181234</v>
      </c>
      <c r="CS7" s="532">
        <v>-104.24238733612097</v>
      </c>
      <c r="CT7" s="532">
        <v>-100.00364026960465</v>
      </c>
      <c r="CU7" s="532">
        <v>-98.896490248405655</v>
      </c>
      <c r="CV7" s="532">
        <v>-108.28346563819933</v>
      </c>
      <c r="CW7" s="532">
        <v>-120.82197551905229</v>
      </c>
      <c r="CX7" s="532">
        <v>-122.89607608811363</v>
      </c>
      <c r="CY7" s="532">
        <v>-115.3147187448763</v>
      </c>
      <c r="CZ7" s="532">
        <v>-102.3869908744764</v>
      </c>
      <c r="DA7" s="532">
        <v>-104.02282430014692</v>
      </c>
      <c r="DB7" s="532">
        <v>-104.90870605302405</v>
      </c>
      <c r="DC7" s="532">
        <v>-118.56778835933531</v>
      </c>
      <c r="DD7" s="532">
        <v>-119.08812379794345</v>
      </c>
      <c r="DE7" s="532">
        <v>-110.89175823748391</v>
      </c>
      <c r="DF7" s="532">
        <v>-108.02232204592033</v>
      </c>
      <c r="DG7" s="532">
        <v>-92.360683253541779</v>
      </c>
      <c r="DH7" s="532">
        <v>-102.22606295992556</v>
      </c>
      <c r="DI7" s="532">
        <v>-113.5504213834616</v>
      </c>
      <c r="DJ7" s="532">
        <v>-115.61566969477852</v>
      </c>
      <c r="DK7" s="532">
        <v>-108.14632537923087</v>
      </c>
      <c r="DL7" s="532">
        <v>-96.223652838268364</v>
      </c>
      <c r="DM7" s="532">
        <v>-98.660773840989293</v>
      </c>
      <c r="DN7" s="532">
        <v>-100.17225275477729</v>
      </c>
      <c r="DO7" s="532">
        <v>-111.74092925725714</v>
      </c>
      <c r="DP7" s="532">
        <v>-111.88014638878357</v>
      </c>
      <c r="DQ7" s="532">
        <v>-104.01161122029507</v>
      </c>
      <c r="DR7" s="532">
        <v>-100.83932086174427</v>
      </c>
      <c r="DS7" s="532">
        <v>-90.862708309875444</v>
      </c>
      <c r="DT7" s="532">
        <v>-99.923057558702027</v>
      </c>
      <c r="DU7" s="532">
        <v>-108.36246415452365</v>
      </c>
      <c r="DV7" s="532">
        <v>-109.78208228781335</v>
      </c>
      <c r="DW7" s="532">
        <v>-103.70952336275026</v>
      </c>
      <c r="DX7" s="532">
        <v>-94.370565085360099</v>
      </c>
      <c r="DY7" s="532">
        <v>-94.18938704297247</v>
      </c>
      <c r="DZ7" s="532">
        <v>-95.605097778585659</v>
      </c>
      <c r="EA7" s="532">
        <v>-101.65191233794725</v>
      </c>
      <c r="EB7" s="532">
        <v>-102.58664147585526</v>
      </c>
      <c r="EC7" s="532">
        <v>-98.404404121210547</v>
      </c>
      <c r="ED7" s="532">
        <v>-95.569336068894955</v>
      </c>
      <c r="EE7" s="532">
        <v>-87.861361941689324</v>
      </c>
      <c r="EF7" s="532">
        <v>-97.941775020800605</v>
      </c>
      <c r="EG7" s="532">
        <v>-106.27455255397895</v>
      </c>
      <c r="EH7" s="532">
        <v>-106.65410094988262</v>
      </c>
      <c r="EI7" s="532">
        <v>-100.56831673405676</v>
      </c>
      <c r="EJ7" s="532">
        <v>-91.703780521868282</v>
      </c>
      <c r="EK7" s="532">
        <v>-92.20541517777967</v>
      </c>
      <c r="EL7" s="532">
        <v>-94.256723419671943</v>
      </c>
      <c r="EM7" s="532">
        <v>-100.34707205772997</v>
      </c>
      <c r="EN7" s="532">
        <v>-99.378377288864726</v>
      </c>
      <c r="EO7" s="532">
        <v>-95.901720522375683</v>
      </c>
      <c r="EP7" s="532">
        <v>-94.063692294587625</v>
      </c>
    </row>
    <row r="8" spans="2:146">
      <c r="B8" s="531">
        <v>2004</v>
      </c>
      <c r="C8" s="532">
        <v>-83.953041137026702</v>
      </c>
      <c r="D8" s="532">
        <v>-94.243889339258246</v>
      </c>
      <c r="E8" s="532">
        <v>-103.01989774248204</v>
      </c>
      <c r="F8" s="532">
        <v>-104.70843109566528</v>
      </c>
      <c r="G8" s="532">
        <v>-98.473946030602491</v>
      </c>
      <c r="H8" s="532">
        <v>-88.394283517957334</v>
      </c>
      <c r="I8" s="532">
        <v>-88.163219835333948</v>
      </c>
      <c r="J8" s="532">
        <v>-90.456003836632107</v>
      </c>
      <c r="K8" s="532">
        <v>-97.399131667189167</v>
      </c>
      <c r="L8" s="532">
        <v>-97.829423604853901</v>
      </c>
      <c r="M8" s="532">
        <v>-92.781765707777083</v>
      </c>
      <c r="N8" s="532">
        <v>-89.230284394098035</v>
      </c>
      <c r="O8" s="532">
        <v>-82.578749804541658</v>
      </c>
      <c r="P8" s="532">
        <v>-92.418145100594884</v>
      </c>
      <c r="Q8" s="532">
        <v>-101.03779002141002</v>
      </c>
      <c r="R8" s="532">
        <v>-102.41631810145935</v>
      </c>
      <c r="S8" s="532">
        <v>-96.299933027086595</v>
      </c>
      <c r="T8" s="532">
        <v>-86.323437523802582</v>
      </c>
      <c r="U8" s="532">
        <v>-87.122477705110072</v>
      </c>
      <c r="V8" s="532">
        <v>-88.746595663868803</v>
      </c>
      <c r="W8" s="532">
        <v>-95.201454729974785</v>
      </c>
      <c r="X8" s="532">
        <v>-95.388733924872696</v>
      </c>
      <c r="Y8" s="532">
        <v>-91.055354786896871</v>
      </c>
      <c r="Z8" s="532">
        <v>-88.088517006134623</v>
      </c>
      <c r="AA8" s="532">
        <v>-78.222781450091546</v>
      </c>
      <c r="AB8" s="532">
        <v>-86.557468011939548</v>
      </c>
      <c r="AC8" s="532">
        <v>-96.546444853626497</v>
      </c>
      <c r="AD8" s="532">
        <v>-99.693330235825414</v>
      </c>
      <c r="AE8" s="532">
        <v>-94.043060623906683</v>
      </c>
      <c r="AF8" s="532">
        <v>-84.052528510166454</v>
      </c>
      <c r="AG8" s="532">
        <v>-87.496066575454677</v>
      </c>
      <c r="AH8" s="532">
        <v>-88.565636823179489</v>
      </c>
      <c r="AI8" s="532">
        <v>-94.931420580699836</v>
      </c>
      <c r="AJ8" s="532">
        <v>-95.426184042443865</v>
      </c>
      <c r="AK8" s="532">
        <v>-91.362620721365204</v>
      </c>
      <c r="AL8" s="532">
        <v>-88.257693263072355</v>
      </c>
      <c r="AM8" s="532">
        <v>-85.263212812903092</v>
      </c>
      <c r="AN8" s="532">
        <v>-93.302929787316756</v>
      </c>
      <c r="AO8" s="532">
        <v>-103.94139757356432</v>
      </c>
      <c r="AP8" s="532">
        <v>-107.82799741638837</v>
      </c>
      <c r="AQ8" s="532">
        <v>-101.13332280159726</v>
      </c>
      <c r="AR8" s="532">
        <v>-89.949376822831169</v>
      </c>
      <c r="AS8" s="532">
        <v>-89.756438089760536</v>
      </c>
      <c r="AT8" s="532">
        <v>-91.252356920976908</v>
      </c>
      <c r="AU8" s="532">
        <v>-98.161211383987052</v>
      </c>
      <c r="AV8" s="532">
        <v>-99.170717908364054</v>
      </c>
      <c r="AW8" s="532">
        <v>-93.881234550834634</v>
      </c>
      <c r="AX8" s="532">
        <v>-90.47858939511076</v>
      </c>
      <c r="AY8" s="532">
        <v>-91.199834197850137</v>
      </c>
      <c r="AZ8" s="532">
        <v>-100.66881710350175</v>
      </c>
      <c r="BA8" s="532">
        <v>-113.62836301378846</v>
      </c>
      <c r="BB8" s="532">
        <v>-117.70719969676739</v>
      </c>
      <c r="BC8" s="532">
        <v>-110.44220970570674</v>
      </c>
      <c r="BD8" s="532">
        <v>-96.714553281585012</v>
      </c>
      <c r="BE8" s="532">
        <v>-95.598974192114241</v>
      </c>
      <c r="BF8" s="532">
        <v>-97.043994208248705</v>
      </c>
      <c r="BG8" s="532">
        <v>-108.09798294746656</v>
      </c>
      <c r="BH8" s="532">
        <v>-109.71487511300714</v>
      </c>
      <c r="BI8" s="532">
        <v>-102.19035277663617</v>
      </c>
      <c r="BJ8" s="532">
        <v>-97.849190340137639</v>
      </c>
      <c r="BK8" s="532">
        <v>-94.861299955953257</v>
      </c>
      <c r="BL8" s="532">
        <v>-104.00960193478831</v>
      </c>
      <c r="BM8" s="532">
        <v>-117.48490987193321</v>
      </c>
      <c r="BN8" s="532">
        <v>-120.49014106422869</v>
      </c>
      <c r="BO8" s="532">
        <v>-113.67016624198838</v>
      </c>
      <c r="BP8" s="532">
        <v>-100.38489838617085</v>
      </c>
      <c r="BQ8" s="532">
        <v>-96.569921955103567</v>
      </c>
      <c r="BR8" s="532">
        <v>-97.463478839022599</v>
      </c>
      <c r="BS8" s="532">
        <v>-105.96091855439404</v>
      </c>
      <c r="BT8" s="532">
        <v>-108.78803908450615</v>
      </c>
      <c r="BU8" s="532">
        <v>-103.64474311821327</v>
      </c>
      <c r="BV8" s="532">
        <v>-98.588073864145954</v>
      </c>
      <c r="BW8" s="532">
        <v>-97.664055013246568</v>
      </c>
      <c r="BX8" s="532">
        <v>-107.00186543627007</v>
      </c>
      <c r="BY8" s="532">
        <v>-120.66508304293667</v>
      </c>
      <c r="BZ8" s="532">
        <v>-122.98268955090126</v>
      </c>
      <c r="CA8" s="532">
        <v>-116.53196757441685</v>
      </c>
      <c r="CB8" s="532">
        <v>-102.9836861912712</v>
      </c>
      <c r="CC8" s="532">
        <v>-93.72260441127132</v>
      </c>
      <c r="CD8" s="532">
        <v>-95.006260865800584</v>
      </c>
      <c r="CE8" s="532">
        <v>-104.30624608720944</v>
      </c>
      <c r="CF8" s="532">
        <v>-107.41765160346064</v>
      </c>
      <c r="CG8" s="532">
        <v>-101.94887631212501</v>
      </c>
      <c r="CH8" s="532">
        <v>-96.885119179071481</v>
      </c>
      <c r="CI8" s="532">
        <v>-99.447369382527341</v>
      </c>
      <c r="CJ8" s="532">
        <v>-108.62679501696969</v>
      </c>
      <c r="CK8" s="532">
        <v>-123.33442410038241</v>
      </c>
      <c r="CL8" s="532">
        <v>-126.65337081204122</v>
      </c>
      <c r="CM8" s="532">
        <v>-119.30568878849948</v>
      </c>
      <c r="CN8" s="532">
        <v>-104.9651924035776</v>
      </c>
      <c r="CO8" s="532">
        <v>-97.832379026848542</v>
      </c>
      <c r="CP8" s="532">
        <v>-99.384916593488768</v>
      </c>
      <c r="CQ8" s="532">
        <v>-109.99399731624439</v>
      </c>
      <c r="CR8" s="532">
        <v>-113.584068546483</v>
      </c>
      <c r="CS8" s="532">
        <v>-107.67782847467524</v>
      </c>
      <c r="CT8" s="532">
        <v>-102.06551798884239</v>
      </c>
      <c r="CU8" s="532">
        <v>-100.10984215701042</v>
      </c>
      <c r="CV8" s="532">
        <v>-109.14612233646463</v>
      </c>
      <c r="CW8" s="532">
        <v>-122.39360648984021</v>
      </c>
      <c r="CX8" s="532">
        <v>-125.99298294811445</v>
      </c>
      <c r="CY8" s="532">
        <v>-118.52526771562754</v>
      </c>
      <c r="CZ8" s="532">
        <v>-104.48671579029725</v>
      </c>
      <c r="DA8" s="532">
        <v>-104.68949661729739</v>
      </c>
      <c r="DB8" s="532">
        <v>-105.4522387998655</v>
      </c>
      <c r="DC8" s="532">
        <v>-118.99002321874494</v>
      </c>
      <c r="DD8" s="532">
        <v>-121.62312278988969</v>
      </c>
      <c r="DE8" s="532">
        <v>-113.25932054034705</v>
      </c>
      <c r="DF8" s="532">
        <v>-108.76651245688238</v>
      </c>
      <c r="DG8" s="532">
        <v>-93.335741610286235</v>
      </c>
      <c r="DH8" s="532">
        <v>-103.26077698706638</v>
      </c>
      <c r="DI8" s="532">
        <v>-115.38961463439747</v>
      </c>
      <c r="DJ8" s="532">
        <v>-118.98837356653632</v>
      </c>
      <c r="DK8" s="532">
        <v>-111.49575519036368</v>
      </c>
      <c r="DL8" s="532">
        <v>-98.126141540505202</v>
      </c>
      <c r="DM8" s="532">
        <v>-97.44736098452961</v>
      </c>
      <c r="DN8" s="532">
        <v>-98.809214633611603</v>
      </c>
      <c r="DO8" s="532">
        <v>-109.46825271887306</v>
      </c>
      <c r="DP8" s="532">
        <v>-112.18777497974308</v>
      </c>
      <c r="DQ8" s="532">
        <v>-104.6731341673261</v>
      </c>
      <c r="DR8" s="532">
        <v>-99.751202960743115</v>
      </c>
      <c r="DS8" s="532">
        <v>-91.432113215512075</v>
      </c>
      <c r="DT8" s="532">
        <v>-100.09430783581499</v>
      </c>
      <c r="DU8" s="532">
        <v>-109.26798360793055</v>
      </c>
      <c r="DV8" s="532">
        <v>-112.09668113463556</v>
      </c>
      <c r="DW8" s="532">
        <v>-106.24196523568463</v>
      </c>
      <c r="DX8" s="532">
        <v>-95.703698685247659</v>
      </c>
      <c r="DY8" s="532">
        <v>-96.305980879629985</v>
      </c>
      <c r="DZ8" s="532">
        <v>-97.722415537176573</v>
      </c>
      <c r="EA8" s="532">
        <v>-104.26627058195537</v>
      </c>
      <c r="EB8" s="532">
        <v>-106.75746441901158</v>
      </c>
      <c r="EC8" s="532">
        <v>-101.96046668303148</v>
      </c>
      <c r="ED8" s="532">
        <v>-97.711189425804733</v>
      </c>
      <c r="EE8" s="532">
        <v>-88.541618222603006</v>
      </c>
      <c r="EF8" s="532">
        <v>-98.380957319978023</v>
      </c>
      <c r="EG8" s="532">
        <v>-107.46897606632459</v>
      </c>
      <c r="EH8" s="532">
        <v>-109.05020199253882</v>
      </c>
      <c r="EI8" s="532">
        <v>-103.14570226891911</v>
      </c>
      <c r="EJ8" s="532">
        <v>-93.17646861421737</v>
      </c>
      <c r="EK8" s="532">
        <v>-93.61116957174572</v>
      </c>
      <c r="EL8" s="532">
        <v>-95.684261394336957</v>
      </c>
      <c r="EM8" s="532">
        <v>-102.17594129352966</v>
      </c>
      <c r="EN8" s="532">
        <v>-102.76696502441858</v>
      </c>
      <c r="EO8" s="532">
        <v>-98.637027325823539</v>
      </c>
      <c r="EP8" s="532">
        <v>-95.485809482724804</v>
      </c>
    </row>
    <row r="9" spans="2:146">
      <c r="B9" s="531">
        <v>2005</v>
      </c>
      <c r="C9" s="532">
        <v>-83.940611378758362</v>
      </c>
      <c r="D9" s="532">
        <v>-94.218331668976077</v>
      </c>
      <c r="E9" s="532">
        <v>-102.99472306675952</v>
      </c>
      <c r="F9" s="532">
        <v>-104.683914348816</v>
      </c>
      <c r="G9" s="532">
        <v>-98.453686999994432</v>
      </c>
      <c r="H9" s="532">
        <v>-88.380394585651956</v>
      </c>
      <c r="I9" s="532">
        <v>-88.129716958435637</v>
      </c>
      <c r="J9" s="532">
        <v>-90.421173099959759</v>
      </c>
      <c r="K9" s="532">
        <v>-97.357072482820186</v>
      </c>
      <c r="L9" s="532">
        <v>-97.79455913727277</v>
      </c>
      <c r="M9" s="532">
        <v>-92.749473724576063</v>
      </c>
      <c r="N9" s="532">
        <v>-89.196563336887493</v>
      </c>
      <c r="O9" s="532">
        <v>-82.335987968054184</v>
      </c>
      <c r="P9" s="532">
        <v>-91.940322354876713</v>
      </c>
      <c r="Q9" s="532">
        <v>-100.56122153553346</v>
      </c>
      <c r="R9" s="532">
        <v>-101.94964351091349</v>
      </c>
      <c r="S9" s="532">
        <v>-95.920958557726749</v>
      </c>
      <c r="T9" s="532">
        <v>-86.053452614622842</v>
      </c>
      <c r="U9" s="532">
        <v>-87.506406757564889</v>
      </c>
      <c r="V9" s="532">
        <v>-89.135810563899966</v>
      </c>
      <c r="W9" s="532">
        <v>-95.675369347104706</v>
      </c>
      <c r="X9" s="532">
        <v>-95.781781141957154</v>
      </c>
      <c r="Y9" s="532">
        <v>-91.413348552018306</v>
      </c>
      <c r="Z9" s="532">
        <v>-88.475126186375846</v>
      </c>
      <c r="AA9" s="532">
        <v>-78.243296046511162</v>
      </c>
      <c r="AB9" s="532">
        <v>-86.599564294509236</v>
      </c>
      <c r="AC9" s="532">
        <v>-96.589140919734518</v>
      </c>
      <c r="AD9" s="532">
        <v>-99.735161177198819</v>
      </c>
      <c r="AE9" s="532">
        <v>-94.076679266026844</v>
      </c>
      <c r="AF9" s="532">
        <v>-84.075670387022157</v>
      </c>
      <c r="AG9" s="532">
        <v>-87.575942625797722</v>
      </c>
      <c r="AH9" s="532">
        <v>-88.643536316760503</v>
      </c>
      <c r="AI9" s="532">
        <v>-95.024735511030372</v>
      </c>
      <c r="AJ9" s="532">
        <v>-95.504852241463624</v>
      </c>
      <c r="AK9" s="532">
        <v>-91.437026039455603</v>
      </c>
      <c r="AL9" s="532">
        <v>-88.337653852241459</v>
      </c>
      <c r="AM9" s="532">
        <v>-85.212937075471928</v>
      </c>
      <c r="AN9" s="532">
        <v>-93.198130602115839</v>
      </c>
      <c r="AO9" s="532">
        <v>-103.82663877965304</v>
      </c>
      <c r="AP9" s="532">
        <v>-107.7104016181564</v>
      </c>
      <c r="AQ9" s="532">
        <v>-101.04382760010235</v>
      </c>
      <c r="AR9" s="532">
        <v>-89.892114579316427</v>
      </c>
      <c r="AS9" s="532">
        <v>-88.228835872097108</v>
      </c>
      <c r="AT9" s="532">
        <v>-89.74283761785631</v>
      </c>
      <c r="AU9" s="532">
        <v>-96.246825977825367</v>
      </c>
      <c r="AV9" s="532">
        <v>-97.550712829686915</v>
      </c>
      <c r="AW9" s="532">
        <v>-92.548043714581254</v>
      </c>
      <c r="AX9" s="532">
        <v>-88.95650453532042</v>
      </c>
      <c r="AY9" s="532">
        <v>-90.97537939799652</v>
      </c>
      <c r="AZ9" s="532">
        <v>-100.05010035211507</v>
      </c>
      <c r="BA9" s="532">
        <v>-112.85793747746112</v>
      </c>
      <c r="BB9" s="532">
        <v>-116.9204556673578</v>
      </c>
      <c r="BC9" s="532">
        <v>-109.81578465465785</v>
      </c>
      <c r="BD9" s="532">
        <v>-96.434951721463435</v>
      </c>
      <c r="BE9" s="532">
        <v>-95.648600564414835</v>
      </c>
      <c r="BF9" s="532">
        <v>-97.092715215576376</v>
      </c>
      <c r="BG9" s="532">
        <v>-108.18188629880223</v>
      </c>
      <c r="BH9" s="532">
        <v>-109.7813975843264</v>
      </c>
      <c r="BI9" s="532">
        <v>-102.23162926616654</v>
      </c>
      <c r="BJ9" s="532">
        <v>-97.898539557139827</v>
      </c>
      <c r="BK9" s="532">
        <v>-94.848929940128329</v>
      </c>
      <c r="BL9" s="532">
        <v>-103.96805641654115</v>
      </c>
      <c r="BM9" s="532">
        <v>-117.43028286709936</v>
      </c>
      <c r="BN9" s="532">
        <v>-120.43286807981571</v>
      </c>
      <c r="BO9" s="532">
        <v>-113.62368162544108</v>
      </c>
      <c r="BP9" s="532">
        <v>-100.36885186711969</v>
      </c>
      <c r="BQ9" s="532">
        <v>-96.492226261502935</v>
      </c>
      <c r="BR9" s="532">
        <v>-97.390230198027595</v>
      </c>
      <c r="BS9" s="532">
        <v>-105.83511282407255</v>
      </c>
      <c r="BT9" s="532">
        <v>-108.68528446793802</v>
      </c>
      <c r="BU9" s="532">
        <v>-103.58049505459883</v>
      </c>
      <c r="BV9" s="532">
        <v>-98.513289860210733</v>
      </c>
      <c r="BW9" s="532">
        <v>-97.630424987876239</v>
      </c>
      <c r="BX9" s="532">
        <v>-106.89029836401077</v>
      </c>
      <c r="BY9" s="532">
        <v>-120.51904847169594</v>
      </c>
      <c r="BZ9" s="532">
        <v>-122.8314960769377</v>
      </c>
      <c r="CA9" s="532">
        <v>-116.40769095279543</v>
      </c>
      <c r="CB9" s="532">
        <v>-102.93946536170894</v>
      </c>
      <c r="CC9" s="532">
        <v>-93.530513797411757</v>
      </c>
      <c r="CD9" s="532">
        <v>-94.817700392407843</v>
      </c>
      <c r="CE9" s="532">
        <v>-103.88201272340194</v>
      </c>
      <c r="CF9" s="532">
        <v>-107.09357721947981</v>
      </c>
      <c r="CG9" s="532">
        <v>-101.78910756522913</v>
      </c>
      <c r="CH9" s="532">
        <v>-96.694094497097112</v>
      </c>
      <c r="CI9" s="532">
        <v>-99.404330490685567</v>
      </c>
      <c r="CJ9" s="532">
        <v>-108.48092761232799</v>
      </c>
      <c r="CK9" s="532">
        <v>-123.14069385640997</v>
      </c>
      <c r="CL9" s="532">
        <v>-126.45230284592049</v>
      </c>
      <c r="CM9" s="532">
        <v>-119.14305059031999</v>
      </c>
      <c r="CN9" s="532">
        <v>-104.90804483342968</v>
      </c>
      <c r="CO9" s="532">
        <v>-97.690781180814085</v>
      </c>
      <c r="CP9" s="532">
        <v>-99.245916473631596</v>
      </c>
      <c r="CQ9" s="532">
        <v>-109.72139738503824</v>
      </c>
      <c r="CR9" s="532">
        <v>-113.36412585622742</v>
      </c>
      <c r="CS9" s="532">
        <v>-107.56005531244578</v>
      </c>
      <c r="CT9" s="532">
        <v>-101.92470311650168</v>
      </c>
      <c r="CU9" s="532">
        <v>-100.03435834639592</v>
      </c>
      <c r="CV9" s="532">
        <v>-108.91974171530558</v>
      </c>
      <c r="CW9" s="532">
        <v>-122.11981336717335</v>
      </c>
      <c r="CX9" s="532">
        <v>-125.70931848914208</v>
      </c>
      <c r="CY9" s="532">
        <v>-118.2916921457842</v>
      </c>
      <c r="CZ9" s="532">
        <v>-104.39027788279394</v>
      </c>
      <c r="DA9" s="532">
        <v>-104.36969318281371</v>
      </c>
      <c r="DB9" s="532">
        <v>-105.12716898193065</v>
      </c>
      <c r="DC9" s="532">
        <v>-118.40243671923521</v>
      </c>
      <c r="DD9" s="532">
        <v>-121.16052931878403</v>
      </c>
      <c r="DE9" s="532">
        <v>-112.98216330731456</v>
      </c>
      <c r="DF9" s="532">
        <v>-108.44697973525248</v>
      </c>
      <c r="DG9" s="532">
        <v>-93.251140073491328</v>
      </c>
      <c r="DH9" s="532">
        <v>-103.03544628832894</v>
      </c>
      <c r="DI9" s="532">
        <v>-115.13605786666325</v>
      </c>
      <c r="DJ9" s="532">
        <v>-118.73015676056991</v>
      </c>
      <c r="DK9" s="532">
        <v>-111.28914717758336</v>
      </c>
      <c r="DL9" s="532">
        <v>-98.022456116557152</v>
      </c>
      <c r="DM9" s="532">
        <v>-97.164549739990704</v>
      </c>
      <c r="DN9" s="532">
        <v>-98.511195538813112</v>
      </c>
      <c r="DO9" s="532">
        <v>-109.00194173515138</v>
      </c>
      <c r="DP9" s="532">
        <v>-111.81143359282127</v>
      </c>
      <c r="DQ9" s="532">
        <v>-104.41732994150314</v>
      </c>
      <c r="DR9" s="532">
        <v>-99.467327176536685</v>
      </c>
      <c r="DS9" s="532">
        <v>-91.274093064096419</v>
      </c>
      <c r="DT9" s="532">
        <v>-99.78262634000825</v>
      </c>
      <c r="DU9" s="532">
        <v>-108.95588528914374</v>
      </c>
      <c r="DV9" s="532">
        <v>-111.79386679400882</v>
      </c>
      <c r="DW9" s="532">
        <v>-105.99051269823023</v>
      </c>
      <c r="DX9" s="532">
        <v>-95.52687732468371</v>
      </c>
      <c r="DY9" s="532">
        <v>-95.830686564623505</v>
      </c>
      <c r="DZ9" s="532">
        <v>-97.245190600882225</v>
      </c>
      <c r="EA9" s="532">
        <v>-103.71215913534377</v>
      </c>
      <c r="EB9" s="532">
        <v>-106.28371983267593</v>
      </c>
      <c r="EC9" s="532">
        <v>-101.50231393756681</v>
      </c>
      <c r="ED9" s="532">
        <v>-97.234524486984398</v>
      </c>
      <c r="EE9" s="532">
        <v>-88.466393969541272</v>
      </c>
      <c r="EF9" s="532">
        <v>-98.229426278937851</v>
      </c>
      <c r="EG9" s="532">
        <v>-107.31925742354723</v>
      </c>
      <c r="EH9" s="532">
        <v>-108.90492275243787</v>
      </c>
      <c r="EI9" s="532">
        <v>-103.02383025139952</v>
      </c>
      <c r="EJ9" s="532">
        <v>-93.092335114476242</v>
      </c>
      <c r="EK9" s="532">
        <v>-91.149773598057024</v>
      </c>
      <c r="EL9" s="532">
        <v>-93.155683143108263</v>
      </c>
      <c r="EM9" s="532">
        <v>-99.168003387154897</v>
      </c>
      <c r="EN9" s="532">
        <v>-100.2431184928196</v>
      </c>
      <c r="EO9" s="532">
        <v>-96.276440579676418</v>
      </c>
      <c r="EP9" s="532">
        <v>-93.02503556098651</v>
      </c>
    </row>
    <row r="10" spans="2:146">
      <c r="B10" s="531">
        <v>2006</v>
      </c>
      <c r="C10" s="532">
        <v>-83.877860182244945</v>
      </c>
      <c r="D10" s="532">
        <v>-94.089288237840307</v>
      </c>
      <c r="E10" s="532">
        <v>-102.86762143769639</v>
      </c>
      <c r="F10" s="532">
        <v>-104.56009779449903</v>
      </c>
      <c r="G10" s="532">
        <v>-98.351380100815419</v>
      </c>
      <c r="H10" s="532">
        <v>-88.310260532530592</v>
      </c>
      <c r="I10" s="532">
        <v>-87.960525664117483</v>
      </c>
      <c r="J10" s="532">
        <v>-90.245299495263296</v>
      </c>
      <c r="K10" s="532">
        <v>-97.144674801018894</v>
      </c>
      <c r="L10" s="532">
        <v>-97.61851132314564</v>
      </c>
      <c r="M10" s="532">
        <v>-92.586449691822125</v>
      </c>
      <c r="N10" s="532">
        <v>-89.026288816479635</v>
      </c>
      <c r="O10" s="532">
        <v>-82.226417674574307</v>
      </c>
      <c r="P10" s="532">
        <v>-91.717881347408678</v>
      </c>
      <c r="Q10" s="532">
        <v>-100.34022270199708</v>
      </c>
      <c r="R10" s="532">
        <v>-101.73357238362105</v>
      </c>
      <c r="S10" s="532">
        <v>-95.746754152050698</v>
      </c>
      <c r="T10" s="532">
        <v>-85.931057410860689</v>
      </c>
      <c r="U10" s="532">
        <v>-87.152319571368679</v>
      </c>
      <c r="V10" s="532">
        <v>-88.776771671699194</v>
      </c>
      <c r="W10" s="532">
        <v>-95.240465282289563</v>
      </c>
      <c r="X10" s="532">
        <v>-95.418190575952039</v>
      </c>
      <c r="Y10" s="532">
        <v>-91.081446013529657</v>
      </c>
      <c r="Z10" s="532">
        <v>-88.118499326974785</v>
      </c>
      <c r="AA10" s="532">
        <v>-78.255558746479053</v>
      </c>
      <c r="AB10" s="532">
        <v>-86.624734161767506</v>
      </c>
      <c r="AC10" s="532">
        <v>-96.614661924181817</v>
      </c>
      <c r="AD10" s="532">
        <v>-99.760177344559679</v>
      </c>
      <c r="AE10" s="532">
        <v>-94.09677709459072</v>
      </c>
      <c r="AF10" s="532">
        <v>-84.089502173340676</v>
      </c>
      <c r="AG10" s="532">
        <v>-87.623688914720134</v>
      </c>
      <c r="AH10" s="532">
        <v>-88.690098204353376</v>
      </c>
      <c r="AI10" s="532">
        <v>-95.080517329796095</v>
      </c>
      <c r="AJ10" s="532">
        <v>-95.551881317165979</v>
      </c>
      <c r="AK10" s="532">
        <v>-91.481505950288692</v>
      </c>
      <c r="AL10" s="532">
        <v>-88.385449160245741</v>
      </c>
      <c r="AM10" s="532">
        <v>-85.144614974169002</v>
      </c>
      <c r="AN10" s="532">
        <v>-93.055685458514645</v>
      </c>
      <c r="AO10" s="532">
        <v>-103.67067541295371</v>
      </c>
      <c r="AP10" s="532">
        <v>-107.5505675763504</v>
      </c>
      <c r="AQ10" s="532">
        <v>-100.92218657288203</v>
      </c>
      <c r="AR10" s="532">
        <v>-89.814289297768624</v>
      </c>
      <c r="AS10" s="532">
        <v>-86.969706971984408</v>
      </c>
      <c r="AT10" s="532">
        <v>-88.498613916782034</v>
      </c>
      <c r="AU10" s="532">
        <v>-94.668884458561863</v>
      </c>
      <c r="AV10" s="532">
        <v>-96.215420171129324</v>
      </c>
      <c r="AW10" s="532">
        <v>-91.449154911263506</v>
      </c>
      <c r="AX10" s="532">
        <v>-87.701925198746693</v>
      </c>
      <c r="AY10" s="532">
        <v>-90.792003208627264</v>
      </c>
      <c r="AZ10" s="532">
        <v>-99.544620149203539</v>
      </c>
      <c r="BA10" s="532">
        <v>-112.22851683353394</v>
      </c>
      <c r="BB10" s="532">
        <v>-116.2777039040443</v>
      </c>
      <c r="BC10" s="532">
        <v>-109.30400855644429</v>
      </c>
      <c r="BD10" s="532">
        <v>-96.206520905585023</v>
      </c>
      <c r="BE10" s="532">
        <v>-95.79914981139467</v>
      </c>
      <c r="BF10" s="532">
        <v>-97.240494507269617</v>
      </c>
      <c r="BG10" s="532">
        <v>-108.43642490090517</v>
      </c>
      <c r="BH10" s="532">
        <v>-109.98320292010919</v>
      </c>
      <c r="BI10" s="532">
        <v>-102.35684994505527</v>
      </c>
      <c r="BJ10" s="532">
        <v>-98.048258355794701</v>
      </c>
      <c r="BK10" s="532">
        <v>-94.825946141850608</v>
      </c>
      <c r="BL10" s="532">
        <v>-103.89083990743592</v>
      </c>
      <c r="BM10" s="532">
        <v>-117.3287538338686</v>
      </c>
      <c r="BN10" s="532">
        <v>-120.32642592373416</v>
      </c>
      <c r="BO10" s="532">
        <v>-113.53729146554014</v>
      </c>
      <c r="BP10" s="532">
        <v>-100.33903672425939</v>
      </c>
      <c r="BQ10" s="532">
        <v>-96.347818563118636</v>
      </c>
      <c r="BR10" s="532">
        <v>-97.254094357788532</v>
      </c>
      <c r="BS10" s="532">
        <v>-105.60129278621964</v>
      </c>
      <c r="BT10" s="532">
        <v>-108.49430592031815</v>
      </c>
      <c r="BU10" s="532">
        <v>-103.46108710247348</v>
      </c>
      <c r="BV10" s="532">
        <v>-98.374294334891104</v>
      </c>
      <c r="BW10" s="532">
        <v>-97.59350457516652</v>
      </c>
      <c r="BX10" s="532">
        <v>-106.76777493901902</v>
      </c>
      <c r="BY10" s="532">
        <v>-120.3586723731311</v>
      </c>
      <c r="BZ10" s="532">
        <v>-122.66546902324043</v>
      </c>
      <c r="CA10" s="532">
        <v>-116.27121687993522</v>
      </c>
      <c r="CB10" s="532">
        <v>-102.89090932907214</v>
      </c>
      <c r="CC10" s="532">
        <v>-93.399746500090188</v>
      </c>
      <c r="CD10" s="532">
        <v>-94.689340136243118</v>
      </c>
      <c r="CE10" s="532">
        <v>-103.59320684899383</v>
      </c>
      <c r="CF10" s="532">
        <v>-106.87296794267749</v>
      </c>
      <c r="CG10" s="532">
        <v>-101.68035076770825</v>
      </c>
      <c r="CH10" s="532">
        <v>-96.564054382193802</v>
      </c>
      <c r="CI10" s="532">
        <v>-99.3705045151371</v>
      </c>
      <c r="CJ10" s="532">
        <v>-108.36629897920977</v>
      </c>
      <c r="CK10" s="532">
        <v>-122.98845195185979</v>
      </c>
      <c r="CL10" s="532">
        <v>-126.2942958844458</v>
      </c>
      <c r="CM10" s="532">
        <v>-119.01523598102396</v>
      </c>
      <c r="CN10" s="532">
        <v>-104.86314216627652</v>
      </c>
      <c r="CO10" s="532">
        <v>-97.485024880444612</v>
      </c>
      <c r="CP10" s="532">
        <v>-99.043938729388302</v>
      </c>
      <c r="CQ10" s="532">
        <v>-109.32527291128264</v>
      </c>
      <c r="CR10" s="532">
        <v>-113.04452810313073</v>
      </c>
      <c r="CS10" s="532">
        <v>-107.38892048785854</v>
      </c>
      <c r="CT10" s="532">
        <v>-101.72009016106321</v>
      </c>
      <c r="CU10" s="532">
        <v>-100.01368667435153</v>
      </c>
      <c r="CV10" s="532">
        <v>-108.8577469521374</v>
      </c>
      <c r="CW10" s="532">
        <v>-122.04483826768845</v>
      </c>
      <c r="CX10" s="532">
        <v>-125.63164109935661</v>
      </c>
      <c r="CY10" s="532">
        <v>-118.2277392979601</v>
      </c>
      <c r="CZ10" s="532">
        <v>-104.36386084315463</v>
      </c>
      <c r="DA10" s="532">
        <v>-103.42017143100307</v>
      </c>
      <c r="DB10" s="532">
        <v>-104.16201865973299</v>
      </c>
      <c r="DC10" s="532">
        <v>-116.65787407681461</v>
      </c>
      <c r="DD10" s="532">
        <v>-119.78705265099711</v>
      </c>
      <c r="DE10" s="532">
        <v>-112.15927734374741</v>
      </c>
      <c r="DF10" s="532">
        <v>-107.49828220103964</v>
      </c>
      <c r="DG10" s="532">
        <v>-93.133903450402698</v>
      </c>
      <c r="DH10" s="532">
        <v>-102.72320106144585</v>
      </c>
      <c r="DI10" s="532">
        <v>-114.78469553814659</v>
      </c>
      <c r="DJ10" s="532">
        <v>-118.37233558050985</v>
      </c>
      <c r="DK10" s="532">
        <v>-111.00285135780298</v>
      </c>
      <c r="DL10" s="532">
        <v>-97.878781782932975</v>
      </c>
      <c r="DM10" s="532">
        <v>-97.712631913087222</v>
      </c>
      <c r="DN10" s="532">
        <v>-99.088741157398118</v>
      </c>
      <c r="DO10" s="532">
        <v>-109.90562921889652</v>
      </c>
      <c r="DP10" s="532">
        <v>-112.54076564191497</v>
      </c>
      <c r="DQ10" s="532">
        <v>-104.91307877979831</v>
      </c>
      <c r="DR10" s="532">
        <v>-100.01747250072549</v>
      </c>
      <c r="DS10" s="532">
        <v>-91.138016973576981</v>
      </c>
      <c r="DT10" s="532">
        <v>-99.514232901244995</v>
      </c>
      <c r="DU10" s="532">
        <v>-108.68714505598207</v>
      </c>
      <c r="DV10" s="532">
        <v>-111.53309842589927</v>
      </c>
      <c r="DW10" s="532">
        <v>-105.77396876346387</v>
      </c>
      <c r="DX10" s="532">
        <v>-95.374609454553251</v>
      </c>
      <c r="DY10" s="532">
        <v>-95.421405695866156</v>
      </c>
      <c r="DZ10" s="532">
        <v>-96.834243543662453</v>
      </c>
      <c r="EA10" s="532">
        <v>-103.23500502654473</v>
      </c>
      <c r="EB10" s="532">
        <v>-105.8757770290695</v>
      </c>
      <c r="EC10" s="532">
        <v>-101.10780080654163</v>
      </c>
      <c r="ED10" s="532">
        <v>-96.824058889520728</v>
      </c>
      <c r="EE10" s="532">
        <v>-84.356956435997489</v>
      </c>
      <c r="EF10" s="532">
        <v>-92.519532151678703</v>
      </c>
      <c r="EG10" s="532">
        <v>-97.54762390236472</v>
      </c>
      <c r="EH10" s="532">
        <v>-98.508155282080082</v>
      </c>
      <c r="EI10" s="532">
        <v>-94.776631725139879</v>
      </c>
      <c r="EJ10" s="532">
        <v>-87.793884190949925</v>
      </c>
      <c r="EK10" s="532">
        <v>-86.19353173863945</v>
      </c>
      <c r="EL10" s="532">
        <v>-88.139358062804192</v>
      </c>
      <c r="EM10" s="532">
        <v>-93.475666884604749</v>
      </c>
      <c r="EN10" s="532">
        <v>-94.462721764887959</v>
      </c>
      <c r="EO10" s="532">
        <v>-91.042715423613359</v>
      </c>
      <c r="EP10" s="532">
        <v>-87.964022025568696</v>
      </c>
    </row>
    <row r="11" spans="2:146">
      <c r="B11" s="531">
        <v>2007</v>
      </c>
      <c r="C11" s="532">
        <v>-79.630718526475107</v>
      </c>
      <c r="D11" s="532">
        <v>-88.128804560777709</v>
      </c>
      <c r="E11" s="532">
        <v>-92.984190239023405</v>
      </c>
      <c r="F11" s="532">
        <v>-94.030263691170177</v>
      </c>
      <c r="G11" s="532">
        <v>-89.952865630833145</v>
      </c>
      <c r="H11" s="532">
        <v>-83.025987762975149</v>
      </c>
      <c r="I11" s="532">
        <v>-84.818775977632797</v>
      </c>
      <c r="J11" s="532">
        <v>-87.121664887232157</v>
      </c>
      <c r="K11" s="532">
        <v>-93.603791558187538</v>
      </c>
      <c r="L11" s="532">
        <v>-93.567371980109613</v>
      </c>
      <c r="M11" s="532">
        <v>-88.976807065206941</v>
      </c>
      <c r="N11" s="532">
        <v>-85.752240680235587</v>
      </c>
      <c r="O11" s="532">
        <v>-78.129871678504401</v>
      </c>
      <c r="P11" s="532">
        <v>-85.91661972931945</v>
      </c>
      <c r="Q11" s="532">
        <v>-90.481461235355397</v>
      </c>
      <c r="R11" s="532">
        <v>-91.241387508838187</v>
      </c>
      <c r="S11" s="532">
        <v>-87.369565391220476</v>
      </c>
      <c r="T11" s="532">
        <v>-80.722144924576327</v>
      </c>
      <c r="U11" s="532">
        <v>-82.787846913019266</v>
      </c>
      <c r="V11" s="532">
        <v>-84.374162192261451</v>
      </c>
      <c r="W11" s="532">
        <v>-90.187461091133045</v>
      </c>
      <c r="X11" s="532">
        <v>-90.136414008678855</v>
      </c>
      <c r="Y11" s="532">
        <v>-86.344649090018905</v>
      </c>
      <c r="Z11" s="532">
        <v>-83.628441876583096</v>
      </c>
      <c r="AA11" s="532">
        <v>-74.334874582424945</v>
      </c>
      <c r="AB11" s="532">
        <v>-81.082758600030175</v>
      </c>
      <c r="AC11" s="532">
        <v>-86.763929773910363</v>
      </c>
      <c r="AD11" s="532">
        <v>-89.225257552698395</v>
      </c>
      <c r="AE11" s="532">
        <v>-85.679218764769416</v>
      </c>
      <c r="AF11" s="532">
        <v>-79.006107644319741</v>
      </c>
      <c r="AG11" s="532">
        <v>-82.294899376700116</v>
      </c>
      <c r="AH11" s="532">
        <v>-83.31102382304114</v>
      </c>
      <c r="AI11" s="532">
        <v>-88.8651452471846</v>
      </c>
      <c r="AJ11" s="532">
        <v>-89.231966473800085</v>
      </c>
      <c r="AK11" s="532">
        <v>-85.867080574878415</v>
      </c>
      <c r="AL11" s="532">
        <v>-82.910297862288203</v>
      </c>
      <c r="AM11" s="532">
        <v>-81.149144308994309</v>
      </c>
      <c r="AN11" s="532">
        <v>-87.404275973043895</v>
      </c>
      <c r="AO11" s="532">
        <v>-93.678707315969064</v>
      </c>
      <c r="AP11" s="532">
        <v>-96.680216463520821</v>
      </c>
      <c r="AQ11" s="532">
        <v>-92.309065170657675</v>
      </c>
      <c r="AR11" s="532">
        <v>-84.663445842535666</v>
      </c>
      <c r="AS11" s="532">
        <v>-83.82345067435287</v>
      </c>
      <c r="AT11" s="532">
        <v>-85.186829526263196</v>
      </c>
      <c r="AU11" s="532">
        <v>-91.054190867940747</v>
      </c>
      <c r="AV11" s="532">
        <v>-92.20202892918563</v>
      </c>
      <c r="AW11" s="532">
        <v>-87.789640448290143</v>
      </c>
      <c r="AX11" s="532">
        <v>-84.344562173073825</v>
      </c>
      <c r="AY11" s="532">
        <v>-86.72649412613228</v>
      </c>
      <c r="AZ11" s="532">
        <v>-93.517277313713635</v>
      </c>
      <c r="BA11" s="532">
        <v>-101.47391768712731</v>
      </c>
      <c r="BB11" s="532">
        <v>-104.6961627872596</v>
      </c>
      <c r="BC11" s="532">
        <v>-100.22848205648394</v>
      </c>
      <c r="BD11" s="532">
        <v>-90.938815105038771</v>
      </c>
      <c r="BE11" s="532">
        <v>-91.367627931393457</v>
      </c>
      <c r="BF11" s="532">
        <v>-92.826712554698474</v>
      </c>
      <c r="BG11" s="532">
        <v>-102.85953981465867</v>
      </c>
      <c r="BH11" s="532">
        <v>-103.97040526113292</v>
      </c>
      <c r="BI11" s="532">
        <v>-97.590886236097688</v>
      </c>
      <c r="BJ11" s="532">
        <v>-93.473427489486184</v>
      </c>
      <c r="BK11" s="532">
        <v>-90.730088603195895</v>
      </c>
      <c r="BL11" s="532">
        <v>-97.372964913620493</v>
      </c>
      <c r="BM11" s="532">
        <v>-105.53484358481157</v>
      </c>
      <c r="BN11" s="532">
        <v>-107.84693133261744</v>
      </c>
      <c r="BO11" s="532">
        <v>-103.7560406591673</v>
      </c>
      <c r="BP11" s="532">
        <v>-94.909402233320236</v>
      </c>
      <c r="BQ11" s="532">
        <v>-92.047602594188547</v>
      </c>
      <c r="BR11" s="532">
        <v>-93.00775147727893</v>
      </c>
      <c r="BS11" s="532">
        <v>-100.15993406282236</v>
      </c>
      <c r="BT11" s="532">
        <v>-102.51999222309126</v>
      </c>
      <c r="BU11" s="532">
        <v>-98.5730873973949</v>
      </c>
      <c r="BV11" s="532">
        <v>-93.861104795928298</v>
      </c>
      <c r="BW11" s="532">
        <v>-93.195876199159315</v>
      </c>
      <c r="BX11" s="532">
        <v>-99.496190964835435</v>
      </c>
      <c r="BY11" s="532">
        <v>-107.85628409355022</v>
      </c>
      <c r="BZ11" s="532">
        <v>-109.64282999178189</v>
      </c>
      <c r="CA11" s="532">
        <v>-106.12497560812244</v>
      </c>
      <c r="CB11" s="532">
        <v>-97.224919129293681</v>
      </c>
      <c r="CC11" s="532">
        <v>-89.093291141933676</v>
      </c>
      <c r="CD11" s="532">
        <v>-90.416081330770638</v>
      </c>
      <c r="CE11" s="532">
        <v>-97.965528883078136</v>
      </c>
      <c r="CF11" s="532">
        <v>-100.74210420338945</v>
      </c>
      <c r="CG11" s="532">
        <v>-96.913378590903704</v>
      </c>
      <c r="CH11" s="532">
        <v>-92.103038912928199</v>
      </c>
      <c r="CI11" s="532">
        <v>-94.99445701883792</v>
      </c>
      <c r="CJ11" s="532">
        <v>-101.09309666667565</v>
      </c>
      <c r="CK11" s="532">
        <v>-110.14256305806434</v>
      </c>
      <c r="CL11" s="532">
        <v>-112.91275320239833</v>
      </c>
      <c r="CM11" s="532">
        <v>-108.62399733463103</v>
      </c>
      <c r="CN11" s="532">
        <v>-99.178365610544006</v>
      </c>
      <c r="CO11" s="532">
        <v>-93.043524071039243</v>
      </c>
      <c r="CP11" s="532">
        <v>-94.606627583771399</v>
      </c>
      <c r="CQ11" s="532">
        <v>-103.56187458150256</v>
      </c>
      <c r="CR11" s="532">
        <v>-106.83536760622869</v>
      </c>
      <c r="CS11" s="532">
        <v>-102.46869212052928</v>
      </c>
      <c r="CT11" s="532">
        <v>-97.047158691385391</v>
      </c>
      <c r="CU11" s="532">
        <v>-95.746951671499673</v>
      </c>
      <c r="CV11" s="532">
        <v>-102.26640855681623</v>
      </c>
      <c r="CW11" s="532">
        <v>-110.39951826148317</v>
      </c>
      <c r="CX11" s="532">
        <v>-113.30700876886439</v>
      </c>
      <c r="CY11" s="532">
        <v>-108.59877631693023</v>
      </c>
      <c r="CZ11" s="532">
        <v>-98.77878961793084</v>
      </c>
      <c r="DA11" s="532">
        <v>-98.448148153430566</v>
      </c>
      <c r="DB11" s="532">
        <v>-99.21904284344329</v>
      </c>
      <c r="DC11" s="532">
        <v>-110.26202744759105</v>
      </c>
      <c r="DD11" s="532">
        <v>-113.14576306816451</v>
      </c>
      <c r="DE11" s="532">
        <v>-106.78488799615741</v>
      </c>
      <c r="DF11" s="532">
        <v>-102.32194280512796</v>
      </c>
      <c r="DG11" s="532">
        <v>-89.007396131640263</v>
      </c>
      <c r="DH11" s="532">
        <v>-96.85638189837384</v>
      </c>
      <c r="DI11" s="532">
        <v>-104.252832460709</v>
      </c>
      <c r="DJ11" s="532">
        <v>-107.03458014455964</v>
      </c>
      <c r="DK11" s="532">
        <v>-102.05731580918773</v>
      </c>
      <c r="DL11" s="532">
        <v>-92.48624503572178</v>
      </c>
      <c r="DM11" s="532">
        <v>-94.532258589832651</v>
      </c>
      <c r="DN11" s="532">
        <v>-95.966412051194283</v>
      </c>
      <c r="DO11" s="532">
        <v>-106.65190568425794</v>
      </c>
      <c r="DP11" s="532">
        <v>-108.57698321701147</v>
      </c>
      <c r="DQ11" s="532">
        <v>-101.19369781421447</v>
      </c>
      <c r="DR11" s="532">
        <v>-96.661468649076383</v>
      </c>
      <c r="DS11" s="532">
        <v>-87.051958618559482</v>
      </c>
      <c r="DT11" s="532">
        <v>-93.863796953093669</v>
      </c>
      <c r="DU11" s="532">
        <v>-98.993464632819169</v>
      </c>
      <c r="DV11" s="532">
        <v>-101.1850548155423</v>
      </c>
      <c r="DW11" s="532">
        <v>-97.552656354950642</v>
      </c>
      <c r="DX11" s="532">
        <v>-90.142476639073337</v>
      </c>
      <c r="DY11" s="532">
        <v>-91.177384552250885</v>
      </c>
      <c r="DZ11" s="532">
        <v>-92.591695650233703</v>
      </c>
      <c r="EA11" s="532">
        <v>-98.428775239336417</v>
      </c>
      <c r="EB11" s="532">
        <v>-100.79521859234953</v>
      </c>
      <c r="EC11" s="532">
        <v>-96.544470992168158</v>
      </c>
      <c r="ED11" s="532">
        <v>-92.463643842983416</v>
      </c>
      <c r="EE11" s="532">
        <v>-84.242966818281744</v>
      </c>
      <c r="EF11" s="532">
        <v>-92.289931101598853</v>
      </c>
      <c r="EG11" s="532">
        <v>-97.320762073088645</v>
      </c>
      <c r="EH11" s="532">
        <v>-98.288028850532896</v>
      </c>
      <c r="EI11" s="532">
        <v>-94.591964513566737</v>
      </c>
      <c r="EJ11" s="532">
        <v>-87.666397773335319</v>
      </c>
      <c r="EK11" s="532">
        <v>-85.927912870768424</v>
      </c>
      <c r="EL11" s="532">
        <v>-87.866493133972568</v>
      </c>
      <c r="EM11" s="532">
        <v>-93.151067788663795</v>
      </c>
      <c r="EN11" s="532">
        <v>-94.19036622958869</v>
      </c>
      <c r="EO11" s="532">
        <v>-90.787976038831431</v>
      </c>
      <c r="EP11" s="532">
        <v>-87.698471234930025</v>
      </c>
    </row>
    <row r="12" spans="2:146">
      <c r="B12" s="531">
        <v>2008</v>
      </c>
      <c r="C12" s="532">
        <v>-79.9995894135605</v>
      </c>
      <c r="D12" s="532">
        <v>-88.489534683437242</v>
      </c>
      <c r="E12" s="532">
        <v>-94.012185783917886</v>
      </c>
      <c r="F12" s="532">
        <v>-95.165550839959863</v>
      </c>
      <c r="G12" s="532">
        <v>-91.104354292238753</v>
      </c>
      <c r="H12" s="532">
        <v>-83.466805671691233</v>
      </c>
      <c r="I12" s="532">
        <v>-85.126144191965537</v>
      </c>
      <c r="J12" s="532">
        <v>-87.442520640953262</v>
      </c>
      <c r="K12" s="532">
        <v>-94.402256351281977</v>
      </c>
      <c r="L12" s="532">
        <v>-94.664310259443482</v>
      </c>
      <c r="M12" s="532">
        <v>-89.499456267655944</v>
      </c>
      <c r="N12" s="532">
        <v>-86.063916555513913</v>
      </c>
      <c r="O12" s="532">
        <v>-78.713779416709457</v>
      </c>
      <c r="P12" s="532">
        <v>-86.678131468697387</v>
      </c>
      <c r="Q12" s="532">
        <v>-91.9528913005948</v>
      </c>
      <c r="R12" s="532">
        <v>-92.850940429354182</v>
      </c>
      <c r="S12" s="532">
        <v>-88.910069098812002</v>
      </c>
      <c r="T12" s="532">
        <v>-81.405379462780587</v>
      </c>
      <c r="U12" s="532">
        <v>-84.197897246371397</v>
      </c>
      <c r="V12" s="532">
        <v>-85.782987399519968</v>
      </c>
      <c r="W12" s="532">
        <v>-92.337550074760188</v>
      </c>
      <c r="X12" s="532">
        <v>-92.431045386050641</v>
      </c>
      <c r="Y12" s="532">
        <v>-87.915366071637663</v>
      </c>
      <c r="Z12" s="532">
        <v>-85.028526729838191</v>
      </c>
      <c r="AA12" s="532">
        <v>-74.834848492626364</v>
      </c>
      <c r="AB12" s="532">
        <v>-81.68912465136259</v>
      </c>
      <c r="AC12" s="532">
        <v>-88.080113600325944</v>
      </c>
      <c r="AD12" s="532">
        <v>-90.728500749787102</v>
      </c>
      <c r="AE12" s="532">
        <v>-87.102433562936653</v>
      </c>
      <c r="AF12" s="532">
        <v>-79.594694070794347</v>
      </c>
      <c r="AG12" s="532">
        <v>-81.685960441002337</v>
      </c>
      <c r="AH12" s="532">
        <v>-82.730259635781223</v>
      </c>
      <c r="AI12" s="532">
        <v>-88.627057685513904</v>
      </c>
      <c r="AJ12" s="532">
        <v>-89.50404407472675</v>
      </c>
      <c r="AK12" s="532">
        <v>-85.567990794481616</v>
      </c>
      <c r="AL12" s="532">
        <v>-82.299437017421369</v>
      </c>
      <c r="AM12" s="532">
        <v>-81.500984259042326</v>
      </c>
      <c r="AN12" s="532">
        <v>-87.725728643477908</v>
      </c>
      <c r="AO12" s="532">
        <v>-94.684856879459403</v>
      </c>
      <c r="AP12" s="532">
        <v>-97.939653116511437</v>
      </c>
      <c r="AQ12" s="532">
        <v>-93.466252419754255</v>
      </c>
      <c r="AR12" s="532">
        <v>-85.096483637431177</v>
      </c>
      <c r="AS12" s="532">
        <v>-85.243171458352123</v>
      </c>
      <c r="AT12" s="532">
        <v>-86.624177260916113</v>
      </c>
      <c r="AU12" s="532">
        <v>-93.277740638617615</v>
      </c>
      <c r="AV12" s="532">
        <v>-94.65543064312817</v>
      </c>
      <c r="AW12" s="532">
        <v>-89.30621462208839</v>
      </c>
      <c r="AX12" s="532">
        <v>-85.76176569136301</v>
      </c>
      <c r="AY12" s="532">
        <v>-87.123617427898793</v>
      </c>
      <c r="AZ12" s="532">
        <v>-93.902936724080959</v>
      </c>
      <c r="BA12" s="532">
        <v>-102.55099882127071</v>
      </c>
      <c r="BB12" s="532">
        <v>-106.03315860910388</v>
      </c>
      <c r="BC12" s="532">
        <v>-101.45160046839148</v>
      </c>
      <c r="BD12" s="532">
        <v>-91.461513318637898</v>
      </c>
      <c r="BE12" s="532">
        <v>-90.983254723191919</v>
      </c>
      <c r="BF12" s="532">
        <v>-92.481555596712482</v>
      </c>
      <c r="BG12" s="532">
        <v>-102.46419222328656</v>
      </c>
      <c r="BH12" s="532">
        <v>-104.28194445092446</v>
      </c>
      <c r="BI12" s="532">
        <v>-97.697947442281588</v>
      </c>
      <c r="BJ12" s="532">
        <v>-93.141203757114809</v>
      </c>
      <c r="BK12" s="532">
        <v>-91.356982194782347</v>
      </c>
      <c r="BL12" s="532">
        <v>-98.162103946187941</v>
      </c>
      <c r="BM12" s="532">
        <v>-106.97685775521443</v>
      </c>
      <c r="BN12" s="532">
        <v>-109.52657862519573</v>
      </c>
      <c r="BO12" s="532">
        <v>-105.31176690454399</v>
      </c>
      <c r="BP12" s="532">
        <v>-95.701698665447651</v>
      </c>
      <c r="BQ12" s="532">
        <v>-92.813522814138125</v>
      </c>
      <c r="BR12" s="532">
        <v>-93.831229054199255</v>
      </c>
      <c r="BS12" s="532">
        <v>-101.70021499433429</v>
      </c>
      <c r="BT12" s="532">
        <v>-104.33070779933348</v>
      </c>
      <c r="BU12" s="532">
        <v>-99.804407935462748</v>
      </c>
      <c r="BV12" s="532">
        <v>-94.746775513847169</v>
      </c>
      <c r="BW12" s="532">
        <v>-93.946390014597014</v>
      </c>
      <c r="BX12" s="532">
        <v>-100.31827049141762</v>
      </c>
      <c r="BY12" s="532">
        <v>-109.24137288615607</v>
      </c>
      <c r="BZ12" s="532">
        <v>-111.22339435584007</v>
      </c>
      <c r="CA12" s="532">
        <v>-107.65113508119029</v>
      </c>
      <c r="CB12" s="532">
        <v>-98.122122056374621</v>
      </c>
      <c r="CC12" s="532">
        <v>-89.761210546978262</v>
      </c>
      <c r="CD12" s="532">
        <v>-91.144177898955945</v>
      </c>
      <c r="CE12" s="532">
        <v>-99.238635706103764</v>
      </c>
      <c r="CF12" s="532">
        <v>-102.30142483367723</v>
      </c>
      <c r="CG12" s="532">
        <v>-97.947829797981925</v>
      </c>
      <c r="CH12" s="532">
        <v>-92.811287962278399</v>
      </c>
      <c r="CI12" s="532">
        <v>-95.700980201050456</v>
      </c>
      <c r="CJ12" s="532">
        <v>-101.88220663748972</v>
      </c>
      <c r="CK12" s="532">
        <v>-111.56243230587305</v>
      </c>
      <c r="CL12" s="532">
        <v>-114.54019718714406</v>
      </c>
      <c r="CM12" s="532">
        <v>-110.15812839400952</v>
      </c>
      <c r="CN12" s="532">
        <v>-100.04032643579644</v>
      </c>
      <c r="CO12" s="532">
        <v>-93.692642103061274</v>
      </c>
      <c r="CP12" s="532">
        <v>-95.291006862255841</v>
      </c>
      <c r="CQ12" s="532">
        <v>-104.76164093959912</v>
      </c>
      <c r="CR12" s="532">
        <v>-108.3575834470635</v>
      </c>
      <c r="CS12" s="532">
        <v>-103.48020871156987</v>
      </c>
      <c r="CT12" s="532">
        <v>-97.786411185039952</v>
      </c>
      <c r="CU12" s="532">
        <v>-96.276814451206647</v>
      </c>
      <c r="CV12" s="532">
        <v>-102.77425619549932</v>
      </c>
      <c r="CW12" s="532">
        <v>-111.60004327058891</v>
      </c>
      <c r="CX12" s="532">
        <v>-114.80127317562038</v>
      </c>
      <c r="CY12" s="532">
        <v>-109.97306868554148</v>
      </c>
      <c r="CZ12" s="532">
        <v>-99.456791936194989</v>
      </c>
      <c r="DA12" s="532">
        <v>-100.4164498568359</v>
      </c>
      <c r="DB12" s="532">
        <v>-101.18353781952305</v>
      </c>
      <c r="DC12" s="532">
        <v>-113.94052748853298</v>
      </c>
      <c r="DD12" s="532">
        <v>-116.72108073824791</v>
      </c>
      <c r="DE12" s="532">
        <v>-108.86645186807765</v>
      </c>
      <c r="DF12" s="532">
        <v>-104.30614151780313</v>
      </c>
      <c r="DG12" s="532">
        <v>-89.386796889645723</v>
      </c>
      <c r="DH12" s="532">
        <v>-97.252473619673097</v>
      </c>
      <c r="DI12" s="532">
        <v>-105.34518475468333</v>
      </c>
      <c r="DJ12" s="532">
        <v>-108.40477601888162</v>
      </c>
      <c r="DK12" s="532">
        <v>-103.31851145854259</v>
      </c>
      <c r="DL12" s="532">
        <v>-92.979384537719525</v>
      </c>
      <c r="DM12" s="532">
        <v>-94.900504729682979</v>
      </c>
      <c r="DN12" s="532">
        <v>-96.342635713256314</v>
      </c>
      <c r="DO12" s="532">
        <v>-107.52479332253495</v>
      </c>
      <c r="DP12" s="532">
        <v>-109.92925356909309</v>
      </c>
      <c r="DQ12" s="532">
        <v>-101.8792424463883</v>
      </c>
      <c r="DR12" s="532">
        <v>-97.063388455095478</v>
      </c>
      <c r="DS12" s="532">
        <v>-87.489165196824842</v>
      </c>
      <c r="DT12" s="532">
        <v>-94.337068965322246</v>
      </c>
      <c r="DU12" s="532">
        <v>-100.15145507389273</v>
      </c>
      <c r="DV12" s="532">
        <v>-102.57601786255906</v>
      </c>
      <c r="DW12" s="532">
        <v>-98.857838893101075</v>
      </c>
      <c r="DX12" s="532">
        <v>-90.669009474692047</v>
      </c>
      <c r="DY12" s="532">
        <v>-89.887236408531962</v>
      </c>
      <c r="DZ12" s="532">
        <v>-91.287251070108553</v>
      </c>
      <c r="EA12" s="532">
        <v>-97.369101053705734</v>
      </c>
      <c r="EB12" s="532">
        <v>-100.38306542057441</v>
      </c>
      <c r="EC12" s="532">
        <v>-95.568812204011067</v>
      </c>
      <c r="ED12" s="532">
        <v>-91.169629066779336</v>
      </c>
      <c r="EE12" s="532">
        <v>-84.591565668779808</v>
      </c>
      <c r="EF12" s="532">
        <v>-92.611752919651636</v>
      </c>
      <c r="EG12" s="532">
        <v>-98.312476412897155</v>
      </c>
      <c r="EH12" s="532">
        <v>-99.397048766260667</v>
      </c>
      <c r="EI12" s="532">
        <v>-95.757128989467162</v>
      </c>
      <c r="EJ12" s="532">
        <v>-88.088546060697141</v>
      </c>
      <c r="EK12" s="532">
        <v>-87.774864015717981</v>
      </c>
      <c r="EL12" s="532">
        <v>-89.760761331367334</v>
      </c>
      <c r="EM12" s="532">
        <v>-95.824276270373531</v>
      </c>
      <c r="EN12" s="532">
        <v>-96.867860044253646</v>
      </c>
      <c r="EO12" s="532">
        <v>-92.809417294212636</v>
      </c>
      <c r="EP12" s="532">
        <v>-89.544081155289206</v>
      </c>
    </row>
    <row r="13" spans="2:146">
      <c r="B13" s="531">
        <v>2009</v>
      </c>
      <c r="C13" s="532">
        <v>-79.917764826432617</v>
      </c>
      <c r="D13" s="532">
        <v>-88.321281945849492</v>
      </c>
      <c r="E13" s="532">
        <v>-93.846463759571535</v>
      </c>
      <c r="F13" s="532">
        <v>-95.004112465676982</v>
      </c>
      <c r="G13" s="532">
        <v>-90.970957141206924</v>
      </c>
      <c r="H13" s="532">
        <v>-83.375364065101195</v>
      </c>
      <c r="I13" s="532">
        <v>-83.647987721145043</v>
      </c>
      <c r="J13" s="532">
        <v>-85.905937778458835</v>
      </c>
      <c r="K13" s="532">
        <v>-92.546661032708769</v>
      </c>
      <c r="L13" s="532">
        <v>-93.126230062047526</v>
      </c>
      <c r="M13" s="532">
        <v>-88.075164974443823</v>
      </c>
      <c r="N13" s="532">
        <v>-84.576283249131563</v>
      </c>
      <c r="O13" s="532">
        <v>-78.350289497472389</v>
      </c>
      <c r="P13" s="532">
        <v>-85.954878959890593</v>
      </c>
      <c r="Q13" s="532">
        <v>-91.233149073540403</v>
      </c>
      <c r="R13" s="532">
        <v>-92.146646520689984</v>
      </c>
      <c r="S13" s="532">
        <v>-88.339444113316091</v>
      </c>
      <c r="T13" s="532">
        <v>-81.000670336437892</v>
      </c>
      <c r="U13" s="532">
        <v>-82.596910443428499</v>
      </c>
      <c r="V13" s="532">
        <v>-84.159536588208965</v>
      </c>
      <c r="W13" s="532">
        <v>-90.373375484457654</v>
      </c>
      <c r="X13" s="532">
        <v>-90.785915338053826</v>
      </c>
      <c r="Y13" s="532">
        <v>-86.412900647980209</v>
      </c>
      <c r="Z13" s="532">
        <v>-83.416028922894824</v>
      </c>
      <c r="AA13" s="532">
        <v>-74.681328217783971</v>
      </c>
      <c r="AB13" s="532">
        <v>-81.374072915680841</v>
      </c>
      <c r="AC13" s="532">
        <v>-87.760586325109415</v>
      </c>
      <c r="AD13" s="532">
        <v>-90.415410783138668</v>
      </c>
      <c r="AE13" s="532">
        <v>-86.850840681916054</v>
      </c>
      <c r="AF13" s="532">
        <v>-79.421534916478933</v>
      </c>
      <c r="AG13" s="532">
        <v>-82.51227840365452</v>
      </c>
      <c r="AH13" s="532">
        <v>-83.536135818450092</v>
      </c>
      <c r="AI13" s="532">
        <v>-89.59241840940166</v>
      </c>
      <c r="AJ13" s="532">
        <v>-90.317891594480713</v>
      </c>
      <c r="AK13" s="532">
        <v>-86.337731036846577</v>
      </c>
      <c r="AL13" s="532">
        <v>-83.126631421539358</v>
      </c>
      <c r="AM13" s="532">
        <v>-81.398659716760619</v>
      </c>
      <c r="AN13" s="532">
        <v>-87.512382598343905</v>
      </c>
      <c r="AO13" s="532">
        <v>-94.451260412720927</v>
      </c>
      <c r="AP13" s="532">
        <v>-97.700259542113059</v>
      </c>
      <c r="AQ13" s="532">
        <v>-93.284070943381892</v>
      </c>
      <c r="AR13" s="532">
        <v>-84.979916269355243</v>
      </c>
      <c r="AS13" s="532">
        <v>-84.84298700551328</v>
      </c>
      <c r="AT13" s="532">
        <v>-86.228725954443377</v>
      </c>
      <c r="AU13" s="532">
        <v>-92.776228216509608</v>
      </c>
      <c r="AV13" s="532">
        <v>-94.231037820681195</v>
      </c>
      <c r="AW13" s="532">
        <v>-88.956961724360283</v>
      </c>
      <c r="AX13" s="532">
        <v>-85.363023382303496</v>
      </c>
      <c r="AY13" s="532">
        <v>-87.03474296518435</v>
      </c>
      <c r="AZ13" s="532">
        <v>-93.657980792770317</v>
      </c>
      <c r="BA13" s="532">
        <v>-102.24597701610537</v>
      </c>
      <c r="BB13" s="532">
        <v>-105.7216896465971</v>
      </c>
      <c r="BC13" s="532">
        <v>-101.20359283584928</v>
      </c>
      <c r="BD13" s="532">
        <v>-91.35081195927296</v>
      </c>
      <c r="BE13" s="532">
        <v>-90.084147999312862</v>
      </c>
      <c r="BF13" s="532">
        <v>-91.598976094695104</v>
      </c>
      <c r="BG13" s="532">
        <v>-100.94404355788231</v>
      </c>
      <c r="BH13" s="532">
        <v>-103.0767457123823</v>
      </c>
      <c r="BI13" s="532">
        <v>-96.950123174559067</v>
      </c>
      <c r="BJ13" s="532">
        <v>-92.247116148606125</v>
      </c>
      <c r="BK13" s="532">
        <v>-90.831104519988088</v>
      </c>
      <c r="BL13" s="532">
        <v>-97.575451627308013</v>
      </c>
      <c r="BM13" s="532">
        <v>-106.31149444225368</v>
      </c>
      <c r="BN13" s="532">
        <v>-108.81220661188367</v>
      </c>
      <c r="BO13" s="532">
        <v>-104.61458836977769</v>
      </c>
      <c r="BP13" s="532">
        <v>-95.091366159982712</v>
      </c>
      <c r="BQ13" s="532">
        <v>-92.361507545141237</v>
      </c>
      <c r="BR13" s="532">
        <v>-93.359037557387879</v>
      </c>
      <c r="BS13" s="532">
        <v>-101.2050082735376</v>
      </c>
      <c r="BT13" s="532">
        <v>-103.77335778237568</v>
      </c>
      <c r="BU13" s="532">
        <v>-99.224994626187396</v>
      </c>
      <c r="BV13" s="532">
        <v>-94.223785296528177</v>
      </c>
      <c r="BW13" s="532">
        <v>-93.45137529591824</v>
      </c>
      <c r="BX13" s="532">
        <v>-99.79359598235385</v>
      </c>
      <c r="BY13" s="532">
        <v>-108.63813875293872</v>
      </c>
      <c r="BZ13" s="532">
        <v>-110.55980552017519</v>
      </c>
      <c r="CA13" s="532">
        <v>-106.99878418722868</v>
      </c>
      <c r="CB13" s="532">
        <v>-97.530291669510461</v>
      </c>
      <c r="CC13" s="532">
        <v>-89.272088747281344</v>
      </c>
      <c r="CD13" s="532">
        <v>-90.633466575671378</v>
      </c>
      <c r="CE13" s="532">
        <v>-98.668069228239119</v>
      </c>
      <c r="CF13" s="532">
        <v>-101.67549616151685</v>
      </c>
      <c r="CG13" s="532">
        <v>-97.336427105481434</v>
      </c>
      <c r="CH13" s="532">
        <v>-92.248238691046879</v>
      </c>
      <c r="CI13" s="532">
        <v>-95.24999604784459</v>
      </c>
      <c r="CJ13" s="532">
        <v>-101.40241665296169</v>
      </c>
      <c r="CK13" s="532">
        <v>-111.00421330012715</v>
      </c>
      <c r="CL13" s="532">
        <v>-113.91690308841594</v>
      </c>
      <c r="CM13" s="532">
        <v>-109.54145631699842</v>
      </c>
      <c r="CN13" s="532">
        <v>-99.481121305783091</v>
      </c>
      <c r="CO13" s="532">
        <v>-93.21724670267885</v>
      </c>
      <c r="CP13" s="532">
        <v>-94.797446582691023</v>
      </c>
      <c r="CQ13" s="532">
        <v>-104.19591248249233</v>
      </c>
      <c r="CR13" s="532">
        <v>-107.74049799725967</v>
      </c>
      <c r="CS13" s="532">
        <v>-102.88197854754601</v>
      </c>
      <c r="CT13" s="532">
        <v>-97.242084321969912</v>
      </c>
      <c r="CU13" s="532">
        <v>-95.63320813855529</v>
      </c>
      <c r="CV13" s="532">
        <v>-101.9294241264206</v>
      </c>
      <c r="CW13" s="532">
        <v>-110.64341950908229</v>
      </c>
      <c r="CX13" s="532">
        <v>-113.77322754213525</v>
      </c>
      <c r="CY13" s="532">
        <v>-109.0091596560471</v>
      </c>
      <c r="CZ13" s="532">
        <v>-98.705725037940695</v>
      </c>
      <c r="DA13" s="532">
        <v>-99.490195155270627</v>
      </c>
      <c r="DB13" s="532">
        <v>-100.23276438659639</v>
      </c>
      <c r="DC13" s="532">
        <v>-112.62742288954195</v>
      </c>
      <c r="DD13" s="532">
        <v>-115.48972430086586</v>
      </c>
      <c r="DE13" s="532">
        <v>-107.8598691339337</v>
      </c>
      <c r="DF13" s="532">
        <v>-103.30150691510688</v>
      </c>
      <c r="DG13" s="532">
        <v>-88.938098314144355</v>
      </c>
      <c r="DH13" s="532">
        <v>-96.680679561466775</v>
      </c>
      <c r="DI13" s="532">
        <v>-104.75336384964943</v>
      </c>
      <c r="DJ13" s="532">
        <v>-107.79479349110917</v>
      </c>
      <c r="DK13" s="532">
        <v>-102.70423865053161</v>
      </c>
      <c r="DL13" s="532">
        <v>-92.447229045322032</v>
      </c>
      <c r="DM13" s="532">
        <v>-93.190930489493837</v>
      </c>
      <c r="DN13" s="532">
        <v>-94.536232887474938</v>
      </c>
      <c r="DO13" s="532">
        <v>-104.92893471556744</v>
      </c>
      <c r="DP13" s="532">
        <v>-107.71081087649931</v>
      </c>
      <c r="DQ13" s="532">
        <v>-100.19415675926399</v>
      </c>
      <c r="DR13" s="532">
        <v>-95.276828485880316</v>
      </c>
      <c r="DS13" s="532">
        <v>-85.309849698650083</v>
      </c>
      <c r="DT13" s="532">
        <v>-90.959112080953048</v>
      </c>
      <c r="DU13" s="532">
        <v>-96.710600861106457</v>
      </c>
      <c r="DV13" s="532">
        <v>-99.082882439873401</v>
      </c>
      <c r="DW13" s="532">
        <v>-95.372528783049077</v>
      </c>
      <c r="DX13" s="532">
        <v>-87.594325722945854</v>
      </c>
      <c r="DY13" s="532">
        <v>-88.491551931001396</v>
      </c>
      <c r="DZ13" s="532">
        <v>-89.597526267110354</v>
      </c>
      <c r="EA13" s="532">
        <v>-95.684752205389941</v>
      </c>
      <c r="EB13" s="532">
        <v>-98.557200174192261</v>
      </c>
      <c r="EC13" s="532">
        <v>-93.727310316033055</v>
      </c>
      <c r="ED13" s="532">
        <v>-89.545714482993688</v>
      </c>
      <c r="EE13" s="532">
        <v>-83.218029229397786</v>
      </c>
      <c r="EF13" s="532">
        <v>-89.111949606447823</v>
      </c>
      <c r="EG13" s="532">
        <v>-94.714982168648206</v>
      </c>
      <c r="EH13" s="532">
        <v>-95.713947747348342</v>
      </c>
      <c r="EI13" s="532">
        <v>-92.067299198155112</v>
      </c>
      <c r="EJ13" s="532">
        <v>-85.042079735296696</v>
      </c>
      <c r="EK13" s="532">
        <v>-86.589459915764294</v>
      </c>
      <c r="EL13" s="532">
        <v>-87.935576752801282</v>
      </c>
      <c r="EM13" s="532">
        <v>-93.839072998052998</v>
      </c>
      <c r="EN13" s="532">
        <v>-94.864387890776641</v>
      </c>
      <c r="EO13" s="532">
        <v>-90.840294198012941</v>
      </c>
      <c r="EP13" s="532">
        <v>-87.910386602430265</v>
      </c>
    </row>
    <row r="14" spans="2:146">
      <c r="B14" s="531">
        <v>2010</v>
      </c>
      <c r="C14" s="532">
        <v>-76.537858407501886</v>
      </c>
      <c r="D14" s="532">
        <v>-83.525577899789937</v>
      </c>
      <c r="E14" s="532">
        <v>-86.724938604846926</v>
      </c>
      <c r="F14" s="532">
        <v>-86.380570221162486</v>
      </c>
      <c r="G14" s="532">
        <v>-82.299824484439725</v>
      </c>
      <c r="H14" s="532">
        <v>-77.912208061316207</v>
      </c>
      <c r="I14" s="532">
        <v>-79.521388369219835</v>
      </c>
      <c r="J14" s="532">
        <v>-81.262064461276594</v>
      </c>
      <c r="K14" s="532">
        <v>-86.135950872211623</v>
      </c>
      <c r="L14" s="532">
        <v>-84.606164061277823</v>
      </c>
      <c r="M14" s="532">
        <v>-81.674059187345193</v>
      </c>
      <c r="N14" s="532">
        <v>-80.09414376251658</v>
      </c>
      <c r="O14" s="532">
        <v>-71.968755894101349</v>
      </c>
      <c r="P14" s="532">
        <v>-76.023189891213406</v>
      </c>
      <c r="Q14" s="532">
        <v>-78.902917248453917</v>
      </c>
      <c r="R14" s="532">
        <v>-78.348955092298979</v>
      </c>
      <c r="S14" s="532">
        <v>-75.407841184297936</v>
      </c>
      <c r="T14" s="532">
        <v>-72.551205705972706</v>
      </c>
      <c r="U14" s="532">
        <v>-70.749885716149066</v>
      </c>
      <c r="V14" s="532">
        <v>-71.967867253135324</v>
      </c>
      <c r="W14" s="532">
        <v>-74.888874860142764</v>
      </c>
      <c r="X14" s="532">
        <v>-74.416328838536387</v>
      </c>
      <c r="Y14" s="532">
        <v>-72.845671913849174</v>
      </c>
      <c r="Z14" s="532">
        <v>-71.345211232376982</v>
      </c>
      <c r="AA14" s="532">
        <v>-68.618679169987729</v>
      </c>
      <c r="AB14" s="532">
        <v>-71.181194311841622</v>
      </c>
      <c r="AC14" s="532">
        <v>-75.037412718069604</v>
      </c>
      <c r="AD14" s="532">
        <v>-76.036111095970412</v>
      </c>
      <c r="AE14" s="532">
        <v>-73.49524307035945</v>
      </c>
      <c r="AF14" s="532">
        <v>-70.947539702100201</v>
      </c>
      <c r="AG14" s="532">
        <v>-70.460856103821115</v>
      </c>
      <c r="AH14" s="532">
        <v>-71.36076154601281</v>
      </c>
      <c r="AI14" s="532">
        <v>-74.004803671104781</v>
      </c>
      <c r="AJ14" s="532">
        <v>-73.940549981898627</v>
      </c>
      <c r="AK14" s="532">
        <v>-72.450147426966026</v>
      </c>
      <c r="AL14" s="532">
        <v>-70.749623810047311</v>
      </c>
      <c r="AM14" s="532">
        <v>-76.18777527469139</v>
      </c>
      <c r="AN14" s="532">
        <v>-79.32307345825852</v>
      </c>
      <c r="AO14" s="532">
        <v>-83.49972761330649</v>
      </c>
      <c r="AP14" s="532">
        <v>-84.565585455349165</v>
      </c>
      <c r="AQ14" s="532">
        <v>-81.509769810355749</v>
      </c>
      <c r="AR14" s="532">
        <v>-77.811140384743695</v>
      </c>
      <c r="AS14" s="532">
        <v>-74.334446284832765</v>
      </c>
      <c r="AT14" s="532">
        <v>-75.461975746875183</v>
      </c>
      <c r="AU14" s="532">
        <v>-78.461249575261476</v>
      </c>
      <c r="AV14" s="532">
        <v>-78.532860189334215</v>
      </c>
      <c r="AW14" s="532">
        <v>-77.01376553966719</v>
      </c>
      <c r="AX14" s="532">
        <v>-74.730703007096736</v>
      </c>
      <c r="AY14" s="532">
        <v>-82.41288408229255</v>
      </c>
      <c r="AZ14" s="532">
        <v>-86.250295649306196</v>
      </c>
      <c r="BA14" s="532">
        <v>-91.571116992077506</v>
      </c>
      <c r="BB14" s="532">
        <v>-92.749097807518865</v>
      </c>
      <c r="BC14" s="532">
        <v>-89.3433262683523</v>
      </c>
      <c r="BD14" s="532">
        <v>-84.617482285251242</v>
      </c>
      <c r="BE14" s="532">
        <v>-82.979017882562317</v>
      </c>
      <c r="BF14" s="532">
        <v>-84.315609566697532</v>
      </c>
      <c r="BG14" s="532">
        <v>-89.276116968917052</v>
      </c>
      <c r="BH14" s="532">
        <v>-89.818834503515291</v>
      </c>
      <c r="BI14" s="532">
        <v>-87.505608149400942</v>
      </c>
      <c r="BJ14" s="532">
        <v>-84.712514085990932</v>
      </c>
      <c r="BK14" s="532">
        <v>-86.63016015777761</v>
      </c>
      <c r="BL14" s="532">
        <v>-92.275288707417872</v>
      </c>
      <c r="BM14" s="532">
        <v>-98.547577014705851</v>
      </c>
      <c r="BN14" s="532">
        <v>-99.14689912977461</v>
      </c>
      <c r="BO14" s="532">
        <v>-95.234933275246433</v>
      </c>
      <c r="BP14" s="532">
        <v>-89.124430796594737</v>
      </c>
      <c r="BQ14" s="532">
        <v>-87.566407811015054</v>
      </c>
      <c r="BR14" s="532">
        <v>-88.32558944939926</v>
      </c>
      <c r="BS14" s="532">
        <v>-93.475766202626403</v>
      </c>
      <c r="BT14" s="532">
        <v>-93.841994953380876</v>
      </c>
      <c r="BU14" s="532">
        <v>-91.287203493223743</v>
      </c>
      <c r="BV14" s="532">
        <v>-88.661573420245361</v>
      </c>
      <c r="BW14" s="532">
        <v>-88.5700899958035</v>
      </c>
      <c r="BX14" s="532">
        <v>-93.968170833606123</v>
      </c>
      <c r="BY14" s="532">
        <v>-100.61562097989446</v>
      </c>
      <c r="BZ14" s="532">
        <v>-100.90012460787401</v>
      </c>
      <c r="CA14" s="532">
        <v>-97.38274161150818</v>
      </c>
      <c r="CB14" s="532">
        <v>-90.796024739081844</v>
      </c>
      <c r="CC14" s="532">
        <v>-85.034944588141826</v>
      </c>
      <c r="CD14" s="532">
        <v>-86.063396299120427</v>
      </c>
      <c r="CE14" s="532">
        <v>-92.16771359776294</v>
      </c>
      <c r="CF14" s="532">
        <v>-92.909655336095824</v>
      </c>
      <c r="CG14" s="532">
        <v>-90.247543835834762</v>
      </c>
      <c r="CH14" s="532">
        <v>-87.621133219382955</v>
      </c>
      <c r="CI14" s="532">
        <v>-90.652919465338655</v>
      </c>
      <c r="CJ14" s="532">
        <v>-95.778538593721493</v>
      </c>
      <c r="CK14" s="532">
        <v>-102.88263586656653</v>
      </c>
      <c r="CL14" s="532">
        <v>-104.00284832074061</v>
      </c>
      <c r="CM14" s="532">
        <v>-99.851614245758938</v>
      </c>
      <c r="CN14" s="532">
        <v>-92.923944617023935</v>
      </c>
      <c r="CO14" s="532">
        <v>-89.045783083920639</v>
      </c>
      <c r="CP14" s="532">
        <v>-90.411350759482829</v>
      </c>
      <c r="CQ14" s="532">
        <v>-97.924728631346369</v>
      </c>
      <c r="CR14" s="532">
        <v>-99.050952086827408</v>
      </c>
      <c r="CS14" s="532">
        <v>-95.934931129731609</v>
      </c>
      <c r="CT14" s="532">
        <v>-92.497249931536075</v>
      </c>
      <c r="CU14" s="532">
        <v>-90.310235946163985</v>
      </c>
      <c r="CV14" s="532">
        <v>-93.46521758290622</v>
      </c>
      <c r="CW14" s="532">
        <v>-98.923560592156633</v>
      </c>
      <c r="CX14" s="532">
        <v>-99.588840281583799</v>
      </c>
      <c r="CY14" s="532">
        <v>-96.012549784366158</v>
      </c>
      <c r="CZ14" s="532">
        <v>-91.247002353717832</v>
      </c>
      <c r="DA14" s="532">
        <v>-90.352208636496655</v>
      </c>
      <c r="DB14" s="532">
        <v>-91.019143345349178</v>
      </c>
      <c r="DC14" s="532">
        <v>-97.384230519185081</v>
      </c>
      <c r="DD14" s="532">
        <v>-99.335744080011807</v>
      </c>
      <c r="DE14" s="532">
        <v>-96.914450661139711</v>
      </c>
      <c r="DF14" s="532">
        <v>-93.965911255484258</v>
      </c>
      <c r="DG14" s="532">
        <v>0</v>
      </c>
      <c r="DH14" s="532">
        <v>0</v>
      </c>
      <c r="DI14" s="532">
        <v>0</v>
      </c>
      <c r="DJ14" s="532">
        <v>0</v>
      </c>
      <c r="DK14" s="532">
        <v>0</v>
      </c>
      <c r="DL14" s="532">
        <v>0</v>
      </c>
      <c r="DM14" s="532">
        <v>0</v>
      </c>
      <c r="DN14" s="532">
        <v>0</v>
      </c>
      <c r="DO14" s="532">
        <v>0</v>
      </c>
      <c r="DP14" s="532">
        <v>0</v>
      </c>
      <c r="DQ14" s="532">
        <v>0</v>
      </c>
      <c r="DR14" s="532">
        <v>0</v>
      </c>
      <c r="DS14" s="532">
        <v>0</v>
      </c>
      <c r="DT14" s="532">
        <v>0</v>
      </c>
      <c r="DU14" s="532">
        <v>0</v>
      </c>
      <c r="DV14" s="532">
        <v>0</v>
      </c>
      <c r="DW14" s="532">
        <v>0</v>
      </c>
      <c r="DX14" s="532">
        <v>0</v>
      </c>
      <c r="DY14" s="532">
        <v>0</v>
      </c>
      <c r="DZ14" s="532">
        <v>0</v>
      </c>
      <c r="EA14" s="532">
        <v>0</v>
      </c>
      <c r="EB14" s="532">
        <v>0</v>
      </c>
      <c r="EC14" s="532">
        <v>0</v>
      </c>
      <c r="ED14" s="532">
        <v>0</v>
      </c>
      <c r="EE14" s="532">
        <v>0</v>
      </c>
      <c r="EF14" s="532">
        <v>0</v>
      </c>
      <c r="EG14" s="532">
        <v>0</v>
      </c>
      <c r="EH14" s="532">
        <v>0</v>
      </c>
      <c r="EI14" s="532">
        <v>0</v>
      </c>
      <c r="EJ14" s="532">
        <v>0</v>
      </c>
      <c r="EK14" s="532">
        <v>0</v>
      </c>
      <c r="EL14" s="532">
        <v>0</v>
      </c>
      <c r="EM14" s="532">
        <v>0</v>
      </c>
      <c r="EN14" s="532">
        <v>0</v>
      </c>
      <c r="EO14" s="532">
        <v>0</v>
      </c>
      <c r="EP14" s="532">
        <v>0</v>
      </c>
    </row>
    <row r="15" spans="2:146">
      <c r="B15" s="531"/>
      <c r="C15" s="532"/>
      <c r="D15" s="532"/>
      <c r="E15" s="532"/>
      <c r="F15" s="532"/>
      <c r="G15" s="532"/>
      <c r="H15" s="532"/>
      <c r="I15" s="532"/>
      <c r="J15" s="532"/>
      <c r="K15" s="532"/>
      <c r="L15" s="532"/>
      <c r="M15" s="532"/>
      <c r="N15" s="532"/>
      <c r="O15" s="532"/>
      <c r="P15" s="532"/>
      <c r="Q15" s="532"/>
      <c r="R15" s="532"/>
      <c r="S15" s="532"/>
      <c r="T15" s="532"/>
      <c r="U15" s="532"/>
      <c r="V15" s="532"/>
      <c r="W15" s="532"/>
      <c r="X15" s="532"/>
      <c r="Y15" s="532"/>
      <c r="Z15" s="532"/>
      <c r="AA15" s="532"/>
      <c r="AB15" s="532"/>
      <c r="AC15" s="532"/>
      <c r="AD15" s="532"/>
      <c r="AE15" s="532"/>
      <c r="AF15" s="532"/>
      <c r="AG15" s="532"/>
      <c r="AH15" s="532"/>
      <c r="AI15" s="532"/>
      <c r="AJ15" s="532"/>
      <c r="AK15" s="532"/>
      <c r="AL15" s="532"/>
      <c r="AM15" s="532"/>
      <c r="AN15" s="532"/>
      <c r="AO15" s="532"/>
      <c r="AP15" s="532"/>
      <c r="AQ15" s="532"/>
      <c r="AR15" s="532"/>
      <c r="AS15" s="532"/>
      <c r="AT15" s="532"/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32"/>
      <c r="BK15" s="532"/>
      <c r="BL15" s="532"/>
      <c r="BM15" s="532"/>
      <c r="BN15" s="532"/>
      <c r="BO15" s="532"/>
      <c r="BP15" s="532"/>
      <c r="BQ15" s="532"/>
      <c r="BR15" s="532"/>
      <c r="BS15" s="532"/>
      <c r="BT15" s="532"/>
      <c r="BU15" s="532"/>
      <c r="BV15" s="532"/>
      <c r="BW15" s="532"/>
      <c r="BX15" s="532"/>
      <c r="BY15" s="532"/>
      <c r="BZ15" s="532"/>
      <c r="CA15" s="532"/>
      <c r="CB15" s="532"/>
      <c r="CC15" s="532"/>
      <c r="CD15" s="532"/>
      <c r="CE15" s="532"/>
      <c r="CF15" s="532"/>
      <c r="CG15" s="532"/>
      <c r="CH15" s="532"/>
      <c r="CI15" s="532"/>
      <c r="CJ15" s="532"/>
      <c r="CK15" s="532"/>
      <c r="CL15" s="532"/>
      <c r="CM15" s="532"/>
      <c r="CN15" s="532"/>
      <c r="CO15" s="532"/>
      <c r="CP15" s="532"/>
      <c r="CQ15" s="532"/>
      <c r="CR15" s="532"/>
      <c r="CS15" s="532"/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/>
      <c r="DR15" s="532"/>
      <c r="DS15" s="532"/>
      <c r="DT15" s="532"/>
      <c r="DU15" s="532"/>
      <c r="DV15" s="532"/>
      <c r="DW15" s="532"/>
      <c r="DX15" s="532"/>
      <c r="DY15" s="532"/>
      <c r="DZ15" s="532"/>
      <c r="EA15" s="532"/>
      <c r="EB15" s="532"/>
      <c r="EC15" s="532"/>
      <c r="ED15" s="532"/>
      <c r="EE15" s="532"/>
      <c r="EF15" s="532"/>
      <c r="EG15" s="532"/>
      <c r="EH15" s="532"/>
      <c r="EI15" s="532"/>
      <c r="EJ15" s="532"/>
      <c r="EK15" s="532"/>
      <c r="EL15" s="532"/>
      <c r="EM15" s="532"/>
      <c r="EN15" s="532"/>
      <c r="EO15" s="532"/>
      <c r="EP15" s="532"/>
    </row>
    <row r="16" spans="2:146">
      <c r="B16" s="531"/>
      <c r="C16" t="s">
        <v>433</v>
      </c>
      <c r="O16" t="s">
        <v>434</v>
      </c>
      <c r="AA16" t="s">
        <v>435</v>
      </c>
      <c r="AM16" t="s">
        <v>436</v>
      </c>
      <c r="AY16" t="s">
        <v>437</v>
      </c>
      <c r="BK16" t="s">
        <v>438</v>
      </c>
      <c r="BW16" t="s">
        <v>439</v>
      </c>
      <c r="CI16" t="s">
        <v>440</v>
      </c>
      <c r="CU16" t="s">
        <v>441</v>
      </c>
      <c r="DG16" t="s">
        <v>442</v>
      </c>
      <c r="DS16" t="s">
        <v>443</v>
      </c>
      <c r="EE16" t="s">
        <v>444</v>
      </c>
    </row>
    <row r="17" spans="2:146">
      <c r="B17" s="529" t="s">
        <v>23</v>
      </c>
      <c r="C17" s="530" t="s">
        <v>445</v>
      </c>
      <c r="D17" s="530" t="s">
        <v>446</v>
      </c>
      <c r="E17" s="530" t="s">
        <v>447</v>
      </c>
      <c r="F17" s="530" t="s">
        <v>448</v>
      </c>
      <c r="G17" s="530" t="s">
        <v>449</v>
      </c>
      <c r="H17" s="530" t="s">
        <v>450</v>
      </c>
      <c r="I17" s="530" t="s">
        <v>451</v>
      </c>
      <c r="J17" s="530" t="s">
        <v>452</v>
      </c>
      <c r="K17" s="530" t="s">
        <v>453</v>
      </c>
      <c r="L17" s="530" t="s">
        <v>454</v>
      </c>
      <c r="M17" s="530" t="s">
        <v>455</v>
      </c>
      <c r="N17" s="530" t="s">
        <v>456</v>
      </c>
      <c r="O17" s="530" t="s">
        <v>445</v>
      </c>
      <c r="P17" s="530" t="s">
        <v>446</v>
      </c>
      <c r="Q17" s="530" t="s">
        <v>447</v>
      </c>
      <c r="R17" s="530" t="s">
        <v>448</v>
      </c>
      <c r="S17" s="530" t="s">
        <v>449</v>
      </c>
      <c r="T17" s="530" t="s">
        <v>450</v>
      </c>
      <c r="U17" s="530" t="s">
        <v>451</v>
      </c>
      <c r="V17" s="530" t="s">
        <v>452</v>
      </c>
      <c r="W17" s="530" t="s">
        <v>453</v>
      </c>
      <c r="X17" s="530" t="s">
        <v>454</v>
      </c>
      <c r="Y17" s="530" t="s">
        <v>455</v>
      </c>
      <c r="Z17" s="530" t="s">
        <v>456</v>
      </c>
      <c r="AA17" s="530" t="s">
        <v>445</v>
      </c>
      <c r="AB17" s="530" t="s">
        <v>446</v>
      </c>
      <c r="AC17" s="530" t="s">
        <v>447</v>
      </c>
      <c r="AD17" s="530" t="s">
        <v>448</v>
      </c>
      <c r="AE17" s="530" t="s">
        <v>449</v>
      </c>
      <c r="AF17" s="530" t="s">
        <v>450</v>
      </c>
      <c r="AG17" s="530" t="s">
        <v>451</v>
      </c>
      <c r="AH17" s="530" t="s">
        <v>452</v>
      </c>
      <c r="AI17" s="530" t="s">
        <v>453</v>
      </c>
      <c r="AJ17" s="530" t="s">
        <v>454</v>
      </c>
      <c r="AK17" s="530" t="s">
        <v>455</v>
      </c>
      <c r="AL17" s="530" t="s">
        <v>456</v>
      </c>
      <c r="AM17" s="530" t="s">
        <v>445</v>
      </c>
      <c r="AN17" s="530" t="s">
        <v>446</v>
      </c>
      <c r="AO17" s="530" t="s">
        <v>447</v>
      </c>
      <c r="AP17" s="530" t="s">
        <v>448</v>
      </c>
      <c r="AQ17" s="530" t="s">
        <v>449</v>
      </c>
      <c r="AR17" s="530" t="s">
        <v>450</v>
      </c>
      <c r="AS17" s="530" t="s">
        <v>451</v>
      </c>
      <c r="AT17" s="530" t="s">
        <v>452</v>
      </c>
      <c r="AU17" s="530" t="s">
        <v>453</v>
      </c>
      <c r="AV17" s="530" t="s">
        <v>454</v>
      </c>
      <c r="AW17" s="530" t="s">
        <v>455</v>
      </c>
      <c r="AX17" s="530" t="s">
        <v>456</v>
      </c>
      <c r="AY17" s="530" t="s">
        <v>445</v>
      </c>
      <c r="AZ17" s="530" t="s">
        <v>446</v>
      </c>
      <c r="BA17" s="530" t="s">
        <v>447</v>
      </c>
      <c r="BB17" s="530" t="s">
        <v>448</v>
      </c>
      <c r="BC17" s="530" t="s">
        <v>449</v>
      </c>
      <c r="BD17" s="530" t="s">
        <v>450</v>
      </c>
      <c r="BE17" s="530" t="s">
        <v>451</v>
      </c>
      <c r="BF17" s="530" t="s">
        <v>452</v>
      </c>
      <c r="BG17" s="530" t="s">
        <v>453</v>
      </c>
      <c r="BH17" s="530" t="s">
        <v>454</v>
      </c>
      <c r="BI17" s="530" t="s">
        <v>455</v>
      </c>
      <c r="BJ17" s="530" t="s">
        <v>456</v>
      </c>
      <c r="BK17" s="530" t="s">
        <v>445</v>
      </c>
      <c r="BL17" s="530" t="s">
        <v>446</v>
      </c>
      <c r="BM17" s="530" t="s">
        <v>447</v>
      </c>
      <c r="BN17" s="530" t="s">
        <v>448</v>
      </c>
      <c r="BO17" s="530" t="s">
        <v>449</v>
      </c>
      <c r="BP17" s="530" t="s">
        <v>450</v>
      </c>
      <c r="BQ17" s="530" t="s">
        <v>451</v>
      </c>
      <c r="BR17" s="530" t="s">
        <v>452</v>
      </c>
      <c r="BS17" s="530" t="s">
        <v>453</v>
      </c>
      <c r="BT17" s="530" t="s">
        <v>454</v>
      </c>
      <c r="BU17" s="530" t="s">
        <v>455</v>
      </c>
      <c r="BV17" s="530" t="s">
        <v>456</v>
      </c>
      <c r="BW17" s="530" t="s">
        <v>445</v>
      </c>
      <c r="BX17" s="530" t="s">
        <v>446</v>
      </c>
      <c r="BY17" s="530" t="s">
        <v>447</v>
      </c>
      <c r="BZ17" s="530" t="s">
        <v>448</v>
      </c>
      <c r="CA17" s="530" t="s">
        <v>449</v>
      </c>
      <c r="CB17" s="530" t="s">
        <v>450</v>
      </c>
      <c r="CC17" s="530" t="s">
        <v>451</v>
      </c>
      <c r="CD17" s="530" t="s">
        <v>452</v>
      </c>
      <c r="CE17" s="530" t="s">
        <v>453</v>
      </c>
      <c r="CF17" s="530" t="s">
        <v>454</v>
      </c>
      <c r="CG17" s="530" t="s">
        <v>455</v>
      </c>
      <c r="CH17" s="530" t="s">
        <v>456</v>
      </c>
      <c r="CI17" s="530" t="s">
        <v>445</v>
      </c>
      <c r="CJ17" s="530" t="s">
        <v>446</v>
      </c>
      <c r="CK17" s="530" t="s">
        <v>447</v>
      </c>
      <c r="CL17" s="530" t="s">
        <v>448</v>
      </c>
      <c r="CM17" s="530" t="s">
        <v>449</v>
      </c>
      <c r="CN17" s="530" t="s">
        <v>450</v>
      </c>
      <c r="CO17" s="530" t="s">
        <v>451</v>
      </c>
      <c r="CP17" s="530" t="s">
        <v>452</v>
      </c>
      <c r="CQ17" s="530" t="s">
        <v>453</v>
      </c>
      <c r="CR17" s="530" t="s">
        <v>454</v>
      </c>
      <c r="CS17" s="530" t="s">
        <v>455</v>
      </c>
      <c r="CT17" s="530" t="s">
        <v>456</v>
      </c>
      <c r="CU17" s="530" t="s">
        <v>445</v>
      </c>
      <c r="CV17" s="530" t="s">
        <v>446</v>
      </c>
      <c r="CW17" s="530" t="s">
        <v>447</v>
      </c>
      <c r="CX17" s="530" t="s">
        <v>448</v>
      </c>
      <c r="CY17" s="530" t="s">
        <v>449</v>
      </c>
      <c r="CZ17" s="530" t="s">
        <v>450</v>
      </c>
      <c r="DA17" s="530" t="s">
        <v>451</v>
      </c>
      <c r="DB17" s="530" t="s">
        <v>452</v>
      </c>
      <c r="DC17" s="530" t="s">
        <v>453</v>
      </c>
      <c r="DD17" s="530" t="s">
        <v>454</v>
      </c>
      <c r="DE17" s="530" t="s">
        <v>455</v>
      </c>
      <c r="DF17" s="530" t="s">
        <v>456</v>
      </c>
      <c r="DG17" s="530" t="s">
        <v>445</v>
      </c>
      <c r="DH17" s="530" t="s">
        <v>446</v>
      </c>
      <c r="DI17" s="530" t="s">
        <v>447</v>
      </c>
      <c r="DJ17" s="530" t="s">
        <v>448</v>
      </c>
      <c r="DK17" s="530" t="s">
        <v>449</v>
      </c>
      <c r="DL17" s="530" t="s">
        <v>450</v>
      </c>
      <c r="DM17" s="530" t="s">
        <v>451</v>
      </c>
      <c r="DN17" s="530" t="s">
        <v>452</v>
      </c>
      <c r="DO17" s="530" t="s">
        <v>453</v>
      </c>
      <c r="DP17" s="530" t="s">
        <v>454</v>
      </c>
      <c r="DQ17" s="530" t="s">
        <v>455</v>
      </c>
      <c r="DR17" s="530" t="s">
        <v>456</v>
      </c>
      <c r="DS17" s="530" t="s">
        <v>445</v>
      </c>
      <c r="DT17" s="530" t="s">
        <v>446</v>
      </c>
      <c r="DU17" s="530" t="s">
        <v>447</v>
      </c>
      <c r="DV17" s="530" t="s">
        <v>448</v>
      </c>
      <c r="DW17" s="530" t="s">
        <v>449</v>
      </c>
      <c r="DX17" s="530" t="s">
        <v>450</v>
      </c>
      <c r="DY17" s="530" t="s">
        <v>451</v>
      </c>
      <c r="DZ17" s="530" t="s">
        <v>452</v>
      </c>
      <c r="EA17" s="530" t="s">
        <v>453</v>
      </c>
      <c r="EB17" s="530" t="s">
        <v>454</v>
      </c>
      <c r="EC17" s="530" t="s">
        <v>455</v>
      </c>
      <c r="ED17" s="530" t="s">
        <v>456</v>
      </c>
      <c r="EE17" s="530" t="s">
        <v>445</v>
      </c>
      <c r="EF17" s="530" t="s">
        <v>446</v>
      </c>
      <c r="EG17" s="530" t="s">
        <v>447</v>
      </c>
      <c r="EH17" s="530" t="s">
        <v>448</v>
      </c>
      <c r="EI17" s="530" t="s">
        <v>449</v>
      </c>
      <c r="EJ17" s="530" t="s">
        <v>450</v>
      </c>
      <c r="EK17" s="530" t="s">
        <v>451</v>
      </c>
      <c r="EL17" s="530" t="s">
        <v>452</v>
      </c>
      <c r="EM17" s="530" t="s">
        <v>453</v>
      </c>
      <c r="EN17" s="530" t="s">
        <v>454</v>
      </c>
      <c r="EO17" s="530" t="s">
        <v>455</v>
      </c>
      <c r="EP17" s="530" t="s">
        <v>456</v>
      </c>
    </row>
    <row r="18" spans="2:146">
      <c r="B18" s="531">
        <v>2000</v>
      </c>
      <c r="C18" s="533">
        <f t="shared" ref="C18:C28" si="0">C4*-1</f>
        <v>0</v>
      </c>
      <c r="D18" s="533">
        <f t="shared" ref="D18:BO18" si="1">D4*-1</f>
        <v>0</v>
      </c>
      <c r="E18" s="533">
        <f t="shared" si="1"/>
        <v>0</v>
      </c>
      <c r="F18" s="533">
        <f t="shared" si="1"/>
        <v>0</v>
      </c>
      <c r="G18" s="533">
        <f t="shared" si="1"/>
        <v>0</v>
      </c>
      <c r="H18" s="533">
        <f t="shared" si="1"/>
        <v>0</v>
      </c>
      <c r="I18" s="533">
        <f t="shared" si="1"/>
        <v>0</v>
      </c>
      <c r="J18" s="533">
        <f t="shared" si="1"/>
        <v>0</v>
      </c>
      <c r="K18" s="533">
        <f t="shared" si="1"/>
        <v>0</v>
      </c>
      <c r="L18" s="533">
        <f t="shared" si="1"/>
        <v>0</v>
      </c>
      <c r="M18" s="533">
        <f t="shared" si="1"/>
        <v>0</v>
      </c>
      <c r="N18" s="533">
        <f t="shared" si="1"/>
        <v>0</v>
      </c>
      <c r="O18" s="533">
        <f t="shared" si="1"/>
        <v>0</v>
      </c>
      <c r="P18" s="533">
        <f t="shared" si="1"/>
        <v>0</v>
      </c>
      <c r="Q18" s="533">
        <f t="shared" si="1"/>
        <v>0</v>
      </c>
      <c r="R18" s="533">
        <f t="shared" si="1"/>
        <v>0</v>
      </c>
      <c r="S18" s="533">
        <f t="shared" si="1"/>
        <v>0</v>
      </c>
      <c r="T18" s="533">
        <f t="shared" si="1"/>
        <v>0</v>
      </c>
      <c r="U18" s="533">
        <f t="shared" si="1"/>
        <v>0</v>
      </c>
      <c r="V18" s="533">
        <f t="shared" si="1"/>
        <v>0</v>
      </c>
      <c r="W18" s="533">
        <f t="shared" si="1"/>
        <v>0</v>
      </c>
      <c r="X18" s="533">
        <f t="shared" si="1"/>
        <v>0</v>
      </c>
      <c r="Y18" s="533">
        <f t="shared" si="1"/>
        <v>0</v>
      </c>
      <c r="Z18" s="533">
        <f t="shared" si="1"/>
        <v>0</v>
      </c>
      <c r="AA18" s="533">
        <f t="shared" si="1"/>
        <v>5.6837184239409728</v>
      </c>
      <c r="AB18" s="533">
        <f t="shared" si="1"/>
        <v>11.569054320609197</v>
      </c>
      <c r="AC18" s="533">
        <f t="shared" si="1"/>
        <v>11.892481160836867</v>
      </c>
      <c r="AD18" s="533">
        <f t="shared" si="1"/>
        <v>11.701224190750128</v>
      </c>
      <c r="AE18" s="533">
        <f t="shared" si="1"/>
        <v>9.4517091641553606</v>
      </c>
      <c r="AF18" s="533">
        <f t="shared" si="1"/>
        <v>6.4163112477082977</v>
      </c>
      <c r="AG18" s="533">
        <f t="shared" si="1"/>
        <v>21.865920815096956</v>
      </c>
      <c r="AH18" s="533">
        <f t="shared" si="1"/>
        <v>21.327865209749199</v>
      </c>
      <c r="AI18" s="533">
        <f t="shared" si="1"/>
        <v>25.652883515687897</v>
      </c>
      <c r="AJ18" s="533">
        <f t="shared" si="1"/>
        <v>21.733839788082804</v>
      </c>
      <c r="AK18" s="533">
        <f t="shared" si="1"/>
        <v>20.429749529932174</v>
      </c>
      <c r="AL18" s="533">
        <f t="shared" si="1"/>
        <v>21.888992659058641</v>
      </c>
      <c r="AM18" s="533">
        <f t="shared" si="1"/>
        <v>0.36214257591913668</v>
      </c>
      <c r="AN18" s="533">
        <f t="shared" si="1"/>
        <v>0.66297536976073657</v>
      </c>
      <c r="AO18" s="533">
        <f t="shared" si="1"/>
        <v>0.8720166540336427</v>
      </c>
      <c r="AP18" s="533">
        <f t="shared" si="1"/>
        <v>0.9446673823763323</v>
      </c>
      <c r="AQ18" s="533">
        <f t="shared" si="1"/>
        <v>0.76328254954863606</v>
      </c>
      <c r="AR18" s="533">
        <f t="shared" si="1"/>
        <v>0.41973404071102333</v>
      </c>
      <c r="AS18" s="533">
        <f t="shared" si="1"/>
        <v>0.86560208499753788</v>
      </c>
      <c r="AT18" s="533">
        <f t="shared" si="1"/>
        <v>0.86304799469408278</v>
      </c>
      <c r="AU18" s="533">
        <f t="shared" si="1"/>
        <v>1.1840168454546807</v>
      </c>
      <c r="AV18" s="533">
        <f t="shared" si="1"/>
        <v>1.1296453899010077</v>
      </c>
      <c r="AW18" s="533">
        <f t="shared" si="1"/>
        <v>0.81742817467790929</v>
      </c>
      <c r="AX18" s="533">
        <f t="shared" si="1"/>
        <v>0.86305790517679815</v>
      </c>
      <c r="AY18" s="533">
        <f t="shared" si="1"/>
        <v>0.7351933920488064</v>
      </c>
      <c r="AZ18" s="533">
        <f t="shared" si="1"/>
        <v>1.8707015287122359</v>
      </c>
      <c r="BA18" s="533">
        <f t="shared" si="1"/>
        <v>2.4606031417656928</v>
      </c>
      <c r="BB18" s="533">
        <f t="shared" si="1"/>
        <v>2.5648230869844082</v>
      </c>
      <c r="BC18" s="533">
        <f t="shared" si="1"/>
        <v>2.0770436784757855</v>
      </c>
      <c r="BD18" s="533">
        <f t="shared" si="1"/>
        <v>0.92198271113885322</v>
      </c>
      <c r="BE18" s="533">
        <f t="shared" si="1"/>
        <v>2.8969100295905807</v>
      </c>
      <c r="BF18" s="533">
        <f t="shared" si="1"/>
        <v>2.850706171284676</v>
      </c>
      <c r="BG18" s="533">
        <f t="shared" si="1"/>
        <v>4.9538864252793813</v>
      </c>
      <c r="BH18" s="533">
        <f t="shared" si="1"/>
        <v>4.0648949041419398</v>
      </c>
      <c r="BI18" s="533">
        <f t="shared" si="1"/>
        <v>2.503295164415968</v>
      </c>
      <c r="BJ18" s="533">
        <f t="shared" si="1"/>
        <v>2.8917485496129505</v>
      </c>
      <c r="BK18" s="533">
        <f t="shared" si="1"/>
        <v>0.17374803714290671</v>
      </c>
      <c r="BL18" s="533">
        <f t="shared" si="1"/>
        <v>0.29883428792262512</v>
      </c>
      <c r="BM18" s="533">
        <f t="shared" si="1"/>
        <v>0.48039755603339063</v>
      </c>
      <c r="BN18" s="533">
        <f t="shared" si="1"/>
        <v>0.53996408770675874</v>
      </c>
      <c r="BO18" s="533">
        <f t="shared" si="1"/>
        <v>0.47988635742934582</v>
      </c>
      <c r="BP18" s="533">
        <f t="shared" ref="BP18:EA18" si="2">BP4*-1</f>
        <v>0.22086411044326104</v>
      </c>
      <c r="BQ18" s="533">
        <f t="shared" si="2"/>
        <v>0.41313764310521489</v>
      </c>
      <c r="BR18" s="533">
        <f t="shared" si="2"/>
        <v>0.41141479328286878</v>
      </c>
      <c r="BS18" s="533">
        <f t="shared" si="2"/>
        <v>0.73386229064102859</v>
      </c>
      <c r="BT18" s="533">
        <f t="shared" si="2"/>
        <v>0.71895480608469731</v>
      </c>
      <c r="BU18" s="533">
        <f t="shared" si="2"/>
        <v>0.47097010089294727</v>
      </c>
      <c r="BV18" s="533">
        <f t="shared" si="2"/>
        <v>0.42976554037815856</v>
      </c>
      <c r="BW18" s="533">
        <f t="shared" si="2"/>
        <v>0.29827235829053589</v>
      </c>
      <c r="BX18" s="533">
        <f t="shared" si="2"/>
        <v>0.63464844823711886</v>
      </c>
      <c r="BY18" s="533">
        <f t="shared" si="2"/>
        <v>0.8965172766891214</v>
      </c>
      <c r="BZ18" s="533">
        <f t="shared" si="2"/>
        <v>0.95932132695536976</v>
      </c>
      <c r="CA18" s="533">
        <f t="shared" si="2"/>
        <v>0.83685650579487236</v>
      </c>
      <c r="CB18" s="533">
        <f t="shared" si="2"/>
        <v>0.37314162854968314</v>
      </c>
      <c r="CC18" s="533">
        <f t="shared" si="2"/>
        <v>0.62977987795285073</v>
      </c>
      <c r="CD18" s="533">
        <f t="shared" si="2"/>
        <v>0.63361808679586495</v>
      </c>
      <c r="CE18" s="533">
        <f t="shared" si="2"/>
        <v>1.3478895357077147</v>
      </c>
      <c r="CF18" s="533">
        <f t="shared" si="2"/>
        <v>1.1545278073089229</v>
      </c>
      <c r="CG18" s="533">
        <f t="shared" si="2"/>
        <v>0.62573343601362719</v>
      </c>
      <c r="CH18" s="533">
        <f t="shared" si="2"/>
        <v>0.6356426811128586</v>
      </c>
      <c r="CI18" s="533">
        <f t="shared" si="2"/>
        <v>0.33979568423873813</v>
      </c>
      <c r="CJ18" s="533">
        <f t="shared" si="2"/>
        <v>0.81550604411960215</v>
      </c>
      <c r="CK18" s="533">
        <f t="shared" si="2"/>
        <v>1.1609242799527337</v>
      </c>
      <c r="CL18" s="533">
        <f t="shared" si="2"/>
        <v>1.2371023176665643</v>
      </c>
      <c r="CM18" s="533">
        <f t="shared" si="2"/>
        <v>1.0462170874050545</v>
      </c>
      <c r="CN18" s="533">
        <f t="shared" si="2"/>
        <v>0.43519445618319669</v>
      </c>
      <c r="CO18" s="533">
        <f t="shared" si="2"/>
        <v>1.309736408304472</v>
      </c>
      <c r="CP18" s="533">
        <f t="shared" si="2"/>
        <v>1.295527908157321</v>
      </c>
      <c r="CQ18" s="533">
        <f t="shared" si="2"/>
        <v>2.5109697766884582</v>
      </c>
      <c r="CR18" s="533">
        <f t="shared" si="2"/>
        <v>2.1419057881173362</v>
      </c>
      <c r="CS18" s="533">
        <f t="shared" si="2"/>
        <v>1.1880731383286278</v>
      </c>
      <c r="CT18" s="533">
        <f t="shared" si="2"/>
        <v>1.3220539229754429</v>
      </c>
      <c r="CU18" s="533">
        <f t="shared" si="2"/>
        <v>0.33391023464435349</v>
      </c>
      <c r="CV18" s="533">
        <f t="shared" si="2"/>
        <v>0.77891849437572902</v>
      </c>
      <c r="CW18" s="533">
        <f t="shared" si="2"/>
        <v>1.0627130935964924</v>
      </c>
      <c r="CX18" s="533">
        <f t="shared" si="2"/>
        <v>1.1525537072808512</v>
      </c>
      <c r="CY18" s="533">
        <f t="shared" si="2"/>
        <v>0.97863639060250696</v>
      </c>
      <c r="CZ18" s="533">
        <f t="shared" si="2"/>
        <v>0.42682943728038286</v>
      </c>
      <c r="DA18" s="533">
        <f t="shared" si="2"/>
        <v>0.90983553538888662</v>
      </c>
      <c r="DB18" s="533">
        <f t="shared" si="2"/>
        <v>0.91736443946026058</v>
      </c>
      <c r="DC18" s="533">
        <f t="shared" si="2"/>
        <v>1.6844448559847951</v>
      </c>
      <c r="DD18" s="533">
        <f t="shared" si="2"/>
        <v>1.465931541320542</v>
      </c>
      <c r="DE18" s="533">
        <f t="shared" si="2"/>
        <v>0.86583098504519318</v>
      </c>
      <c r="DF18" s="533">
        <f t="shared" si="2"/>
        <v>0.91267778479171169</v>
      </c>
      <c r="DG18" s="533">
        <f t="shared" si="2"/>
        <v>1.6251603235446737</v>
      </c>
      <c r="DH18" s="533">
        <f t="shared" si="2"/>
        <v>4.2040756506743762</v>
      </c>
      <c r="DI18" s="533">
        <f t="shared" si="2"/>
        <v>4.8615557336238089</v>
      </c>
      <c r="DJ18" s="533">
        <f t="shared" si="2"/>
        <v>5.0030412506249711</v>
      </c>
      <c r="DK18" s="533">
        <f t="shared" si="2"/>
        <v>4.0364438898291883</v>
      </c>
      <c r="DL18" s="533">
        <f t="shared" si="2"/>
        <v>1.9972999508356857</v>
      </c>
      <c r="DM18" s="533">
        <f t="shared" si="2"/>
        <v>6.1004041270156684</v>
      </c>
      <c r="DN18" s="533">
        <f t="shared" si="2"/>
        <v>6.4259837541299616</v>
      </c>
      <c r="DO18" s="533">
        <f t="shared" si="2"/>
        <v>10.112255527943734</v>
      </c>
      <c r="DP18" s="533">
        <f t="shared" si="2"/>
        <v>8.2922340530889826</v>
      </c>
      <c r="DQ18" s="533">
        <f t="shared" si="2"/>
        <v>5.5892692890553404</v>
      </c>
      <c r="DR18" s="533">
        <f t="shared" si="2"/>
        <v>6.1298465906631883</v>
      </c>
      <c r="DS18" s="533">
        <f t="shared" si="2"/>
        <v>1.3987274169904342</v>
      </c>
      <c r="DT18" s="533">
        <f t="shared" si="2"/>
        <v>2.6815092783045968</v>
      </c>
      <c r="DU18" s="533">
        <f t="shared" si="2"/>
        <v>2.8210336854608138</v>
      </c>
      <c r="DV18" s="533">
        <f t="shared" si="2"/>
        <v>2.7903630024909853</v>
      </c>
      <c r="DW18" s="533">
        <f t="shared" si="2"/>
        <v>2.3469489145047042</v>
      </c>
      <c r="DX18" s="533">
        <f t="shared" si="2"/>
        <v>1.5725670627717936</v>
      </c>
      <c r="DY18" s="533">
        <f t="shared" si="2"/>
        <v>4.0426400763228925</v>
      </c>
      <c r="DZ18" s="533">
        <f t="shared" si="2"/>
        <v>4.0573080401654238</v>
      </c>
      <c r="EA18" s="533">
        <f t="shared" si="2"/>
        <v>4.8014137044569978</v>
      </c>
      <c r="EB18" s="533">
        <f t="shared" ref="EB18:EP18" si="3">EB4*-1</f>
        <v>4.2031236291995118</v>
      </c>
      <c r="EC18" s="533">
        <f t="shared" si="3"/>
        <v>3.9500657510733896</v>
      </c>
      <c r="ED18" s="533">
        <f t="shared" si="3"/>
        <v>4.0543160750816716</v>
      </c>
      <c r="EE18" s="533">
        <f t="shared" si="3"/>
        <v>0.81127479367607569</v>
      </c>
      <c r="EF18" s="533">
        <f t="shared" si="3"/>
        <v>1.5598828425119198</v>
      </c>
      <c r="EG18" s="533">
        <f t="shared" si="3"/>
        <v>1.6728447404140323</v>
      </c>
      <c r="EH18" s="533">
        <f t="shared" si="3"/>
        <v>1.6518463017086689</v>
      </c>
      <c r="EI18" s="533">
        <f t="shared" si="3"/>
        <v>1.4315642599949423</v>
      </c>
      <c r="EJ18" s="533">
        <f t="shared" si="3"/>
        <v>0.91366749859546348</v>
      </c>
      <c r="EK18" s="533">
        <f t="shared" si="3"/>
        <v>1.7886644590366971</v>
      </c>
      <c r="EL18" s="533">
        <f t="shared" si="3"/>
        <v>1.8368827495030706</v>
      </c>
      <c r="EM18" s="533">
        <f t="shared" si="3"/>
        <v>2.2670902554172412</v>
      </c>
      <c r="EN18" s="533">
        <f t="shared" si="3"/>
        <v>1.9870739481337099</v>
      </c>
      <c r="EO18" s="533">
        <f t="shared" si="3"/>
        <v>1.7642522111510766</v>
      </c>
      <c r="EP18" s="533">
        <f t="shared" si="3"/>
        <v>1.7880435513035406</v>
      </c>
    </row>
    <row r="19" spans="2:146">
      <c r="B19" s="531">
        <v>2001</v>
      </c>
      <c r="C19" s="533">
        <f t="shared" si="0"/>
        <v>5.3867534407376993</v>
      </c>
      <c r="D19" s="533">
        <f t="shared" ref="D19:BO19" si="4">D5*-1</f>
        <v>10.721120894728248</v>
      </c>
      <c r="E19" s="533">
        <f t="shared" si="4"/>
        <v>10.799831082541356</v>
      </c>
      <c r="F19" s="533">
        <f t="shared" si="4"/>
        <v>10.692148493783289</v>
      </c>
      <c r="G19" s="533">
        <f t="shared" si="4"/>
        <v>9.436809237805809</v>
      </c>
      <c r="H19" s="533">
        <f t="shared" si="4"/>
        <v>6.9675891911650041</v>
      </c>
      <c r="I19" s="533">
        <f t="shared" si="4"/>
        <v>13.190895256599957</v>
      </c>
      <c r="J19" s="533">
        <f t="shared" si="4"/>
        <v>14.103121697491423</v>
      </c>
      <c r="K19" s="533">
        <f t="shared" si="4"/>
        <v>16.823032922314773</v>
      </c>
      <c r="L19" s="533">
        <f t="shared" si="4"/>
        <v>14.394645994452004</v>
      </c>
      <c r="M19" s="533">
        <f t="shared" si="4"/>
        <v>13.37349852449322</v>
      </c>
      <c r="N19" s="533">
        <f t="shared" si="4"/>
        <v>13.596816112411737</v>
      </c>
      <c r="O19" s="533">
        <f t="shared" si="4"/>
        <v>6.3963484470989558</v>
      </c>
      <c r="P19" s="533">
        <f t="shared" si="4"/>
        <v>11.769819577219575</v>
      </c>
      <c r="Q19" s="533">
        <f t="shared" si="4"/>
        <v>11.893671310837641</v>
      </c>
      <c r="R19" s="533">
        <f t="shared" si="4"/>
        <v>11.765518383989793</v>
      </c>
      <c r="S19" s="533">
        <f t="shared" si="4"/>
        <v>10.150008251858804</v>
      </c>
      <c r="T19" s="533">
        <f t="shared" si="4"/>
        <v>7.6999729771136529</v>
      </c>
      <c r="U19" s="533">
        <f t="shared" si="4"/>
        <v>15.828412168841181</v>
      </c>
      <c r="V19" s="533">
        <f t="shared" si="4"/>
        <v>16.305223909986328</v>
      </c>
      <c r="W19" s="533">
        <f t="shared" si="4"/>
        <v>19.434806875455859</v>
      </c>
      <c r="X19" s="533">
        <f t="shared" si="4"/>
        <v>16.727370743737431</v>
      </c>
      <c r="Y19" s="533">
        <f t="shared" si="4"/>
        <v>15.373792814960852</v>
      </c>
      <c r="Z19" s="533">
        <f t="shared" si="4"/>
        <v>16.152236992590144</v>
      </c>
      <c r="AA19" s="533">
        <f t="shared" si="4"/>
        <v>5.1104423245665949</v>
      </c>
      <c r="AB19" s="533">
        <f t="shared" si="4"/>
        <v>10.094926334918286</v>
      </c>
      <c r="AC19" s="533">
        <f t="shared" si="4"/>
        <v>10.417182195915634</v>
      </c>
      <c r="AD19" s="533">
        <f t="shared" si="4"/>
        <v>10.364654979412267</v>
      </c>
      <c r="AE19" s="533">
        <f t="shared" si="4"/>
        <v>8.9745926524559607</v>
      </c>
      <c r="AF19" s="533">
        <f t="shared" si="4"/>
        <v>6.6734480904995532</v>
      </c>
      <c r="AG19" s="533">
        <f t="shared" si="4"/>
        <v>12.982750826089591</v>
      </c>
      <c r="AH19" s="533">
        <f t="shared" si="4"/>
        <v>13.036887142601469</v>
      </c>
      <c r="AI19" s="533">
        <f t="shared" si="4"/>
        <v>15.469495509438721</v>
      </c>
      <c r="AJ19" s="533">
        <f t="shared" si="4"/>
        <v>13.446170637803631</v>
      </c>
      <c r="AK19" s="533">
        <f t="shared" si="4"/>
        <v>12.71144451019669</v>
      </c>
      <c r="AL19" s="533">
        <f t="shared" si="4"/>
        <v>13.299390653896946</v>
      </c>
      <c r="AM19" s="533">
        <f t="shared" si="4"/>
        <v>4.0646417325311388</v>
      </c>
      <c r="AN19" s="533">
        <f t="shared" si="4"/>
        <v>7.6635361247648817</v>
      </c>
      <c r="AO19" s="533">
        <f t="shared" si="4"/>
        <v>8.353509361270568</v>
      </c>
      <c r="AP19" s="533">
        <f t="shared" si="4"/>
        <v>8.6126893035705372</v>
      </c>
      <c r="AQ19" s="533">
        <f t="shared" si="4"/>
        <v>7.1589543382714496</v>
      </c>
      <c r="AR19" s="533">
        <f t="shared" si="4"/>
        <v>5.1510785348398933</v>
      </c>
      <c r="AS19" s="533">
        <f t="shared" si="4"/>
        <v>9.6810799420784353</v>
      </c>
      <c r="AT19" s="533">
        <f t="shared" si="4"/>
        <v>9.8364153818299673</v>
      </c>
      <c r="AU19" s="533">
        <f t="shared" si="4"/>
        <v>12.187988448622608</v>
      </c>
      <c r="AV19" s="533">
        <f t="shared" si="4"/>
        <v>10.725240892113858</v>
      </c>
      <c r="AW19" s="533">
        <f t="shared" si="4"/>
        <v>8.9768736267395859</v>
      </c>
      <c r="AX19" s="533">
        <f t="shared" si="4"/>
        <v>9.8216370720744379</v>
      </c>
      <c r="AY19" s="533">
        <f t="shared" si="4"/>
        <v>3.2640963751798959</v>
      </c>
      <c r="AZ19" s="533">
        <f t="shared" si="4"/>
        <v>7.0695880567981071</v>
      </c>
      <c r="BA19" s="533">
        <f t="shared" si="4"/>
        <v>8.4377596957748189</v>
      </c>
      <c r="BB19" s="533">
        <f t="shared" si="4"/>
        <v>8.7110179114704849</v>
      </c>
      <c r="BC19" s="533">
        <f t="shared" si="4"/>
        <v>7.437249497803136</v>
      </c>
      <c r="BD19" s="533">
        <f t="shared" si="4"/>
        <v>4.3853709955266078</v>
      </c>
      <c r="BE19" s="533">
        <f t="shared" si="4"/>
        <v>8.8077674168764215</v>
      </c>
      <c r="BF19" s="533">
        <f t="shared" si="4"/>
        <v>8.9032721221292981</v>
      </c>
      <c r="BG19" s="533">
        <f t="shared" si="4"/>
        <v>14.355776481996267</v>
      </c>
      <c r="BH19" s="533">
        <f t="shared" si="4"/>
        <v>11.957180546825084</v>
      </c>
      <c r="BI19" s="533">
        <f t="shared" si="4"/>
        <v>8.0147909319542734</v>
      </c>
      <c r="BJ19" s="533">
        <f t="shared" si="4"/>
        <v>8.9680960242932937</v>
      </c>
      <c r="BK19" s="533">
        <f t="shared" si="4"/>
        <v>1.8703967728558812</v>
      </c>
      <c r="BL19" s="533">
        <f t="shared" si="4"/>
        <v>2.7319290540144734</v>
      </c>
      <c r="BM19" s="533">
        <f t="shared" si="4"/>
        <v>3.0602138438545219</v>
      </c>
      <c r="BN19" s="533">
        <f t="shared" si="4"/>
        <v>3.2224704649070839</v>
      </c>
      <c r="BO19" s="533">
        <f t="shared" si="4"/>
        <v>3.076688272690661</v>
      </c>
      <c r="BP19" s="533">
        <f t="shared" ref="BP19:EA19" si="5">BP5*-1</f>
        <v>2.4692454427106316</v>
      </c>
      <c r="BQ19" s="533">
        <f t="shared" si="5"/>
        <v>2.2119888202973574</v>
      </c>
      <c r="BR19" s="533">
        <f t="shared" si="5"/>
        <v>2.3589587447229134</v>
      </c>
      <c r="BS19" s="533">
        <f t="shared" si="5"/>
        <v>2.950305247234557</v>
      </c>
      <c r="BT19" s="533">
        <f t="shared" si="5"/>
        <v>2.9313718332932024</v>
      </c>
      <c r="BU19" s="533">
        <f t="shared" si="5"/>
        <v>2.4995535407401102</v>
      </c>
      <c r="BV19" s="533">
        <f t="shared" si="5"/>
        <v>2.3635338614993588</v>
      </c>
      <c r="BW19" s="533">
        <f t="shared" si="5"/>
        <v>88.749636006077822</v>
      </c>
      <c r="BX19" s="533">
        <f t="shared" si="5"/>
        <v>91.816651794612113</v>
      </c>
      <c r="BY19" s="533">
        <f t="shared" si="5"/>
        <v>97.502937498140085</v>
      </c>
      <c r="BZ19" s="533">
        <f t="shared" si="5"/>
        <v>97.862549266567882</v>
      </c>
      <c r="CA19" s="533">
        <f t="shared" si="5"/>
        <v>95.19806482227429</v>
      </c>
      <c r="CB19" s="533">
        <f t="shared" si="5"/>
        <v>91.30524627365412</v>
      </c>
      <c r="CC19" s="533">
        <f t="shared" si="5"/>
        <v>85.810799644253905</v>
      </c>
      <c r="CD19" s="533">
        <f t="shared" si="5"/>
        <v>87.115216613739648</v>
      </c>
      <c r="CE19" s="533">
        <f t="shared" si="5"/>
        <v>93.118396003427449</v>
      </c>
      <c r="CF19" s="533">
        <f t="shared" si="5"/>
        <v>94.147812385229912</v>
      </c>
      <c r="CG19" s="533">
        <f t="shared" si="5"/>
        <v>91.497409314812145</v>
      </c>
      <c r="CH19" s="533">
        <f t="shared" si="5"/>
        <v>88.58814575594451</v>
      </c>
      <c r="CI19" s="533">
        <f t="shared" si="5"/>
        <v>90.735801828640746</v>
      </c>
      <c r="CJ19" s="533">
        <f t="shared" si="5"/>
        <v>93.956153321725751</v>
      </c>
      <c r="CK19" s="533">
        <f t="shared" si="5"/>
        <v>100.33101232703569</v>
      </c>
      <c r="CL19" s="533">
        <f t="shared" si="5"/>
        <v>101.51676290301295</v>
      </c>
      <c r="CM19" s="533">
        <f t="shared" si="5"/>
        <v>98.140367921409933</v>
      </c>
      <c r="CN19" s="533">
        <f t="shared" si="5"/>
        <v>93.466640341840758</v>
      </c>
      <c r="CO19" s="533">
        <f t="shared" si="5"/>
        <v>90.318983324748757</v>
      </c>
      <c r="CP19" s="533">
        <f t="shared" si="5"/>
        <v>91.918845761401371</v>
      </c>
      <c r="CQ19" s="533">
        <f t="shared" si="5"/>
        <v>99.782436068871789</v>
      </c>
      <c r="CR19" s="533">
        <f t="shared" si="5"/>
        <v>101.11796417659703</v>
      </c>
      <c r="CS19" s="533">
        <f t="shared" si="5"/>
        <v>97.637679843343363</v>
      </c>
      <c r="CT19" s="533">
        <f t="shared" si="5"/>
        <v>93.974757977275033</v>
      </c>
      <c r="CU19" s="533">
        <f t="shared" si="5"/>
        <v>90.359965520046359</v>
      </c>
      <c r="CV19" s="533">
        <f t="shared" si="5"/>
        <v>93.316776178780174</v>
      </c>
      <c r="CW19" s="533">
        <f t="shared" si="5"/>
        <v>98.731604290154635</v>
      </c>
      <c r="CX19" s="533">
        <f t="shared" si="5"/>
        <v>99.552988648555043</v>
      </c>
      <c r="CY19" s="533">
        <f t="shared" si="5"/>
        <v>96.136181772680345</v>
      </c>
      <c r="CZ19" s="533">
        <f t="shared" si="5"/>
        <v>91.806139525127676</v>
      </c>
      <c r="DA19" s="533">
        <f t="shared" si="5"/>
        <v>91.661319407923756</v>
      </c>
      <c r="DB19" s="533">
        <f t="shared" si="5"/>
        <v>92.519737487026674</v>
      </c>
      <c r="DC19" s="533">
        <f t="shared" si="5"/>
        <v>99.868553201914878</v>
      </c>
      <c r="DD19" s="533">
        <f t="shared" si="5"/>
        <v>101.64869802550793</v>
      </c>
      <c r="DE19" s="533">
        <f t="shared" si="5"/>
        <v>98.456217055198564</v>
      </c>
      <c r="DF19" s="533">
        <f t="shared" si="5"/>
        <v>95.442057947790616</v>
      </c>
      <c r="DG19" s="533">
        <f t="shared" si="5"/>
        <v>86.650140660005732</v>
      </c>
      <c r="DH19" s="533">
        <f t="shared" si="5"/>
        <v>93.046108666018924</v>
      </c>
      <c r="DI19" s="533">
        <f t="shared" si="5"/>
        <v>98.332111537757669</v>
      </c>
      <c r="DJ19" s="533">
        <f t="shared" si="5"/>
        <v>99.094754361356166</v>
      </c>
      <c r="DK19" s="533">
        <f t="shared" si="5"/>
        <v>94.7201488378427</v>
      </c>
      <c r="DL19" s="533">
        <f t="shared" si="5"/>
        <v>88.854653526584741</v>
      </c>
      <c r="DM19" s="533">
        <f t="shared" si="5"/>
        <v>95.093521637214366</v>
      </c>
      <c r="DN19" s="533">
        <f t="shared" si="5"/>
        <v>96.708352154716437</v>
      </c>
      <c r="DO19" s="533">
        <f t="shared" si="5"/>
        <v>107.70904484398952</v>
      </c>
      <c r="DP19" s="533">
        <f t="shared" si="5"/>
        <v>106.55474083410211</v>
      </c>
      <c r="DQ19" s="533">
        <f t="shared" si="5"/>
        <v>99.52309920457644</v>
      </c>
      <c r="DR19" s="533">
        <f t="shared" si="5"/>
        <v>97.060812201718505</v>
      </c>
      <c r="DS19" s="533">
        <f t="shared" si="5"/>
        <v>83.186976960655556</v>
      </c>
      <c r="DT19" s="533">
        <f t="shared" si="5"/>
        <v>88.034367111725174</v>
      </c>
      <c r="DU19" s="533">
        <f t="shared" si="5"/>
        <v>91.591583007930112</v>
      </c>
      <c r="DV19" s="533">
        <f t="shared" si="5"/>
        <v>92.256573161712041</v>
      </c>
      <c r="DW19" s="533">
        <f t="shared" si="5"/>
        <v>89.247883443683975</v>
      </c>
      <c r="DX19" s="533">
        <f t="shared" si="5"/>
        <v>85.112693911650297</v>
      </c>
      <c r="DY19" s="533">
        <f t="shared" si="5"/>
        <v>87.944812356269438</v>
      </c>
      <c r="DZ19" s="533">
        <f t="shared" si="5"/>
        <v>89.368653244419335</v>
      </c>
      <c r="EA19" s="533">
        <f t="shared" si="5"/>
        <v>94.085046185494377</v>
      </c>
      <c r="EB19" s="533">
        <f t="shared" ref="EB19:EP19" si="6">EB5*-1</f>
        <v>94.533620677542501</v>
      </c>
      <c r="EC19" s="533">
        <f t="shared" si="6"/>
        <v>91.596818552906299</v>
      </c>
      <c r="ED19" s="533">
        <f t="shared" si="6"/>
        <v>89.203876227032509</v>
      </c>
      <c r="EE19" s="533">
        <f t="shared" si="6"/>
        <v>80.645170846714919</v>
      </c>
      <c r="EF19" s="533">
        <f t="shared" si="6"/>
        <v>85.966483961846876</v>
      </c>
      <c r="EG19" s="533">
        <f t="shared" si="6"/>
        <v>89.491366638915025</v>
      </c>
      <c r="EH19" s="533">
        <f t="shared" si="6"/>
        <v>89.298274909417444</v>
      </c>
      <c r="EI19" s="533">
        <f t="shared" si="6"/>
        <v>86.322349355551921</v>
      </c>
      <c r="EJ19" s="533">
        <f t="shared" si="6"/>
        <v>82.825330114893035</v>
      </c>
      <c r="EK19" s="533">
        <f t="shared" si="6"/>
        <v>82.316149811959406</v>
      </c>
      <c r="EL19" s="533">
        <f t="shared" si="6"/>
        <v>84.198557727781761</v>
      </c>
      <c r="EM19" s="533">
        <f t="shared" si="6"/>
        <v>88.004552865456503</v>
      </c>
      <c r="EN19" s="533">
        <f t="shared" si="6"/>
        <v>87.637028540455233</v>
      </c>
      <c r="EO19" s="533">
        <f t="shared" si="6"/>
        <v>85.671731345882066</v>
      </c>
      <c r="EP19" s="533">
        <f t="shared" si="6"/>
        <v>84.066464264720636</v>
      </c>
    </row>
    <row r="20" spans="2:146">
      <c r="B20" s="531">
        <v>2002</v>
      </c>
      <c r="C20" s="533">
        <f t="shared" si="0"/>
        <v>76.182649426801717</v>
      </c>
      <c r="D20" s="533">
        <f t="shared" ref="D20:BO20" si="7">D6*-1</f>
        <v>82.653144939052282</v>
      </c>
      <c r="E20" s="533">
        <f t="shared" si="7"/>
        <v>86.023893766732073</v>
      </c>
      <c r="F20" s="533">
        <f t="shared" si="7"/>
        <v>85.893527589128198</v>
      </c>
      <c r="G20" s="533">
        <f t="shared" si="7"/>
        <v>82.490565782356953</v>
      </c>
      <c r="H20" s="533">
        <f t="shared" si="7"/>
        <v>78.468749012835247</v>
      </c>
      <c r="I20" s="533">
        <f t="shared" si="7"/>
        <v>82.621063683993953</v>
      </c>
      <c r="J20" s="533">
        <f t="shared" si="7"/>
        <v>84.92723993544756</v>
      </c>
      <c r="K20" s="533">
        <f t="shared" si="7"/>
        <v>90.268673892973951</v>
      </c>
      <c r="L20" s="533">
        <f t="shared" si="7"/>
        <v>88.467271395985989</v>
      </c>
      <c r="M20" s="533">
        <f t="shared" si="7"/>
        <v>85.31106722777254</v>
      </c>
      <c r="N20" s="533">
        <f t="shared" si="7"/>
        <v>83.542149615228666</v>
      </c>
      <c r="O20" s="533">
        <f t="shared" si="7"/>
        <v>75.243633354766359</v>
      </c>
      <c r="P20" s="533">
        <f t="shared" si="7"/>
        <v>81.488114251545255</v>
      </c>
      <c r="Q20" s="533">
        <f t="shared" si="7"/>
        <v>84.484870357661208</v>
      </c>
      <c r="R20" s="533">
        <f t="shared" si="7"/>
        <v>83.984036564922221</v>
      </c>
      <c r="S20" s="533">
        <f t="shared" si="7"/>
        <v>80.52080120496565</v>
      </c>
      <c r="T20" s="533">
        <f t="shared" si="7"/>
        <v>76.747864066860686</v>
      </c>
      <c r="U20" s="533">
        <f t="shared" si="7"/>
        <v>82.511181965388772</v>
      </c>
      <c r="V20" s="533">
        <f t="shared" si="7"/>
        <v>84.15546524377713</v>
      </c>
      <c r="W20" s="533">
        <f t="shared" si="7"/>
        <v>89.31508723509134</v>
      </c>
      <c r="X20" s="533">
        <f t="shared" si="7"/>
        <v>86.964602174398507</v>
      </c>
      <c r="Y20" s="533">
        <f t="shared" si="7"/>
        <v>84.336768071701783</v>
      </c>
      <c r="Z20" s="533">
        <f t="shared" si="7"/>
        <v>83.416882279443499</v>
      </c>
      <c r="AA20" s="533">
        <f t="shared" si="7"/>
        <v>70.558814918092978</v>
      </c>
      <c r="AB20" s="533">
        <f t="shared" si="7"/>
        <v>75.997815157178991</v>
      </c>
      <c r="AC20" s="533">
        <f t="shared" si="7"/>
        <v>80.06912159751775</v>
      </c>
      <c r="AD20" s="533">
        <f t="shared" si="7"/>
        <v>81.048302672225077</v>
      </c>
      <c r="AE20" s="533">
        <f t="shared" si="7"/>
        <v>77.928089988564281</v>
      </c>
      <c r="AF20" s="533">
        <f t="shared" si="7"/>
        <v>74.183113536467232</v>
      </c>
      <c r="AG20" s="533">
        <f t="shared" si="7"/>
        <v>77.87394469167009</v>
      </c>
      <c r="AH20" s="533">
        <f t="shared" si="7"/>
        <v>78.937452243654732</v>
      </c>
      <c r="AI20" s="533">
        <f t="shared" si="7"/>
        <v>83.154197077642124</v>
      </c>
      <c r="AJ20" s="533">
        <f t="shared" si="7"/>
        <v>81.839425801219818</v>
      </c>
      <c r="AK20" s="533">
        <f t="shared" si="7"/>
        <v>79.882969343129872</v>
      </c>
      <c r="AL20" s="533">
        <f t="shared" si="7"/>
        <v>78.474267986826447</v>
      </c>
      <c r="AM20" s="533">
        <f t="shared" si="7"/>
        <v>78.411440817598958</v>
      </c>
      <c r="AN20" s="533">
        <f t="shared" si="7"/>
        <v>84.139152986630606</v>
      </c>
      <c r="AO20" s="533">
        <f t="shared" si="7"/>
        <v>88.942914804764143</v>
      </c>
      <c r="AP20" s="533">
        <f t="shared" si="7"/>
        <v>90.263278972403583</v>
      </c>
      <c r="AQ20" s="533">
        <f t="shared" si="7"/>
        <v>86.080436017941651</v>
      </c>
      <c r="AR20" s="533">
        <f t="shared" si="7"/>
        <v>80.975827739804956</v>
      </c>
      <c r="AS20" s="533">
        <f t="shared" si="7"/>
        <v>85.55225729622282</v>
      </c>
      <c r="AT20" s="533">
        <f t="shared" si="7"/>
        <v>86.836215873595151</v>
      </c>
      <c r="AU20" s="533">
        <f t="shared" si="7"/>
        <v>92.930860459355699</v>
      </c>
      <c r="AV20" s="533">
        <f t="shared" si="7"/>
        <v>91.044484515823427</v>
      </c>
      <c r="AW20" s="533">
        <f t="shared" si="7"/>
        <v>87.206559937232669</v>
      </c>
      <c r="AX20" s="533">
        <f t="shared" si="7"/>
        <v>86.081545041705482</v>
      </c>
      <c r="AY20" s="533">
        <f t="shared" si="7"/>
        <v>84.051490924516003</v>
      </c>
      <c r="AZ20" s="533">
        <f t="shared" si="7"/>
        <v>90.4730391590533</v>
      </c>
      <c r="BA20" s="533">
        <f t="shared" si="7"/>
        <v>96.814139246563713</v>
      </c>
      <c r="BB20" s="533">
        <f t="shared" si="7"/>
        <v>98.027469349283166</v>
      </c>
      <c r="BC20" s="533">
        <f t="shared" si="7"/>
        <v>93.720143605415686</v>
      </c>
      <c r="BD20" s="533">
        <f t="shared" si="7"/>
        <v>87.192079320472359</v>
      </c>
      <c r="BE20" s="533">
        <f t="shared" si="7"/>
        <v>92.091300468459536</v>
      </c>
      <c r="BF20" s="533">
        <f t="shared" si="7"/>
        <v>93.490878935497705</v>
      </c>
      <c r="BG20" s="533">
        <f t="shared" si="7"/>
        <v>104.63607810407093</v>
      </c>
      <c r="BH20" s="533">
        <f t="shared" si="7"/>
        <v>102.38429286220597</v>
      </c>
      <c r="BI20" s="533">
        <f t="shared" si="7"/>
        <v>95.58291453974249</v>
      </c>
      <c r="BJ20" s="533">
        <f t="shared" si="7"/>
        <v>93.976910573427062</v>
      </c>
      <c r="BK20" s="533">
        <f t="shared" si="7"/>
        <v>86.942583913142499</v>
      </c>
      <c r="BL20" s="533">
        <f t="shared" si="7"/>
        <v>89.990683525844759</v>
      </c>
      <c r="BM20" s="533">
        <f t="shared" si="7"/>
        <v>94.946685908885485</v>
      </c>
      <c r="BN20" s="533">
        <f t="shared" si="7"/>
        <v>95.500343117693518</v>
      </c>
      <c r="BO20" s="533">
        <f t="shared" si="7"/>
        <v>92.763403386248214</v>
      </c>
      <c r="BP20" s="533">
        <f t="shared" ref="BP20:EA20" si="8">BP6*-1</f>
        <v>89.553179407492692</v>
      </c>
      <c r="BQ20" s="533">
        <f t="shared" si="8"/>
        <v>88.458600332037008</v>
      </c>
      <c r="BR20" s="533">
        <f t="shared" si="8"/>
        <v>89.416546270908782</v>
      </c>
      <c r="BS20" s="533">
        <f t="shared" si="8"/>
        <v>94.011403137074169</v>
      </c>
      <c r="BT20" s="533">
        <f t="shared" si="8"/>
        <v>94.854407318061362</v>
      </c>
      <c r="BU20" s="533">
        <f t="shared" si="8"/>
        <v>92.633172379334326</v>
      </c>
      <c r="BV20" s="533">
        <f t="shared" si="8"/>
        <v>89.704237000070776</v>
      </c>
      <c r="BW20" s="533">
        <f t="shared" si="8"/>
        <v>88.791513734218412</v>
      </c>
      <c r="BX20" s="533">
        <f t="shared" si="8"/>
        <v>91.964684738072364</v>
      </c>
      <c r="BY20" s="533">
        <f t="shared" si="8"/>
        <v>97.695028048922822</v>
      </c>
      <c r="BZ20" s="533">
        <f t="shared" si="8"/>
        <v>98.060613764942346</v>
      </c>
      <c r="CA20" s="533">
        <f t="shared" si="8"/>
        <v>95.359629293508689</v>
      </c>
      <c r="CB20" s="533">
        <f t="shared" si="8"/>
        <v>91.360803670784748</v>
      </c>
      <c r="CC20" s="533">
        <f t="shared" si="8"/>
        <v>86.177337296725696</v>
      </c>
      <c r="CD20" s="533">
        <f t="shared" si="8"/>
        <v>87.474618731067523</v>
      </c>
      <c r="CE20" s="533">
        <f t="shared" si="8"/>
        <v>93.929014405384592</v>
      </c>
      <c r="CF20" s="533">
        <f t="shared" si="8"/>
        <v>94.763841777323321</v>
      </c>
      <c r="CG20" s="533">
        <f t="shared" si="8"/>
        <v>91.799657713612973</v>
      </c>
      <c r="CH20" s="533">
        <f t="shared" si="8"/>
        <v>88.952398597312879</v>
      </c>
      <c r="CI20" s="533">
        <f t="shared" si="8"/>
        <v>90.73393893886221</v>
      </c>
      <c r="CJ20" s="533">
        <f t="shared" si="8"/>
        <v>93.958576675391981</v>
      </c>
      <c r="CK20" s="533">
        <f t="shared" si="8"/>
        <v>100.33219469433411</v>
      </c>
      <c r="CL20" s="533">
        <f t="shared" si="8"/>
        <v>101.51715030638486</v>
      </c>
      <c r="CM20" s="533">
        <f t="shared" si="8"/>
        <v>98.139505819562018</v>
      </c>
      <c r="CN20" s="533">
        <f t="shared" si="8"/>
        <v>93.46457434969868</v>
      </c>
      <c r="CO20" s="533">
        <f t="shared" si="8"/>
        <v>90.095374618961117</v>
      </c>
      <c r="CP20" s="533">
        <f t="shared" si="8"/>
        <v>91.699082055325292</v>
      </c>
      <c r="CQ20" s="533">
        <f t="shared" si="8"/>
        <v>99.352222729505172</v>
      </c>
      <c r="CR20" s="533">
        <f t="shared" si="8"/>
        <v>100.76783289460352</v>
      </c>
      <c r="CS20" s="533">
        <f t="shared" si="8"/>
        <v>97.449112318804168</v>
      </c>
      <c r="CT20" s="533">
        <f t="shared" si="8"/>
        <v>93.7518887204766</v>
      </c>
      <c r="CU20" s="533">
        <f t="shared" si="8"/>
        <v>90.661312641658213</v>
      </c>
      <c r="CV20" s="533">
        <f t="shared" si="8"/>
        <v>94.226456952316354</v>
      </c>
      <c r="CW20" s="533">
        <f t="shared" si="8"/>
        <v>99.828611005240944</v>
      </c>
      <c r="CX20" s="533">
        <f t="shared" si="8"/>
        <v>100.68815283312938</v>
      </c>
      <c r="CY20" s="533">
        <f t="shared" si="8"/>
        <v>97.070099738650143</v>
      </c>
      <c r="CZ20" s="533">
        <f t="shared" si="8"/>
        <v>92.191150448193341</v>
      </c>
      <c r="DA20" s="533">
        <f t="shared" si="8"/>
        <v>93.077922191789526</v>
      </c>
      <c r="DB20" s="533">
        <f t="shared" si="8"/>
        <v>93.959851408768841</v>
      </c>
      <c r="DC20" s="533">
        <f t="shared" si="8"/>
        <v>102.47096779465099</v>
      </c>
      <c r="DD20" s="533">
        <f t="shared" si="8"/>
        <v>103.69383448294373</v>
      </c>
      <c r="DE20" s="533">
        <f t="shared" si="8"/>
        <v>99.681848735146133</v>
      </c>
      <c r="DF20" s="533">
        <f t="shared" si="8"/>
        <v>96.857345112274814</v>
      </c>
      <c r="DG20" s="533">
        <f t="shared" si="8"/>
        <v>86.212474835424899</v>
      </c>
      <c r="DH20" s="533">
        <f t="shared" si="8"/>
        <v>91.883811658884355</v>
      </c>
      <c r="DI20" s="533">
        <f t="shared" si="8"/>
        <v>97.020679336628305</v>
      </c>
      <c r="DJ20" s="533">
        <f t="shared" si="8"/>
        <v>97.757812907295232</v>
      </c>
      <c r="DK20" s="533">
        <f t="shared" si="8"/>
        <v>93.649518810011386</v>
      </c>
      <c r="DL20" s="533">
        <f t="shared" si="8"/>
        <v>88.318152174430693</v>
      </c>
      <c r="DM20" s="533">
        <f t="shared" si="8"/>
        <v>93.09808801215199</v>
      </c>
      <c r="DN20" s="533">
        <f t="shared" si="8"/>
        <v>94.60570714564696</v>
      </c>
      <c r="DO20" s="533">
        <f t="shared" si="8"/>
        <v>104.41746855619526</v>
      </c>
      <c r="DP20" s="533">
        <f t="shared" si="8"/>
        <v>103.89470564233977</v>
      </c>
      <c r="DQ20" s="533">
        <f t="shared" si="8"/>
        <v>97.716259439423524</v>
      </c>
      <c r="DR20" s="533">
        <f t="shared" si="8"/>
        <v>95.057710936147757</v>
      </c>
      <c r="DS20" s="533">
        <f t="shared" si="8"/>
        <v>83.18984846697785</v>
      </c>
      <c r="DT20" s="533">
        <f t="shared" si="8"/>
        <v>88.042157580646659</v>
      </c>
      <c r="DU20" s="533">
        <f t="shared" si="8"/>
        <v>91.595638014658306</v>
      </c>
      <c r="DV20" s="533">
        <f t="shared" si="8"/>
        <v>92.2590609987882</v>
      </c>
      <c r="DW20" s="533">
        <f t="shared" si="8"/>
        <v>89.249122343718895</v>
      </c>
      <c r="DX20" s="533">
        <f t="shared" si="8"/>
        <v>85.115703999136798</v>
      </c>
      <c r="DY20" s="533">
        <f t="shared" si="8"/>
        <v>86.893629848425263</v>
      </c>
      <c r="DZ20" s="533">
        <f t="shared" si="8"/>
        <v>88.313245125728372</v>
      </c>
      <c r="EA20" s="533">
        <f t="shared" si="8"/>
        <v>92.857115615223705</v>
      </c>
      <c r="EB20" s="533">
        <f t="shared" ref="EB20:EP20" si="9">EB6*-1</f>
        <v>93.481110821675827</v>
      </c>
      <c r="EC20" s="533">
        <f t="shared" si="9"/>
        <v>90.582096753623688</v>
      </c>
      <c r="ED20" s="533">
        <f t="shared" si="9"/>
        <v>88.149655804521402</v>
      </c>
      <c r="EE20" s="533">
        <f t="shared" si="9"/>
        <v>80.995465865002018</v>
      </c>
      <c r="EF20" s="533">
        <f t="shared" si="9"/>
        <v>86.674134794646676</v>
      </c>
      <c r="EG20" s="533">
        <f t="shared" si="9"/>
        <v>90.18690668339714</v>
      </c>
      <c r="EH20" s="533">
        <f t="shared" si="9"/>
        <v>89.972365188268142</v>
      </c>
      <c r="EI20" s="533">
        <f t="shared" si="9"/>
        <v>86.886563102312294</v>
      </c>
      <c r="EJ20" s="533">
        <f t="shared" si="9"/>
        <v>83.216927392888778</v>
      </c>
      <c r="EK20" s="533">
        <f t="shared" si="9"/>
        <v>83.943117757835523</v>
      </c>
      <c r="EL20" s="533">
        <f t="shared" si="9"/>
        <v>85.869958551141309</v>
      </c>
      <c r="EM20" s="533">
        <f t="shared" si="9"/>
        <v>89.990518857506842</v>
      </c>
      <c r="EN20" s="533">
        <f t="shared" si="9"/>
        <v>89.301006862807697</v>
      </c>
      <c r="EO20" s="533">
        <f t="shared" si="9"/>
        <v>87.230710314889166</v>
      </c>
      <c r="EP20" s="533">
        <f t="shared" si="9"/>
        <v>85.693033585853172</v>
      </c>
    </row>
    <row r="21" spans="2:146">
      <c r="B21" s="531">
        <v>2003</v>
      </c>
      <c r="C21" s="533">
        <f t="shared" si="0"/>
        <v>75.744991756249192</v>
      </c>
      <c r="D21" s="533">
        <f t="shared" ref="D21:BO21" si="10">D7*-1</f>
        <v>81.753192620054335</v>
      </c>
      <c r="E21" s="533">
        <f t="shared" si="10"/>
        <v>85.137446560250254</v>
      </c>
      <c r="F21" s="533">
        <f t="shared" si="10"/>
        <v>85.029999272544771</v>
      </c>
      <c r="G21" s="533">
        <f t="shared" si="10"/>
        <v>81.777025957687187</v>
      </c>
      <c r="H21" s="533">
        <f t="shared" si="10"/>
        <v>77.979651308733239</v>
      </c>
      <c r="I21" s="533">
        <f t="shared" si="10"/>
        <v>81.247561014918745</v>
      </c>
      <c r="J21" s="533">
        <f t="shared" si="10"/>
        <v>83.499444296863871</v>
      </c>
      <c r="K21" s="533">
        <f t="shared" si="10"/>
        <v>88.544446230990317</v>
      </c>
      <c r="L21" s="533">
        <f t="shared" si="10"/>
        <v>87.038081157935082</v>
      </c>
      <c r="M21" s="533">
        <f t="shared" si="10"/>
        <v>83.987598220380264</v>
      </c>
      <c r="N21" s="533">
        <f t="shared" si="10"/>
        <v>82.159831238658228</v>
      </c>
      <c r="O21" s="533">
        <f t="shared" si="10"/>
        <v>74.399335195190247</v>
      </c>
      <c r="P21" s="533">
        <f t="shared" si="10"/>
        <v>79.77413549821199</v>
      </c>
      <c r="Q21" s="533">
        <f t="shared" si="10"/>
        <v>82.781973622889396</v>
      </c>
      <c r="R21" s="533">
        <f t="shared" si="10"/>
        <v>82.31908935814441</v>
      </c>
      <c r="S21" s="533">
        <f t="shared" si="10"/>
        <v>79.178500124407961</v>
      </c>
      <c r="T21" s="533">
        <f t="shared" si="10"/>
        <v>75.804782411629603</v>
      </c>
      <c r="U21" s="533">
        <f t="shared" si="10"/>
        <v>79.782784892742683</v>
      </c>
      <c r="V21" s="533">
        <f t="shared" si="10"/>
        <v>81.388925154266545</v>
      </c>
      <c r="W21" s="533">
        <f t="shared" si="10"/>
        <v>85.963963815361822</v>
      </c>
      <c r="X21" s="533">
        <f t="shared" si="10"/>
        <v>84.163017298375962</v>
      </c>
      <c r="Y21" s="533">
        <f t="shared" si="10"/>
        <v>81.779347858652443</v>
      </c>
      <c r="Z21" s="533">
        <f t="shared" si="10"/>
        <v>80.668964055069893</v>
      </c>
      <c r="AA21" s="533">
        <f t="shared" si="10"/>
        <v>70.13038807211521</v>
      </c>
      <c r="AB21" s="533">
        <f t="shared" si="10"/>
        <v>75.11859151816634</v>
      </c>
      <c r="AC21" s="533">
        <f t="shared" si="10"/>
        <v>79.177407888763426</v>
      </c>
      <c r="AD21" s="533">
        <f t="shared" si="10"/>
        <v>80.174563856543173</v>
      </c>
      <c r="AE21" s="533">
        <f t="shared" si="10"/>
        <v>77.225971074925738</v>
      </c>
      <c r="AF21" s="533">
        <f t="shared" si="10"/>
        <v>73.699892377187055</v>
      </c>
      <c r="AG21" s="533">
        <f t="shared" si="10"/>
        <v>76.655508645817875</v>
      </c>
      <c r="AH21" s="533">
        <f t="shared" si="10"/>
        <v>77.749157626270787</v>
      </c>
      <c r="AI21" s="533">
        <f t="shared" si="10"/>
        <v>81.730722727508976</v>
      </c>
      <c r="AJ21" s="533">
        <f t="shared" si="10"/>
        <v>80.639365002201686</v>
      </c>
      <c r="AK21" s="533">
        <f t="shared" si="10"/>
        <v>78.747944835604287</v>
      </c>
      <c r="AL21" s="533">
        <f t="shared" si="10"/>
        <v>77.254520861704719</v>
      </c>
      <c r="AM21" s="533">
        <f t="shared" si="10"/>
        <v>84.52783246908534</v>
      </c>
      <c r="AN21" s="533">
        <f t="shared" si="10"/>
        <v>92.772423841946718</v>
      </c>
      <c r="AO21" s="533">
        <f t="shared" si="10"/>
        <v>102.70556745240981</v>
      </c>
      <c r="AP21" s="533">
        <f t="shared" si="10"/>
        <v>105.17925435578191</v>
      </c>
      <c r="AQ21" s="533">
        <f t="shared" si="10"/>
        <v>98.358937422853671</v>
      </c>
      <c r="AR21" s="533">
        <f t="shared" si="10"/>
        <v>88.467100172660494</v>
      </c>
      <c r="AS21" s="533">
        <f t="shared" si="10"/>
        <v>89.590323498960387</v>
      </c>
      <c r="AT21" s="533">
        <f t="shared" si="10"/>
        <v>91.047511866032494</v>
      </c>
      <c r="AU21" s="533">
        <f t="shared" si="10"/>
        <v>97.791825018090464</v>
      </c>
      <c r="AV21" s="533">
        <f t="shared" si="10"/>
        <v>96.880235392368959</v>
      </c>
      <c r="AW21" s="533">
        <f t="shared" si="10"/>
        <v>92.072196259792676</v>
      </c>
      <c r="AX21" s="533">
        <f t="shared" si="10"/>
        <v>90.332306200090798</v>
      </c>
      <c r="AY21" s="533">
        <f t="shared" si="10"/>
        <v>90.357946470417815</v>
      </c>
      <c r="AZ21" s="533">
        <f t="shared" si="10"/>
        <v>100.27080798332376</v>
      </c>
      <c r="BA21" s="533">
        <f t="shared" si="10"/>
        <v>112.56420199234603</v>
      </c>
      <c r="BB21" s="533">
        <f t="shared" si="10"/>
        <v>115.13899965799301</v>
      </c>
      <c r="BC21" s="533">
        <f t="shared" si="10"/>
        <v>107.69893339313182</v>
      </c>
      <c r="BD21" s="533">
        <f t="shared" si="10"/>
        <v>95.067775816393791</v>
      </c>
      <c r="BE21" s="533">
        <f t="shared" si="10"/>
        <v>96.187586818031377</v>
      </c>
      <c r="BF21" s="533">
        <f t="shared" si="10"/>
        <v>97.637565218018381</v>
      </c>
      <c r="BG21" s="533">
        <f t="shared" si="10"/>
        <v>109.43434292859064</v>
      </c>
      <c r="BH21" s="533">
        <f t="shared" si="10"/>
        <v>108.64900649809718</v>
      </c>
      <c r="BI21" s="533">
        <f t="shared" si="10"/>
        <v>100.72607826722128</v>
      </c>
      <c r="BJ21" s="533">
        <f t="shared" si="10"/>
        <v>98.279425347180378</v>
      </c>
      <c r="BK21" s="533">
        <f t="shared" si="10"/>
        <v>93.298851605712869</v>
      </c>
      <c r="BL21" s="533">
        <f t="shared" si="10"/>
        <v>102.44921407427196</v>
      </c>
      <c r="BM21" s="533">
        <f t="shared" si="10"/>
        <v>115.05769618499087</v>
      </c>
      <c r="BN21" s="533">
        <f t="shared" si="10"/>
        <v>116.76798679921312</v>
      </c>
      <c r="BO21" s="533">
        <f t="shared" si="10"/>
        <v>109.86033021031002</v>
      </c>
      <c r="BP21" s="533">
        <f t="shared" ref="BP21:EA21" si="11">BP7*-1</f>
        <v>97.911698800723997</v>
      </c>
      <c r="BQ21" s="533">
        <f t="shared" si="11"/>
        <v>94.855697477145824</v>
      </c>
      <c r="BR21" s="533">
        <f t="shared" si="11"/>
        <v>95.774024836729865</v>
      </c>
      <c r="BS21" s="533">
        <f t="shared" si="11"/>
        <v>103.45282699699447</v>
      </c>
      <c r="BT21" s="533">
        <f t="shared" si="11"/>
        <v>104.6451314992393</v>
      </c>
      <c r="BU21" s="533">
        <f t="shared" si="11"/>
        <v>99.96924390744941</v>
      </c>
      <c r="BV21" s="533">
        <f t="shared" si="11"/>
        <v>96.448116282243348</v>
      </c>
      <c r="BW21" s="533">
        <f t="shared" si="11"/>
        <v>95.6831248909712</v>
      </c>
      <c r="BX21" s="533">
        <f t="shared" si="11"/>
        <v>105.00024348924771</v>
      </c>
      <c r="BY21" s="533">
        <f t="shared" si="11"/>
        <v>117.80975449115553</v>
      </c>
      <c r="BZ21" s="533">
        <f t="shared" si="11"/>
        <v>119.01354443981954</v>
      </c>
      <c r="CA21" s="533">
        <f t="shared" si="11"/>
        <v>112.42670787660148</v>
      </c>
      <c r="CB21" s="533">
        <f t="shared" si="11"/>
        <v>100.10750567513361</v>
      </c>
      <c r="CC21" s="533">
        <f t="shared" si="11"/>
        <v>92.06094747023694</v>
      </c>
      <c r="CD21" s="533">
        <f t="shared" si="11"/>
        <v>93.349831537924459</v>
      </c>
      <c r="CE21" s="533">
        <f t="shared" si="11"/>
        <v>102.05543140434918</v>
      </c>
      <c r="CF21" s="533">
        <f t="shared" si="11"/>
        <v>103.61406100040949</v>
      </c>
      <c r="CG21" s="533">
        <f t="shared" si="11"/>
        <v>98.516425974355215</v>
      </c>
      <c r="CH21" s="533">
        <f t="shared" si="11"/>
        <v>95.033857506100631</v>
      </c>
      <c r="CI21" s="533">
        <f t="shared" si="11"/>
        <v>97.616680951583632</v>
      </c>
      <c r="CJ21" s="533">
        <f t="shared" si="11"/>
        <v>106.81655663860914</v>
      </c>
      <c r="CK21" s="533">
        <f t="shared" si="11"/>
        <v>120.5729905116721</v>
      </c>
      <c r="CL21" s="533">
        <f t="shared" si="11"/>
        <v>122.70520047789313</v>
      </c>
      <c r="CM21" s="533">
        <f t="shared" si="11"/>
        <v>115.26143686830719</v>
      </c>
      <c r="CN21" s="533">
        <f t="shared" si="11"/>
        <v>102.22985883497951</v>
      </c>
      <c r="CO21" s="533">
        <f t="shared" si="11"/>
        <v>96.017079748261636</v>
      </c>
      <c r="CP21" s="533">
        <f t="shared" si="11"/>
        <v>97.661567836650576</v>
      </c>
      <c r="CQ21" s="533">
        <f t="shared" si="11"/>
        <v>107.5757860947044</v>
      </c>
      <c r="CR21" s="533">
        <f t="shared" si="11"/>
        <v>109.63965742181234</v>
      </c>
      <c r="CS21" s="533">
        <f t="shared" si="11"/>
        <v>104.24238733612097</v>
      </c>
      <c r="CT21" s="533">
        <f t="shared" si="11"/>
        <v>100.00364026960465</v>
      </c>
      <c r="CU21" s="533">
        <f t="shared" si="11"/>
        <v>98.896490248405655</v>
      </c>
      <c r="CV21" s="533">
        <f t="shared" si="11"/>
        <v>108.28346563819933</v>
      </c>
      <c r="CW21" s="533">
        <f t="shared" si="11"/>
        <v>120.82197551905229</v>
      </c>
      <c r="CX21" s="533">
        <f t="shared" si="11"/>
        <v>122.89607608811363</v>
      </c>
      <c r="CY21" s="533">
        <f t="shared" si="11"/>
        <v>115.3147187448763</v>
      </c>
      <c r="CZ21" s="533">
        <f t="shared" si="11"/>
        <v>102.3869908744764</v>
      </c>
      <c r="DA21" s="533">
        <f t="shared" si="11"/>
        <v>104.02282430014692</v>
      </c>
      <c r="DB21" s="533">
        <f t="shared" si="11"/>
        <v>104.90870605302405</v>
      </c>
      <c r="DC21" s="533">
        <f t="shared" si="11"/>
        <v>118.56778835933531</v>
      </c>
      <c r="DD21" s="533">
        <f t="shared" si="11"/>
        <v>119.08812379794345</v>
      </c>
      <c r="DE21" s="533">
        <f t="shared" si="11"/>
        <v>110.89175823748391</v>
      </c>
      <c r="DF21" s="533">
        <f t="shared" si="11"/>
        <v>108.02232204592033</v>
      </c>
      <c r="DG21" s="533">
        <f t="shared" si="11"/>
        <v>92.360683253541779</v>
      </c>
      <c r="DH21" s="533">
        <f t="shared" si="11"/>
        <v>102.22606295992556</v>
      </c>
      <c r="DI21" s="533">
        <f t="shared" si="11"/>
        <v>113.5504213834616</v>
      </c>
      <c r="DJ21" s="533">
        <f t="shared" si="11"/>
        <v>115.61566969477852</v>
      </c>
      <c r="DK21" s="533">
        <f t="shared" si="11"/>
        <v>108.14632537923087</v>
      </c>
      <c r="DL21" s="533">
        <f t="shared" si="11"/>
        <v>96.223652838268364</v>
      </c>
      <c r="DM21" s="533">
        <f t="shared" si="11"/>
        <v>98.660773840989293</v>
      </c>
      <c r="DN21" s="533">
        <f t="shared" si="11"/>
        <v>100.17225275477729</v>
      </c>
      <c r="DO21" s="533">
        <f t="shared" si="11"/>
        <v>111.74092925725714</v>
      </c>
      <c r="DP21" s="533">
        <f t="shared" si="11"/>
        <v>111.88014638878357</v>
      </c>
      <c r="DQ21" s="533">
        <f t="shared" si="11"/>
        <v>104.01161122029507</v>
      </c>
      <c r="DR21" s="533">
        <f t="shared" si="11"/>
        <v>100.83932086174427</v>
      </c>
      <c r="DS21" s="533">
        <f t="shared" si="11"/>
        <v>90.862708309875444</v>
      </c>
      <c r="DT21" s="533">
        <f t="shared" si="11"/>
        <v>99.923057558702027</v>
      </c>
      <c r="DU21" s="533">
        <f t="shared" si="11"/>
        <v>108.36246415452365</v>
      </c>
      <c r="DV21" s="533">
        <f t="shared" si="11"/>
        <v>109.78208228781335</v>
      </c>
      <c r="DW21" s="533">
        <f t="shared" si="11"/>
        <v>103.70952336275026</v>
      </c>
      <c r="DX21" s="533">
        <f t="shared" si="11"/>
        <v>94.370565085360099</v>
      </c>
      <c r="DY21" s="533">
        <f t="shared" si="11"/>
        <v>94.18938704297247</v>
      </c>
      <c r="DZ21" s="533">
        <f t="shared" si="11"/>
        <v>95.605097778585659</v>
      </c>
      <c r="EA21" s="533">
        <f t="shared" si="11"/>
        <v>101.65191233794725</v>
      </c>
      <c r="EB21" s="533">
        <f t="shared" ref="EB21:EP21" si="12">EB7*-1</f>
        <v>102.58664147585526</v>
      </c>
      <c r="EC21" s="533">
        <f t="shared" si="12"/>
        <v>98.404404121210547</v>
      </c>
      <c r="ED21" s="533">
        <f t="shared" si="12"/>
        <v>95.569336068894955</v>
      </c>
      <c r="EE21" s="533">
        <f t="shared" si="12"/>
        <v>87.861361941689324</v>
      </c>
      <c r="EF21" s="533">
        <f t="shared" si="12"/>
        <v>97.941775020800605</v>
      </c>
      <c r="EG21" s="533">
        <f t="shared" si="12"/>
        <v>106.27455255397895</v>
      </c>
      <c r="EH21" s="533">
        <f t="shared" si="12"/>
        <v>106.65410094988262</v>
      </c>
      <c r="EI21" s="533">
        <f t="shared" si="12"/>
        <v>100.56831673405676</v>
      </c>
      <c r="EJ21" s="533">
        <f t="shared" si="12"/>
        <v>91.703780521868282</v>
      </c>
      <c r="EK21" s="533">
        <f t="shared" si="12"/>
        <v>92.20541517777967</v>
      </c>
      <c r="EL21" s="533">
        <f t="shared" si="12"/>
        <v>94.256723419671943</v>
      </c>
      <c r="EM21" s="533">
        <f t="shared" si="12"/>
        <v>100.34707205772997</v>
      </c>
      <c r="EN21" s="533">
        <f t="shared" si="12"/>
        <v>99.378377288864726</v>
      </c>
      <c r="EO21" s="533">
        <f t="shared" si="12"/>
        <v>95.901720522375683</v>
      </c>
      <c r="EP21" s="533">
        <f t="shared" si="12"/>
        <v>94.063692294587625</v>
      </c>
    </row>
    <row r="22" spans="2:146">
      <c r="B22" s="531">
        <v>2004</v>
      </c>
      <c r="C22" s="533">
        <f t="shared" si="0"/>
        <v>83.953041137026702</v>
      </c>
      <c r="D22" s="533">
        <f t="shared" ref="D22:BO22" si="13">D8*-1</f>
        <v>94.243889339258246</v>
      </c>
      <c r="E22" s="533">
        <f t="shared" si="13"/>
        <v>103.01989774248204</v>
      </c>
      <c r="F22" s="533">
        <f t="shared" si="13"/>
        <v>104.70843109566528</v>
      </c>
      <c r="G22" s="533">
        <f t="shared" si="13"/>
        <v>98.473946030602491</v>
      </c>
      <c r="H22" s="533">
        <f t="shared" si="13"/>
        <v>88.394283517957334</v>
      </c>
      <c r="I22" s="533">
        <f t="shared" si="13"/>
        <v>88.163219835333948</v>
      </c>
      <c r="J22" s="533">
        <f t="shared" si="13"/>
        <v>90.456003836632107</v>
      </c>
      <c r="K22" s="533">
        <f t="shared" si="13"/>
        <v>97.399131667189167</v>
      </c>
      <c r="L22" s="533">
        <f t="shared" si="13"/>
        <v>97.829423604853901</v>
      </c>
      <c r="M22" s="533">
        <f t="shared" si="13"/>
        <v>92.781765707777083</v>
      </c>
      <c r="N22" s="533">
        <f t="shared" si="13"/>
        <v>89.230284394098035</v>
      </c>
      <c r="O22" s="533">
        <f t="shared" si="13"/>
        <v>82.578749804541658</v>
      </c>
      <c r="P22" s="533">
        <f t="shared" si="13"/>
        <v>92.418145100594884</v>
      </c>
      <c r="Q22" s="533">
        <f t="shared" si="13"/>
        <v>101.03779002141002</v>
      </c>
      <c r="R22" s="533">
        <f t="shared" si="13"/>
        <v>102.41631810145935</v>
      </c>
      <c r="S22" s="533">
        <f t="shared" si="13"/>
        <v>96.299933027086595</v>
      </c>
      <c r="T22" s="533">
        <f t="shared" si="13"/>
        <v>86.323437523802582</v>
      </c>
      <c r="U22" s="533">
        <f t="shared" si="13"/>
        <v>87.122477705110072</v>
      </c>
      <c r="V22" s="533">
        <f t="shared" si="13"/>
        <v>88.746595663868803</v>
      </c>
      <c r="W22" s="533">
        <f t="shared" si="13"/>
        <v>95.201454729974785</v>
      </c>
      <c r="X22" s="533">
        <f t="shared" si="13"/>
        <v>95.388733924872696</v>
      </c>
      <c r="Y22" s="533">
        <f t="shared" si="13"/>
        <v>91.055354786896871</v>
      </c>
      <c r="Z22" s="533">
        <f t="shared" si="13"/>
        <v>88.088517006134623</v>
      </c>
      <c r="AA22" s="533">
        <f t="shared" si="13"/>
        <v>78.222781450091546</v>
      </c>
      <c r="AB22" s="533">
        <f t="shared" si="13"/>
        <v>86.557468011939548</v>
      </c>
      <c r="AC22" s="533">
        <f t="shared" si="13"/>
        <v>96.546444853626497</v>
      </c>
      <c r="AD22" s="533">
        <f t="shared" si="13"/>
        <v>99.693330235825414</v>
      </c>
      <c r="AE22" s="533">
        <f t="shared" si="13"/>
        <v>94.043060623906683</v>
      </c>
      <c r="AF22" s="533">
        <f t="shared" si="13"/>
        <v>84.052528510166454</v>
      </c>
      <c r="AG22" s="533">
        <f t="shared" si="13"/>
        <v>87.496066575454677</v>
      </c>
      <c r="AH22" s="533">
        <f t="shared" si="13"/>
        <v>88.565636823179489</v>
      </c>
      <c r="AI22" s="533">
        <f t="shared" si="13"/>
        <v>94.931420580699836</v>
      </c>
      <c r="AJ22" s="533">
        <f t="shared" si="13"/>
        <v>95.426184042443865</v>
      </c>
      <c r="AK22" s="533">
        <f t="shared" si="13"/>
        <v>91.362620721365204</v>
      </c>
      <c r="AL22" s="533">
        <f t="shared" si="13"/>
        <v>88.257693263072355</v>
      </c>
      <c r="AM22" s="533">
        <f t="shared" si="13"/>
        <v>85.263212812903092</v>
      </c>
      <c r="AN22" s="533">
        <f t="shared" si="13"/>
        <v>93.302929787316756</v>
      </c>
      <c r="AO22" s="533">
        <f t="shared" si="13"/>
        <v>103.94139757356432</v>
      </c>
      <c r="AP22" s="533">
        <f t="shared" si="13"/>
        <v>107.82799741638837</v>
      </c>
      <c r="AQ22" s="533">
        <f t="shared" si="13"/>
        <v>101.13332280159726</v>
      </c>
      <c r="AR22" s="533">
        <f t="shared" si="13"/>
        <v>89.949376822831169</v>
      </c>
      <c r="AS22" s="533">
        <f t="shared" si="13"/>
        <v>89.756438089760536</v>
      </c>
      <c r="AT22" s="533">
        <f t="shared" si="13"/>
        <v>91.252356920976908</v>
      </c>
      <c r="AU22" s="533">
        <f t="shared" si="13"/>
        <v>98.161211383987052</v>
      </c>
      <c r="AV22" s="533">
        <f t="shared" si="13"/>
        <v>99.170717908364054</v>
      </c>
      <c r="AW22" s="533">
        <f t="shared" si="13"/>
        <v>93.881234550834634</v>
      </c>
      <c r="AX22" s="533">
        <f t="shared" si="13"/>
        <v>90.47858939511076</v>
      </c>
      <c r="AY22" s="533">
        <f t="shared" si="13"/>
        <v>91.199834197850137</v>
      </c>
      <c r="AZ22" s="533">
        <f t="shared" si="13"/>
        <v>100.66881710350175</v>
      </c>
      <c r="BA22" s="533">
        <f t="shared" si="13"/>
        <v>113.62836301378846</v>
      </c>
      <c r="BB22" s="533">
        <f t="shared" si="13"/>
        <v>117.70719969676739</v>
      </c>
      <c r="BC22" s="533">
        <f t="shared" si="13"/>
        <v>110.44220970570674</v>
      </c>
      <c r="BD22" s="533">
        <f t="shared" si="13"/>
        <v>96.714553281585012</v>
      </c>
      <c r="BE22" s="533">
        <f t="shared" si="13"/>
        <v>95.598974192114241</v>
      </c>
      <c r="BF22" s="533">
        <f t="shared" si="13"/>
        <v>97.043994208248705</v>
      </c>
      <c r="BG22" s="533">
        <f t="shared" si="13"/>
        <v>108.09798294746656</v>
      </c>
      <c r="BH22" s="533">
        <f t="shared" si="13"/>
        <v>109.71487511300714</v>
      </c>
      <c r="BI22" s="533">
        <f t="shared" si="13"/>
        <v>102.19035277663617</v>
      </c>
      <c r="BJ22" s="533">
        <f t="shared" si="13"/>
        <v>97.849190340137639</v>
      </c>
      <c r="BK22" s="533">
        <f t="shared" si="13"/>
        <v>94.861299955953257</v>
      </c>
      <c r="BL22" s="533">
        <f t="shared" si="13"/>
        <v>104.00960193478831</v>
      </c>
      <c r="BM22" s="533">
        <f t="shared" si="13"/>
        <v>117.48490987193321</v>
      </c>
      <c r="BN22" s="533">
        <f t="shared" si="13"/>
        <v>120.49014106422869</v>
      </c>
      <c r="BO22" s="533">
        <f t="shared" si="13"/>
        <v>113.67016624198838</v>
      </c>
      <c r="BP22" s="533">
        <f t="shared" ref="BP22:EA22" si="14">BP8*-1</f>
        <v>100.38489838617085</v>
      </c>
      <c r="BQ22" s="533">
        <f t="shared" si="14"/>
        <v>96.569921955103567</v>
      </c>
      <c r="BR22" s="533">
        <f t="shared" si="14"/>
        <v>97.463478839022599</v>
      </c>
      <c r="BS22" s="533">
        <f t="shared" si="14"/>
        <v>105.96091855439404</v>
      </c>
      <c r="BT22" s="533">
        <f t="shared" si="14"/>
        <v>108.78803908450615</v>
      </c>
      <c r="BU22" s="533">
        <f t="shared" si="14"/>
        <v>103.64474311821327</v>
      </c>
      <c r="BV22" s="533">
        <f t="shared" si="14"/>
        <v>98.588073864145954</v>
      </c>
      <c r="BW22" s="533">
        <f t="shared" si="14"/>
        <v>97.664055013246568</v>
      </c>
      <c r="BX22" s="533">
        <f t="shared" si="14"/>
        <v>107.00186543627007</v>
      </c>
      <c r="BY22" s="533">
        <f t="shared" si="14"/>
        <v>120.66508304293667</v>
      </c>
      <c r="BZ22" s="533">
        <f t="shared" si="14"/>
        <v>122.98268955090126</v>
      </c>
      <c r="CA22" s="533">
        <f t="shared" si="14"/>
        <v>116.53196757441685</v>
      </c>
      <c r="CB22" s="533">
        <f t="shared" si="14"/>
        <v>102.9836861912712</v>
      </c>
      <c r="CC22" s="533">
        <f t="shared" si="14"/>
        <v>93.72260441127132</v>
      </c>
      <c r="CD22" s="533">
        <f t="shared" si="14"/>
        <v>95.006260865800584</v>
      </c>
      <c r="CE22" s="533">
        <f t="shared" si="14"/>
        <v>104.30624608720944</v>
      </c>
      <c r="CF22" s="533">
        <f t="shared" si="14"/>
        <v>107.41765160346064</v>
      </c>
      <c r="CG22" s="533">
        <f t="shared" si="14"/>
        <v>101.94887631212501</v>
      </c>
      <c r="CH22" s="533">
        <f t="shared" si="14"/>
        <v>96.885119179071481</v>
      </c>
      <c r="CI22" s="533">
        <f t="shared" si="14"/>
        <v>99.447369382527341</v>
      </c>
      <c r="CJ22" s="533">
        <f t="shared" si="14"/>
        <v>108.62679501696969</v>
      </c>
      <c r="CK22" s="533">
        <f t="shared" si="14"/>
        <v>123.33442410038241</v>
      </c>
      <c r="CL22" s="533">
        <f t="shared" si="14"/>
        <v>126.65337081204122</v>
      </c>
      <c r="CM22" s="533">
        <f t="shared" si="14"/>
        <v>119.30568878849948</v>
      </c>
      <c r="CN22" s="533">
        <f t="shared" si="14"/>
        <v>104.9651924035776</v>
      </c>
      <c r="CO22" s="533">
        <f t="shared" si="14"/>
        <v>97.832379026848542</v>
      </c>
      <c r="CP22" s="533">
        <f t="shared" si="14"/>
        <v>99.384916593488768</v>
      </c>
      <c r="CQ22" s="533">
        <f t="shared" si="14"/>
        <v>109.99399731624439</v>
      </c>
      <c r="CR22" s="533">
        <f t="shared" si="14"/>
        <v>113.584068546483</v>
      </c>
      <c r="CS22" s="533">
        <f t="shared" si="14"/>
        <v>107.67782847467524</v>
      </c>
      <c r="CT22" s="533">
        <f t="shared" si="14"/>
        <v>102.06551798884239</v>
      </c>
      <c r="CU22" s="533">
        <f t="shared" si="14"/>
        <v>100.10984215701042</v>
      </c>
      <c r="CV22" s="533">
        <f t="shared" si="14"/>
        <v>109.14612233646463</v>
      </c>
      <c r="CW22" s="533">
        <f t="shared" si="14"/>
        <v>122.39360648984021</v>
      </c>
      <c r="CX22" s="533">
        <f t="shared" si="14"/>
        <v>125.99298294811445</v>
      </c>
      <c r="CY22" s="533">
        <f t="shared" si="14"/>
        <v>118.52526771562754</v>
      </c>
      <c r="CZ22" s="533">
        <f t="shared" si="14"/>
        <v>104.48671579029725</v>
      </c>
      <c r="DA22" s="533">
        <f t="shared" si="14"/>
        <v>104.68949661729739</v>
      </c>
      <c r="DB22" s="533">
        <f t="shared" si="14"/>
        <v>105.4522387998655</v>
      </c>
      <c r="DC22" s="533">
        <f t="shared" si="14"/>
        <v>118.99002321874494</v>
      </c>
      <c r="DD22" s="533">
        <f t="shared" si="14"/>
        <v>121.62312278988969</v>
      </c>
      <c r="DE22" s="533">
        <f t="shared" si="14"/>
        <v>113.25932054034705</v>
      </c>
      <c r="DF22" s="533">
        <f t="shared" si="14"/>
        <v>108.76651245688238</v>
      </c>
      <c r="DG22" s="533">
        <f t="shared" si="14"/>
        <v>93.335741610286235</v>
      </c>
      <c r="DH22" s="533">
        <f t="shared" si="14"/>
        <v>103.26077698706638</v>
      </c>
      <c r="DI22" s="533">
        <f t="shared" si="14"/>
        <v>115.38961463439747</v>
      </c>
      <c r="DJ22" s="533">
        <f t="shared" si="14"/>
        <v>118.98837356653632</v>
      </c>
      <c r="DK22" s="533">
        <f t="shared" si="14"/>
        <v>111.49575519036368</v>
      </c>
      <c r="DL22" s="533">
        <f t="shared" si="14"/>
        <v>98.126141540505202</v>
      </c>
      <c r="DM22" s="533">
        <f t="shared" si="14"/>
        <v>97.44736098452961</v>
      </c>
      <c r="DN22" s="533">
        <f t="shared" si="14"/>
        <v>98.809214633611603</v>
      </c>
      <c r="DO22" s="533">
        <f t="shared" si="14"/>
        <v>109.46825271887306</v>
      </c>
      <c r="DP22" s="533">
        <f t="shared" si="14"/>
        <v>112.18777497974308</v>
      </c>
      <c r="DQ22" s="533">
        <f t="shared" si="14"/>
        <v>104.6731341673261</v>
      </c>
      <c r="DR22" s="533">
        <f t="shared" si="14"/>
        <v>99.751202960743115</v>
      </c>
      <c r="DS22" s="533">
        <f t="shared" si="14"/>
        <v>91.432113215512075</v>
      </c>
      <c r="DT22" s="533">
        <f t="shared" si="14"/>
        <v>100.09430783581499</v>
      </c>
      <c r="DU22" s="533">
        <f t="shared" si="14"/>
        <v>109.26798360793055</v>
      </c>
      <c r="DV22" s="533">
        <f t="shared" si="14"/>
        <v>112.09668113463556</v>
      </c>
      <c r="DW22" s="533">
        <f t="shared" si="14"/>
        <v>106.24196523568463</v>
      </c>
      <c r="DX22" s="533">
        <f t="shared" si="14"/>
        <v>95.703698685247659</v>
      </c>
      <c r="DY22" s="533">
        <f t="shared" si="14"/>
        <v>96.305980879629985</v>
      </c>
      <c r="DZ22" s="533">
        <f t="shared" si="14"/>
        <v>97.722415537176573</v>
      </c>
      <c r="EA22" s="533">
        <f t="shared" si="14"/>
        <v>104.26627058195537</v>
      </c>
      <c r="EB22" s="533">
        <f t="shared" ref="EB22:EP22" si="15">EB8*-1</f>
        <v>106.75746441901158</v>
      </c>
      <c r="EC22" s="533">
        <f t="shared" si="15"/>
        <v>101.96046668303148</v>
      </c>
      <c r="ED22" s="533">
        <f t="shared" si="15"/>
        <v>97.711189425804733</v>
      </c>
      <c r="EE22" s="533">
        <f t="shared" si="15"/>
        <v>88.541618222603006</v>
      </c>
      <c r="EF22" s="533">
        <f t="shared" si="15"/>
        <v>98.380957319978023</v>
      </c>
      <c r="EG22" s="533">
        <f t="shared" si="15"/>
        <v>107.46897606632459</v>
      </c>
      <c r="EH22" s="533">
        <f t="shared" si="15"/>
        <v>109.05020199253882</v>
      </c>
      <c r="EI22" s="533">
        <f t="shared" si="15"/>
        <v>103.14570226891911</v>
      </c>
      <c r="EJ22" s="533">
        <f t="shared" si="15"/>
        <v>93.17646861421737</v>
      </c>
      <c r="EK22" s="533">
        <f t="shared" si="15"/>
        <v>93.61116957174572</v>
      </c>
      <c r="EL22" s="533">
        <f t="shared" si="15"/>
        <v>95.684261394336957</v>
      </c>
      <c r="EM22" s="533">
        <f t="shared" si="15"/>
        <v>102.17594129352966</v>
      </c>
      <c r="EN22" s="533">
        <f t="shared" si="15"/>
        <v>102.76696502441858</v>
      </c>
      <c r="EO22" s="533">
        <f t="shared" si="15"/>
        <v>98.637027325823539</v>
      </c>
      <c r="EP22" s="533">
        <f t="shared" si="15"/>
        <v>95.485809482724804</v>
      </c>
    </row>
    <row r="23" spans="2:146">
      <c r="B23" s="531">
        <v>2005</v>
      </c>
      <c r="C23" s="533">
        <f t="shared" si="0"/>
        <v>83.940611378758362</v>
      </c>
      <c r="D23" s="533">
        <f t="shared" ref="D23:BO23" si="16">D9*-1</f>
        <v>94.218331668976077</v>
      </c>
      <c r="E23" s="533">
        <f t="shared" si="16"/>
        <v>102.99472306675952</v>
      </c>
      <c r="F23" s="533">
        <f t="shared" si="16"/>
        <v>104.683914348816</v>
      </c>
      <c r="G23" s="533">
        <f t="shared" si="16"/>
        <v>98.453686999994432</v>
      </c>
      <c r="H23" s="533">
        <f t="shared" si="16"/>
        <v>88.380394585651956</v>
      </c>
      <c r="I23" s="533">
        <f t="shared" si="16"/>
        <v>88.129716958435637</v>
      </c>
      <c r="J23" s="533">
        <f t="shared" si="16"/>
        <v>90.421173099959759</v>
      </c>
      <c r="K23" s="533">
        <f t="shared" si="16"/>
        <v>97.357072482820186</v>
      </c>
      <c r="L23" s="533">
        <f t="shared" si="16"/>
        <v>97.79455913727277</v>
      </c>
      <c r="M23" s="533">
        <f t="shared" si="16"/>
        <v>92.749473724576063</v>
      </c>
      <c r="N23" s="533">
        <f t="shared" si="16"/>
        <v>89.196563336887493</v>
      </c>
      <c r="O23" s="533">
        <f t="shared" si="16"/>
        <v>82.335987968054184</v>
      </c>
      <c r="P23" s="533">
        <f t="shared" si="16"/>
        <v>91.940322354876713</v>
      </c>
      <c r="Q23" s="533">
        <f t="shared" si="16"/>
        <v>100.56122153553346</v>
      </c>
      <c r="R23" s="533">
        <f t="shared" si="16"/>
        <v>101.94964351091349</v>
      </c>
      <c r="S23" s="533">
        <f t="shared" si="16"/>
        <v>95.920958557726749</v>
      </c>
      <c r="T23" s="533">
        <f t="shared" si="16"/>
        <v>86.053452614622842</v>
      </c>
      <c r="U23" s="533">
        <f t="shared" si="16"/>
        <v>87.506406757564889</v>
      </c>
      <c r="V23" s="533">
        <f t="shared" si="16"/>
        <v>89.135810563899966</v>
      </c>
      <c r="W23" s="533">
        <f t="shared" si="16"/>
        <v>95.675369347104706</v>
      </c>
      <c r="X23" s="533">
        <f t="shared" si="16"/>
        <v>95.781781141957154</v>
      </c>
      <c r="Y23" s="533">
        <f t="shared" si="16"/>
        <v>91.413348552018306</v>
      </c>
      <c r="Z23" s="533">
        <f t="shared" si="16"/>
        <v>88.475126186375846</v>
      </c>
      <c r="AA23" s="533">
        <f t="shared" si="16"/>
        <v>78.243296046511162</v>
      </c>
      <c r="AB23" s="533">
        <f t="shared" si="16"/>
        <v>86.599564294509236</v>
      </c>
      <c r="AC23" s="533">
        <f t="shared" si="16"/>
        <v>96.589140919734518</v>
      </c>
      <c r="AD23" s="533">
        <f t="shared" si="16"/>
        <v>99.735161177198819</v>
      </c>
      <c r="AE23" s="533">
        <f t="shared" si="16"/>
        <v>94.076679266026844</v>
      </c>
      <c r="AF23" s="533">
        <f t="shared" si="16"/>
        <v>84.075670387022157</v>
      </c>
      <c r="AG23" s="533">
        <f t="shared" si="16"/>
        <v>87.575942625797722</v>
      </c>
      <c r="AH23" s="533">
        <f t="shared" si="16"/>
        <v>88.643536316760503</v>
      </c>
      <c r="AI23" s="533">
        <f t="shared" si="16"/>
        <v>95.024735511030372</v>
      </c>
      <c r="AJ23" s="533">
        <f t="shared" si="16"/>
        <v>95.504852241463624</v>
      </c>
      <c r="AK23" s="533">
        <f t="shared" si="16"/>
        <v>91.437026039455603</v>
      </c>
      <c r="AL23" s="533">
        <f t="shared" si="16"/>
        <v>88.337653852241459</v>
      </c>
      <c r="AM23" s="533">
        <f t="shared" si="16"/>
        <v>85.212937075471928</v>
      </c>
      <c r="AN23" s="533">
        <f t="shared" si="16"/>
        <v>93.198130602115839</v>
      </c>
      <c r="AO23" s="533">
        <f t="shared" si="16"/>
        <v>103.82663877965304</v>
      </c>
      <c r="AP23" s="533">
        <f t="shared" si="16"/>
        <v>107.7104016181564</v>
      </c>
      <c r="AQ23" s="533">
        <f t="shared" si="16"/>
        <v>101.04382760010235</v>
      </c>
      <c r="AR23" s="533">
        <f t="shared" si="16"/>
        <v>89.892114579316427</v>
      </c>
      <c r="AS23" s="533">
        <f t="shared" si="16"/>
        <v>88.228835872097108</v>
      </c>
      <c r="AT23" s="533">
        <f t="shared" si="16"/>
        <v>89.74283761785631</v>
      </c>
      <c r="AU23" s="533">
        <f t="shared" si="16"/>
        <v>96.246825977825367</v>
      </c>
      <c r="AV23" s="533">
        <f t="shared" si="16"/>
        <v>97.550712829686915</v>
      </c>
      <c r="AW23" s="533">
        <f t="shared" si="16"/>
        <v>92.548043714581254</v>
      </c>
      <c r="AX23" s="533">
        <f t="shared" si="16"/>
        <v>88.95650453532042</v>
      </c>
      <c r="AY23" s="533">
        <f t="shared" si="16"/>
        <v>90.97537939799652</v>
      </c>
      <c r="AZ23" s="533">
        <f t="shared" si="16"/>
        <v>100.05010035211507</v>
      </c>
      <c r="BA23" s="533">
        <f t="shared" si="16"/>
        <v>112.85793747746112</v>
      </c>
      <c r="BB23" s="533">
        <f t="shared" si="16"/>
        <v>116.9204556673578</v>
      </c>
      <c r="BC23" s="533">
        <f t="shared" si="16"/>
        <v>109.81578465465785</v>
      </c>
      <c r="BD23" s="533">
        <f t="shared" si="16"/>
        <v>96.434951721463435</v>
      </c>
      <c r="BE23" s="533">
        <f t="shared" si="16"/>
        <v>95.648600564414835</v>
      </c>
      <c r="BF23" s="533">
        <f t="shared" si="16"/>
        <v>97.092715215576376</v>
      </c>
      <c r="BG23" s="533">
        <f t="shared" si="16"/>
        <v>108.18188629880223</v>
      </c>
      <c r="BH23" s="533">
        <f t="shared" si="16"/>
        <v>109.7813975843264</v>
      </c>
      <c r="BI23" s="533">
        <f t="shared" si="16"/>
        <v>102.23162926616654</v>
      </c>
      <c r="BJ23" s="533">
        <f t="shared" si="16"/>
        <v>97.898539557139827</v>
      </c>
      <c r="BK23" s="533">
        <f t="shared" si="16"/>
        <v>94.848929940128329</v>
      </c>
      <c r="BL23" s="533">
        <f t="shared" si="16"/>
        <v>103.96805641654115</v>
      </c>
      <c r="BM23" s="533">
        <f t="shared" si="16"/>
        <v>117.43028286709936</v>
      </c>
      <c r="BN23" s="533">
        <f t="shared" si="16"/>
        <v>120.43286807981571</v>
      </c>
      <c r="BO23" s="533">
        <f t="shared" si="16"/>
        <v>113.62368162544108</v>
      </c>
      <c r="BP23" s="533">
        <f t="shared" ref="BP23:EA23" si="17">BP9*-1</f>
        <v>100.36885186711969</v>
      </c>
      <c r="BQ23" s="533">
        <f t="shared" si="17"/>
        <v>96.492226261502935</v>
      </c>
      <c r="BR23" s="533">
        <f t="shared" si="17"/>
        <v>97.390230198027595</v>
      </c>
      <c r="BS23" s="533">
        <f t="shared" si="17"/>
        <v>105.83511282407255</v>
      </c>
      <c r="BT23" s="533">
        <f t="shared" si="17"/>
        <v>108.68528446793802</v>
      </c>
      <c r="BU23" s="533">
        <f t="shared" si="17"/>
        <v>103.58049505459883</v>
      </c>
      <c r="BV23" s="533">
        <f t="shared" si="17"/>
        <v>98.513289860210733</v>
      </c>
      <c r="BW23" s="533">
        <f t="shared" si="17"/>
        <v>97.630424987876239</v>
      </c>
      <c r="BX23" s="533">
        <f t="shared" si="17"/>
        <v>106.89029836401077</v>
      </c>
      <c r="BY23" s="533">
        <f t="shared" si="17"/>
        <v>120.51904847169594</v>
      </c>
      <c r="BZ23" s="533">
        <f t="shared" si="17"/>
        <v>122.8314960769377</v>
      </c>
      <c r="CA23" s="533">
        <f t="shared" si="17"/>
        <v>116.40769095279543</v>
      </c>
      <c r="CB23" s="533">
        <f t="shared" si="17"/>
        <v>102.93946536170894</v>
      </c>
      <c r="CC23" s="533">
        <f t="shared" si="17"/>
        <v>93.530513797411757</v>
      </c>
      <c r="CD23" s="533">
        <f t="shared" si="17"/>
        <v>94.817700392407843</v>
      </c>
      <c r="CE23" s="533">
        <f t="shared" si="17"/>
        <v>103.88201272340194</v>
      </c>
      <c r="CF23" s="533">
        <f t="shared" si="17"/>
        <v>107.09357721947981</v>
      </c>
      <c r="CG23" s="533">
        <f t="shared" si="17"/>
        <v>101.78910756522913</v>
      </c>
      <c r="CH23" s="533">
        <f t="shared" si="17"/>
        <v>96.694094497097112</v>
      </c>
      <c r="CI23" s="533">
        <f t="shared" si="17"/>
        <v>99.404330490685567</v>
      </c>
      <c r="CJ23" s="533">
        <f t="shared" si="17"/>
        <v>108.48092761232799</v>
      </c>
      <c r="CK23" s="533">
        <f t="shared" si="17"/>
        <v>123.14069385640997</v>
      </c>
      <c r="CL23" s="533">
        <f t="shared" si="17"/>
        <v>126.45230284592049</v>
      </c>
      <c r="CM23" s="533">
        <f t="shared" si="17"/>
        <v>119.14305059031999</v>
      </c>
      <c r="CN23" s="533">
        <f t="shared" si="17"/>
        <v>104.90804483342968</v>
      </c>
      <c r="CO23" s="533">
        <f t="shared" si="17"/>
        <v>97.690781180814085</v>
      </c>
      <c r="CP23" s="533">
        <f t="shared" si="17"/>
        <v>99.245916473631596</v>
      </c>
      <c r="CQ23" s="533">
        <f t="shared" si="17"/>
        <v>109.72139738503824</v>
      </c>
      <c r="CR23" s="533">
        <f t="shared" si="17"/>
        <v>113.36412585622742</v>
      </c>
      <c r="CS23" s="533">
        <f t="shared" si="17"/>
        <v>107.56005531244578</v>
      </c>
      <c r="CT23" s="533">
        <f t="shared" si="17"/>
        <v>101.92470311650168</v>
      </c>
      <c r="CU23" s="533">
        <f t="shared" si="17"/>
        <v>100.03435834639592</v>
      </c>
      <c r="CV23" s="533">
        <f t="shared" si="17"/>
        <v>108.91974171530558</v>
      </c>
      <c r="CW23" s="533">
        <f t="shared" si="17"/>
        <v>122.11981336717335</v>
      </c>
      <c r="CX23" s="533">
        <f t="shared" si="17"/>
        <v>125.70931848914208</v>
      </c>
      <c r="CY23" s="533">
        <f t="shared" si="17"/>
        <v>118.2916921457842</v>
      </c>
      <c r="CZ23" s="533">
        <f t="shared" si="17"/>
        <v>104.39027788279394</v>
      </c>
      <c r="DA23" s="533">
        <f t="shared" si="17"/>
        <v>104.36969318281371</v>
      </c>
      <c r="DB23" s="533">
        <f t="shared" si="17"/>
        <v>105.12716898193065</v>
      </c>
      <c r="DC23" s="533">
        <f t="shared" si="17"/>
        <v>118.40243671923521</v>
      </c>
      <c r="DD23" s="533">
        <f t="shared" si="17"/>
        <v>121.16052931878403</v>
      </c>
      <c r="DE23" s="533">
        <f t="shared" si="17"/>
        <v>112.98216330731456</v>
      </c>
      <c r="DF23" s="533">
        <f t="shared" si="17"/>
        <v>108.44697973525248</v>
      </c>
      <c r="DG23" s="533">
        <f t="shared" si="17"/>
        <v>93.251140073491328</v>
      </c>
      <c r="DH23" s="533">
        <f t="shared" si="17"/>
        <v>103.03544628832894</v>
      </c>
      <c r="DI23" s="533">
        <f t="shared" si="17"/>
        <v>115.13605786666325</v>
      </c>
      <c r="DJ23" s="533">
        <f t="shared" si="17"/>
        <v>118.73015676056991</v>
      </c>
      <c r="DK23" s="533">
        <f t="shared" si="17"/>
        <v>111.28914717758336</v>
      </c>
      <c r="DL23" s="533">
        <f t="shared" si="17"/>
        <v>98.022456116557152</v>
      </c>
      <c r="DM23" s="533">
        <f t="shared" si="17"/>
        <v>97.164549739990704</v>
      </c>
      <c r="DN23" s="533">
        <f t="shared" si="17"/>
        <v>98.511195538813112</v>
      </c>
      <c r="DO23" s="533">
        <f t="shared" si="17"/>
        <v>109.00194173515138</v>
      </c>
      <c r="DP23" s="533">
        <f t="shared" si="17"/>
        <v>111.81143359282127</v>
      </c>
      <c r="DQ23" s="533">
        <f t="shared" si="17"/>
        <v>104.41732994150314</v>
      </c>
      <c r="DR23" s="533">
        <f t="shared" si="17"/>
        <v>99.467327176536685</v>
      </c>
      <c r="DS23" s="533">
        <f t="shared" si="17"/>
        <v>91.274093064096419</v>
      </c>
      <c r="DT23" s="533">
        <f t="shared" si="17"/>
        <v>99.78262634000825</v>
      </c>
      <c r="DU23" s="533">
        <f t="shared" si="17"/>
        <v>108.95588528914374</v>
      </c>
      <c r="DV23" s="533">
        <f t="shared" si="17"/>
        <v>111.79386679400882</v>
      </c>
      <c r="DW23" s="533">
        <f t="shared" si="17"/>
        <v>105.99051269823023</v>
      </c>
      <c r="DX23" s="533">
        <f t="shared" si="17"/>
        <v>95.52687732468371</v>
      </c>
      <c r="DY23" s="533">
        <f t="shared" si="17"/>
        <v>95.830686564623505</v>
      </c>
      <c r="DZ23" s="533">
        <f t="shared" si="17"/>
        <v>97.245190600882225</v>
      </c>
      <c r="EA23" s="533">
        <f t="shared" si="17"/>
        <v>103.71215913534377</v>
      </c>
      <c r="EB23" s="533">
        <f t="shared" ref="EB23:EP23" si="18">EB9*-1</f>
        <v>106.28371983267593</v>
      </c>
      <c r="EC23" s="533">
        <f t="shared" si="18"/>
        <v>101.50231393756681</v>
      </c>
      <c r="ED23" s="533">
        <f t="shared" si="18"/>
        <v>97.234524486984398</v>
      </c>
      <c r="EE23" s="533">
        <f t="shared" si="18"/>
        <v>88.466393969541272</v>
      </c>
      <c r="EF23" s="533">
        <f t="shared" si="18"/>
        <v>98.229426278937851</v>
      </c>
      <c r="EG23" s="533">
        <f t="shared" si="18"/>
        <v>107.31925742354723</v>
      </c>
      <c r="EH23" s="533">
        <f t="shared" si="18"/>
        <v>108.90492275243787</v>
      </c>
      <c r="EI23" s="533">
        <f t="shared" si="18"/>
        <v>103.02383025139952</v>
      </c>
      <c r="EJ23" s="533">
        <f t="shared" si="18"/>
        <v>93.092335114476242</v>
      </c>
      <c r="EK23" s="533">
        <f t="shared" si="18"/>
        <v>91.149773598057024</v>
      </c>
      <c r="EL23" s="533">
        <f t="shared" si="18"/>
        <v>93.155683143108263</v>
      </c>
      <c r="EM23" s="533">
        <f t="shared" si="18"/>
        <v>99.168003387154897</v>
      </c>
      <c r="EN23" s="533">
        <f t="shared" si="18"/>
        <v>100.2431184928196</v>
      </c>
      <c r="EO23" s="533">
        <f t="shared" si="18"/>
        <v>96.276440579676418</v>
      </c>
      <c r="EP23" s="533">
        <f t="shared" si="18"/>
        <v>93.02503556098651</v>
      </c>
    </row>
    <row r="24" spans="2:146">
      <c r="B24" s="531">
        <v>2006</v>
      </c>
      <c r="C24" s="533">
        <f t="shared" si="0"/>
        <v>83.877860182244945</v>
      </c>
      <c r="D24" s="533">
        <f t="shared" ref="D24:BO24" si="19">D10*-1</f>
        <v>94.089288237840307</v>
      </c>
      <c r="E24" s="533">
        <f t="shared" si="19"/>
        <v>102.86762143769639</v>
      </c>
      <c r="F24" s="533">
        <f t="shared" si="19"/>
        <v>104.56009779449903</v>
      </c>
      <c r="G24" s="533">
        <f t="shared" si="19"/>
        <v>98.351380100815419</v>
      </c>
      <c r="H24" s="533">
        <f t="shared" si="19"/>
        <v>88.310260532530592</v>
      </c>
      <c r="I24" s="533">
        <f t="shared" si="19"/>
        <v>87.960525664117483</v>
      </c>
      <c r="J24" s="533">
        <f t="shared" si="19"/>
        <v>90.245299495263296</v>
      </c>
      <c r="K24" s="533">
        <f t="shared" si="19"/>
        <v>97.144674801018894</v>
      </c>
      <c r="L24" s="533">
        <f t="shared" si="19"/>
        <v>97.61851132314564</v>
      </c>
      <c r="M24" s="533">
        <f t="shared" si="19"/>
        <v>92.586449691822125</v>
      </c>
      <c r="N24" s="533">
        <f t="shared" si="19"/>
        <v>89.026288816479635</v>
      </c>
      <c r="O24" s="533">
        <f t="shared" si="19"/>
        <v>82.226417674574307</v>
      </c>
      <c r="P24" s="533">
        <f t="shared" si="19"/>
        <v>91.717881347408678</v>
      </c>
      <c r="Q24" s="533">
        <f t="shared" si="19"/>
        <v>100.34022270199708</v>
      </c>
      <c r="R24" s="533">
        <f t="shared" si="19"/>
        <v>101.73357238362105</v>
      </c>
      <c r="S24" s="533">
        <f t="shared" si="19"/>
        <v>95.746754152050698</v>
      </c>
      <c r="T24" s="533">
        <f t="shared" si="19"/>
        <v>85.931057410860689</v>
      </c>
      <c r="U24" s="533">
        <f t="shared" si="19"/>
        <v>87.152319571368679</v>
      </c>
      <c r="V24" s="533">
        <f t="shared" si="19"/>
        <v>88.776771671699194</v>
      </c>
      <c r="W24" s="533">
        <f t="shared" si="19"/>
        <v>95.240465282289563</v>
      </c>
      <c r="X24" s="533">
        <f t="shared" si="19"/>
        <v>95.418190575952039</v>
      </c>
      <c r="Y24" s="533">
        <f t="shared" si="19"/>
        <v>91.081446013529657</v>
      </c>
      <c r="Z24" s="533">
        <f t="shared" si="19"/>
        <v>88.118499326974785</v>
      </c>
      <c r="AA24" s="533">
        <f t="shared" si="19"/>
        <v>78.255558746479053</v>
      </c>
      <c r="AB24" s="533">
        <f t="shared" si="19"/>
        <v>86.624734161767506</v>
      </c>
      <c r="AC24" s="533">
        <f t="shared" si="19"/>
        <v>96.614661924181817</v>
      </c>
      <c r="AD24" s="533">
        <f t="shared" si="19"/>
        <v>99.760177344559679</v>
      </c>
      <c r="AE24" s="533">
        <f t="shared" si="19"/>
        <v>94.09677709459072</v>
      </c>
      <c r="AF24" s="533">
        <f t="shared" si="19"/>
        <v>84.089502173340676</v>
      </c>
      <c r="AG24" s="533">
        <f t="shared" si="19"/>
        <v>87.623688914720134</v>
      </c>
      <c r="AH24" s="533">
        <f t="shared" si="19"/>
        <v>88.690098204353376</v>
      </c>
      <c r="AI24" s="533">
        <f t="shared" si="19"/>
        <v>95.080517329796095</v>
      </c>
      <c r="AJ24" s="533">
        <f t="shared" si="19"/>
        <v>95.551881317165979</v>
      </c>
      <c r="AK24" s="533">
        <f t="shared" si="19"/>
        <v>91.481505950288692</v>
      </c>
      <c r="AL24" s="533">
        <f t="shared" si="19"/>
        <v>88.385449160245741</v>
      </c>
      <c r="AM24" s="533">
        <f t="shared" si="19"/>
        <v>85.144614974169002</v>
      </c>
      <c r="AN24" s="533">
        <f t="shared" si="19"/>
        <v>93.055685458514645</v>
      </c>
      <c r="AO24" s="533">
        <f t="shared" si="19"/>
        <v>103.67067541295371</v>
      </c>
      <c r="AP24" s="533">
        <f t="shared" si="19"/>
        <v>107.5505675763504</v>
      </c>
      <c r="AQ24" s="533">
        <f t="shared" si="19"/>
        <v>100.92218657288203</v>
      </c>
      <c r="AR24" s="533">
        <f t="shared" si="19"/>
        <v>89.814289297768624</v>
      </c>
      <c r="AS24" s="533">
        <f t="shared" si="19"/>
        <v>86.969706971984408</v>
      </c>
      <c r="AT24" s="533">
        <f t="shared" si="19"/>
        <v>88.498613916782034</v>
      </c>
      <c r="AU24" s="533">
        <f t="shared" si="19"/>
        <v>94.668884458561863</v>
      </c>
      <c r="AV24" s="533">
        <f t="shared" si="19"/>
        <v>96.215420171129324</v>
      </c>
      <c r="AW24" s="533">
        <f t="shared" si="19"/>
        <v>91.449154911263506</v>
      </c>
      <c r="AX24" s="533">
        <f t="shared" si="19"/>
        <v>87.701925198746693</v>
      </c>
      <c r="AY24" s="533">
        <f t="shared" si="19"/>
        <v>90.792003208627264</v>
      </c>
      <c r="AZ24" s="533">
        <f t="shared" si="19"/>
        <v>99.544620149203539</v>
      </c>
      <c r="BA24" s="533">
        <f t="shared" si="19"/>
        <v>112.22851683353394</v>
      </c>
      <c r="BB24" s="533">
        <f t="shared" si="19"/>
        <v>116.2777039040443</v>
      </c>
      <c r="BC24" s="533">
        <f t="shared" si="19"/>
        <v>109.30400855644429</v>
      </c>
      <c r="BD24" s="533">
        <f t="shared" si="19"/>
        <v>96.206520905585023</v>
      </c>
      <c r="BE24" s="533">
        <f t="shared" si="19"/>
        <v>95.79914981139467</v>
      </c>
      <c r="BF24" s="533">
        <f t="shared" si="19"/>
        <v>97.240494507269617</v>
      </c>
      <c r="BG24" s="533">
        <f t="shared" si="19"/>
        <v>108.43642490090517</v>
      </c>
      <c r="BH24" s="533">
        <f t="shared" si="19"/>
        <v>109.98320292010919</v>
      </c>
      <c r="BI24" s="533">
        <f t="shared" si="19"/>
        <v>102.35684994505527</v>
      </c>
      <c r="BJ24" s="533">
        <f t="shared" si="19"/>
        <v>98.048258355794701</v>
      </c>
      <c r="BK24" s="533">
        <f t="shared" si="19"/>
        <v>94.825946141850608</v>
      </c>
      <c r="BL24" s="533">
        <f t="shared" si="19"/>
        <v>103.89083990743592</v>
      </c>
      <c r="BM24" s="533">
        <f t="shared" si="19"/>
        <v>117.3287538338686</v>
      </c>
      <c r="BN24" s="533">
        <f t="shared" si="19"/>
        <v>120.32642592373416</v>
      </c>
      <c r="BO24" s="533">
        <f t="shared" si="19"/>
        <v>113.53729146554014</v>
      </c>
      <c r="BP24" s="533">
        <f t="shared" ref="BP24:EA24" si="20">BP10*-1</f>
        <v>100.33903672425939</v>
      </c>
      <c r="BQ24" s="533">
        <f t="shared" si="20"/>
        <v>96.347818563118636</v>
      </c>
      <c r="BR24" s="533">
        <f t="shared" si="20"/>
        <v>97.254094357788532</v>
      </c>
      <c r="BS24" s="533">
        <f t="shared" si="20"/>
        <v>105.60129278621964</v>
      </c>
      <c r="BT24" s="533">
        <f t="shared" si="20"/>
        <v>108.49430592031815</v>
      </c>
      <c r="BU24" s="533">
        <f t="shared" si="20"/>
        <v>103.46108710247348</v>
      </c>
      <c r="BV24" s="533">
        <f t="shared" si="20"/>
        <v>98.374294334891104</v>
      </c>
      <c r="BW24" s="533">
        <f t="shared" si="20"/>
        <v>97.59350457516652</v>
      </c>
      <c r="BX24" s="533">
        <f t="shared" si="20"/>
        <v>106.76777493901902</v>
      </c>
      <c r="BY24" s="533">
        <f t="shared" si="20"/>
        <v>120.3586723731311</v>
      </c>
      <c r="BZ24" s="533">
        <f t="shared" si="20"/>
        <v>122.66546902324043</v>
      </c>
      <c r="CA24" s="533">
        <f t="shared" si="20"/>
        <v>116.27121687993522</v>
      </c>
      <c r="CB24" s="533">
        <f t="shared" si="20"/>
        <v>102.89090932907214</v>
      </c>
      <c r="CC24" s="533">
        <f t="shared" si="20"/>
        <v>93.399746500090188</v>
      </c>
      <c r="CD24" s="533">
        <f t="shared" si="20"/>
        <v>94.689340136243118</v>
      </c>
      <c r="CE24" s="533">
        <f t="shared" si="20"/>
        <v>103.59320684899383</v>
      </c>
      <c r="CF24" s="533">
        <f t="shared" si="20"/>
        <v>106.87296794267749</v>
      </c>
      <c r="CG24" s="533">
        <f t="shared" si="20"/>
        <v>101.68035076770825</v>
      </c>
      <c r="CH24" s="533">
        <f t="shared" si="20"/>
        <v>96.564054382193802</v>
      </c>
      <c r="CI24" s="533">
        <f t="shared" si="20"/>
        <v>99.3705045151371</v>
      </c>
      <c r="CJ24" s="533">
        <f t="shared" si="20"/>
        <v>108.36629897920977</v>
      </c>
      <c r="CK24" s="533">
        <f t="shared" si="20"/>
        <v>122.98845195185979</v>
      </c>
      <c r="CL24" s="533">
        <f t="shared" si="20"/>
        <v>126.2942958844458</v>
      </c>
      <c r="CM24" s="533">
        <f t="shared" si="20"/>
        <v>119.01523598102396</v>
      </c>
      <c r="CN24" s="533">
        <f t="shared" si="20"/>
        <v>104.86314216627652</v>
      </c>
      <c r="CO24" s="533">
        <f t="shared" si="20"/>
        <v>97.485024880444612</v>
      </c>
      <c r="CP24" s="533">
        <f t="shared" si="20"/>
        <v>99.043938729388302</v>
      </c>
      <c r="CQ24" s="533">
        <f t="shared" si="20"/>
        <v>109.32527291128264</v>
      </c>
      <c r="CR24" s="533">
        <f t="shared" si="20"/>
        <v>113.04452810313073</v>
      </c>
      <c r="CS24" s="533">
        <f t="shared" si="20"/>
        <v>107.38892048785854</v>
      </c>
      <c r="CT24" s="533">
        <f t="shared" si="20"/>
        <v>101.72009016106321</v>
      </c>
      <c r="CU24" s="533">
        <f t="shared" si="20"/>
        <v>100.01368667435153</v>
      </c>
      <c r="CV24" s="533">
        <f t="shared" si="20"/>
        <v>108.8577469521374</v>
      </c>
      <c r="CW24" s="533">
        <f t="shared" si="20"/>
        <v>122.04483826768845</v>
      </c>
      <c r="CX24" s="533">
        <f t="shared" si="20"/>
        <v>125.63164109935661</v>
      </c>
      <c r="CY24" s="533">
        <f t="shared" si="20"/>
        <v>118.2277392979601</v>
      </c>
      <c r="CZ24" s="533">
        <f t="shared" si="20"/>
        <v>104.36386084315463</v>
      </c>
      <c r="DA24" s="533">
        <f t="shared" si="20"/>
        <v>103.42017143100307</v>
      </c>
      <c r="DB24" s="533">
        <f t="shared" si="20"/>
        <v>104.16201865973299</v>
      </c>
      <c r="DC24" s="533">
        <f t="shared" si="20"/>
        <v>116.65787407681461</v>
      </c>
      <c r="DD24" s="533">
        <f t="shared" si="20"/>
        <v>119.78705265099711</v>
      </c>
      <c r="DE24" s="533">
        <f t="shared" si="20"/>
        <v>112.15927734374741</v>
      </c>
      <c r="DF24" s="533">
        <f t="shared" si="20"/>
        <v>107.49828220103964</v>
      </c>
      <c r="DG24" s="533">
        <f t="shared" si="20"/>
        <v>93.133903450402698</v>
      </c>
      <c r="DH24" s="533">
        <f t="shared" si="20"/>
        <v>102.72320106144585</v>
      </c>
      <c r="DI24" s="533">
        <f t="shared" si="20"/>
        <v>114.78469553814659</v>
      </c>
      <c r="DJ24" s="533">
        <f t="shared" si="20"/>
        <v>118.37233558050985</v>
      </c>
      <c r="DK24" s="533">
        <f t="shared" si="20"/>
        <v>111.00285135780298</v>
      </c>
      <c r="DL24" s="533">
        <f t="shared" si="20"/>
        <v>97.878781782932975</v>
      </c>
      <c r="DM24" s="533">
        <f t="shared" si="20"/>
        <v>97.712631913087222</v>
      </c>
      <c r="DN24" s="533">
        <f t="shared" si="20"/>
        <v>99.088741157398118</v>
      </c>
      <c r="DO24" s="533">
        <f t="shared" si="20"/>
        <v>109.90562921889652</v>
      </c>
      <c r="DP24" s="533">
        <f t="shared" si="20"/>
        <v>112.54076564191497</v>
      </c>
      <c r="DQ24" s="533">
        <f t="shared" si="20"/>
        <v>104.91307877979831</v>
      </c>
      <c r="DR24" s="533">
        <f t="shared" si="20"/>
        <v>100.01747250072549</v>
      </c>
      <c r="DS24" s="533">
        <f t="shared" si="20"/>
        <v>91.138016973576981</v>
      </c>
      <c r="DT24" s="533">
        <f t="shared" si="20"/>
        <v>99.514232901244995</v>
      </c>
      <c r="DU24" s="533">
        <f t="shared" si="20"/>
        <v>108.68714505598207</v>
      </c>
      <c r="DV24" s="533">
        <f t="shared" si="20"/>
        <v>111.53309842589927</v>
      </c>
      <c r="DW24" s="533">
        <f t="shared" si="20"/>
        <v>105.77396876346387</v>
      </c>
      <c r="DX24" s="533">
        <f t="shared" si="20"/>
        <v>95.374609454553251</v>
      </c>
      <c r="DY24" s="533">
        <f t="shared" si="20"/>
        <v>95.421405695866156</v>
      </c>
      <c r="DZ24" s="533">
        <f t="shared" si="20"/>
        <v>96.834243543662453</v>
      </c>
      <c r="EA24" s="533">
        <f t="shared" si="20"/>
        <v>103.23500502654473</v>
      </c>
      <c r="EB24" s="533">
        <f t="shared" ref="EB24:EP24" si="21">EB10*-1</f>
        <v>105.8757770290695</v>
      </c>
      <c r="EC24" s="533">
        <f t="shared" si="21"/>
        <v>101.10780080654163</v>
      </c>
      <c r="ED24" s="533">
        <f t="shared" si="21"/>
        <v>96.824058889520728</v>
      </c>
      <c r="EE24" s="533">
        <f t="shared" si="21"/>
        <v>84.356956435997489</v>
      </c>
      <c r="EF24" s="533">
        <f t="shared" si="21"/>
        <v>92.519532151678703</v>
      </c>
      <c r="EG24" s="533">
        <f t="shared" si="21"/>
        <v>97.54762390236472</v>
      </c>
      <c r="EH24" s="533">
        <f t="shared" si="21"/>
        <v>98.508155282080082</v>
      </c>
      <c r="EI24" s="533">
        <f t="shared" si="21"/>
        <v>94.776631725139879</v>
      </c>
      <c r="EJ24" s="533">
        <f t="shared" si="21"/>
        <v>87.793884190949925</v>
      </c>
      <c r="EK24" s="533">
        <f t="shared" si="21"/>
        <v>86.19353173863945</v>
      </c>
      <c r="EL24" s="533">
        <f t="shared" si="21"/>
        <v>88.139358062804192</v>
      </c>
      <c r="EM24" s="533">
        <f t="shared" si="21"/>
        <v>93.475666884604749</v>
      </c>
      <c r="EN24" s="533">
        <f t="shared" si="21"/>
        <v>94.462721764887959</v>
      </c>
      <c r="EO24" s="533">
        <f t="shared" si="21"/>
        <v>91.042715423613359</v>
      </c>
      <c r="EP24" s="533">
        <f t="shared" si="21"/>
        <v>87.964022025568696</v>
      </c>
    </row>
    <row r="25" spans="2:146">
      <c r="B25" s="531">
        <v>2007</v>
      </c>
      <c r="C25" s="533">
        <f t="shared" si="0"/>
        <v>79.630718526475107</v>
      </c>
      <c r="D25" s="533">
        <f t="shared" ref="D25:BO25" si="22">D11*-1</f>
        <v>88.128804560777709</v>
      </c>
      <c r="E25" s="533">
        <f t="shared" si="22"/>
        <v>92.984190239023405</v>
      </c>
      <c r="F25" s="533">
        <f t="shared" si="22"/>
        <v>94.030263691170177</v>
      </c>
      <c r="G25" s="533">
        <f t="shared" si="22"/>
        <v>89.952865630833145</v>
      </c>
      <c r="H25" s="533">
        <f t="shared" si="22"/>
        <v>83.025987762975149</v>
      </c>
      <c r="I25" s="533">
        <f t="shared" si="22"/>
        <v>84.818775977632797</v>
      </c>
      <c r="J25" s="533">
        <f t="shared" si="22"/>
        <v>87.121664887232157</v>
      </c>
      <c r="K25" s="533">
        <f t="shared" si="22"/>
        <v>93.603791558187538</v>
      </c>
      <c r="L25" s="533">
        <f t="shared" si="22"/>
        <v>93.567371980109613</v>
      </c>
      <c r="M25" s="533">
        <f t="shared" si="22"/>
        <v>88.976807065206941</v>
      </c>
      <c r="N25" s="533">
        <f t="shared" si="22"/>
        <v>85.752240680235587</v>
      </c>
      <c r="O25" s="533">
        <f t="shared" si="22"/>
        <v>78.129871678504401</v>
      </c>
      <c r="P25" s="533">
        <f t="shared" si="22"/>
        <v>85.91661972931945</v>
      </c>
      <c r="Q25" s="533">
        <f t="shared" si="22"/>
        <v>90.481461235355397</v>
      </c>
      <c r="R25" s="533">
        <f t="shared" si="22"/>
        <v>91.241387508838187</v>
      </c>
      <c r="S25" s="533">
        <f t="shared" si="22"/>
        <v>87.369565391220476</v>
      </c>
      <c r="T25" s="533">
        <f t="shared" si="22"/>
        <v>80.722144924576327</v>
      </c>
      <c r="U25" s="533">
        <f t="shared" si="22"/>
        <v>82.787846913019266</v>
      </c>
      <c r="V25" s="533">
        <f t="shared" si="22"/>
        <v>84.374162192261451</v>
      </c>
      <c r="W25" s="533">
        <f t="shared" si="22"/>
        <v>90.187461091133045</v>
      </c>
      <c r="X25" s="533">
        <f t="shared" si="22"/>
        <v>90.136414008678855</v>
      </c>
      <c r="Y25" s="533">
        <f t="shared" si="22"/>
        <v>86.344649090018905</v>
      </c>
      <c r="Z25" s="533">
        <f t="shared" si="22"/>
        <v>83.628441876583096</v>
      </c>
      <c r="AA25" s="533">
        <f t="shared" si="22"/>
        <v>74.334874582424945</v>
      </c>
      <c r="AB25" s="533">
        <f t="shared" si="22"/>
        <v>81.082758600030175</v>
      </c>
      <c r="AC25" s="533">
        <f t="shared" si="22"/>
        <v>86.763929773910363</v>
      </c>
      <c r="AD25" s="533">
        <f t="shared" si="22"/>
        <v>89.225257552698395</v>
      </c>
      <c r="AE25" s="533">
        <f t="shared" si="22"/>
        <v>85.679218764769416</v>
      </c>
      <c r="AF25" s="533">
        <f t="shared" si="22"/>
        <v>79.006107644319741</v>
      </c>
      <c r="AG25" s="533">
        <f t="shared" si="22"/>
        <v>82.294899376700116</v>
      </c>
      <c r="AH25" s="533">
        <f t="shared" si="22"/>
        <v>83.31102382304114</v>
      </c>
      <c r="AI25" s="533">
        <f t="shared" si="22"/>
        <v>88.8651452471846</v>
      </c>
      <c r="AJ25" s="533">
        <f t="shared" si="22"/>
        <v>89.231966473800085</v>
      </c>
      <c r="AK25" s="533">
        <f t="shared" si="22"/>
        <v>85.867080574878415</v>
      </c>
      <c r="AL25" s="533">
        <f t="shared" si="22"/>
        <v>82.910297862288203</v>
      </c>
      <c r="AM25" s="533">
        <f t="shared" si="22"/>
        <v>81.149144308994309</v>
      </c>
      <c r="AN25" s="533">
        <f t="shared" si="22"/>
        <v>87.404275973043895</v>
      </c>
      <c r="AO25" s="533">
        <f t="shared" si="22"/>
        <v>93.678707315969064</v>
      </c>
      <c r="AP25" s="533">
        <f t="shared" si="22"/>
        <v>96.680216463520821</v>
      </c>
      <c r="AQ25" s="533">
        <f t="shared" si="22"/>
        <v>92.309065170657675</v>
      </c>
      <c r="AR25" s="533">
        <f t="shared" si="22"/>
        <v>84.663445842535666</v>
      </c>
      <c r="AS25" s="533">
        <f t="shared" si="22"/>
        <v>83.82345067435287</v>
      </c>
      <c r="AT25" s="533">
        <f t="shared" si="22"/>
        <v>85.186829526263196</v>
      </c>
      <c r="AU25" s="533">
        <f t="shared" si="22"/>
        <v>91.054190867940747</v>
      </c>
      <c r="AV25" s="533">
        <f t="shared" si="22"/>
        <v>92.20202892918563</v>
      </c>
      <c r="AW25" s="533">
        <f t="shared" si="22"/>
        <v>87.789640448290143</v>
      </c>
      <c r="AX25" s="533">
        <f t="shared" si="22"/>
        <v>84.344562173073825</v>
      </c>
      <c r="AY25" s="533">
        <f t="shared" si="22"/>
        <v>86.72649412613228</v>
      </c>
      <c r="AZ25" s="533">
        <f t="shared" si="22"/>
        <v>93.517277313713635</v>
      </c>
      <c r="BA25" s="533">
        <f t="shared" si="22"/>
        <v>101.47391768712731</v>
      </c>
      <c r="BB25" s="533">
        <f t="shared" si="22"/>
        <v>104.6961627872596</v>
      </c>
      <c r="BC25" s="533">
        <f t="shared" si="22"/>
        <v>100.22848205648394</v>
      </c>
      <c r="BD25" s="533">
        <f t="shared" si="22"/>
        <v>90.938815105038771</v>
      </c>
      <c r="BE25" s="533">
        <f t="shared" si="22"/>
        <v>91.367627931393457</v>
      </c>
      <c r="BF25" s="533">
        <f t="shared" si="22"/>
        <v>92.826712554698474</v>
      </c>
      <c r="BG25" s="533">
        <f t="shared" si="22"/>
        <v>102.85953981465867</v>
      </c>
      <c r="BH25" s="533">
        <f t="shared" si="22"/>
        <v>103.97040526113292</v>
      </c>
      <c r="BI25" s="533">
        <f t="shared" si="22"/>
        <v>97.590886236097688</v>
      </c>
      <c r="BJ25" s="533">
        <f t="shared" si="22"/>
        <v>93.473427489486184</v>
      </c>
      <c r="BK25" s="533">
        <f t="shared" si="22"/>
        <v>90.730088603195895</v>
      </c>
      <c r="BL25" s="533">
        <f t="shared" si="22"/>
        <v>97.372964913620493</v>
      </c>
      <c r="BM25" s="533">
        <f t="shared" si="22"/>
        <v>105.53484358481157</v>
      </c>
      <c r="BN25" s="533">
        <f t="shared" si="22"/>
        <v>107.84693133261744</v>
      </c>
      <c r="BO25" s="533">
        <f t="shared" si="22"/>
        <v>103.7560406591673</v>
      </c>
      <c r="BP25" s="533">
        <f t="shared" ref="BP25:EA25" si="23">BP11*-1</f>
        <v>94.909402233320236</v>
      </c>
      <c r="BQ25" s="533">
        <f t="shared" si="23"/>
        <v>92.047602594188547</v>
      </c>
      <c r="BR25" s="533">
        <f t="shared" si="23"/>
        <v>93.00775147727893</v>
      </c>
      <c r="BS25" s="533">
        <f t="shared" si="23"/>
        <v>100.15993406282236</v>
      </c>
      <c r="BT25" s="533">
        <f t="shared" si="23"/>
        <v>102.51999222309126</v>
      </c>
      <c r="BU25" s="533">
        <f t="shared" si="23"/>
        <v>98.5730873973949</v>
      </c>
      <c r="BV25" s="533">
        <f t="shared" si="23"/>
        <v>93.861104795928298</v>
      </c>
      <c r="BW25" s="533">
        <f t="shared" si="23"/>
        <v>93.195876199159315</v>
      </c>
      <c r="BX25" s="533">
        <f t="shared" si="23"/>
        <v>99.496190964835435</v>
      </c>
      <c r="BY25" s="533">
        <f t="shared" si="23"/>
        <v>107.85628409355022</v>
      </c>
      <c r="BZ25" s="533">
        <f t="shared" si="23"/>
        <v>109.64282999178189</v>
      </c>
      <c r="CA25" s="533">
        <f t="shared" si="23"/>
        <v>106.12497560812244</v>
      </c>
      <c r="CB25" s="533">
        <f t="shared" si="23"/>
        <v>97.224919129293681</v>
      </c>
      <c r="CC25" s="533">
        <f t="shared" si="23"/>
        <v>89.093291141933676</v>
      </c>
      <c r="CD25" s="533">
        <f t="shared" si="23"/>
        <v>90.416081330770638</v>
      </c>
      <c r="CE25" s="533">
        <f t="shared" si="23"/>
        <v>97.965528883078136</v>
      </c>
      <c r="CF25" s="533">
        <f t="shared" si="23"/>
        <v>100.74210420338945</v>
      </c>
      <c r="CG25" s="533">
        <f t="shared" si="23"/>
        <v>96.913378590903704</v>
      </c>
      <c r="CH25" s="533">
        <f t="shared" si="23"/>
        <v>92.103038912928199</v>
      </c>
      <c r="CI25" s="533">
        <f t="shared" si="23"/>
        <v>94.99445701883792</v>
      </c>
      <c r="CJ25" s="533">
        <f t="shared" si="23"/>
        <v>101.09309666667565</v>
      </c>
      <c r="CK25" s="533">
        <f t="shared" si="23"/>
        <v>110.14256305806434</v>
      </c>
      <c r="CL25" s="533">
        <f t="shared" si="23"/>
        <v>112.91275320239833</v>
      </c>
      <c r="CM25" s="533">
        <f t="shared" si="23"/>
        <v>108.62399733463103</v>
      </c>
      <c r="CN25" s="533">
        <f t="shared" si="23"/>
        <v>99.178365610544006</v>
      </c>
      <c r="CO25" s="533">
        <f t="shared" si="23"/>
        <v>93.043524071039243</v>
      </c>
      <c r="CP25" s="533">
        <f t="shared" si="23"/>
        <v>94.606627583771399</v>
      </c>
      <c r="CQ25" s="533">
        <f t="shared" si="23"/>
        <v>103.56187458150256</v>
      </c>
      <c r="CR25" s="533">
        <f t="shared" si="23"/>
        <v>106.83536760622869</v>
      </c>
      <c r="CS25" s="533">
        <f t="shared" si="23"/>
        <v>102.46869212052928</v>
      </c>
      <c r="CT25" s="533">
        <f t="shared" si="23"/>
        <v>97.047158691385391</v>
      </c>
      <c r="CU25" s="533">
        <f t="shared" si="23"/>
        <v>95.746951671499673</v>
      </c>
      <c r="CV25" s="533">
        <f t="shared" si="23"/>
        <v>102.26640855681623</v>
      </c>
      <c r="CW25" s="533">
        <f t="shared" si="23"/>
        <v>110.39951826148317</v>
      </c>
      <c r="CX25" s="533">
        <f t="shared" si="23"/>
        <v>113.30700876886439</v>
      </c>
      <c r="CY25" s="533">
        <f t="shared" si="23"/>
        <v>108.59877631693023</v>
      </c>
      <c r="CZ25" s="533">
        <f t="shared" si="23"/>
        <v>98.77878961793084</v>
      </c>
      <c r="DA25" s="533">
        <f t="shared" si="23"/>
        <v>98.448148153430566</v>
      </c>
      <c r="DB25" s="533">
        <f t="shared" si="23"/>
        <v>99.21904284344329</v>
      </c>
      <c r="DC25" s="533">
        <f t="shared" si="23"/>
        <v>110.26202744759105</v>
      </c>
      <c r="DD25" s="533">
        <f t="shared" si="23"/>
        <v>113.14576306816451</v>
      </c>
      <c r="DE25" s="533">
        <f t="shared" si="23"/>
        <v>106.78488799615741</v>
      </c>
      <c r="DF25" s="533">
        <f t="shared" si="23"/>
        <v>102.32194280512796</v>
      </c>
      <c r="DG25" s="533">
        <f t="shared" si="23"/>
        <v>89.007396131640263</v>
      </c>
      <c r="DH25" s="533">
        <f t="shared" si="23"/>
        <v>96.85638189837384</v>
      </c>
      <c r="DI25" s="533">
        <f t="shared" si="23"/>
        <v>104.252832460709</v>
      </c>
      <c r="DJ25" s="533">
        <f t="shared" si="23"/>
        <v>107.03458014455964</v>
      </c>
      <c r="DK25" s="533">
        <f t="shared" si="23"/>
        <v>102.05731580918773</v>
      </c>
      <c r="DL25" s="533">
        <f t="shared" si="23"/>
        <v>92.48624503572178</v>
      </c>
      <c r="DM25" s="533">
        <f t="shared" si="23"/>
        <v>94.532258589832651</v>
      </c>
      <c r="DN25" s="533">
        <f t="shared" si="23"/>
        <v>95.966412051194283</v>
      </c>
      <c r="DO25" s="533">
        <f t="shared" si="23"/>
        <v>106.65190568425794</v>
      </c>
      <c r="DP25" s="533">
        <f t="shared" si="23"/>
        <v>108.57698321701147</v>
      </c>
      <c r="DQ25" s="533">
        <f t="shared" si="23"/>
        <v>101.19369781421447</v>
      </c>
      <c r="DR25" s="533">
        <f t="shared" si="23"/>
        <v>96.661468649076383</v>
      </c>
      <c r="DS25" s="533">
        <f t="shared" si="23"/>
        <v>87.051958618559482</v>
      </c>
      <c r="DT25" s="533">
        <f t="shared" si="23"/>
        <v>93.863796953093669</v>
      </c>
      <c r="DU25" s="533">
        <f t="shared" si="23"/>
        <v>98.993464632819169</v>
      </c>
      <c r="DV25" s="533">
        <f t="shared" si="23"/>
        <v>101.1850548155423</v>
      </c>
      <c r="DW25" s="533">
        <f t="shared" si="23"/>
        <v>97.552656354950642</v>
      </c>
      <c r="DX25" s="533">
        <f t="shared" si="23"/>
        <v>90.142476639073337</v>
      </c>
      <c r="DY25" s="533">
        <f t="shared" si="23"/>
        <v>91.177384552250885</v>
      </c>
      <c r="DZ25" s="533">
        <f t="shared" si="23"/>
        <v>92.591695650233703</v>
      </c>
      <c r="EA25" s="533">
        <f t="shared" si="23"/>
        <v>98.428775239336417</v>
      </c>
      <c r="EB25" s="533">
        <f t="shared" ref="EB25:EP25" si="24">EB11*-1</f>
        <v>100.79521859234953</v>
      </c>
      <c r="EC25" s="533">
        <f t="shared" si="24"/>
        <v>96.544470992168158</v>
      </c>
      <c r="ED25" s="533">
        <f t="shared" si="24"/>
        <v>92.463643842983416</v>
      </c>
      <c r="EE25" s="533">
        <f t="shared" si="24"/>
        <v>84.242966818281744</v>
      </c>
      <c r="EF25" s="533">
        <f t="shared" si="24"/>
        <v>92.289931101598853</v>
      </c>
      <c r="EG25" s="533">
        <f t="shared" si="24"/>
        <v>97.320762073088645</v>
      </c>
      <c r="EH25" s="533">
        <f t="shared" si="24"/>
        <v>98.288028850532896</v>
      </c>
      <c r="EI25" s="533">
        <f t="shared" si="24"/>
        <v>94.591964513566737</v>
      </c>
      <c r="EJ25" s="533">
        <f t="shared" si="24"/>
        <v>87.666397773335319</v>
      </c>
      <c r="EK25" s="533">
        <f t="shared" si="24"/>
        <v>85.927912870768424</v>
      </c>
      <c r="EL25" s="533">
        <f t="shared" si="24"/>
        <v>87.866493133972568</v>
      </c>
      <c r="EM25" s="533">
        <f t="shared" si="24"/>
        <v>93.151067788663795</v>
      </c>
      <c r="EN25" s="533">
        <f t="shared" si="24"/>
        <v>94.19036622958869</v>
      </c>
      <c r="EO25" s="533">
        <f t="shared" si="24"/>
        <v>90.787976038831431</v>
      </c>
      <c r="EP25" s="533">
        <f t="shared" si="24"/>
        <v>87.698471234930025</v>
      </c>
    </row>
    <row r="26" spans="2:146">
      <c r="B26" s="531">
        <v>2008</v>
      </c>
      <c r="C26" s="533">
        <f t="shared" si="0"/>
        <v>79.9995894135605</v>
      </c>
      <c r="D26" s="533">
        <f t="shared" ref="D26:BO26" si="25">D12*-1</f>
        <v>88.489534683437242</v>
      </c>
      <c r="E26" s="533">
        <f t="shared" si="25"/>
        <v>94.012185783917886</v>
      </c>
      <c r="F26" s="533">
        <f t="shared" si="25"/>
        <v>95.165550839959863</v>
      </c>
      <c r="G26" s="533">
        <f t="shared" si="25"/>
        <v>91.104354292238753</v>
      </c>
      <c r="H26" s="533">
        <f t="shared" si="25"/>
        <v>83.466805671691233</v>
      </c>
      <c r="I26" s="533">
        <f t="shared" si="25"/>
        <v>85.126144191965537</v>
      </c>
      <c r="J26" s="533">
        <f t="shared" si="25"/>
        <v>87.442520640953262</v>
      </c>
      <c r="K26" s="533">
        <f t="shared" si="25"/>
        <v>94.402256351281977</v>
      </c>
      <c r="L26" s="533">
        <f t="shared" si="25"/>
        <v>94.664310259443482</v>
      </c>
      <c r="M26" s="533">
        <f t="shared" si="25"/>
        <v>89.499456267655944</v>
      </c>
      <c r="N26" s="533">
        <f t="shared" si="25"/>
        <v>86.063916555513913</v>
      </c>
      <c r="O26" s="533">
        <f t="shared" si="25"/>
        <v>78.713779416709457</v>
      </c>
      <c r="P26" s="533">
        <f t="shared" si="25"/>
        <v>86.678131468697387</v>
      </c>
      <c r="Q26" s="533">
        <f t="shared" si="25"/>
        <v>91.9528913005948</v>
      </c>
      <c r="R26" s="533">
        <f t="shared" si="25"/>
        <v>92.850940429354182</v>
      </c>
      <c r="S26" s="533">
        <f t="shared" si="25"/>
        <v>88.910069098812002</v>
      </c>
      <c r="T26" s="533">
        <f t="shared" si="25"/>
        <v>81.405379462780587</v>
      </c>
      <c r="U26" s="533">
        <f t="shared" si="25"/>
        <v>84.197897246371397</v>
      </c>
      <c r="V26" s="533">
        <f t="shared" si="25"/>
        <v>85.782987399519968</v>
      </c>
      <c r="W26" s="533">
        <f t="shared" si="25"/>
        <v>92.337550074760188</v>
      </c>
      <c r="X26" s="533">
        <f t="shared" si="25"/>
        <v>92.431045386050641</v>
      </c>
      <c r="Y26" s="533">
        <f t="shared" si="25"/>
        <v>87.915366071637663</v>
      </c>
      <c r="Z26" s="533">
        <f t="shared" si="25"/>
        <v>85.028526729838191</v>
      </c>
      <c r="AA26" s="533">
        <f t="shared" si="25"/>
        <v>74.834848492626364</v>
      </c>
      <c r="AB26" s="533">
        <f t="shared" si="25"/>
        <v>81.68912465136259</v>
      </c>
      <c r="AC26" s="533">
        <f t="shared" si="25"/>
        <v>88.080113600325944</v>
      </c>
      <c r="AD26" s="533">
        <f t="shared" si="25"/>
        <v>90.728500749787102</v>
      </c>
      <c r="AE26" s="533">
        <f t="shared" si="25"/>
        <v>87.102433562936653</v>
      </c>
      <c r="AF26" s="533">
        <f t="shared" si="25"/>
        <v>79.594694070794347</v>
      </c>
      <c r="AG26" s="533">
        <f t="shared" si="25"/>
        <v>81.685960441002337</v>
      </c>
      <c r="AH26" s="533">
        <f t="shared" si="25"/>
        <v>82.730259635781223</v>
      </c>
      <c r="AI26" s="533">
        <f t="shared" si="25"/>
        <v>88.627057685513904</v>
      </c>
      <c r="AJ26" s="533">
        <f t="shared" si="25"/>
        <v>89.50404407472675</v>
      </c>
      <c r="AK26" s="533">
        <f t="shared" si="25"/>
        <v>85.567990794481616</v>
      </c>
      <c r="AL26" s="533">
        <f t="shared" si="25"/>
        <v>82.299437017421369</v>
      </c>
      <c r="AM26" s="533">
        <f t="shared" si="25"/>
        <v>81.500984259042326</v>
      </c>
      <c r="AN26" s="533">
        <f t="shared" si="25"/>
        <v>87.725728643477908</v>
      </c>
      <c r="AO26" s="533">
        <f t="shared" si="25"/>
        <v>94.684856879459403</v>
      </c>
      <c r="AP26" s="533">
        <f t="shared" si="25"/>
        <v>97.939653116511437</v>
      </c>
      <c r="AQ26" s="533">
        <f t="shared" si="25"/>
        <v>93.466252419754255</v>
      </c>
      <c r="AR26" s="533">
        <f t="shared" si="25"/>
        <v>85.096483637431177</v>
      </c>
      <c r="AS26" s="533">
        <f t="shared" si="25"/>
        <v>85.243171458352123</v>
      </c>
      <c r="AT26" s="533">
        <f t="shared" si="25"/>
        <v>86.624177260916113</v>
      </c>
      <c r="AU26" s="533">
        <f t="shared" si="25"/>
        <v>93.277740638617615</v>
      </c>
      <c r="AV26" s="533">
        <f t="shared" si="25"/>
        <v>94.65543064312817</v>
      </c>
      <c r="AW26" s="533">
        <f t="shared" si="25"/>
        <v>89.30621462208839</v>
      </c>
      <c r="AX26" s="533">
        <f t="shared" si="25"/>
        <v>85.76176569136301</v>
      </c>
      <c r="AY26" s="533">
        <f t="shared" si="25"/>
        <v>87.123617427898793</v>
      </c>
      <c r="AZ26" s="533">
        <f t="shared" si="25"/>
        <v>93.902936724080959</v>
      </c>
      <c r="BA26" s="533">
        <f t="shared" si="25"/>
        <v>102.55099882127071</v>
      </c>
      <c r="BB26" s="533">
        <f t="shared" si="25"/>
        <v>106.03315860910388</v>
      </c>
      <c r="BC26" s="533">
        <f t="shared" si="25"/>
        <v>101.45160046839148</v>
      </c>
      <c r="BD26" s="533">
        <f t="shared" si="25"/>
        <v>91.461513318637898</v>
      </c>
      <c r="BE26" s="533">
        <f t="shared" si="25"/>
        <v>90.983254723191919</v>
      </c>
      <c r="BF26" s="533">
        <f t="shared" si="25"/>
        <v>92.481555596712482</v>
      </c>
      <c r="BG26" s="533">
        <f t="shared" si="25"/>
        <v>102.46419222328656</v>
      </c>
      <c r="BH26" s="533">
        <f t="shared" si="25"/>
        <v>104.28194445092446</v>
      </c>
      <c r="BI26" s="533">
        <f t="shared" si="25"/>
        <v>97.697947442281588</v>
      </c>
      <c r="BJ26" s="533">
        <f t="shared" si="25"/>
        <v>93.141203757114809</v>
      </c>
      <c r="BK26" s="533">
        <f t="shared" si="25"/>
        <v>91.356982194782347</v>
      </c>
      <c r="BL26" s="533">
        <f t="shared" si="25"/>
        <v>98.162103946187941</v>
      </c>
      <c r="BM26" s="533">
        <f t="shared" si="25"/>
        <v>106.97685775521443</v>
      </c>
      <c r="BN26" s="533">
        <f t="shared" si="25"/>
        <v>109.52657862519573</v>
      </c>
      <c r="BO26" s="533">
        <f t="shared" si="25"/>
        <v>105.31176690454399</v>
      </c>
      <c r="BP26" s="533">
        <f t="shared" ref="BP26:EA26" si="26">BP12*-1</f>
        <v>95.701698665447651</v>
      </c>
      <c r="BQ26" s="533">
        <f t="shared" si="26"/>
        <v>92.813522814138125</v>
      </c>
      <c r="BR26" s="533">
        <f t="shared" si="26"/>
        <v>93.831229054199255</v>
      </c>
      <c r="BS26" s="533">
        <f t="shared" si="26"/>
        <v>101.70021499433429</v>
      </c>
      <c r="BT26" s="533">
        <f t="shared" si="26"/>
        <v>104.33070779933348</v>
      </c>
      <c r="BU26" s="533">
        <f t="shared" si="26"/>
        <v>99.804407935462748</v>
      </c>
      <c r="BV26" s="533">
        <f t="shared" si="26"/>
        <v>94.746775513847169</v>
      </c>
      <c r="BW26" s="533">
        <f t="shared" si="26"/>
        <v>93.946390014597014</v>
      </c>
      <c r="BX26" s="533">
        <f t="shared" si="26"/>
        <v>100.31827049141762</v>
      </c>
      <c r="BY26" s="533">
        <f t="shared" si="26"/>
        <v>109.24137288615607</v>
      </c>
      <c r="BZ26" s="533">
        <f t="shared" si="26"/>
        <v>111.22339435584007</v>
      </c>
      <c r="CA26" s="533">
        <f t="shared" si="26"/>
        <v>107.65113508119029</v>
      </c>
      <c r="CB26" s="533">
        <f t="shared" si="26"/>
        <v>98.122122056374621</v>
      </c>
      <c r="CC26" s="533">
        <f t="shared" si="26"/>
        <v>89.761210546978262</v>
      </c>
      <c r="CD26" s="533">
        <f t="shared" si="26"/>
        <v>91.144177898955945</v>
      </c>
      <c r="CE26" s="533">
        <f t="shared" si="26"/>
        <v>99.238635706103764</v>
      </c>
      <c r="CF26" s="533">
        <f t="shared" si="26"/>
        <v>102.30142483367723</v>
      </c>
      <c r="CG26" s="533">
        <f t="shared" si="26"/>
        <v>97.947829797981925</v>
      </c>
      <c r="CH26" s="533">
        <f t="shared" si="26"/>
        <v>92.811287962278399</v>
      </c>
      <c r="CI26" s="533">
        <f t="shared" si="26"/>
        <v>95.700980201050456</v>
      </c>
      <c r="CJ26" s="533">
        <f t="shared" si="26"/>
        <v>101.88220663748972</v>
      </c>
      <c r="CK26" s="533">
        <f t="shared" si="26"/>
        <v>111.56243230587305</v>
      </c>
      <c r="CL26" s="533">
        <f t="shared" si="26"/>
        <v>114.54019718714406</v>
      </c>
      <c r="CM26" s="533">
        <f t="shared" si="26"/>
        <v>110.15812839400952</v>
      </c>
      <c r="CN26" s="533">
        <f t="shared" si="26"/>
        <v>100.04032643579644</v>
      </c>
      <c r="CO26" s="533">
        <f t="shared" si="26"/>
        <v>93.692642103061274</v>
      </c>
      <c r="CP26" s="533">
        <f t="shared" si="26"/>
        <v>95.291006862255841</v>
      </c>
      <c r="CQ26" s="533">
        <f t="shared" si="26"/>
        <v>104.76164093959912</v>
      </c>
      <c r="CR26" s="533">
        <f t="shared" si="26"/>
        <v>108.3575834470635</v>
      </c>
      <c r="CS26" s="533">
        <f t="shared" si="26"/>
        <v>103.48020871156987</v>
      </c>
      <c r="CT26" s="533">
        <f t="shared" si="26"/>
        <v>97.786411185039952</v>
      </c>
      <c r="CU26" s="533">
        <f t="shared" si="26"/>
        <v>96.276814451206647</v>
      </c>
      <c r="CV26" s="533">
        <f t="shared" si="26"/>
        <v>102.77425619549932</v>
      </c>
      <c r="CW26" s="533">
        <f t="shared" si="26"/>
        <v>111.60004327058891</v>
      </c>
      <c r="CX26" s="533">
        <f t="shared" si="26"/>
        <v>114.80127317562038</v>
      </c>
      <c r="CY26" s="533">
        <f t="shared" si="26"/>
        <v>109.97306868554148</v>
      </c>
      <c r="CZ26" s="533">
        <f t="shared" si="26"/>
        <v>99.456791936194989</v>
      </c>
      <c r="DA26" s="533">
        <f t="shared" si="26"/>
        <v>100.4164498568359</v>
      </c>
      <c r="DB26" s="533">
        <f t="shared" si="26"/>
        <v>101.18353781952305</v>
      </c>
      <c r="DC26" s="533">
        <f t="shared" si="26"/>
        <v>113.94052748853298</v>
      </c>
      <c r="DD26" s="533">
        <f t="shared" si="26"/>
        <v>116.72108073824791</v>
      </c>
      <c r="DE26" s="533">
        <f t="shared" si="26"/>
        <v>108.86645186807765</v>
      </c>
      <c r="DF26" s="533">
        <f t="shared" si="26"/>
        <v>104.30614151780313</v>
      </c>
      <c r="DG26" s="533">
        <f t="shared" si="26"/>
        <v>89.386796889645723</v>
      </c>
      <c r="DH26" s="533">
        <f t="shared" si="26"/>
        <v>97.252473619673097</v>
      </c>
      <c r="DI26" s="533">
        <f t="shared" si="26"/>
        <v>105.34518475468333</v>
      </c>
      <c r="DJ26" s="533">
        <f t="shared" si="26"/>
        <v>108.40477601888162</v>
      </c>
      <c r="DK26" s="533">
        <f t="shared" si="26"/>
        <v>103.31851145854259</v>
      </c>
      <c r="DL26" s="533">
        <f t="shared" si="26"/>
        <v>92.979384537719525</v>
      </c>
      <c r="DM26" s="533">
        <f t="shared" si="26"/>
        <v>94.900504729682979</v>
      </c>
      <c r="DN26" s="533">
        <f t="shared" si="26"/>
        <v>96.342635713256314</v>
      </c>
      <c r="DO26" s="533">
        <f t="shared" si="26"/>
        <v>107.52479332253495</v>
      </c>
      <c r="DP26" s="533">
        <f t="shared" si="26"/>
        <v>109.92925356909309</v>
      </c>
      <c r="DQ26" s="533">
        <f t="shared" si="26"/>
        <v>101.8792424463883</v>
      </c>
      <c r="DR26" s="533">
        <f t="shared" si="26"/>
        <v>97.063388455095478</v>
      </c>
      <c r="DS26" s="533">
        <f t="shared" si="26"/>
        <v>87.489165196824842</v>
      </c>
      <c r="DT26" s="533">
        <f t="shared" si="26"/>
        <v>94.337068965322246</v>
      </c>
      <c r="DU26" s="533">
        <f t="shared" si="26"/>
        <v>100.15145507389273</v>
      </c>
      <c r="DV26" s="533">
        <f t="shared" si="26"/>
        <v>102.57601786255906</v>
      </c>
      <c r="DW26" s="533">
        <f t="shared" si="26"/>
        <v>98.857838893101075</v>
      </c>
      <c r="DX26" s="533">
        <f t="shared" si="26"/>
        <v>90.669009474692047</v>
      </c>
      <c r="DY26" s="533">
        <f t="shared" si="26"/>
        <v>89.887236408531962</v>
      </c>
      <c r="DZ26" s="533">
        <f t="shared" si="26"/>
        <v>91.287251070108553</v>
      </c>
      <c r="EA26" s="533">
        <f t="shared" si="26"/>
        <v>97.369101053705734</v>
      </c>
      <c r="EB26" s="533">
        <f t="shared" ref="EB26:EP26" si="27">EB12*-1</f>
        <v>100.38306542057441</v>
      </c>
      <c r="EC26" s="533">
        <f t="shared" si="27"/>
        <v>95.568812204011067</v>
      </c>
      <c r="ED26" s="533">
        <f t="shared" si="27"/>
        <v>91.169629066779336</v>
      </c>
      <c r="EE26" s="533">
        <f t="shared" si="27"/>
        <v>84.591565668779808</v>
      </c>
      <c r="EF26" s="533">
        <f t="shared" si="27"/>
        <v>92.611752919651636</v>
      </c>
      <c r="EG26" s="533">
        <f t="shared" si="27"/>
        <v>98.312476412897155</v>
      </c>
      <c r="EH26" s="533">
        <f t="shared" si="27"/>
        <v>99.397048766260667</v>
      </c>
      <c r="EI26" s="533">
        <f t="shared" si="27"/>
        <v>95.757128989467162</v>
      </c>
      <c r="EJ26" s="533">
        <f t="shared" si="27"/>
        <v>88.088546060697141</v>
      </c>
      <c r="EK26" s="533">
        <f t="shared" si="27"/>
        <v>87.774864015717981</v>
      </c>
      <c r="EL26" s="533">
        <f t="shared" si="27"/>
        <v>89.760761331367334</v>
      </c>
      <c r="EM26" s="533">
        <f t="shared" si="27"/>
        <v>95.824276270373531</v>
      </c>
      <c r="EN26" s="533">
        <f t="shared" si="27"/>
        <v>96.867860044253646</v>
      </c>
      <c r="EO26" s="533">
        <f t="shared" si="27"/>
        <v>92.809417294212636</v>
      </c>
      <c r="EP26" s="533">
        <f t="shared" si="27"/>
        <v>89.544081155289206</v>
      </c>
    </row>
    <row r="27" spans="2:146">
      <c r="B27" s="531">
        <v>2009</v>
      </c>
      <c r="C27" s="533">
        <f t="shared" si="0"/>
        <v>79.917764826432617</v>
      </c>
      <c r="D27" s="533">
        <f t="shared" ref="D27:BO27" si="28">D13*-1</f>
        <v>88.321281945849492</v>
      </c>
      <c r="E27" s="533">
        <f t="shared" si="28"/>
        <v>93.846463759571535</v>
      </c>
      <c r="F27" s="533">
        <f t="shared" si="28"/>
        <v>95.004112465676982</v>
      </c>
      <c r="G27" s="533">
        <f t="shared" si="28"/>
        <v>90.970957141206924</v>
      </c>
      <c r="H27" s="533">
        <f t="shared" si="28"/>
        <v>83.375364065101195</v>
      </c>
      <c r="I27" s="533">
        <f t="shared" si="28"/>
        <v>83.647987721145043</v>
      </c>
      <c r="J27" s="533">
        <f t="shared" si="28"/>
        <v>85.905937778458835</v>
      </c>
      <c r="K27" s="533">
        <f t="shared" si="28"/>
        <v>92.546661032708769</v>
      </c>
      <c r="L27" s="533">
        <f t="shared" si="28"/>
        <v>93.126230062047526</v>
      </c>
      <c r="M27" s="533">
        <f t="shared" si="28"/>
        <v>88.075164974443823</v>
      </c>
      <c r="N27" s="533">
        <f t="shared" si="28"/>
        <v>84.576283249131563</v>
      </c>
      <c r="O27" s="533">
        <f t="shared" si="28"/>
        <v>78.350289497472389</v>
      </c>
      <c r="P27" s="533">
        <f t="shared" si="28"/>
        <v>85.954878959890593</v>
      </c>
      <c r="Q27" s="533">
        <f t="shared" si="28"/>
        <v>91.233149073540403</v>
      </c>
      <c r="R27" s="533">
        <f t="shared" si="28"/>
        <v>92.146646520689984</v>
      </c>
      <c r="S27" s="533">
        <f t="shared" si="28"/>
        <v>88.339444113316091</v>
      </c>
      <c r="T27" s="533">
        <f t="shared" si="28"/>
        <v>81.000670336437892</v>
      </c>
      <c r="U27" s="533">
        <f t="shared" si="28"/>
        <v>82.596910443428499</v>
      </c>
      <c r="V27" s="533">
        <f t="shared" si="28"/>
        <v>84.159536588208965</v>
      </c>
      <c r="W27" s="533">
        <f t="shared" si="28"/>
        <v>90.373375484457654</v>
      </c>
      <c r="X27" s="533">
        <f t="shared" si="28"/>
        <v>90.785915338053826</v>
      </c>
      <c r="Y27" s="533">
        <f t="shared" si="28"/>
        <v>86.412900647980209</v>
      </c>
      <c r="Z27" s="533">
        <f t="shared" si="28"/>
        <v>83.416028922894824</v>
      </c>
      <c r="AA27" s="533">
        <f t="shared" si="28"/>
        <v>74.681328217783971</v>
      </c>
      <c r="AB27" s="533">
        <f t="shared" si="28"/>
        <v>81.374072915680841</v>
      </c>
      <c r="AC27" s="533">
        <f t="shared" si="28"/>
        <v>87.760586325109415</v>
      </c>
      <c r="AD27" s="533">
        <f t="shared" si="28"/>
        <v>90.415410783138668</v>
      </c>
      <c r="AE27" s="533">
        <f t="shared" si="28"/>
        <v>86.850840681916054</v>
      </c>
      <c r="AF27" s="533">
        <f t="shared" si="28"/>
        <v>79.421534916478933</v>
      </c>
      <c r="AG27" s="533">
        <f t="shared" si="28"/>
        <v>82.51227840365452</v>
      </c>
      <c r="AH27" s="533">
        <f t="shared" si="28"/>
        <v>83.536135818450092</v>
      </c>
      <c r="AI27" s="533">
        <f t="shared" si="28"/>
        <v>89.59241840940166</v>
      </c>
      <c r="AJ27" s="533">
        <f t="shared" si="28"/>
        <v>90.317891594480713</v>
      </c>
      <c r="AK27" s="533">
        <f t="shared" si="28"/>
        <v>86.337731036846577</v>
      </c>
      <c r="AL27" s="533">
        <f t="shared" si="28"/>
        <v>83.126631421539358</v>
      </c>
      <c r="AM27" s="533">
        <f t="shared" si="28"/>
        <v>81.398659716760619</v>
      </c>
      <c r="AN27" s="533">
        <f t="shared" si="28"/>
        <v>87.512382598343905</v>
      </c>
      <c r="AO27" s="533">
        <f t="shared" si="28"/>
        <v>94.451260412720927</v>
      </c>
      <c r="AP27" s="533">
        <f t="shared" si="28"/>
        <v>97.700259542113059</v>
      </c>
      <c r="AQ27" s="533">
        <f t="shared" si="28"/>
        <v>93.284070943381892</v>
      </c>
      <c r="AR27" s="533">
        <f t="shared" si="28"/>
        <v>84.979916269355243</v>
      </c>
      <c r="AS27" s="533">
        <f t="shared" si="28"/>
        <v>84.84298700551328</v>
      </c>
      <c r="AT27" s="533">
        <f t="shared" si="28"/>
        <v>86.228725954443377</v>
      </c>
      <c r="AU27" s="533">
        <f t="shared" si="28"/>
        <v>92.776228216509608</v>
      </c>
      <c r="AV27" s="533">
        <f t="shared" si="28"/>
        <v>94.231037820681195</v>
      </c>
      <c r="AW27" s="533">
        <f t="shared" si="28"/>
        <v>88.956961724360283</v>
      </c>
      <c r="AX27" s="533">
        <f t="shared" si="28"/>
        <v>85.363023382303496</v>
      </c>
      <c r="AY27" s="533">
        <f t="shared" si="28"/>
        <v>87.03474296518435</v>
      </c>
      <c r="AZ27" s="533">
        <f t="shared" si="28"/>
        <v>93.657980792770317</v>
      </c>
      <c r="BA27" s="533">
        <f t="shared" si="28"/>
        <v>102.24597701610537</v>
      </c>
      <c r="BB27" s="533">
        <f t="shared" si="28"/>
        <v>105.7216896465971</v>
      </c>
      <c r="BC27" s="533">
        <f t="shared" si="28"/>
        <v>101.20359283584928</v>
      </c>
      <c r="BD27" s="533">
        <f t="shared" si="28"/>
        <v>91.35081195927296</v>
      </c>
      <c r="BE27" s="533">
        <f t="shared" si="28"/>
        <v>90.084147999312862</v>
      </c>
      <c r="BF27" s="533">
        <f t="shared" si="28"/>
        <v>91.598976094695104</v>
      </c>
      <c r="BG27" s="533">
        <f t="shared" si="28"/>
        <v>100.94404355788231</v>
      </c>
      <c r="BH27" s="533">
        <f t="shared" si="28"/>
        <v>103.0767457123823</v>
      </c>
      <c r="BI27" s="533">
        <f t="shared" si="28"/>
        <v>96.950123174559067</v>
      </c>
      <c r="BJ27" s="533">
        <f t="shared" si="28"/>
        <v>92.247116148606125</v>
      </c>
      <c r="BK27" s="533">
        <f t="shared" si="28"/>
        <v>90.831104519988088</v>
      </c>
      <c r="BL27" s="533">
        <f t="shared" si="28"/>
        <v>97.575451627308013</v>
      </c>
      <c r="BM27" s="533">
        <f t="shared" si="28"/>
        <v>106.31149444225368</v>
      </c>
      <c r="BN27" s="533">
        <f t="shared" si="28"/>
        <v>108.81220661188367</v>
      </c>
      <c r="BO27" s="533">
        <f t="shared" si="28"/>
        <v>104.61458836977769</v>
      </c>
      <c r="BP27" s="533">
        <f t="shared" ref="BP27:EA27" si="29">BP13*-1</f>
        <v>95.091366159982712</v>
      </c>
      <c r="BQ27" s="533">
        <f t="shared" si="29"/>
        <v>92.361507545141237</v>
      </c>
      <c r="BR27" s="533">
        <f t="shared" si="29"/>
        <v>93.359037557387879</v>
      </c>
      <c r="BS27" s="533">
        <f t="shared" si="29"/>
        <v>101.2050082735376</v>
      </c>
      <c r="BT27" s="533">
        <f t="shared" si="29"/>
        <v>103.77335778237568</v>
      </c>
      <c r="BU27" s="533">
        <f t="shared" si="29"/>
        <v>99.224994626187396</v>
      </c>
      <c r="BV27" s="533">
        <f t="shared" si="29"/>
        <v>94.223785296528177</v>
      </c>
      <c r="BW27" s="533">
        <f t="shared" si="29"/>
        <v>93.45137529591824</v>
      </c>
      <c r="BX27" s="533">
        <f t="shared" si="29"/>
        <v>99.79359598235385</v>
      </c>
      <c r="BY27" s="533">
        <f t="shared" si="29"/>
        <v>108.63813875293872</v>
      </c>
      <c r="BZ27" s="533">
        <f t="shared" si="29"/>
        <v>110.55980552017519</v>
      </c>
      <c r="CA27" s="533">
        <f t="shared" si="29"/>
        <v>106.99878418722868</v>
      </c>
      <c r="CB27" s="533">
        <f t="shared" si="29"/>
        <v>97.530291669510461</v>
      </c>
      <c r="CC27" s="533">
        <f t="shared" si="29"/>
        <v>89.272088747281344</v>
      </c>
      <c r="CD27" s="533">
        <f t="shared" si="29"/>
        <v>90.633466575671378</v>
      </c>
      <c r="CE27" s="533">
        <f t="shared" si="29"/>
        <v>98.668069228239119</v>
      </c>
      <c r="CF27" s="533">
        <f t="shared" si="29"/>
        <v>101.67549616151685</v>
      </c>
      <c r="CG27" s="533">
        <f t="shared" si="29"/>
        <v>97.336427105481434</v>
      </c>
      <c r="CH27" s="533">
        <f t="shared" si="29"/>
        <v>92.248238691046879</v>
      </c>
      <c r="CI27" s="533">
        <f t="shared" si="29"/>
        <v>95.24999604784459</v>
      </c>
      <c r="CJ27" s="533">
        <f t="shared" si="29"/>
        <v>101.40241665296169</v>
      </c>
      <c r="CK27" s="533">
        <f t="shared" si="29"/>
        <v>111.00421330012715</v>
      </c>
      <c r="CL27" s="533">
        <f t="shared" si="29"/>
        <v>113.91690308841594</v>
      </c>
      <c r="CM27" s="533">
        <f t="shared" si="29"/>
        <v>109.54145631699842</v>
      </c>
      <c r="CN27" s="533">
        <f t="shared" si="29"/>
        <v>99.481121305783091</v>
      </c>
      <c r="CO27" s="533">
        <f t="shared" si="29"/>
        <v>93.21724670267885</v>
      </c>
      <c r="CP27" s="533">
        <f t="shared" si="29"/>
        <v>94.797446582691023</v>
      </c>
      <c r="CQ27" s="533">
        <f t="shared" si="29"/>
        <v>104.19591248249233</v>
      </c>
      <c r="CR27" s="533">
        <f t="shared" si="29"/>
        <v>107.74049799725967</v>
      </c>
      <c r="CS27" s="533">
        <f t="shared" si="29"/>
        <v>102.88197854754601</v>
      </c>
      <c r="CT27" s="533">
        <f t="shared" si="29"/>
        <v>97.242084321969912</v>
      </c>
      <c r="CU27" s="533">
        <f t="shared" si="29"/>
        <v>95.63320813855529</v>
      </c>
      <c r="CV27" s="533">
        <f t="shared" si="29"/>
        <v>101.9294241264206</v>
      </c>
      <c r="CW27" s="533">
        <f t="shared" si="29"/>
        <v>110.64341950908229</v>
      </c>
      <c r="CX27" s="533">
        <f t="shared" si="29"/>
        <v>113.77322754213525</v>
      </c>
      <c r="CY27" s="533">
        <f t="shared" si="29"/>
        <v>109.0091596560471</v>
      </c>
      <c r="CZ27" s="533">
        <f t="shared" si="29"/>
        <v>98.705725037940695</v>
      </c>
      <c r="DA27" s="533">
        <f t="shared" si="29"/>
        <v>99.490195155270627</v>
      </c>
      <c r="DB27" s="533">
        <f t="shared" si="29"/>
        <v>100.23276438659639</v>
      </c>
      <c r="DC27" s="533">
        <f t="shared" si="29"/>
        <v>112.62742288954195</v>
      </c>
      <c r="DD27" s="533">
        <f t="shared" si="29"/>
        <v>115.48972430086586</v>
      </c>
      <c r="DE27" s="533">
        <f t="shared" si="29"/>
        <v>107.8598691339337</v>
      </c>
      <c r="DF27" s="533">
        <f t="shared" si="29"/>
        <v>103.30150691510688</v>
      </c>
      <c r="DG27" s="533">
        <f t="shared" si="29"/>
        <v>88.938098314144355</v>
      </c>
      <c r="DH27" s="533">
        <f t="shared" si="29"/>
        <v>96.680679561466775</v>
      </c>
      <c r="DI27" s="533">
        <f t="shared" si="29"/>
        <v>104.75336384964943</v>
      </c>
      <c r="DJ27" s="533">
        <f t="shared" si="29"/>
        <v>107.79479349110917</v>
      </c>
      <c r="DK27" s="533">
        <f t="shared" si="29"/>
        <v>102.70423865053161</v>
      </c>
      <c r="DL27" s="533">
        <f t="shared" si="29"/>
        <v>92.447229045322032</v>
      </c>
      <c r="DM27" s="533">
        <f t="shared" si="29"/>
        <v>93.190930489493837</v>
      </c>
      <c r="DN27" s="533">
        <f t="shared" si="29"/>
        <v>94.536232887474938</v>
      </c>
      <c r="DO27" s="533">
        <f t="shared" si="29"/>
        <v>104.92893471556744</v>
      </c>
      <c r="DP27" s="533">
        <f t="shared" si="29"/>
        <v>107.71081087649931</v>
      </c>
      <c r="DQ27" s="533">
        <f t="shared" si="29"/>
        <v>100.19415675926399</v>
      </c>
      <c r="DR27" s="533">
        <f t="shared" si="29"/>
        <v>95.276828485880316</v>
      </c>
      <c r="DS27" s="533">
        <f t="shared" si="29"/>
        <v>85.309849698650083</v>
      </c>
      <c r="DT27" s="533">
        <f t="shared" si="29"/>
        <v>90.959112080953048</v>
      </c>
      <c r="DU27" s="533">
        <f t="shared" si="29"/>
        <v>96.710600861106457</v>
      </c>
      <c r="DV27" s="533">
        <f t="shared" si="29"/>
        <v>99.082882439873401</v>
      </c>
      <c r="DW27" s="533">
        <f t="shared" si="29"/>
        <v>95.372528783049077</v>
      </c>
      <c r="DX27" s="533">
        <f t="shared" si="29"/>
        <v>87.594325722945854</v>
      </c>
      <c r="DY27" s="533">
        <f t="shared" si="29"/>
        <v>88.491551931001396</v>
      </c>
      <c r="DZ27" s="533">
        <f t="shared" si="29"/>
        <v>89.597526267110354</v>
      </c>
      <c r="EA27" s="533">
        <f t="shared" si="29"/>
        <v>95.684752205389941</v>
      </c>
      <c r="EB27" s="533">
        <f t="shared" ref="EB27:EP27" si="30">EB13*-1</f>
        <v>98.557200174192261</v>
      </c>
      <c r="EC27" s="533">
        <f t="shared" si="30"/>
        <v>93.727310316033055</v>
      </c>
      <c r="ED27" s="533">
        <f t="shared" si="30"/>
        <v>89.545714482993688</v>
      </c>
      <c r="EE27" s="533">
        <f t="shared" si="30"/>
        <v>83.218029229397786</v>
      </c>
      <c r="EF27" s="533">
        <f t="shared" si="30"/>
        <v>89.111949606447823</v>
      </c>
      <c r="EG27" s="533">
        <f t="shared" si="30"/>
        <v>94.714982168648206</v>
      </c>
      <c r="EH27" s="533">
        <f t="shared" si="30"/>
        <v>95.713947747348342</v>
      </c>
      <c r="EI27" s="533">
        <f t="shared" si="30"/>
        <v>92.067299198155112</v>
      </c>
      <c r="EJ27" s="533">
        <f t="shared" si="30"/>
        <v>85.042079735296696</v>
      </c>
      <c r="EK27" s="533">
        <f t="shared" si="30"/>
        <v>86.589459915764294</v>
      </c>
      <c r="EL27" s="533">
        <f t="shared" si="30"/>
        <v>87.935576752801282</v>
      </c>
      <c r="EM27" s="533">
        <f t="shared" si="30"/>
        <v>93.839072998052998</v>
      </c>
      <c r="EN27" s="533">
        <f t="shared" si="30"/>
        <v>94.864387890776641</v>
      </c>
      <c r="EO27" s="533">
        <f t="shared" si="30"/>
        <v>90.840294198012941</v>
      </c>
      <c r="EP27" s="533">
        <f t="shared" si="30"/>
        <v>87.910386602430265</v>
      </c>
    </row>
    <row r="28" spans="2:146">
      <c r="B28" s="531">
        <v>2010</v>
      </c>
      <c r="C28" s="533">
        <f t="shared" si="0"/>
        <v>76.537858407501886</v>
      </c>
      <c r="D28" s="533">
        <f t="shared" ref="D28:BO28" si="31">D14*-1</f>
        <v>83.525577899789937</v>
      </c>
      <c r="E28" s="533">
        <f t="shared" si="31"/>
        <v>86.724938604846926</v>
      </c>
      <c r="F28" s="533">
        <f t="shared" si="31"/>
        <v>86.380570221162486</v>
      </c>
      <c r="G28" s="533">
        <f t="shared" si="31"/>
        <v>82.299824484439725</v>
      </c>
      <c r="H28" s="533">
        <f t="shared" si="31"/>
        <v>77.912208061316207</v>
      </c>
      <c r="I28" s="533">
        <f t="shared" si="31"/>
        <v>79.521388369219835</v>
      </c>
      <c r="J28" s="533">
        <f t="shared" si="31"/>
        <v>81.262064461276594</v>
      </c>
      <c r="K28" s="533">
        <f t="shared" si="31"/>
        <v>86.135950872211623</v>
      </c>
      <c r="L28" s="533">
        <f t="shared" si="31"/>
        <v>84.606164061277823</v>
      </c>
      <c r="M28" s="533">
        <f t="shared" si="31"/>
        <v>81.674059187345193</v>
      </c>
      <c r="N28" s="533">
        <f t="shared" si="31"/>
        <v>80.09414376251658</v>
      </c>
      <c r="O28" s="533">
        <f t="shared" si="31"/>
        <v>71.968755894101349</v>
      </c>
      <c r="P28" s="533">
        <f t="shared" si="31"/>
        <v>76.023189891213406</v>
      </c>
      <c r="Q28" s="533">
        <f t="shared" si="31"/>
        <v>78.902917248453917</v>
      </c>
      <c r="R28" s="533">
        <f t="shared" si="31"/>
        <v>78.348955092298979</v>
      </c>
      <c r="S28" s="533">
        <f t="shared" si="31"/>
        <v>75.407841184297936</v>
      </c>
      <c r="T28" s="533">
        <f t="shared" si="31"/>
        <v>72.551205705972706</v>
      </c>
      <c r="U28" s="533">
        <f t="shared" si="31"/>
        <v>70.749885716149066</v>
      </c>
      <c r="V28" s="533">
        <f t="shared" si="31"/>
        <v>71.967867253135324</v>
      </c>
      <c r="W28" s="533">
        <f t="shared" si="31"/>
        <v>74.888874860142764</v>
      </c>
      <c r="X28" s="533">
        <f t="shared" si="31"/>
        <v>74.416328838536387</v>
      </c>
      <c r="Y28" s="533">
        <f t="shared" si="31"/>
        <v>72.845671913849174</v>
      </c>
      <c r="Z28" s="533">
        <f t="shared" si="31"/>
        <v>71.345211232376982</v>
      </c>
      <c r="AA28" s="533">
        <f t="shared" si="31"/>
        <v>68.618679169987729</v>
      </c>
      <c r="AB28" s="533">
        <f t="shared" si="31"/>
        <v>71.181194311841622</v>
      </c>
      <c r="AC28" s="533">
        <f t="shared" si="31"/>
        <v>75.037412718069604</v>
      </c>
      <c r="AD28" s="533">
        <f t="shared" si="31"/>
        <v>76.036111095970412</v>
      </c>
      <c r="AE28" s="533">
        <f t="shared" si="31"/>
        <v>73.49524307035945</v>
      </c>
      <c r="AF28" s="533">
        <f t="shared" si="31"/>
        <v>70.947539702100201</v>
      </c>
      <c r="AG28" s="533">
        <f t="shared" si="31"/>
        <v>70.460856103821115</v>
      </c>
      <c r="AH28" s="533">
        <f t="shared" si="31"/>
        <v>71.36076154601281</v>
      </c>
      <c r="AI28" s="533">
        <f t="shared" si="31"/>
        <v>74.004803671104781</v>
      </c>
      <c r="AJ28" s="533">
        <f t="shared" si="31"/>
        <v>73.940549981898627</v>
      </c>
      <c r="AK28" s="533">
        <f t="shared" si="31"/>
        <v>72.450147426966026</v>
      </c>
      <c r="AL28" s="533">
        <f t="shared" si="31"/>
        <v>70.749623810047311</v>
      </c>
      <c r="AM28" s="533">
        <f t="shared" si="31"/>
        <v>76.18777527469139</v>
      </c>
      <c r="AN28" s="533">
        <f t="shared" si="31"/>
        <v>79.32307345825852</v>
      </c>
      <c r="AO28" s="533">
        <f t="shared" si="31"/>
        <v>83.49972761330649</v>
      </c>
      <c r="AP28" s="533">
        <f t="shared" si="31"/>
        <v>84.565585455349165</v>
      </c>
      <c r="AQ28" s="533">
        <f t="shared" si="31"/>
        <v>81.509769810355749</v>
      </c>
      <c r="AR28" s="533">
        <f t="shared" si="31"/>
        <v>77.811140384743695</v>
      </c>
      <c r="AS28" s="533">
        <f t="shared" si="31"/>
        <v>74.334446284832765</v>
      </c>
      <c r="AT28" s="533">
        <f t="shared" si="31"/>
        <v>75.461975746875183</v>
      </c>
      <c r="AU28" s="533">
        <f t="shared" si="31"/>
        <v>78.461249575261476</v>
      </c>
      <c r="AV28" s="533">
        <f t="shared" si="31"/>
        <v>78.532860189334215</v>
      </c>
      <c r="AW28" s="533">
        <f t="shared" si="31"/>
        <v>77.01376553966719</v>
      </c>
      <c r="AX28" s="533">
        <f t="shared" si="31"/>
        <v>74.730703007096736</v>
      </c>
      <c r="AY28" s="533">
        <f t="shared" si="31"/>
        <v>82.41288408229255</v>
      </c>
      <c r="AZ28" s="533">
        <f t="shared" si="31"/>
        <v>86.250295649306196</v>
      </c>
      <c r="BA28" s="533">
        <f t="shared" si="31"/>
        <v>91.571116992077506</v>
      </c>
      <c r="BB28" s="533">
        <f t="shared" si="31"/>
        <v>92.749097807518865</v>
      </c>
      <c r="BC28" s="533">
        <f t="shared" si="31"/>
        <v>89.3433262683523</v>
      </c>
      <c r="BD28" s="533">
        <f t="shared" si="31"/>
        <v>84.617482285251242</v>
      </c>
      <c r="BE28" s="533">
        <f t="shared" si="31"/>
        <v>82.979017882562317</v>
      </c>
      <c r="BF28" s="533">
        <f t="shared" si="31"/>
        <v>84.315609566697532</v>
      </c>
      <c r="BG28" s="533">
        <f t="shared" si="31"/>
        <v>89.276116968917052</v>
      </c>
      <c r="BH28" s="533">
        <f t="shared" si="31"/>
        <v>89.818834503515291</v>
      </c>
      <c r="BI28" s="533">
        <f t="shared" si="31"/>
        <v>87.505608149400942</v>
      </c>
      <c r="BJ28" s="533">
        <f t="shared" si="31"/>
        <v>84.712514085990932</v>
      </c>
      <c r="BK28" s="533">
        <f t="shared" si="31"/>
        <v>86.63016015777761</v>
      </c>
      <c r="BL28" s="533">
        <f t="shared" si="31"/>
        <v>92.275288707417872</v>
      </c>
      <c r="BM28" s="533">
        <f t="shared" si="31"/>
        <v>98.547577014705851</v>
      </c>
      <c r="BN28" s="533">
        <f t="shared" si="31"/>
        <v>99.14689912977461</v>
      </c>
      <c r="BO28" s="533">
        <f t="shared" si="31"/>
        <v>95.234933275246433</v>
      </c>
      <c r="BP28" s="533">
        <f t="shared" ref="BP28:EA28" si="32">BP14*-1</f>
        <v>89.124430796594737</v>
      </c>
      <c r="BQ28" s="533">
        <f t="shared" si="32"/>
        <v>87.566407811015054</v>
      </c>
      <c r="BR28" s="533">
        <f t="shared" si="32"/>
        <v>88.32558944939926</v>
      </c>
      <c r="BS28" s="533">
        <f t="shared" si="32"/>
        <v>93.475766202626403</v>
      </c>
      <c r="BT28" s="533">
        <f t="shared" si="32"/>
        <v>93.841994953380876</v>
      </c>
      <c r="BU28" s="533">
        <f t="shared" si="32"/>
        <v>91.287203493223743</v>
      </c>
      <c r="BV28" s="533">
        <f t="shared" si="32"/>
        <v>88.661573420245361</v>
      </c>
      <c r="BW28" s="533">
        <f t="shared" si="32"/>
        <v>88.5700899958035</v>
      </c>
      <c r="BX28" s="533">
        <f t="shared" si="32"/>
        <v>93.968170833606123</v>
      </c>
      <c r="BY28" s="533">
        <f t="shared" si="32"/>
        <v>100.61562097989446</v>
      </c>
      <c r="BZ28" s="533">
        <f t="shared" si="32"/>
        <v>100.90012460787401</v>
      </c>
      <c r="CA28" s="533">
        <f t="shared" si="32"/>
        <v>97.38274161150818</v>
      </c>
      <c r="CB28" s="533">
        <f t="shared" si="32"/>
        <v>90.796024739081844</v>
      </c>
      <c r="CC28" s="533">
        <f t="shared" si="32"/>
        <v>85.034944588141826</v>
      </c>
      <c r="CD28" s="533">
        <f t="shared" si="32"/>
        <v>86.063396299120427</v>
      </c>
      <c r="CE28" s="533">
        <f t="shared" si="32"/>
        <v>92.16771359776294</v>
      </c>
      <c r="CF28" s="533">
        <f t="shared" si="32"/>
        <v>92.909655336095824</v>
      </c>
      <c r="CG28" s="533">
        <f t="shared" si="32"/>
        <v>90.247543835834762</v>
      </c>
      <c r="CH28" s="533">
        <f t="shared" si="32"/>
        <v>87.621133219382955</v>
      </c>
      <c r="CI28" s="533">
        <f t="shared" si="32"/>
        <v>90.652919465338655</v>
      </c>
      <c r="CJ28" s="533">
        <f t="shared" si="32"/>
        <v>95.778538593721493</v>
      </c>
      <c r="CK28" s="533">
        <f t="shared" si="32"/>
        <v>102.88263586656653</v>
      </c>
      <c r="CL28" s="533">
        <f t="shared" si="32"/>
        <v>104.00284832074061</v>
      </c>
      <c r="CM28" s="533">
        <f t="shared" si="32"/>
        <v>99.851614245758938</v>
      </c>
      <c r="CN28" s="533">
        <f t="shared" si="32"/>
        <v>92.923944617023935</v>
      </c>
      <c r="CO28" s="533">
        <f t="shared" si="32"/>
        <v>89.045783083920639</v>
      </c>
      <c r="CP28" s="533">
        <f t="shared" si="32"/>
        <v>90.411350759482829</v>
      </c>
      <c r="CQ28" s="533">
        <f t="shared" si="32"/>
        <v>97.924728631346369</v>
      </c>
      <c r="CR28" s="533">
        <f t="shared" si="32"/>
        <v>99.050952086827408</v>
      </c>
      <c r="CS28" s="533">
        <f t="shared" si="32"/>
        <v>95.934931129731609</v>
      </c>
      <c r="CT28" s="533">
        <f t="shared" si="32"/>
        <v>92.497249931536075</v>
      </c>
      <c r="CU28" s="533">
        <f t="shared" si="32"/>
        <v>90.310235946163985</v>
      </c>
      <c r="CV28" s="533">
        <f t="shared" si="32"/>
        <v>93.46521758290622</v>
      </c>
      <c r="CW28" s="533">
        <f t="shared" si="32"/>
        <v>98.923560592156633</v>
      </c>
      <c r="CX28" s="533">
        <f t="shared" si="32"/>
        <v>99.588840281583799</v>
      </c>
      <c r="CY28" s="533">
        <f t="shared" si="32"/>
        <v>96.012549784366158</v>
      </c>
      <c r="CZ28" s="533">
        <f t="shared" si="32"/>
        <v>91.247002353717832</v>
      </c>
      <c r="DA28" s="533">
        <f t="shared" si="32"/>
        <v>90.352208636496655</v>
      </c>
      <c r="DB28" s="533">
        <f t="shared" si="32"/>
        <v>91.019143345349178</v>
      </c>
      <c r="DC28" s="533">
        <f t="shared" si="32"/>
        <v>97.384230519185081</v>
      </c>
      <c r="DD28" s="533">
        <f t="shared" si="32"/>
        <v>99.335744080011807</v>
      </c>
      <c r="DE28" s="533">
        <f t="shared" si="32"/>
        <v>96.914450661139711</v>
      </c>
      <c r="DF28" s="533">
        <f t="shared" si="32"/>
        <v>93.965911255484258</v>
      </c>
      <c r="DG28" s="533">
        <f t="shared" si="32"/>
        <v>0</v>
      </c>
      <c r="DH28" s="533">
        <f t="shared" si="32"/>
        <v>0</v>
      </c>
      <c r="DI28" s="533">
        <f t="shared" si="32"/>
        <v>0</v>
      </c>
      <c r="DJ28" s="533">
        <f t="shared" si="32"/>
        <v>0</v>
      </c>
      <c r="DK28" s="533">
        <f t="shared" si="32"/>
        <v>0</v>
      </c>
      <c r="DL28" s="533">
        <f t="shared" si="32"/>
        <v>0</v>
      </c>
      <c r="DM28" s="533">
        <f t="shared" si="32"/>
        <v>0</v>
      </c>
      <c r="DN28" s="533">
        <f t="shared" si="32"/>
        <v>0</v>
      </c>
      <c r="DO28" s="533">
        <f t="shared" si="32"/>
        <v>0</v>
      </c>
      <c r="DP28" s="533">
        <f t="shared" si="32"/>
        <v>0</v>
      </c>
      <c r="DQ28" s="533">
        <f t="shared" si="32"/>
        <v>0</v>
      </c>
      <c r="DR28" s="533">
        <f t="shared" si="32"/>
        <v>0</v>
      </c>
      <c r="DS28" s="533">
        <f t="shared" si="32"/>
        <v>0</v>
      </c>
      <c r="DT28" s="533">
        <f t="shared" si="32"/>
        <v>0</v>
      </c>
      <c r="DU28" s="533">
        <f t="shared" si="32"/>
        <v>0</v>
      </c>
      <c r="DV28" s="533">
        <f t="shared" si="32"/>
        <v>0</v>
      </c>
      <c r="DW28" s="533">
        <f t="shared" si="32"/>
        <v>0</v>
      </c>
      <c r="DX28" s="533">
        <f t="shared" si="32"/>
        <v>0</v>
      </c>
      <c r="DY28" s="533">
        <f t="shared" si="32"/>
        <v>0</v>
      </c>
      <c r="DZ28" s="533">
        <f t="shared" si="32"/>
        <v>0</v>
      </c>
      <c r="EA28" s="533">
        <f t="shared" si="32"/>
        <v>0</v>
      </c>
      <c r="EB28" s="533">
        <f t="shared" ref="EB28:EP28" si="33">EB14*-1</f>
        <v>0</v>
      </c>
      <c r="EC28" s="533">
        <f t="shared" si="33"/>
        <v>0</v>
      </c>
      <c r="ED28" s="533">
        <f t="shared" si="33"/>
        <v>0</v>
      </c>
      <c r="EE28" s="533">
        <f t="shared" si="33"/>
        <v>0</v>
      </c>
      <c r="EF28" s="533">
        <f t="shared" si="33"/>
        <v>0</v>
      </c>
      <c r="EG28" s="533">
        <f t="shared" si="33"/>
        <v>0</v>
      </c>
      <c r="EH28" s="533">
        <f t="shared" si="33"/>
        <v>0</v>
      </c>
      <c r="EI28" s="533">
        <f t="shared" si="33"/>
        <v>0</v>
      </c>
      <c r="EJ28" s="533">
        <f t="shared" si="33"/>
        <v>0</v>
      </c>
      <c r="EK28" s="533">
        <f t="shared" si="33"/>
        <v>0</v>
      </c>
      <c r="EL28" s="533">
        <f t="shared" si="33"/>
        <v>0</v>
      </c>
      <c r="EM28" s="533">
        <f t="shared" si="33"/>
        <v>0</v>
      </c>
      <c r="EN28" s="533">
        <f t="shared" si="33"/>
        <v>0</v>
      </c>
      <c r="EO28" s="533">
        <f t="shared" si="33"/>
        <v>0</v>
      </c>
      <c r="EP28" s="533">
        <f t="shared" si="33"/>
        <v>0</v>
      </c>
    </row>
    <row r="29" spans="2:146">
      <c r="B29" s="534" t="s">
        <v>457</v>
      </c>
      <c r="C29" s="535">
        <f>MAX(C18:EP28)</f>
        <v>126.65337081204122</v>
      </c>
      <c r="D29" s="533"/>
      <c r="E29" s="533"/>
      <c r="F29" s="533"/>
      <c r="G29" s="533"/>
      <c r="H29" s="533"/>
      <c r="I29" s="533"/>
      <c r="J29" s="533"/>
      <c r="K29" s="533"/>
      <c r="L29" s="533"/>
      <c r="M29" s="533"/>
      <c r="N29" s="533"/>
      <c r="O29" s="533"/>
      <c r="P29" s="533"/>
      <c r="Q29" s="533"/>
      <c r="R29" s="533"/>
      <c r="S29" s="533"/>
      <c r="T29" s="533"/>
      <c r="U29" s="533"/>
      <c r="V29" s="533"/>
      <c r="W29" s="533"/>
      <c r="X29" s="533"/>
      <c r="Y29" s="533"/>
      <c r="Z29" s="533"/>
      <c r="AA29" s="533"/>
      <c r="AB29" s="533"/>
      <c r="AC29" s="533"/>
      <c r="AD29" s="533"/>
      <c r="AE29" s="533"/>
      <c r="AF29" s="533"/>
      <c r="AG29" s="533"/>
      <c r="AH29" s="533"/>
      <c r="AI29" s="533"/>
      <c r="AJ29" s="533"/>
      <c r="AK29" s="533"/>
      <c r="AL29" s="533"/>
      <c r="AM29" s="533"/>
      <c r="AN29" s="533"/>
      <c r="AO29" s="533"/>
      <c r="AP29" s="533"/>
      <c r="AQ29" s="533"/>
      <c r="AR29" s="533"/>
      <c r="AS29" s="533"/>
      <c r="AT29" s="533"/>
      <c r="AU29" s="533"/>
      <c r="AV29" s="533"/>
      <c r="AW29" s="533"/>
      <c r="AX29" s="533"/>
      <c r="AY29" s="533"/>
      <c r="AZ29" s="533"/>
      <c r="BA29" s="533"/>
      <c r="BB29" s="533"/>
      <c r="BC29" s="533"/>
      <c r="BD29" s="533"/>
      <c r="BE29" s="533"/>
      <c r="BF29" s="533"/>
      <c r="BG29" s="533"/>
      <c r="BH29" s="533"/>
      <c r="BI29" s="533"/>
      <c r="BJ29" s="533"/>
      <c r="BK29" s="533"/>
      <c r="BL29" s="533"/>
      <c r="BM29" s="533"/>
      <c r="BN29" s="533"/>
      <c r="BO29" s="533"/>
      <c r="BP29" s="533"/>
      <c r="BQ29" s="533"/>
      <c r="BR29" s="533"/>
      <c r="BS29" s="533"/>
      <c r="BT29" s="533"/>
      <c r="BU29" s="533"/>
      <c r="BV29" s="533"/>
      <c r="BW29" s="533"/>
      <c r="BX29" s="533"/>
      <c r="BY29" s="533"/>
      <c r="BZ29" s="533"/>
      <c r="CA29" s="533"/>
      <c r="CB29" s="533"/>
      <c r="CC29" s="533"/>
      <c r="CD29" s="533"/>
      <c r="CE29" s="533"/>
      <c r="CF29" s="533"/>
      <c r="CG29" s="533"/>
      <c r="CH29" s="533"/>
      <c r="CI29" s="533"/>
      <c r="CJ29" s="533"/>
      <c r="CK29" s="533"/>
      <c r="CL29" s="533"/>
      <c r="CM29" s="533"/>
      <c r="CN29" s="533"/>
      <c r="CO29" s="533"/>
      <c r="CP29" s="533"/>
      <c r="CQ29" s="533"/>
      <c r="CR29" s="533"/>
      <c r="CS29" s="533"/>
      <c r="CT29" s="533"/>
      <c r="CU29" s="533"/>
      <c r="CV29" s="533"/>
      <c r="CW29" s="533"/>
      <c r="CX29" s="533"/>
      <c r="CY29" s="533"/>
      <c r="CZ29" s="533"/>
      <c r="DA29" s="533"/>
      <c r="DB29" s="533"/>
      <c r="DC29" s="533"/>
      <c r="DD29" s="533"/>
      <c r="DE29" s="533"/>
      <c r="DF29" s="533"/>
      <c r="DG29" s="533"/>
      <c r="DH29" s="533"/>
      <c r="DI29" s="533"/>
      <c r="DJ29" s="533"/>
      <c r="DK29" s="533"/>
      <c r="DL29" s="533"/>
      <c r="DM29" s="533"/>
      <c r="DN29" s="533"/>
      <c r="DO29" s="533"/>
      <c r="DP29" s="533"/>
      <c r="DQ29" s="533"/>
      <c r="DR29" s="533"/>
      <c r="DS29" s="533"/>
      <c r="DT29" s="533"/>
      <c r="DU29" s="533"/>
      <c r="DV29" s="533"/>
      <c r="DW29" s="533"/>
      <c r="DX29" s="533"/>
      <c r="DY29" s="533"/>
      <c r="DZ29" s="533"/>
      <c r="EA29" s="533"/>
      <c r="EB29" s="533"/>
      <c r="EC29" s="533"/>
      <c r="ED29" s="533"/>
      <c r="EE29" s="533"/>
      <c r="EF29" s="533"/>
      <c r="EG29" s="533"/>
      <c r="EH29" s="533"/>
      <c r="EI29" s="533"/>
      <c r="EJ29" s="533"/>
      <c r="EK29" s="533"/>
      <c r="EL29" s="533"/>
      <c r="EM29" s="533"/>
      <c r="EN29" s="533"/>
      <c r="EO29" s="533"/>
      <c r="EP29" s="533"/>
    </row>
    <row r="30" spans="2:146">
      <c r="B30" s="536" t="s">
        <v>2</v>
      </c>
      <c r="C30" s="537">
        <f>MIN(C18:EP28)</f>
        <v>0</v>
      </c>
      <c r="D30" s="533"/>
      <c r="E30" s="533"/>
      <c r="F30" s="533"/>
      <c r="G30" s="533"/>
      <c r="H30" s="533"/>
      <c r="I30" s="533"/>
      <c r="J30" s="533"/>
      <c r="K30" s="533"/>
      <c r="L30" s="533"/>
      <c r="M30" s="533"/>
      <c r="N30" s="533"/>
      <c r="O30" s="533"/>
      <c r="P30" s="533"/>
      <c r="Q30" s="533"/>
      <c r="R30" s="533"/>
      <c r="S30" s="533"/>
      <c r="T30" s="533"/>
      <c r="U30" s="533"/>
      <c r="V30" s="533"/>
      <c r="W30" s="533"/>
      <c r="X30" s="533"/>
      <c r="Y30" s="533"/>
      <c r="Z30" s="533"/>
      <c r="AA30" s="533"/>
      <c r="AB30" s="533"/>
      <c r="AC30" s="533"/>
      <c r="AD30" s="533"/>
      <c r="AE30" s="533"/>
      <c r="AF30" s="533"/>
      <c r="AG30" s="533"/>
      <c r="AH30" s="533"/>
      <c r="AI30" s="533"/>
      <c r="AJ30" s="533"/>
      <c r="AK30" s="533"/>
      <c r="AL30" s="533"/>
      <c r="AM30" s="533"/>
      <c r="AN30" s="533"/>
      <c r="AO30" s="533"/>
      <c r="AP30" s="533"/>
      <c r="AQ30" s="533"/>
      <c r="AR30" s="533"/>
      <c r="AS30" s="533"/>
      <c r="AT30" s="533"/>
      <c r="AU30" s="533"/>
      <c r="AV30" s="533"/>
      <c r="AW30" s="533"/>
      <c r="AX30" s="533"/>
      <c r="AY30" s="533"/>
      <c r="AZ30" s="533"/>
      <c r="BA30" s="533"/>
      <c r="BB30" s="533"/>
      <c r="BC30" s="533"/>
      <c r="BD30" s="533"/>
      <c r="BE30" s="533"/>
      <c r="BF30" s="533"/>
      <c r="BG30" s="533"/>
      <c r="BH30" s="533"/>
      <c r="BI30" s="533"/>
      <c r="BJ30" s="533"/>
      <c r="BK30" s="533"/>
      <c r="BL30" s="533"/>
      <c r="BM30" s="533"/>
      <c r="BN30" s="533"/>
      <c r="BO30" s="533"/>
      <c r="BP30" s="533"/>
      <c r="BQ30" s="533"/>
      <c r="BR30" s="533"/>
      <c r="BS30" s="533"/>
      <c r="BT30" s="533"/>
      <c r="BU30" s="533"/>
      <c r="BV30" s="533"/>
      <c r="BW30" s="533"/>
      <c r="BX30" s="533"/>
      <c r="BY30" s="533"/>
      <c r="BZ30" s="533"/>
      <c r="CA30" s="533"/>
      <c r="CB30" s="533"/>
      <c r="CC30" s="533"/>
      <c r="CD30" s="533"/>
      <c r="CE30" s="533"/>
      <c r="CF30" s="533"/>
      <c r="CG30" s="533"/>
      <c r="CH30" s="533"/>
      <c r="CI30" s="533"/>
      <c r="CJ30" s="533"/>
      <c r="CK30" s="533"/>
      <c r="CL30" s="533"/>
      <c r="CM30" s="533"/>
      <c r="CN30" s="533"/>
      <c r="CO30" s="533"/>
      <c r="CP30" s="533"/>
      <c r="CQ30" s="533"/>
      <c r="CR30" s="533"/>
      <c r="CS30" s="533"/>
      <c r="CT30" s="533"/>
      <c r="CU30" s="533"/>
      <c r="CV30" s="533"/>
      <c r="CW30" s="533"/>
      <c r="CX30" s="533"/>
      <c r="CY30" s="533"/>
      <c r="CZ30" s="533"/>
      <c r="DA30" s="533"/>
      <c r="DB30" s="533"/>
      <c r="DC30" s="533"/>
      <c r="DD30" s="533"/>
      <c r="DE30" s="533"/>
      <c r="DF30" s="533"/>
      <c r="DG30" s="533"/>
      <c r="DH30" s="533"/>
      <c r="DI30" s="533"/>
      <c r="DJ30" s="533"/>
      <c r="DK30" s="533"/>
      <c r="DL30" s="533"/>
      <c r="DM30" s="533"/>
      <c r="DN30" s="533"/>
      <c r="DO30" s="533"/>
      <c r="DP30" s="533"/>
      <c r="DQ30" s="533"/>
      <c r="DR30" s="533"/>
      <c r="DS30" s="533"/>
      <c r="DT30" s="533"/>
      <c r="DU30" s="533"/>
      <c r="DV30" s="533"/>
      <c r="DW30" s="533"/>
      <c r="DX30" s="533"/>
      <c r="DY30" s="533"/>
      <c r="DZ30" s="533"/>
      <c r="EA30" s="533"/>
      <c r="EB30" s="533"/>
      <c r="EC30" s="533"/>
      <c r="ED30" s="533"/>
      <c r="EE30" s="533"/>
      <c r="EF30" s="533"/>
      <c r="EG30" s="533"/>
      <c r="EH30" s="533"/>
      <c r="EI30" s="533"/>
      <c r="EJ30" s="533"/>
      <c r="EK30" s="533"/>
      <c r="EL30" s="533"/>
      <c r="EM30" s="533"/>
      <c r="EN30" s="533"/>
      <c r="EO30" s="533"/>
      <c r="EP30" s="533"/>
    </row>
    <row r="31" spans="2:146">
      <c r="B31" s="531"/>
      <c r="C31" s="533"/>
      <c r="D31" s="533"/>
      <c r="E31" s="533"/>
      <c r="F31" s="533"/>
      <c r="G31" s="533"/>
      <c r="H31" s="533"/>
      <c r="I31" s="533"/>
      <c r="J31" s="533"/>
      <c r="K31" s="533"/>
      <c r="L31" s="533"/>
      <c r="M31" s="533"/>
      <c r="N31" s="533"/>
      <c r="O31" s="533"/>
      <c r="P31" s="533"/>
      <c r="Q31" s="533"/>
      <c r="R31" s="533"/>
      <c r="S31" s="533"/>
      <c r="T31" s="533"/>
      <c r="U31" s="533"/>
      <c r="V31" s="533"/>
      <c r="W31" s="533"/>
      <c r="X31" s="533"/>
      <c r="Y31" s="533"/>
      <c r="Z31" s="533"/>
      <c r="AA31" s="533"/>
      <c r="AB31" s="533"/>
      <c r="AC31" s="533"/>
      <c r="AD31" s="533"/>
      <c r="AE31" s="533"/>
      <c r="AF31" s="533"/>
      <c r="AG31" s="533"/>
      <c r="AH31" s="533"/>
      <c r="AI31" s="533"/>
      <c r="AJ31" s="533"/>
      <c r="AK31" s="533"/>
      <c r="AL31" s="533"/>
      <c r="AM31" s="533"/>
      <c r="AN31" s="533"/>
      <c r="AO31" s="533"/>
      <c r="AP31" s="533"/>
      <c r="AQ31" s="533"/>
      <c r="AR31" s="533"/>
      <c r="AS31" s="533"/>
      <c r="AT31" s="533"/>
      <c r="AU31" s="533"/>
      <c r="AV31" s="533"/>
      <c r="AW31" s="533"/>
      <c r="AX31" s="533"/>
      <c r="AY31" s="533"/>
      <c r="AZ31" s="533"/>
      <c r="BA31" s="533"/>
      <c r="BB31" s="533"/>
      <c r="BC31" s="533"/>
      <c r="BD31" s="533"/>
      <c r="BE31" s="533"/>
      <c r="BF31" s="533"/>
      <c r="BG31" s="533"/>
      <c r="BH31" s="533"/>
      <c r="BI31" s="533"/>
      <c r="BJ31" s="533"/>
      <c r="BK31" s="533"/>
      <c r="BL31" s="533"/>
      <c r="BM31" s="533"/>
      <c r="BN31" s="533"/>
      <c r="BO31" s="533"/>
      <c r="BP31" s="533"/>
      <c r="BQ31" s="533"/>
      <c r="BR31" s="533"/>
      <c r="BS31" s="533"/>
      <c r="BT31" s="533"/>
      <c r="BU31" s="533"/>
      <c r="BV31" s="533"/>
      <c r="BW31" s="533"/>
      <c r="BX31" s="533"/>
      <c r="BY31" s="533"/>
      <c r="BZ31" s="533"/>
      <c r="CA31" s="533"/>
      <c r="CB31" s="533"/>
      <c r="CC31" s="533"/>
      <c r="CD31" s="533"/>
      <c r="CE31" s="533"/>
      <c r="CF31" s="533"/>
      <c r="CG31" s="533"/>
      <c r="CH31" s="533"/>
      <c r="CI31" s="533"/>
      <c r="CJ31" s="533"/>
      <c r="CK31" s="533"/>
      <c r="CL31" s="533"/>
      <c r="CM31" s="533"/>
      <c r="CN31" s="533"/>
      <c r="CO31" s="533"/>
      <c r="CP31" s="533"/>
      <c r="CQ31" s="533"/>
      <c r="CR31" s="533"/>
      <c r="CS31" s="533"/>
      <c r="CT31" s="533"/>
      <c r="CU31" s="533"/>
      <c r="CV31" s="533"/>
      <c r="CW31" s="533"/>
      <c r="CX31" s="533"/>
      <c r="CY31" s="533"/>
      <c r="CZ31" s="533"/>
      <c r="DA31" s="533"/>
      <c r="DB31" s="533"/>
      <c r="DC31" s="533"/>
      <c r="DD31" s="533"/>
      <c r="DE31" s="533"/>
      <c r="DF31" s="533"/>
      <c r="DG31" s="533"/>
      <c r="DH31" s="533"/>
      <c r="DI31" s="533"/>
      <c r="DJ31" s="533"/>
      <c r="DK31" s="533"/>
      <c r="DL31" s="533"/>
      <c r="DM31" s="533"/>
      <c r="DN31" s="533"/>
      <c r="DO31" s="533"/>
      <c r="DP31" s="533"/>
      <c r="DQ31" s="533"/>
      <c r="DR31" s="533"/>
      <c r="DS31" s="533"/>
      <c r="DT31" s="533"/>
      <c r="DU31" s="533"/>
      <c r="DV31" s="533"/>
      <c r="DW31" s="533"/>
      <c r="DX31" s="533"/>
      <c r="DY31" s="533"/>
      <c r="DZ31" s="533"/>
      <c r="EA31" s="533"/>
      <c r="EB31" s="533"/>
      <c r="EC31" s="533"/>
      <c r="ED31" s="533"/>
      <c r="EE31" s="533"/>
      <c r="EF31" s="533"/>
      <c r="EG31" s="533"/>
      <c r="EH31" s="533"/>
      <c r="EI31" s="533"/>
      <c r="EJ31" s="533"/>
      <c r="EK31" s="533"/>
      <c r="EL31" s="533"/>
      <c r="EM31" s="533"/>
      <c r="EN31" s="533"/>
      <c r="EO31" s="533"/>
      <c r="EP31" s="533"/>
    </row>
    <row r="32" spans="2:146">
      <c r="B32" s="529" t="s">
        <v>23</v>
      </c>
      <c r="C32" s="538" t="s">
        <v>433</v>
      </c>
      <c r="D32" s="531" t="s">
        <v>434</v>
      </c>
      <c r="E32" s="538" t="s">
        <v>435</v>
      </c>
      <c r="F32" s="531" t="s">
        <v>436</v>
      </c>
      <c r="G32" s="538" t="s">
        <v>437</v>
      </c>
      <c r="H32" s="531" t="s">
        <v>438</v>
      </c>
      <c r="I32" s="538" t="s">
        <v>439</v>
      </c>
      <c r="J32" s="531" t="s">
        <v>440</v>
      </c>
      <c r="K32" s="538" t="s">
        <v>441</v>
      </c>
      <c r="L32" s="531" t="s">
        <v>442</v>
      </c>
      <c r="M32" s="538" t="s">
        <v>443</v>
      </c>
      <c r="N32" s="531" t="s">
        <v>444</v>
      </c>
      <c r="O32" s="539" t="s">
        <v>458</v>
      </c>
    </row>
    <row r="33" spans="2:25">
      <c r="B33" s="531">
        <v>2000</v>
      </c>
      <c r="C33" s="533">
        <f>IF(C$17="WD1",MAX(C18:N18),0)</f>
        <v>0</v>
      </c>
      <c r="D33" s="533">
        <f>IF(O$17="WD1",MAX(O18:Z18),0)</f>
        <v>0</v>
      </c>
      <c r="E33" s="533">
        <f>IF(AA$17="WD1",MAX(AA18:AL18),0)</f>
        <v>25.652883515687897</v>
      </c>
      <c r="F33" s="533">
        <f>IF(AM$17="WD1",MAX(AM18:AX18),0)</f>
        <v>1.1840168454546807</v>
      </c>
      <c r="G33" s="533">
        <f>IF(AY$17="WD1",MAX(AY18:BJ18),0)</f>
        <v>4.9538864252793813</v>
      </c>
      <c r="H33" s="533">
        <f>IF(BK$17="WD1",MAX(BK18:BV18),0)</f>
        <v>0.73386229064102859</v>
      </c>
      <c r="I33" s="533">
        <f>IF(BW$17="WD1",MAX(BW18:CH18),0)</f>
        <v>1.3478895357077147</v>
      </c>
      <c r="J33" s="533">
        <f>IF(CI$17="WD1",MAX(CI18:CT18),0)</f>
        <v>2.5109697766884582</v>
      </c>
      <c r="K33" s="533">
        <f>IF(CU$17="WD1",MAX(CU18:DF18),0)</f>
        <v>1.6844448559847951</v>
      </c>
      <c r="L33" s="533">
        <f>IF(DG$17="WD1",MAX(DG18:DR18),0)</f>
        <v>10.112255527943734</v>
      </c>
      <c r="M33" s="533">
        <f>IF(DS$17="WD1",MAX(DS18:ED18),0)</f>
        <v>4.8014137044569978</v>
      </c>
      <c r="N33" s="533">
        <f>IF(EE$17="WD1",MAX(EE18:EP18),0)</f>
        <v>2.2670902554172412</v>
      </c>
      <c r="O33" s="533">
        <f>MAX(C33:N33)</f>
        <v>25.652883515687897</v>
      </c>
      <c r="P33" s="533"/>
      <c r="Q33" s="533"/>
      <c r="R33" s="533"/>
      <c r="S33" s="533"/>
      <c r="T33" s="533"/>
      <c r="U33" s="533"/>
      <c r="V33" s="533"/>
      <c r="W33" s="533"/>
      <c r="X33" s="533"/>
      <c r="Y33" s="533"/>
    </row>
    <row r="34" spans="2:25">
      <c r="B34" s="531">
        <v>2001</v>
      </c>
      <c r="C34" s="533">
        <f t="shared" ref="C34:C43" si="34">IF(C$17="WD1",MAX(C19:N19),0)</f>
        <v>16.823032922314773</v>
      </c>
      <c r="D34" s="533">
        <f t="shared" ref="D34:D43" si="35">IF(O$17="WD1",MAX(O19:Z19),0)</f>
        <v>19.434806875455859</v>
      </c>
      <c r="E34" s="533">
        <f t="shared" ref="E34:E43" si="36">IF(AA$17="WD1",MAX(AA19:AL19),0)</f>
        <v>15.469495509438721</v>
      </c>
      <c r="F34" s="533">
        <f t="shared" ref="F34:F43" si="37">IF(AM$17="WD1",MAX(AM19:AX19),0)</f>
        <v>12.187988448622608</v>
      </c>
      <c r="G34" s="533">
        <f t="shared" ref="G34:G43" si="38">IF(AY$17="WD1",MAX(AY19:BJ19),0)</f>
        <v>14.355776481996267</v>
      </c>
      <c r="H34" s="533">
        <f t="shared" ref="H34:H43" si="39">IF(BK$17="WD1",MAX(BK19:BV19),0)</f>
        <v>3.2224704649070839</v>
      </c>
      <c r="I34" s="533">
        <f t="shared" ref="I34:I43" si="40">IF(BW$17="WD1",MAX(BW19:CH19),0)</f>
        <v>97.862549266567882</v>
      </c>
      <c r="J34" s="533">
        <f t="shared" ref="J34:J43" si="41">IF(CI$17="WD1",MAX(CI19:CT19),0)</f>
        <v>101.51676290301295</v>
      </c>
      <c r="K34" s="533">
        <f t="shared" ref="K34:K43" si="42">IF(CU$17="WD1",MAX(CU19:DF19),0)</f>
        <v>101.64869802550793</v>
      </c>
      <c r="L34" s="533">
        <f t="shared" ref="L34:L43" si="43">IF(DG$17="WD1",MAX(DG19:DR19),0)</f>
        <v>107.70904484398952</v>
      </c>
      <c r="M34" s="533">
        <f t="shared" ref="M34:M43" si="44">IF(DS$17="WD1",MAX(DS19:ED19),0)</f>
        <v>94.533620677542501</v>
      </c>
      <c r="N34" s="533">
        <f t="shared" ref="N34:N43" si="45">IF(EE$17="WD1",MAX(EE19:EP19),0)</f>
        <v>89.491366638915025</v>
      </c>
      <c r="O34" s="533">
        <f t="shared" ref="O34:O43" si="46">MAX(C34:N34)</f>
        <v>107.70904484398952</v>
      </c>
      <c r="P34" s="533"/>
      <c r="Q34" s="533"/>
      <c r="R34" s="533"/>
      <c r="S34" s="533"/>
      <c r="T34" s="533"/>
      <c r="U34" s="533"/>
      <c r="V34" s="533"/>
      <c r="W34" s="533"/>
      <c r="X34" s="533"/>
      <c r="Y34" s="533"/>
    </row>
    <row r="35" spans="2:25">
      <c r="B35" s="531">
        <v>2002</v>
      </c>
      <c r="C35" s="533">
        <f t="shared" si="34"/>
        <v>90.268673892973951</v>
      </c>
      <c r="D35" s="533">
        <f t="shared" si="35"/>
        <v>89.31508723509134</v>
      </c>
      <c r="E35" s="533">
        <f t="shared" si="36"/>
        <v>83.154197077642124</v>
      </c>
      <c r="F35" s="533">
        <f t="shared" si="37"/>
        <v>92.930860459355699</v>
      </c>
      <c r="G35" s="533">
        <f t="shared" si="38"/>
        <v>104.63607810407093</v>
      </c>
      <c r="H35" s="533">
        <f t="shared" si="39"/>
        <v>95.500343117693518</v>
      </c>
      <c r="I35" s="533">
        <f t="shared" si="40"/>
        <v>98.060613764942346</v>
      </c>
      <c r="J35" s="533">
        <f t="shared" si="41"/>
        <v>101.51715030638486</v>
      </c>
      <c r="K35" s="533">
        <f t="shared" si="42"/>
        <v>103.69383448294373</v>
      </c>
      <c r="L35" s="533">
        <f t="shared" si="43"/>
        <v>104.41746855619526</v>
      </c>
      <c r="M35" s="533">
        <f t="shared" si="44"/>
        <v>93.481110821675827</v>
      </c>
      <c r="N35" s="533">
        <f t="shared" si="45"/>
        <v>90.18690668339714</v>
      </c>
      <c r="O35" s="533">
        <f t="shared" si="46"/>
        <v>104.63607810407093</v>
      </c>
      <c r="P35" s="533"/>
      <c r="Q35" s="533"/>
      <c r="R35" s="533"/>
      <c r="S35" s="533"/>
      <c r="T35" s="533"/>
      <c r="U35" s="533"/>
      <c r="V35" s="533"/>
      <c r="W35" s="533"/>
      <c r="X35" s="533"/>
      <c r="Y35" s="533"/>
    </row>
    <row r="36" spans="2:25">
      <c r="B36" s="531">
        <v>2003</v>
      </c>
      <c r="C36" s="533">
        <f t="shared" si="34"/>
        <v>88.544446230990317</v>
      </c>
      <c r="D36" s="533">
        <f t="shared" si="35"/>
        <v>85.963963815361822</v>
      </c>
      <c r="E36" s="533">
        <f t="shared" si="36"/>
        <v>81.730722727508976</v>
      </c>
      <c r="F36" s="533">
        <f t="shared" si="37"/>
        <v>105.17925435578191</v>
      </c>
      <c r="G36" s="533">
        <f t="shared" si="38"/>
        <v>115.13899965799301</v>
      </c>
      <c r="H36" s="533">
        <f t="shared" si="39"/>
        <v>116.76798679921312</v>
      </c>
      <c r="I36" s="533">
        <f t="shared" si="40"/>
        <v>119.01354443981954</v>
      </c>
      <c r="J36" s="533">
        <f t="shared" si="41"/>
        <v>122.70520047789313</v>
      </c>
      <c r="K36" s="533">
        <f t="shared" si="42"/>
        <v>122.89607608811363</v>
      </c>
      <c r="L36" s="533">
        <f t="shared" si="43"/>
        <v>115.61566969477852</v>
      </c>
      <c r="M36" s="533">
        <f t="shared" si="44"/>
        <v>109.78208228781335</v>
      </c>
      <c r="N36" s="533">
        <f t="shared" si="45"/>
        <v>106.65410094988262</v>
      </c>
      <c r="O36" s="533">
        <f t="shared" si="46"/>
        <v>122.89607608811363</v>
      </c>
      <c r="P36" s="533"/>
      <c r="Q36" s="533"/>
      <c r="R36" s="533"/>
      <c r="S36" s="533"/>
      <c r="T36" s="533"/>
      <c r="U36" s="533"/>
      <c r="V36" s="533"/>
      <c r="W36" s="533"/>
      <c r="X36" s="533"/>
      <c r="Y36" s="533"/>
    </row>
    <row r="37" spans="2:25">
      <c r="B37" s="531">
        <v>2004</v>
      </c>
      <c r="C37" s="533">
        <f t="shared" si="34"/>
        <v>104.70843109566528</v>
      </c>
      <c r="D37" s="533">
        <f t="shared" si="35"/>
        <v>102.41631810145935</v>
      </c>
      <c r="E37" s="533">
        <f t="shared" si="36"/>
        <v>99.693330235825414</v>
      </c>
      <c r="F37" s="533">
        <f t="shared" si="37"/>
        <v>107.82799741638837</v>
      </c>
      <c r="G37" s="533">
        <f t="shared" si="38"/>
        <v>117.70719969676739</v>
      </c>
      <c r="H37" s="533">
        <f t="shared" si="39"/>
        <v>120.49014106422869</v>
      </c>
      <c r="I37" s="533">
        <f t="shared" si="40"/>
        <v>122.98268955090126</v>
      </c>
      <c r="J37" s="533">
        <f t="shared" si="41"/>
        <v>126.65337081204122</v>
      </c>
      <c r="K37" s="533">
        <f t="shared" si="42"/>
        <v>125.99298294811445</v>
      </c>
      <c r="L37" s="533">
        <f t="shared" si="43"/>
        <v>118.98837356653632</v>
      </c>
      <c r="M37" s="533">
        <f t="shared" si="44"/>
        <v>112.09668113463556</v>
      </c>
      <c r="N37" s="533">
        <f t="shared" si="45"/>
        <v>109.05020199253882</v>
      </c>
      <c r="O37" s="533">
        <f t="shared" si="46"/>
        <v>126.65337081204122</v>
      </c>
      <c r="P37" s="533"/>
      <c r="Q37" s="533"/>
      <c r="R37" s="533"/>
      <c r="S37" s="533"/>
      <c r="T37" s="533"/>
      <c r="U37" s="533"/>
      <c r="V37" s="533"/>
      <c r="W37" s="533"/>
      <c r="X37" s="533"/>
      <c r="Y37" s="533"/>
    </row>
    <row r="38" spans="2:25">
      <c r="B38" s="531">
        <v>2005</v>
      </c>
      <c r="C38" s="533">
        <f t="shared" si="34"/>
        <v>104.683914348816</v>
      </c>
      <c r="D38" s="533">
        <f t="shared" si="35"/>
        <v>101.94964351091349</v>
      </c>
      <c r="E38" s="533">
        <f t="shared" si="36"/>
        <v>99.735161177198819</v>
      </c>
      <c r="F38" s="533">
        <f t="shared" si="37"/>
        <v>107.7104016181564</v>
      </c>
      <c r="G38" s="533">
        <f t="shared" si="38"/>
        <v>116.9204556673578</v>
      </c>
      <c r="H38" s="533">
        <f t="shared" si="39"/>
        <v>120.43286807981571</v>
      </c>
      <c r="I38" s="533">
        <f t="shared" si="40"/>
        <v>122.8314960769377</v>
      </c>
      <c r="J38" s="533">
        <f t="shared" si="41"/>
        <v>126.45230284592049</v>
      </c>
      <c r="K38" s="533">
        <f t="shared" si="42"/>
        <v>125.70931848914208</v>
      </c>
      <c r="L38" s="533">
        <f t="shared" si="43"/>
        <v>118.73015676056991</v>
      </c>
      <c r="M38" s="533">
        <f t="shared" si="44"/>
        <v>111.79386679400882</v>
      </c>
      <c r="N38" s="533">
        <f t="shared" si="45"/>
        <v>108.90492275243787</v>
      </c>
      <c r="O38" s="533">
        <f t="shared" si="46"/>
        <v>126.45230284592049</v>
      </c>
      <c r="P38" s="533"/>
      <c r="Q38" s="533"/>
      <c r="R38" s="533"/>
      <c r="S38" s="533"/>
      <c r="T38" s="533"/>
      <c r="U38" s="533"/>
      <c r="V38" s="533"/>
      <c r="W38" s="533"/>
      <c r="X38" s="533"/>
      <c r="Y38" s="533"/>
    </row>
    <row r="39" spans="2:25">
      <c r="B39" s="531">
        <v>2006</v>
      </c>
      <c r="C39" s="533">
        <f t="shared" si="34"/>
        <v>104.56009779449903</v>
      </c>
      <c r="D39" s="533">
        <f t="shared" si="35"/>
        <v>101.73357238362105</v>
      </c>
      <c r="E39" s="533">
        <f t="shared" si="36"/>
        <v>99.760177344559679</v>
      </c>
      <c r="F39" s="533">
        <f t="shared" si="37"/>
        <v>107.5505675763504</v>
      </c>
      <c r="G39" s="533">
        <f t="shared" si="38"/>
        <v>116.2777039040443</v>
      </c>
      <c r="H39" s="533">
        <f t="shared" si="39"/>
        <v>120.32642592373416</v>
      </c>
      <c r="I39" s="533">
        <f t="shared" si="40"/>
        <v>122.66546902324043</v>
      </c>
      <c r="J39" s="533">
        <f t="shared" si="41"/>
        <v>126.2942958844458</v>
      </c>
      <c r="K39" s="533">
        <f t="shared" si="42"/>
        <v>125.63164109935661</v>
      </c>
      <c r="L39" s="533">
        <f t="shared" si="43"/>
        <v>118.37233558050985</v>
      </c>
      <c r="M39" s="533">
        <f t="shared" si="44"/>
        <v>111.53309842589927</v>
      </c>
      <c r="N39" s="533">
        <f t="shared" si="45"/>
        <v>98.508155282080082</v>
      </c>
      <c r="O39" s="533">
        <f t="shared" si="46"/>
        <v>126.2942958844458</v>
      </c>
      <c r="P39" s="533"/>
      <c r="Q39" s="533"/>
      <c r="R39" s="533"/>
      <c r="S39" s="533"/>
      <c r="T39" s="533"/>
      <c r="U39" s="533"/>
      <c r="V39" s="533"/>
      <c r="W39" s="533"/>
      <c r="X39" s="533"/>
      <c r="Y39" s="533"/>
    </row>
    <row r="40" spans="2:25">
      <c r="B40" s="531">
        <v>2007</v>
      </c>
      <c r="C40" s="533">
        <f t="shared" si="34"/>
        <v>94.030263691170177</v>
      </c>
      <c r="D40" s="533">
        <f t="shared" si="35"/>
        <v>91.241387508838187</v>
      </c>
      <c r="E40" s="533">
        <f t="shared" si="36"/>
        <v>89.231966473800085</v>
      </c>
      <c r="F40" s="533">
        <f t="shared" si="37"/>
        <v>96.680216463520821</v>
      </c>
      <c r="G40" s="533">
        <f t="shared" si="38"/>
        <v>104.6961627872596</v>
      </c>
      <c r="H40" s="533">
        <f t="shared" si="39"/>
        <v>107.84693133261744</v>
      </c>
      <c r="I40" s="533">
        <f t="shared" si="40"/>
        <v>109.64282999178189</v>
      </c>
      <c r="J40" s="533">
        <f t="shared" si="41"/>
        <v>112.91275320239833</v>
      </c>
      <c r="K40" s="533">
        <f t="shared" si="42"/>
        <v>113.30700876886439</v>
      </c>
      <c r="L40" s="533">
        <f t="shared" si="43"/>
        <v>108.57698321701147</v>
      </c>
      <c r="M40" s="533">
        <f t="shared" si="44"/>
        <v>101.1850548155423</v>
      </c>
      <c r="N40" s="533">
        <f t="shared" si="45"/>
        <v>98.288028850532896</v>
      </c>
      <c r="O40" s="533">
        <f t="shared" si="46"/>
        <v>113.30700876886439</v>
      </c>
      <c r="P40" s="533"/>
      <c r="Q40" s="533"/>
      <c r="R40" s="533"/>
      <c r="S40" s="533"/>
      <c r="T40" s="533"/>
      <c r="U40" s="533"/>
      <c r="V40" s="533"/>
      <c r="W40" s="533"/>
      <c r="X40" s="533"/>
      <c r="Y40" s="533"/>
    </row>
    <row r="41" spans="2:25">
      <c r="B41" s="531">
        <v>2008</v>
      </c>
      <c r="C41" s="533">
        <f t="shared" si="34"/>
        <v>95.165550839959863</v>
      </c>
      <c r="D41" s="533">
        <f t="shared" si="35"/>
        <v>92.850940429354182</v>
      </c>
      <c r="E41" s="533">
        <f t="shared" si="36"/>
        <v>90.728500749787102</v>
      </c>
      <c r="F41" s="533">
        <f t="shared" si="37"/>
        <v>97.939653116511437</v>
      </c>
      <c r="G41" s="533">
        <f t="shared" si="38"/>
        <v>106.03315860910388</v>
      </c>
      <c r="H41" s="533">
        <f t="shared" si="39"/>
        <v>109.52657862519573</v>
      </c>
      <c r="I41" s="533">
        <f t="shared" si="40"/>
        <v>111.22339435584007</v>
      </c>
      <c r="J41" s="533">
        <f t="shared" si="41"/>
        <v>114.54019718714406</v>
      </c>
      <c r="K41" s="533">
        <f t="shared" si="42"/>
        <v>116.72108073824791</v>
      </c>
      <c r="L41" s="533">
        <f t="shared" si="43"/>
        <v>109.92925356909309</v>
      </c>
      <c r="M41" s="533">
        <f t="shared" si="44"/>
        <v>102.57601786255906</v>
      </c>
      <c r="N41" s="533">
        <f t="shared" si="45"/>
        <v>99.397048766260667</v>
      </c>
      <c r="O41" s="533">
        <f t="shared" si="46"/>
        <v>116.72108073824791</v>
      </c>
      <c r="P41" s="533"/>
      <c r="Q41" s="533"/>
      <c r="R41" s="533"/>
      <c r="S41" s="533"/>
      <c r="T41" s="533"/>
      <c r="U41" s="533"/>
      <c r="V41" s="533"/>
      <c r="W41" s="533"/>
      <c r="X41" s="533"/>
      <c r="Y41" s="533"/>
    </row>
    <row r="42" spans="2:25">
      <c r="B42" s="531">
        <v>2009</v>
      </c>
      <c r="C42" s="533">
        <f t="shared" si="34"/>
        <v>95.004112465676982</v>
      </c>
      <c r="D42" s="533">
        <f t="shared" si="35"/>
        <v>92.146646520689984</v>
      </c>
      <c r="E42" s="533">
        <f t="shared" si="36"/>
        <v>90.415410783138668</v>
      </c>
      <c r="F42" s="533">
        <f t="shared" si="37"/>
        <v>97.700259542113059</v>
      </c>
      <c r="G42" s="533">
        <f t="shared" si="38"/>
        <v>105.7216896465971</v>
      </c>
      <c r="H42" s="533">
        <f t="shared" si="39"/>
        <v>108.81220661188367</v>
      </c>
      <c r="I42" s="533">
        <f t="shared" si="40"/>
        <v>110.55980552017519</v>
      </c>
      <c r="J42" s="533">
        <f t="shared" si="41"/>
        <v>113.91690308841594</v>
      </c>
      <c r="K42" s="533">
        <f t="shared" si="42"/>
        <v>115.48972430086586</v>
      </c>
      <c r="L42" s="533">
        <f t="shared" si="43"/>
        <v>107.79479349110917</v>
      </c>
      <c r="M42" s="533">
        <f t="shared" si="44"/>
        <v>99.082882439873401</v>
      </c>
      <c r="N42" s="533">
        <f t="shared" si="45"/>
        <v>95.713947747348342</v>
      </c>
      <c r="O42" s="533">
        <f t="shared" si="46"/>
        <v>115.48972430086586</v>
      </c>
      <c r="P42" s="533"/>
      <c r="Q42" s="533"/>
      <c r="R42" s="533"/>
      <c r="S42" s="533"/>
      <c r="T42" s="533"/>
      <c r="U42" s="533"/>
      <c r="V42" s="533"/>
      <c r="W42" s="533"/>
      <c r="X42" s="533"/>
      <c r="Y42" s="533"/>
    </row>
    <row r="43" spans="2:25">
      <c r="B43" s="531">
        <v>2010</v>
      </c>
      <c r="C43" s="533">
        <f t="shared" si="34"/>
        <v>86.724938604846926</v>
      </c>
      <c r="D43" s="533">
        <f t="shared" si="35"/>
        <v>78.902917248453917</v>
      </c>
      <c r="E43" s="533">
        <f t="shared" si="36"/>
        <v>76.036111095970412</v>
      </c>
      <c r="F43" s="533">
        <f t="shared" si="37"/>
        <v>84.565585455349165</v>
      </c>
      <c r="G43" s="533">
        <f t="shared" si="38"/>
        <v>92.749097807518865</v>
      </c>
      <c r="H43" s="533">
        <f t="shared" si="39"/>
        <v>99.14689912977461</v>
      </c>
      <c r="I43" s="533">
        <f t="shared" si="40"/>
        <v>100.90012460787401</v>
      </c>
      <c r="J43" s="533">
        <f t="shared" si="41"/>
        <v>104.00284832074061</v>
      </c>
      <c r="K43" s="533">
        <f t="shared" si="42"/>
        <v>99.588840281583799</v>
      </c>
      <c r="L43" s="533">
        <f t="shared" si="43"/>
        <v>0</v>
      </c>
      <c r="M43" s="533">
        <f t="shared" si="44"/>
        <v>0</v>
      </c>
      <c r="N43" s="533">
        <f t="shared" si="45"/>
        <v>0</v>
      </c>
      <c r="O43" s="533">
        <f t="shared" si="46"/>
        <v>104.00284832074061</v>
      </c>
      <c r="P43" s="533"/>
      <c r="Q43" s="533"/>
      <c r="R43" s="533"/>
      <c r="S43" s="533"/>
      <c r="T43" s="533"/>
      <c r="U43" s="533"/>
      <c r="V43" s="533"/>
      <c r="W43" s="533"/>
      <c r="X43" s="533"/>
      <c r="Y43" s="533"/>
    </row>
    <row r="44" spans="2:25">
      <c r="C44" s="533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70" t="s">
        <v>123</v>
      </c>
    </row>
    <row r="6" spans="1:4" ht="13.5" thickBot="1"/>
    <row r="7" spans="1:4" ht="13.5" thickBot="1">
      <c r="A7" s="520"/>
      <c r="B7" s="476" t="s">
        <v>411</v>
      </c>
      <c r="C7" s="477" t="s">
        <v>0</v>
      </c>
      <c r="D7" s="478"/>
    </row>
    <row r="8" spans="1:4">
      <c r="A8" s="479"/>
      <c r="B8" s="293" t="s">
        <v>125</v>
      </c>
      <c r="C8" s="293" t="s">
        <v>2</v>
      </c>
      <c r="D8" s="480" t="s">
        <v>418</v>
      </c>
    </row>
    <row r="9" spans="1:4" ht="13.5" thickBot="1">
      <c r="A9" s="481" t="s">
        <v>122</v>
      </c>
      <c r="B9" s="482">
        <f>'Returns Analysis'!C39</f>
        <v>-2.2983461618423465E-3</v>
      </c>
      <c r="C9" s="483">
        <f>Debt!E69</f>
        <v>1.4999999999999889</v>
      </c>
      <c r="D9" s="484">
        <f>Debt!E68</f>
        <v>1.5</v>
      </c>
    </row>
    <row r="10" spans="1:4">
      <c r="A10" s="63"/>
      <c r="C10" s="485"/>
      <c r="D10" s="485"/>
    </row>
    <row r="11" spans="1:4" ht="13.5" thickBot="1"/>
    <row r="12" spans="1:4">
      <c r="A12" s="486" t="s">
        <v>376</v>
      </c>
      <c r="B12" s="487">
        <f>B9</f>
        <v>-2.2983461618423465E-3</v>
      </c>
      <c r="C12" s="488">
        <f>C9</f>
        <v>1.4999999999999889</v>
      </c>
      <c r="D12" s="489">
        <f>D9</f>
        <v>1.5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2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9" zoomScale="75" zoomScaleNormal="75" workbookViewId="0">
      <selection activeCell="F77" sqref="F77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3" t="s">
        <v>83</v>
      </c>
      <c r="I1" s="80"/>
      <c r="AL1" s="80"/>
    </row>
    <row r="2" spans="1:38" ht="13.5" customHeight="1">
      <c r="A2" s="243"/>
      <c r="I2" s="80"/>
      <c r="AL2" s="80"/>
    </row>
    <row r="3" spans="1:38" ht="19.5" customHeight="1">
      <c r="A3" s="178" t="s">
        <v>460</v>
      </c>
      <c r="I3" s="80"/>
      <c r="AL3" s="80"/>
    </row>
    <row r="4" spans="1:38" s="5" customFormat="1" ht="19.5" customHeight="1">
      <c r="A4" s="244"/>
      <c r="I4" s="176"/>
      <c r="AL4" s="176"/>
    </row>
    <row r="5" spans="1:38" ht="19.5" customHeight="1">
      <c r="A5" s="170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4"/>
      <c r="E8" s="13"/>
      <c r="F8" s="94" t="s">
        <v>91</v>
      </c>
      <c r="G8" s="114"/>
      <c r="H8" s="115"/>
      <c r="I8" s="199"/>
      <c r="J8" s="39"/>
      <c r="L8" s="95" t="s">
        <v>203</v>
      </c>
      <c r="M8" s="120"/>
      <c r="N8" s="38"/>
      <c r="O8" s="38"/>
      <c r="P8" s="39"/>
      <c r="U8" s="337" t="s">
        <v>236</v>
      </c>
      <c r="V8" s="338" t="s">
        <v>241</v>
      </c>
      <c r="W8" s="338" t="s">
        <v>245</v>
      </c>
      <c r="X8" s="338" t="s">
        <v>124</v>
      </c>
      <c r="Y8" s="338" t="s">
        <v>260</v>
      </c>
      <c r="Z8" s="338" t="s">
        <v>261</v>
      </c>
      <c r="AA8" s="338" t="s">
        <v>262</v>
      </c>
      <c r="AB8" s="359" t="s">
        <v>321</v>
      </c>
    </row>
    <row r="9" spans="1:38" ht="15.75">
      <c r="A9" s="41"/>
      <c r="B9" s="13"/>
      <c r="C9" s="13"/>
      <c r="D9" s="40"/>
      <c r="E9" s="13"/>
      <c r="F9" s="117"/>
      <c r="G9" s="175"/>
      <c r="H9" s="175"/>
      <c r="I9" s="13"/>
      <c r="J9" s="40"/>
      <c r="L9" s="119" t="s">
        <v>309</v>
      </c>
      <c r="M9" s="13"/>
      <c r="N9" s="13"/>
      <c r="O9" s="13"/>
      <c r="P9" s="40"/>
      <c r="U9" s="327" t="s">
        <v>240</v>
      </c>
      <c r="V9" s="328" t="s">
        <v>242</v>
      </c>
      <c r="W9" s="328" t="s">
        <v>315</v>
      </c>
      <c r="X9" s="328" t="s">
        <v>256</v>
      </c>
      <c r="Y9" s="328" t="s">
        <v>265</v>
      </c>
      <c r="Z9" s="328" t="s">
        <v>263</v>
      </c>
      <c r="AA9" s="328" t="s">
        <v>263</v>
      </c>
      <c r="AB9" s="360" t="s">
        <v>324</v>
      </c>
    </row>
    <row r="10" spans="1:38" ht="15.75">
      <c r="A10" s="96" t="s">
        <v>6</v>
      </c>
      <c r="B10" s="97" t="s">
        <v>7</v>
      </c>
      <c r="C10" s="193" t="s">
        <v>8</v>
      </c>
      <c r="D10" s="346" t="s">
        <v>198</v>
      </c>
      <c r="E10" s="13"/>
      <c r="F10" s="117" t="s">
        <v>105</v>
      </c>
      <c r="G10" s="13"/>
      <c r="H10" s="217" t="s">
        <v>119</v>
      </c>
      <c r="I10" s="13"/>
      <c r="J10" s="40"/>
      <c r="L10" s="41"/>
      <c r="M10" s="13"/>
      <c r="N10" s="13"/>
      <c r="O10" s="13"/>
      <c r="P10" s="40"/>
      <c r="U10" s="291" t="s">
        <v>237</v>
      </c>
      <c r="V10" s="204" t="s">
        <v>243</v>
      </c>
      <c r="W10" s="204" t="s">
        <v>316</v>
      </c>
      <c r="X10" s="204" t="s">
        <v>254</v>
      </c>
      <c r="Y10" s="204" t="s">
        <v>330</v>
      </c>
      <c r="Z10" s="204" t="s">
        <v>264</v>
      </c>
      <c r="AA10" s="204" t="s">
        <v>264</v>
      </c>
      <c r="AB10" s="361" t="s">
        <v>322</v>
      </c>
    </row>
    <row r="11" spans="1:38" ht="15.75">
      <c r="A11" s="99" t="s">
        <v>9</v>
      </c>
      <c r="B11" s="268">
        <f>C11/C14</f>
        <v>0.32074093215735577</v>
      </c>
      <c r="C11" s="194">
        <f>C58-C12</f>
        <v>33589.890461193077</v>
      </c>
      <c r="D11" s="347">
        <f>C11/$H$68</f>
        <v>178.66963011272912</v>
      </c>
      <c r="E11" s="13"/>
      <c r="F11" s="117" t="s">
        <v>215</v>
      </c>
      <c r="G11" s="13"/>
      <c r="H11" s="282">
        <v>14260.449607331708</v>
      </c>
      <c r="I11" s="13"/>
      <c r="J11" s="40"/>
      <c r="L11" s="119" t="s">
        <v>130</v>
      </c>
      <c r="M11" s="13"/>
      <c r="N11" s="259">
        <v>0.03</v>
      </c>
      <c r="O11" s="219"/>
      <c r="P11" s="40"/>
      <c r="U11" s="291" t="s">
        <v>39</v>
      </c>
      <c r="V11" s="204" t="s">
        <v>240</v>
      </c>
      <c r="W11" s="204"/>
      <c r="X11" s="204" t="s">
        <v>317</v>
      </c>
      <c r="Y11" s="204"/>
      <c r="Z11" s="204"/>
      <c r="AA11" s="204"/>
      <c r="AB11" s="361" t="s">
        <v>323</v>
      </c>
    </row>
    <row r="12" spans="1:38" ht="15.75">
      <c r="A12" s="99" t="s">
        <v>86</v>
      </c>
      <c r="B12" s="151">
        <f>C12/C14</f>
        <v>0.67925906784264423</v>
      </c>
      <c r="C12" s="194">
        <f>Debt!B19</f>
        <v>71136.033465204469</v>
      </c>
      <c r="D12" s="347">
        <f>C12/$H$68</f>
        <v>378.38315672981099</v>
      </c>
      <c r="E12" s="13"/>
      <c r="F12" s="117" t="s">
        <v>11</v>
      </c>
      <c r="G12" s="175"/>
      <c r="H12" s="249">
        <v>4</v>
      </c>
      <c r="I12" s="111"/>
      <c r="J12" s="40"/>
      <c r="L12" s="102"/>
      <c r="M12" s="13"/>
      <c r="N12" s="13"/>
      <c r="O12" s="219"/>
      <c r="P12" s="40"/>
      <c r="U12" s="339"/>
      <c r="V12" s="204" t="s">
        <v>39</v>
      </c>
      <c r="W12" s="13"/>
      <c r="X12" s="204" t="s">
        <v>259</v>
      </c>
      <c r="Y12" s="13"/>
      <c r="Z12" s="13"/>
      <c r="AA12" s="13"/>
      <c r="AB12" s="333"/>
    </row>
    <row r="13" spans="1:38" ht="15.75">
      <c r="A13" s="100"/>
      <c r="B13" s="245"/>
      <c r="C13" s="194"/>
      <c r="D13" s="347"/>
      <c r="E13" s="13"/>
      <c r="F13" s="117" t="s">
        <v>268</v>
      </c>
      <c r="G13" s="175"/>
      <c r="H13" s="250">
        <v>47</v>
      </c>
      <c r="I13" s="111"/>
      <c r="J13" s="40"/>
      <c r="L13" s="119" t="s">
        <v>88</v>
      </c>
      <c r="M13" s="13"/>
      <c r="N13" s="98"/>
      <c r="O13" s="219"/>
      <c r="P13" s="40"/>
      <c r="U13" s="327">
        <v>3</v>
      </c>
      <c r="V13" s="328">
        <v>1</v>
      </c>
      <c r="W13" s="328">
        <v>1</v>
      </c>
      <c r="X13" s="328">
        <v>1</v>
      </c>
      <c r="Y13" s="328">
        <v>2</v>
      </c>
      <c r="Z13" s="328">
        <v>1</v>
      </c>
      <c r="AA13" s="328">
        <f>IF(C28&gt;0,1,2)</f>
        <v>1</v>
      </c>
      <c r="AB13" s="360">
        <v>1</v>
      </c>
    </row>
    <row r="14" spans="1:38" ht="15.75">
      <c r="A14" s="101" t="s">
        <v>10</v>
      </c>
      <c r="B14" s="148">
        <f>C14/$C$14</f>
        <v>1</v>
      </c>
      <c r="C14" s="195">
        <f>SUM(C11:C12)</f>
        <v>104725.92392639755</v>
      </c>
      <c r="D14" s="451">
        <f>C14/$H$68</f>
        <v>557.05278684254017</v>
      </c>
      <c r="E14" s="13"/>
      <c r="F14" s="117" t="s">
        <v>379</v>
      </c>
      <c r="G14" s="175"/>
      <c r="H14" s="249">
        <v>10100</v>
      </c>
      <c r="I14" s="13"/>
      <c r="J14" s="40"/>
      <c r="L14" s="41"/>
      <c r="M14" s="13"/>
      <c r="N14" s="271" t="s">
        <v>200</v>
      </c>
      <c r="O14" s="203" t="s">
        <v>174</v>
      </c>
      <c r="P14" s="200" t="s">
        <v>426</v>
      </c>
      <c r="U14" s="292" t="str">
        <f>CHOOSE(U13,U9,U10,U11)</f>
        <v>Custom</v>
      </c>
      <c r="V14" s="293" t="str">
        <f>CHOOSE(V13,V9,V10,V11,V12)</f>
        <v>Base</v>
      </c>
      <c r="W14" s="293" t="str">
        <f>CHOOSE(W13,W9,W10,W11,W12)</f>
        <v>Pass-through</v>
      </c>
      <c r="X14" s="293" t="str">
        <f>CHOOSE(X13,X9,X10,X11,X12)</f>
        <v>EBITDA Exit Multiple</v>
      </c>
      <c r="Y14" s="293">
        <f>IF(Y13=1,1,2)</f>
        <v>2</v>
      </c>
      <c r="Z14" s="293">
        <f>IF(C32&gt;0,10,20)</f>
        <v>10</v>
      </c>
      <c r="AA14" s="293" t="str">
        <f>CHOOSE(AA13,AA9,AA10,AA11,AA12)</f>
        <v>Yes</v>
      </c>
      <c r="AB14" s="329" t="str">
        <f>CHOOSE(AB13,AB9,AB10,AB11,AB12)</f>
        <v>Bank LT Debt</v>
      </c>
    </row>
    <row r="15" spans="1:38" ht="15.75">
      <c r="A15" s="41"/>
      <c r="B15" s="13"/>
      <c r="C15" s="13"/>
      <c r="D15" s="349"/>
      <c r="E15" s="13"/>
      <c r="F15" s="117" t="s">
        <v>380</v>
      </c>
      <c r="G15" s="175"/>
      <c r="H15" s="249">
        <v>10200</v>
      </c>
      <c r="I15" s="111"/>
      <c r="J15" s="40"/>
      <c r="L15" s="102" t="s">
        <v>201</v>
      </c>
      <c r="M15" s="13"/>
      <c r="N15" s="543">
        <v>153.19999999999999</v>
      </c>
      <c r="O15" s="220"/>
      <c r="P15" s="260">
        <v>0.59</v>
      </c>
    </row>
    <row r="16" spans="1:38" ht="15.75">
      <c r="A16" s="119" t="s">
        <v>467</v>
      </c>
      <c r="B16" s="556" t="s">
        <v>263</v>
      </c>
      <c r="C16" s="13"/>
      <c r="D16" s="349"/>
      <c r="E16" s="13"/>
      <c r="F16" s="117" t="s">
        <v>193</v>
      </c>
      <c r="G16" s="13"/>
      <c r="H16" s="545">
        <v>8</v>
      </c>
      <c r="I16" s="13"/>
      <c r="J16" s="40"/>
      <c r="L16" s="105" t="s">
        <v>248</v>
      </c>
      <c r="M16" s="13"/>
      <c r="N16" s="544">
        <v>576.9</v>
      </c>
      <c r="O16" s="296"/>
      <c r="P16" s="297">
        <v>1.64</v>
      </c>
      <c r="U16" s="331"/>
      <c r="V16" s="57" t="s">
        <v>269</v>
      </c>
      <c r="W16" s="332" t="s">
        <v>270</v>
      </c>
    </row>
    <row r="17" spans="1:23" ht="15.75">
      <c r="A17" s="555" t="s">
        <v>104</v>
      </c>
      <c r="B17" s="167"/>
      <c r="C17" s="13"/>
      <c r="D17" s="349"/>
      <c r="E17" s="13"/>
      <c r="F17" s="117" t="s">
        <v>107</v>
      </c>
      <c r="G17" s="175"/>
      <c r="H17" s="252">
        <v>37012</v>
      </c>
      <c r="I17" s="13"/>
      <c r="J17" s="40"/>
      <c r="L17" s="117" t="s">
        <v>246</v>
      </c>
      <c r="M17" s="6"/>
      <c r="N17" s="274">
        <f>SUM(N15:N16)</f>
        <v>730.09999999999991</v>
      </c>
      <c r="O17" s="221"/>
      <c r="P17" s="298">
        <f>SUM(P15:P16)</f>
        <v>2.23</v>
      </c>
      <c r="U17" s="55" t="s">
        <v>265</v>
      </c>
      <c r="V17" s="13">
        <v>11</v>
      </c>
      <c r="W17" s="333">
        <v>21</v>
      </c>
    </row>
    <row r="18" spans="1:23" ht="15.75">
      <c r="A18" s="99" t="s">
        <v>420</v>
      </c>
      <c r="B18" s="13"/>
      <c r="C18" s="13"/>
      <c r="D18" s="349"/>
      <c r="E18" s="13"/>
      <c r="F18" s="102" t="s">
        <v>133</v>
      </c>
      <c r="G18" s="98"/>
      <c r="H18" s="274">
        <f>13-MONTH(H17)</f>
        <v>8</v>
      </c>
      <c r="I18" s="111"/>
      <c r="J18" s="40"/>
      <c r="L18" s="41"/>
      <c r="M18" s="13"/>
      <c r="N18" s="13"/>
      <c r="O18" s="13"/>
      <c r="P18" s="542" t="s">
        <v>459</v>
      </c>
      <c r="U18" s="334" t="s">
        <v>266</v>
      </c>
      <c r="V18" s="58">
        <v>12</v>
      </c>
      <c r="W18" s="294">
        <v>22</v>
      </c>
    </row>
    <row r="19" spans="1:23" ht="15.75">
      <c r="A19" s="102" t="s">
        <v>421</v>
      </c>
      <c r="B19" s="168">
        <f t="shared" ref="B19:B33" si="0">C19/$C$58</f>
        <v>0.54467696526999743</v>
      </c>
      <c r="C19" s="196">
        <f>H11*H12</f>
        <v>57041.798429326831</v>
      </c>
      <c r="D19" s="347">
        <f t="shared" ref="D19:D33" si="1">C19/$H$68</f>
        <v>303.41382143258954</v>
      </c>
      <c r="E19" s="13"/>
      <c r="F19" s="117" t="s">
        <v>106</v>
      </c>
      <c r="G19" s="13"/>
      <c r="H19" s="249">
        <v>9</v>
      </c>
      <c r="I19" s="111"/>
      <c r="J19" s="40"/>
      <c r="L19" s="102" t="s">
        <v>202</v>
      </c>
      <c r="M19" s="13"/>
      <c r="N19" s="251">
        <v>450</v>
      </c>
      <c r="O19" s="270">
        <f t="shared" ref="O19:O25" si="2">N19/$H$68</f>
        <v>2.3936170212765959</v>
      </c>
      <c r="P19" s="40"/>
    </row>
    <row r="20" spans="1:23" ht="15.75">
      <c r="A20" s="102" t="s">
        <v>257</v>
      </c>
      <c r="B20" s="168">
        <f t="shared" si="0"/>
        <v>2.3680860545503227E-3</v>
      </c>
      <c r="C20" s="196">
        <f>62*H12</f>
        <v>248</v>
      </c>
      <c r="D20" s="347">
        <f t="shared" si="1"/>
        <v>1.3191489361702127</v>
      </c>
      <c r="E20" s="13"/>
      <c r="F20" s="117" t="s">
        <v>302</v>
      </c>
      <c r="G20" s="13"/>
      <c r="H20" s="336" t="s">
        <v>303</v>
      </c>
      <c r="I20" s="111"/>
      <c r="J20" s="40"/>
      <c r="L20" s="102" t="s">
        <v>35</v>
      </c>
      <c r="M20" s="13"/>
      <c r="N20" s="251">
        <v>200</v>
      </c>
      <c r="O20" s="270">
        <f t="shared" si="2"/>
        <v>1.0638297872340425</v>
      </c>
      <c r="P20" s="40"/>
    </row>
    <row r="21" spans="1:23" ht="15.75">
      <c r="A21" s="46" t="s">
        <v>469</v>
      </c>
      <c r="B21" s="168">
        <f t="shared" si="0"/>
        <v>1.7187721363671696E-2</v>
      </c>
      <c r="C21" s="196">
        <f>450*H12</f>
        <v>1800</v>
      </c>
      <c r="D21" s="347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1">
        <v>150</v>
      </c>
      <c r="O21" s="270">
        <f t="shared" si="2"/>
        <v>0.7978723404255319</v>
      </c>
      <c r="P21" s="40"/>
    </row>
    <row r="22" spans="1:23" ht="15.75">
      <c r="A22" s="102" t="s">
        <v>176</v>
      </c>
      <c r="B22" s="168">
        <f t="shared" si="0"/>
        <v>0.22093860939590873</v>
      </c>
      <c r="C22" s="247">
        <v>23138</v>
      </c>
      <c r="D22" s="347">
        <f t="shared" si="1"/>
        <v>123.07446808510639</v>
      </c>
      <c r="E22" s="13"/>
      <c r="F22" s="116" t="s">
        <v>255</v>
      </c>
      <c r="G22" s="13"/>
      <c r="H22" s="326"/>
      <c r="I22" s="13"/>
      <c r="J22" s="40"/>
      <c r="L22" s="102" t="s">
        <v>352</v>
      </c>
      <c r="M22" s="13"/>
      <c r="N22" s="251">
        <v>0</v>
      </c>
      <c r="O22" s="270">
        <f t="shared" si="2"/>
        <v>0</v>
      </c>
      <c r="P22" s="40"/>
    </row>
    <row r="23" spans="1:23" ht="15.75">
      <c r="A23" s="102" t="s">
        <v>109</v>
      </c>
      <c r="B23" s="168">
        <f t="shared" si="0"/>
        <v>1.432310113639308E-2</v>
      </c>
      <c r="C23" s="247">
        <v>1500</v>
      </c>
      <c r="D23" s="347">
        <f t="shared" si="1"/>
        <v>7.9787234042553195</v>
      </c>
      <c r="E23" s="13"/>
      <c r="F23" s="325" t="s">
        <v>256</v>
      </c>
      <c r="G23" s="175"/>
      <c r="H23" s="324">
        <v>4</v>
      </c>
      <c r="I23" s="357"/>
      <c r="J23" s="40"/>
      <c r="L23" s="102" t="s">
        <v>44</v>
      </c>
      <c r="M23" s="13"/>
      <c r="N23" s="251">
        <v>0</v>
      </c>
      <c r="O23" s="270">
        <f t="shared" si="2"/>
        <v>0</v>
      </c>
      <c r="P23" s="40"/>
    </row>
    <row r="24" spans="1:23" ht="15.75">
      <c r="A24" s="102" t="s">
        <v>110</v>
      </c>
      <c r="B24" s="168">
        <f t="shared" si="0"/>
        <v>1.0837813193204097E-2</v>
      </c>
      <c r="C24" s="247">
        <v>1135</v>
      </c>
      <c r="D24" s="347">
        <f t="shared" si="1"/>
        <v>6.0372340425531918</v>
      </c>
      <c r="E24" s="13"/>
      <c r="F24" s="325" t="s">
        <v>378</v>
      </c>
      <c r="G24" s="13"/>
      <c r="H24" s="259">
        <v>0.44750000000000001</v>
      </c>
      <c r="I24" s="111"/>
      <c r="J24" s="40"/>
      <c r="L24" s="102" t="s">
        <v>37</v>
      </c>
      <c r="M24" s="13"/>
      <c r="N24" s="251">
        <v>0</v>
      </c>
      <c r="O24" s="270">
        <f t="shared" si="2"/>
        <v>0</v>
      </c>
      <c r="P24" s="40"/>
    </row>
    <row r="25" spans="1:23" ht="16.5" thickBot="1">
      <c r="A25" s="102" t="s">
        <v>111</v>
      </c>
      <c r="B25" s="168">
        <f t="shared" si="0"/>
        <v>4.5833923636457857E-2</v>
      </c>
      <c r="C25" s="247">
        <v>4800</v>
      </c>
      <c r="D25" s="347">
        <f t="shared" si="1"/>
        <v>25.531914893617021</v>
      </c>
      <c r="E25" s="13"/>
      <c r="F25" s="246" t="s">
        <v>198</v>
      </c>
      <c r="G25" s="42"/>
      <c r="H25" s="356">
        <v>250</v>
      </c>
      <c r="I25" s="42"/>
      <c r="J25" s="81"/>
      <c r="L25" s="105" t="s">
        <v>38</v>
      </c>
      <c r="M25" s="216"/>
      <c r="N25" s="295">
        <v>200</v>
      </c>
      <c r="O25" s="299">
        <f t="shared" si="2"/>
        <v>1.0638297872340425</v>
      </c>
      <c r="P25" s="40"/>
    </row>
    <row r="26" spans="1:23" ht="16.5" thickBot="1">
      <c r="A26" s="102" t="s">
        <v>112</v>
      </c>
      <c r="B26" s="168">
        <f t="shared" si="0"/>
        <v>0</v>
      </c>
      <c r="C26" s="247">
        <v>0</v>
      </c>
      <c r="D26" s="347">
        <f t="shared" si="1"/>
        <v>0</v>
      </c>
      <c r="E26" s="13"/>
      <c r="L26" s="117" t="s">
        <v>247</v>
      </c>
      <c r="M26" s="6"/>
      <c r="N26" s="274">
        <f>SUM(N19:N25)</f>
        <v>1000</v>
      </c>
      <c r="O26" s="300">
        <f>SUM(O19:O25)</f>
        <v>5.3191489361702127</v>
      </c>
      <c r="P26" s="362"/>
    </row>
    <row r="27" spans="1:23" ht="15.75">
      <c r="A27" s="102" t="s">
        <v>113</v>
      </c>
      <c r="B27" s="168">
        <f t="shared" si="0"/>
        <v>0</v>
      </c>
      <c r="C27" s="247">
        <v>0</v>
      </c>
      <c r="D27" s="347">
        <f t="shared" si="1"/>
        <v>0</v>
      </c>
      <c r="E27" s="13"/>
      <c r="F27" s="95" t="s">
        <v>118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335</v>
      </c>
      <c r="B28" s="168">
        <f t="shared" si="0"/>
        <v>5.8724714659211634E-3</v>
      </c>
      <c r="C28" s="247">
        <v>615</v>
      </c>
      <c r="D28" s="347">
        <f t="shared" si="1"/>
        <v>3.271276595744681</v>
      </c>
      <c r="E28" s="13"/>
      <c r="F28" s="354" t="s">
        <v>116</v>
      </c>
      <c r="G28" s="355"/>
      <c r="H28" s="355" t="s">
        <v>320</v>
      </c>
      <c r="I28" s="179"/>
      <c r="J28" s="330"/>
      <c r="L28" s="119" t="s">
        <v>89</v>
      </c>
      <c r="M28" s="13"/>
      <c r="N28" s="161"/>
      <c r="O28" s="221"/>
      <c r="P28" s="40"/>
      <c r="R28" s="3"/>
    </row>
    <row r="29" spans="1:23" ht="15.75">
      <c r="A29" s="102" t="s">
        <v>114</v>
      </c>
      <c r="B29" s="168">
        <f t="shared" si="0"/>
        <v>0</v>
      </c>
      <c r="C29" s="247">
        <v>0</v>
      </c>
      <c r="D29" s="347">
        <f t="shared" si="1"/>
        <v>0</v>
      </c>
      <c r="E29" s="13"/>
      <c r="F29" s="325" t="s">
        <v>84</v>
      </c>
      <c r="G29" s="252">
        <v>36617</v>
      </c>
      <c r="H29" s="353"/>
      <c r="I29" s="179"/>
      <c r="J29" s="330"/>
      <c r="L29" s="102" t="s">
        <v>236</v>
      </c>
      <c r="M29" s="13"/>
      <c r="N29" s="274" t="e">
        <f>IS!#REF!</f>
        <v>#REF!</v>
      </c>
      <c r="O29" s="221" t="e">
        <f>N29/$H$68</f>
        <v>#REF!</v>
      </c>
      <c r="P29" s="40"/>
      <c r="R29" s="341"/>
    </row>
    <row r="30" spans="1:23" ht="15.75">
      <c r="A30" s="102" t="s">
        <v>177</v>
      </c>
      <c r="B30" s="168">
        <f t="shared" si="0"/>
        <v>0</v>
      </c>
      <c r="C30" s="247">
        <v>0</v>
      </c>
      <c r="D30" s="347">
        <f t="shared" si="1"/>
        <v>0</v>
      </c>
      <c r="E30" s="13"/>
      <c r="F30" s="325" t="s">
        <v>126</v>
      </c>
      <c r="G30" s="252">
        <v>36557</v>
      </c>
      <c r="H30" s="353"/>
      <c r="I30" s="179"/>
      <c r="J30" s="330"/>
      <c r="L30" s="102" t="s">
        <v>214</v>
      </c>
      <c r="M30" s="13"/>
      <c r="N30" s="274">
        <f>IS!C21/IS!C6</f>
        <v>600</v>
      </c>
      <c r="O30" s="221">
        <f>N30/$H$68</f>
        <v>3.1914893617021276</v>
      </c>
      <c r="P30" s="541">
        <v>0.02</v>
      </c>
      <c r="R30" s="3"/>
    </row>
    <row r="31" spans="1:23" ht="15.75">
      <c r="A31" s="102" t="s">
        <v>178</v>
      </c>
      <c r="B31" s="168">
        <f t="shared" si="0"/>
        <v>0</v>
      </c>
      <c r="C31" s="247">
        <v>0</v>
      </c>
      <c r="D31" s="347">
        <f t="shared" si="1"/>
        <v>0</v>
      </c>
      <c r="E31" s="13"/>
      <c r="F31" s="41"/>
      <c r="G31" s="13"/>
      <c r="H31" s="6"/>
      <c r="I31" s="179"/>
      <c r="J31" s="330"/>
      <c r="L31" s="102" t="s">
        <v>204</v>
      </c>
      <c r="M31" s="13"/>
      <c r="N31" s="274">
        <f>IS!C22/IS!C6</f>
        <v>255.49006961967399</v>
      </c>
      <c r="O31" s="221">
        <f>N31/$H$68</f>
        <v>1.3589897320195425</v>
      </c>
      <c r="P31" s="40"/>
      <c r="R31" s="3"/>
    </row>
    <row r="32" spans="1:23" ht="15.75">
      <c r="A32" s="102" t="s">
        <v>427</v>
      </c>
      <c r="B32" s="168">
        <f t="shared" si="0"/>
        <v>3.8777409143261533E-2</v>
      </c>
      <c r="C32" s="247">
        <v>4061</v>
      </c>
      <c r="D32" s="347">
        <f t="shared" si="1"/>
        <v>21.601063829787233</v>
      </c>
      <c r="E32" s="13"/>
      <c r="F32" s="106" t="s">
        <v>14</v>
      </c>
      <c r="G32" s="107">
        <f>Debt!B19</f>
        <v>71136.033465204469</v>
      </c>
      <c r="H32" s="107"/>
      <c r="I32" s="179"/>
      <c r="J32" s="330"/>
      <c r="L32" s="102" t="s">
        <v>208</v>
      </c>
      <c r="M32" s="13"/>
      <c r="N32" s="274">
        <f>IS!C23/IS!C6</f>
        <v>0</v>
      </c>
      <c r="O32" s="221">
        <f>N32/$H$68</f>
        <v>0</v>
      </c>
      <c r="P32" s="40"/>
      <c r="Q32" s="66"/>
      <c r="R32" s="3"/>
    </row>
    <row r="33" spans="1:18" ht="16.5" thickBot="1">
      <c r="A33" s="105" t="s">
        <v>115</v>
      </c>
      <c r="B33" s="183">
        <f t="shared" si="0"/>
        <v>1.2413354318207337E-2</v>
      </c>
      <c r="C33" s="248">
        <v>1300</v>
      </c>
      <c r="D33" s="348">
        <f t="shared" si="1"/>
        <v>6.9148936170212769</v>
      </c>
      <c r="E33" s="13"/>
      <c r="F33" s="106" t="s">
        <v>15</v>
      </c>
      <c r="G33" s="253">
        <v>9</v>
      </c>
      <c r="H33" s="107"/>
      <c r="I33" s="179"/>
      <c r="J33" s="330"/>
      <c r="L33" s="104" t="s">
        <v>428</v>
      </c>
      <c r="M33" s="42"/>
      <c r="N33" s="277">
        <f>IS!C24/IS!C6</f>
        <v>0</v>
      </c>
      <c r="O33" s="222">
        <f>N33/$H$68</f>
        <v>0</v>
      </c>
      <c r="P33" s="81"/>
      <c r="R33" s="3"/>
    </row>
    <row r="34" spans="1:18" ht="16.5" thickBot="1">
      <c r="A34" s="102" t="s">
        <v>108</v>
      </c>
      <c r="B34" s="168">
        <f>SUM(B19:B33)</f>
        <v>0.91322945497757335</v>
      </c>
      <c r="C34" s="196">
        <f>SUM(C19:C33)</f>
        <v>95638.798429326824</v>
      </c>
      <c r="D34" s="347">
        <f>SUM(D19:D33)</f>
        <v>508.71701292195121</v>
      </c>
      <c r="E34" s="13"/>
      <c r="F34" s="106" t="s">
        <v>16</v>
      </c>
      <c r="G34" s="353">
        <v>40634</v>
      </c>
      <c r="H34" s="353"/>
      <c r="I34" s="179"/>
      <c r="J34" s="330"/>
      <c r="N34" s="198"/>
      <c r="R34" s="3"/>
    </row>
    <row r="35" spans="1:18" ht="15.75">
      <c r="A35" s="41"/>
      <c r="B35" s="13"/>
      <c r="C35" s="13"/>
      <c r="D35" s="349"/>
      <c r="E35" s="13"/>
      <c r="F35" s="106" t="s">
        <v>17</v>
      </c>
      <c r="G35" s="122">
        <f>Debt!E66</f>
        <v>-20.41089076756402</v>
      </c>
      <c r="H35" s="381" t="str">
        <f>IF(H32,Debt!#REF!," ")</f>
        <v xml:space="preserve"> </v>
      </c>
      <c r="I35" s="179"/>
      <c r="J35" s="330"/>
      <c r="L35" s="94" t="s">
        <v>22</v>
      </c>
      <c r="M35" s="115"/>
      <c r="N35" s="261"/>
      <c r="O35" s="120"/>
      <c r="P35" s="39"/>
      <c r="R35" s="5"/>
    </row>
    <row r="36" spans="1:18" ht="15.75">
      <c r="A36" s="99" t="s">
        <v>381</v>
      </c>
      <c r="B36" s="13"/>
      <c r="C36" s="13"/>
      <c r="D36" s="350"/>
      <c r="E36" s="13"/>
      <c r="F36" s="106"/>
      <c r="G36" s="13"/>
      <c r="H36" s="13"/>
      <c r="I36" s="179"/>
      <c r="J36" s="330"/>
      <c r="L36" s="41"/>
      <c r="M36" s="169"/>
      <c r="N36" s="13"/>
      <c r="O36" s="13"/>
      <c r="P36" s="40"/>
      <c r="R36" s="5"/>
    </row>
    <row r="37" spans="1:18" ht="15.75">
      <c r="A37" s="99" t="s">
        <v>165</v>
      </c>
      <c r="B37" s="168">
        <f t="shared" ref="B37:B49" si="3">C37/$C$58</f>
        <v>0</v>
      </c>
      <c r="C37" s="247">
        <v>0</v>
      </c>
      <c r="D37" s="347">
        <f t="shared" ref="D37:D50" si="4">C37/$H$68</f>
        <v>0</v>
      </c>
      <c r="E37" s="13"/>
      <c r="F37" s="102" t="s">
        <v>18</v>
      </c>
      <c r="G37" s="254">
        <v>6.5000000000000002E-2</v>
      </c>
      <c r="H37" s="254">
        <v>6.5000000000000002E-2</v>
      </c>
      <c r="I37" s="179"/>
      <c r="J37" s="330"/>
      <c r="L37" s="102"/>
      <c r="M37" s="13"/>
      <c r="N37" s="147" t="s">
        <v>23</v>
      </c>
      <c r="O37" s="147" t="s">
        <v>24</v>
      </c>
      <c r="P37" s="171" t="s">
        <v>25</v>
      </c>
      <c r="R37" s="13"/>
    </row>
    <row r="38" spans="1:18" ht="15.75">
      <c r="A38" s="99" t="s">
        <v>431</v>
      </c>
      <c r="B38" s="168">
        <f t="shared" si="3"/>
        <v>0</v>
      </c>
      <c r="C38" s="247">
        <v>0</v>
      </c>
      <c r="D38" s="347">
        <f t="shared" si="4"/>
        <v>0</v>
      </c>
      <c r="E38" s="13"/>
      <c r="F38" s="102" t="s">
        <v>19</v>
      </c>
      <c r="G38" s="255">
        <v>0.02</v>
      </c>
      <c r="H38" s="255">
        <v>0.02</v>
      </c>
      <c r="I38" s="179"/>
      <c r="J38" s="330"/>
      <c r="L38" s="116" t="s">
        <v>26</v>
      </c>
      <c r="M38" s="13"/>
      <c r="N38" s="262"/>
      <c r="O38" s="262"/>
      <c r="P38" s="103"/>
      <c r="R38" s="13"/>
    </row>
    <row r="39" spans="1:18" ht="15.75">
      <c r="A39" s="99" t="s">
        <v>166</v>
      </c>
      <c r="B39" s="168">
        <f t="shared" si="3"/>
        <v>5.7292404545572322E-3</v>
      </c>
      <c r="C39" s="247">
        <v>600</v>
      </c>
      <c r="D39" s="347">
        <f t="shared" si="4"/>
        <v>3.1914893617021276</v>
      </c>
      <c r="E39" s="13"/>
      <c r="F39" s="106" t="s">
        <v>325</v>
      </c>
      <c r="G39" s="108">
        <f>Debt!E64</f>
        <v>8.5000000000000006E-2</v>
      </c>
      <c r="H39" s="108">
        <f>SUM(H37:H38)</f>
        <v>8.5000000000000006E-2</v>
      </c>
      <c r="I39" s="179"/>
      <c r="J39" s="330"/>
      <c r="L39" s="117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102" t="s">
        <v>430</v>
      </c>
      <c r="B40" s="168">
        <f t="shared" si="3"/>
        <v>0</v>
      </c>
      <c r="C40" s="247">
        <v>0</v>
      </c>
      <c r="D40" s="347">
        <f t="shared" si="4"/>
        <v>0</v>
      </c>
      <c r="E40" s="13"/>
      <c r="F40" s="102"/>
      <c r="G40" s="98"/>
      <c r="H40" s="98"/>
      <c r="I40" s="98"/>
      <c r="J40" s="186"/>
      <c r="L40" s="117" t="s">
        <v>251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9" t="s">
        <v>167</v>
      </c>
      <c r="B41" s="168">
        <f t="shared" si="3"/>
        <v>0</v>
      </c>
      <c r="C41" s="247">
        <v>0</v>
      </c>
      <c r="D41" s="347">
        <f t="shared" si="4"/>
        <v>0</v>
      </c>
      <c r="E41" s="13"/>
      <c r="F41" s="102" t="s">
        <v>127</v>
      </c>
      <c r="G41" s="253">
        <v>0</v>
      </c>
      <c r="H41" s="253">
        <v>0</v>
      </c>
      <c r="I41" s="98" t="s">
        <v>128</v>
      </c>
      <c r="J41" s="187"/>
      <c r="L41" s="117" t="s">
        <v>29</v>
      </c>
      <c r="M41" s="13"/>
      <c r="N41" s="272">
        <v>20</v>
      </c>
      <c r="O41" s="263" t="s">
        <v>30</v>
      </c>
      <c r="P41" s="188">
        <v>0</v>
      </c>
      <c r="R41" s="341"/>
    </row>
    <row r="42" spans="1:18" ht="15.75">
      <c r="A42" s="99" t="s">
        <v>175</v>
      </c>
      <c r="B42" s="168">
        <f t="shared" si="3"/>
        <v>0</v>
      </c>
      <c r="C42" s="247">
        <v>0</v>
      </c>
      <c r="D42" s="347">
        <f t="shared" si="4"/>
        <v>0</v>
      </c>
      <c r="E42" s="13"/>
      <c r="F42" s="102" t="s">
        <v>20</v>
      </c>
      <c r="G42" s="256">
        <v>0.02</v>
      </c>
      <c r="H42" s="98"/>
      <c r="I42" s="98"/>
      <c r="J42" s="187"/>
      <c r="L42" s="117"/>
      <c r="M42" s="13"/>
      <c r="N42" s="264"/>
      <c r="O42" s="264"/>
      <c r="P42" s="265"/>
      <c r="R42" s="223"/>
    </row>
    <row r="43" spans="1:18" ht="15.75">
      <c r="A43" s="99" t="s">
        <v>168</v>
      </c>
      <c r="B43" s="168">
        <f t="shared" si="3"/>
        <v>0</v>
      </c>
      <c r="C43" s="247">
        <v>0</v>
      </c>
      <c r="D43" s="347">
        <f t="shared" si="4"/>
        <v>0</v>
      </c>
      <c r="E43" s="13"/>
      <c r="F43" s="102" t="s">
        <v>21</v>
      </c>
      <c r="G43" s="256">
        <v>0</v>
      </c>
      <c r="H43" s="13"/>
      <c r="I43" s="13"/>
      <c r="J43" s="40"/>
      <c r="L43" s="116" t="s">
        <v>31</v>
      </c>
      <c r="M43" s="13"/>
      <c r="N43" s="264"/>
      <c r="O43" s="264"/>
      <c r="P43" s="189"/>
    </row>
    <row r="44" spans="1:18" ht="15.75">
      <c r="A44" s="99" t="s">
        <v>169</v>
      </c>
      <c r="B44" s="168">
        <f t="shared" si="3"/>
        <v>1.432310113639308E-3</v>
      </c>
      <c r="C44" s="247">
        <v>150</v>
      </c>
      <c r="D44" s="347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9" t="s">
        <v>172</v>
      </c>
      <c r="B45" s="168">
        <f t="shared" si="3"/>
        <v>4.7743670454643603E-4</v>
      </c>
      <c r="C45" s="247">
        <v>50</v>
      </c>
      <c r="D45" s="347">
        <f t="shared" si="4"/>
        <v>0.26595744680851063</v>
      </c>
      <c r="E45" s="13"/>
      <c r="F45" s="354" t="s">
        <v>117</v>
      </c>
      <c r="G45" s="13"/>
      <c r="H45" s="13"/>
      <c r="I45" s="13"/>
      <c r="J45" s="40"/>
      <c r="L45" s="117" t="s">
        <v>251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102" t="s">
        <v>216</v>
      </c>
      <c r="B46" s="168">
        <f t="shared" si="3"/>
        <v>4.1663089075606841E-2</v>
      </c>
      <c r="C46" s="196">
        <f>IDC!H34</f>
        <v>4363.2054970707268</v>
      </c>
      <c r="D46" s="347">
        <f t="shared" si="4"/>
        <v>23.208539878035779</v>
      </c>
      <c r="E46" s="13"/>
      <c r="F46" s="325" t="s">
        <v>85</v>
      </c>
      <c r="G46" s="252">
        <v>36617</v>
      </c>
      <c r="H46" s="13"/>
      <c r="I46" s="13"/>
      <c r="J46" s="40"/>
      <c r="L46" s="118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102" t="s">
        <v>179</v>
      </c>
      <c r="B47" s="168">
        <f t="shared" si="3"/>
        <v>0</v>
      </c>
      <c r="C47" s="247">
        <v>0</v>
      </c>
      <c r="D47" s="347">
        <f t="shared" si="4"/>
        <v>0</v>
      </c>
      <c r="E47" s="13"/>
      <c r="F47" s="102" t="s">
        <v>12</v>
      </c>
      <c r="G47" s="257">
        <v>0</v>
      </c>
      <c r="H47" s="145">
        <f>G47*C11</f>
        <v>0</v>
      </c>
      <c r="I47" s="13"/>
      <c r="J47" s="40"/>
    </row>
    <row r="48" spans="1:18" ht="16.5" thickBot="1">
      <c r="A48" s="102" t="s">
        <v>273</v>
      </c>
      <c r="B48" s="168">
        <f t="shared" si="3"/>
        <v>2.7919734583148306E-2</v>
      </c>
      <c r="C48" s="196">
        <f>SUM(C22:C33)*N55</f>
        <v>2923.92</v>
      </c>
      <c r="D48" s="347">
        <f t="shared" si="4"/>
        <v>15.552765957446809</v>
      </c>
      <c r="E48" s="64"/>
      <c r="F48" s="104" t="s">
        <v>13</v>
      </c>
      <c r="G48" s="269">
        <f>1-G47</f>
        <v>1</v>
      </c>
      <c r="H48" s="146">
        <f>G48*C11</f>
        <v>33589.890461193077</v>
      </c>
      <c r="I48" s="42"/>
      <c r="J48" s="81"/>
      <c r="L48" s="94" t="s">
        <v>382</v>
      </c>
      <c r="M48" s="115"/>
      <c r="N48" s="279"/>
      <c r="O48" s="280"/>
      <c r="P48" s="363"/>
    </row>
    <row r="49" spans="1:16" ht="16.5" thickBot="1">
      <c r="A49" s="96" t="s">
        <v>180</v>
      </c>
      <c r="B49" s="183">
        <f t="shared" si="3"/>
        <v>0</v>
      </c>
      <c r="C49" s="248">
        <v>0</v>
      </c>
      <c r="D49" s="348">
        <f t="shared" si="4"/>
        <v>0</v>
      </c>
      <c r="E49" s="43"/>
      <c r="L49" s="181"/>
      <c r="M49" s="175"/>
      <c r="N49" s="157"/>
      <c r="O49" s="6"/>
      <c r="P49" s="362"/>
    </row>
    <row r="50" spans="1:16" ht="15.75">
      <c r="A50" s="102" t="s">
        <v>108</v>
      </c>
      <c r="B50" s="168">
        <f>SUM(B37:B49)</f>
        <v>7.7221810931498117E-2</v>
      </c>
      <c r="C50" s="196">
        <f>SUM(C37:C49)</f>
        <v>8087.1254970707269</v>
      </c>
      <c r="D50" s="347">
        <f t="shared" si="4"/>
        <v>43.016624984418762</v>
      </c>
      <c r="E50" s="13"/>
      <c r="F50" s="94" t="s">
        <v>199</v>
      </c>
      <c r="G50" s="114"/>
      <c r="H50" s="120"/>
      <c r="I50" s="201"/>
      <c r="J50" s="39"/>
      <c r="L50" s="117" t="s">
        <v>131</v>
      </c>
      <c r="M50" s="6"/>
      <c r="N50" s="262">
        <v>0.35</v>
      </c>
      <c r="O50" s="6"/>
      <c r="P50" s="362"/>
    </row>
    <row r="51" spans="1:16" ht="15.75">
      <c r="A51" s="41"/>
      <c r="B51" s="13"/>
      <c r="C51" s="196"/>
      <c r="D51" s="350"/>
      <c r="E51" s="85"/>
      <c r="F51" s="105" t="s">
        <v>304</v>
      </c>
      <c r="G51" s="13"/>
      <c r="H51" s="13"/>
      <c r="I51" s="111"/>
      <c r="J51" s="40"/>
      <c r="L51" s="117" t="s">
        <v>287</v>
      </c>
      <c r="M51" s="6"/>
      <c r="N51" s="259">
        <v>7.0000000000000007E-2</v>
      </c>
      <c r="O51" s="364" t="s">
        <v>234</v>
      </c>
      <c r="P51" s="362"/>
    </row>
    <row r="52" spans="1:16" ht="15.75">
      <c r="A52" s="99" t="s">
        <v>101</v>
      </c>
      <c r="B52" s="13"/>
      <c r="C52" s="196"/>
      <c r="D52" s="349"/>
      <c r="E52" s="85"/>
      <c r="F52" s="102" t="s">
        <v>306</v>
      </c>
      <c r="G52" s="13"/>
      <c r="H52" s="563">
        <v>9</v>
      </c>
      <c r="I52" s="13"/>
      <c r="J52" s="40"/>
      <c r="L52" s="117" t="s">
        <v>253</v>
      </c>
      <c r="M52" s="6"/>
      <c r="N52" s="259">
        <v>2.5000000000000001E-3</v>
      </c>
      <c r="O52" s="364" t="s">
        <v>234</v>
      </c>
      <c r="P52" s="362"/>
    </row>
    <row r="53" spans="1:16" ht="15.75">
      <c r="A53" s="99" t="s">
        <v>170</v>
      </c>
      <c r="B53" s="168">
        <f>C53/$C$58</f>
        <v>0</v>
      </c>
      <c r="C53" s="247">
        <v>0</v>
      </c>
      <c r="D53" s="347">
        <f>C53/$H$68</f>
        <v>0</v>
      </c>
      <c r="E53" s="13"/>
      <c r="F53" s="102" t="s">
        <v>417</v>
      </c>
      <c r="G53" s="13"/>
      <c r="H53" s="564">
        <v>5.5</v>
      </c>
      <c r="I53" s="111"/>
      <c r="J53" s="40"/>
      <c r="L53" s="117" t="s">
        <v>209</v>
      </c>
      <c r="M53" s="6"/>
      <c r="N53" s="259">
        <v>0</v>
      </c>
      <c r="O53" s="364" t="s">
        <v>234</v>
      </c>
      <c r="P53" s="362"/>
    </row>
    <row r="54" spans="1:16" ht="15.75">
      <c r="A54" s="99" t="s">
        <v>171</v>
      </c>
      <c r="B54" s="168">
        <f>C54/$C$58</f>
        <v>0</v>
      </c>
      <c r="C54" s="247">
        <v>0</v>
      </c>
      <c r="D54" s="347">
        <f>C54/$H$68</f>
        <v>0</v>
      </c>
      <c r="E54" s="13"/>
      <c r="F54" s="102" t="s">
        <v>470</v>
      </c>
      <c r="G54" s="13"/>
      <c r="H54" s="564">
        <v>42.03</v>
      </c>
      <c r="I54" s="13"/>
      <c r="J54" s="40"/>
      <c r="L54" s="117" t="s">
        <v>239</v>
      </c>
      <c r="M54" s="13"/>
      <c r="N54" s="259">
        <v>1.4999999999999999E-2</v>
      </c>
      <c r="O54" s="364" t="s">
        <v>234</v>
      </c>
      <c r="P54" s="40"/>
    </row>
    <row r="55" spans="1:16" ht="16.5" thickBot="1">
      <c r="A55" s="105" t="s">
        <v>102</v>
      </c>
      <c r="B55" s="183">
        <f>C55/$C$58</f>
        <v>9.5487340909287208E-3</v>
      </c>
      <c r="C55" s="248">
        <v>1000</v>
      </c>
      <c r="D55" s="347">
        <f>C55/$H$68</f>
        <v>5.3191489361702127</v>
      </c>
      <c r="E55" s="13"/>
      <c r="F55" s="41"/>
      <c r="G55" s="13"/>
      <c r="H55" s="13"/>
      <c r="I55" s="13"/>
      <c r="J55" s="40"/>
      <c r="L55" s="118" t="s">
        <v>274</v>
      </c>
      <c r="M55" s="42"/>
      <c r="N55" s="275">
        <v>0.08</v>
      </c>
      <c r="O55" s="365" t="s">
        <v>234</v>
      </c>
      <c r="P55" s="81"/>
    </row>
    <row r="56" spans="1:16" ht="15.75">
      <c r="A56" s="102" t="s">
        <v>108</v>
      </c>
      <c r="B56" s="168">
        <f>SUM(B53:B55)</f>
        <v>9.5487340909287208E-3</v>
      </c>
      <c r="C56" s="112">
        <f>SUM(C53:C55)</f>
        <v>1000</v>
      </c>
      <c r="D56" s="347">
        <f>C56/$H$68</f>
        <v>5.3191489361702127</v>
      </c>
      <c r="E56" s="13"/>
      <c r="F56" s="105" t="s">
        <v>307</v>
      </c>
      <c r="G56" s="13"/>
      <c r="H56" s="13"/>
      <c r="I56" s="13"/>
      <c r="J56" s="40"/>
    </row>
    <row r="57" spans="1:16" ht="15.75">
      <c r="A57" s="41"/>
      <c r="B57" s="13"/>
      <c r="C57" s="13"/>
      <c r="D57" s="350"/>
      <c r="E57" s="13"/>
      <c r="F57" s="102" t="s">
        <v>306</v>
      </c>
      <c r="G57" s="13"/>
      <c r="H57" s="274">
        <f>H19-H52</f>
        <v>0</v>
      </c>
      <c r="I57" s="111"/>
      <c r="J57" s="40"/>
    </row>
    <row r="58" spans="1:16" ht="16.5" thickBot="1">
      <c r="A58" s="185" t="s">
        <v>103</v>
      </c>
      <c r="B58" s="182">
        <f>B56+B50+B34</f>
        <v>1.0000000000000002</v>
      </c>
      <c r="C58" s="197">
        <f>C56+C50+C34</f>
        <v>104725.92392639755</v>
      </c>
      <c r="D58" s="351">
        <f>C58/$H$68</f>
        <v>557.05278684254017</v>
      </c>
      <c r="E58" s="13"/>
      <c r="F58" s="102" t="s">
        <v>417</v>
      </c>
      <c r="G58" s="98"/>
      <c r="H58" s="154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1"/>
      <c r="D60" s="121"/>
      <c r="E60" s="13"/>
      <c r="F60" s="102" t="s">
        <v>425</v>
      </c>
      <c r="G60" s="98"/>
      <c r="H60" s="154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2"/>
      <c r="I61" s="111"/>
      <c r="J61" s="40"/>
    </row>
    <row r="62" spans="1:16" ht="16.5" thickBot="1">
      <c r="A62" s="342" t="s">
        <v>271</v>
      </c>
      <c r="B62" s="343"/>
      <c r="C62" s="344">
        <f>D58</f>
        <v>557.05278684254017</v>
      </c>
      <c r="D62" s="40"/>
      <c r="E62" s="13"/>
      <c r="F62" s="104" t="s">
        <v>121</v>
      </c>
      <c r="G62" s="42"/>
      <c r="H62" s="276">
        <f>H68*H72</f>
        <v>263200</v>
      </c>
      <c r="I62" s="202"/>
      <c r="J62" s="81"/>
    </row>
    <row r="63" spans="1:16" ht="13.5" thickBot="1">
      <c r="A63" s="521"/>
      <c r="B63" s="179"/>
      <c r="C63" s="179"/>
      <c r="D63" s="40"/>
      <c r="E63" s="13"/>
    </row>
    <row r="64" spans="1:16" ht="15.75">
      <c r="A64" s="102"/>
      <c r="B64" s="98"/>
      <c r="C64" s="97" t="s">
        <v>34</v>
      </c>
      <c r="D64" s="171" t="s">
        <v>33</v>
      </c>
      <c r="E64" s="13"/>
      <c r="F64" s="94" t="s">
        <v>5</v>
      </c>
      <c r="G64" s="199"/>
      <c r="H64" s="201"/>
      <c r="I64" s="38"/>
      <c r="J64" s="39"/>
    </row>
    <row r="65" spans="1:10" ht="15.75">
      <c r="A65" s="105" t="s">
        <v>0</v>
      </c>
      <c r="B65" s="109"/>
      <c r="C65" s="110">
        <f>Debt!E68</f>
        <v>1.5</v>
      </c>
      <c r="D65" s="352">
        <f>Debt!E69</f>
        <v>1.4999999999999889</v>
      </c>
      <c r="E65" s="13"/>
      <c r="F65" s="181"/>
      <c r="G65" s="152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129</v>
      </c>
      <c r="G66" s="13"/>
      <c r="H66" s="218">
        <f>H12*H13</f>
        <v>188</v>
      </c>
      <c r="I66" s="13"/>
      <c r="J66" s="40"/>
    </row>
    <row r="67" spans="1:10" ht="15.75">
      <c r="A67" s="105" t="s">
        <v>336</v>
      </c>
      <c r="B67" s="13"/>
      <c r="C67" s="13"/>
      <c r="D67" s="40"/>
      <c r="E67" s="13"/>
      <c r="F67" s="105" t="s">
        <v>90</v>
      </c>
      <c r="G67" s="13"/>
      <c r="H67" s="340">
        <v>0</v>
      </c>
      <c r="I67" s="13"/>
      <c r="J67" s="40"/>
    </row>
    <row r="68" spans="1:10" ht="15.75">
      <c r="A68" s="102" t="s">
        <v>377</v>
      </c>
      <c r="B68" s="98"/>
      <c r="C68" s="167">
        <f>'Returns Analysis'!C39</f>
        <v>-2.2983461618423465E-3</v>
      </c>
      <c r="D68" s="40"/>
      <c r="E68" s="13"/>
      <c r="F68" s="119" t="s">
        <v>310</v>
      </c>
      <c r="G68" s="43"/>
      <c r="H68" s="358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7">
        <f>'Returns Analysis'!C46</f>
        <v>0.11995845437049862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7">
        <f>'Returns Analysis'!C53</f>
        <v>0.11999494433403013</v>
      </c>
      <c r="D70" s="565" t="s">
        <v>476</v>
      </c>
      <c r="E70" s="13"/>
      <c r="F70" s="102" t="s">
        <v>353</v>
      </c>
      <c r="G70" s="13"/>
      <c r="H70" s="249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6">
        <f>'Returns Analysis'!C60</f>
        <v>0.12018703818321227</v>
      </c>
      <c r="D71" s="188">
        <v>0.12</v>
      </c>
      <c r="E71" s="13"/>
      <c r="F71" s="102" t="s">
        <v>267</v>
      </c>
      <c r="G71" s="13"/>
      <c r="H71" s="249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173</v>
      </c>
      <c r="G72" s="42"/>
      <c r="H72" s="258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1">
        <f>IS!E7</f>
        <v>2003</v>
      </c>
    </row>
    <row r="74" spans="1:10" ht="15.75">
      <c r="A74" s="102" t="s">
        <v>98</v>
      </c>
      <c r="B74" s="112">
        <f>IS!C30</f>
        <v>14328.46480565355</v>
      </c>
      <c r="C74" s="112">
        <f>IS!D30</f>
        <v>16092.599970074807</v>
      </c>
      <c r="D74" s="166">
        <f>IS!E30</f>
        <v>16598.447946569286</v>
      </c>
      <c r="E74" s="98"/>
    </row>
    <row r="75" spans="1:10" ht="15.75">
      <c r="A75" s="102" t="s">
        <v>99</v>
      </c>
      <c r="B75" s="112">
        <f>IS!C43</f>
        <v>4734.7206234993964</v>
      </c>
      <c r="C75" s="112">
        <f>IS!D43</f>
        <v>4108.9571727333441</v>
      </c>
      <c r="D75" s="166">
        <f>IS!E43</f>
        <v>4719.1959529853493</v>
      </c>
      <c r="E75" s="98"/>
    </row>
    <row r="76" spans="1:10" ht="15.75">
      <c r="A76" s="102" t="s">
        <v>100</v>
      </c>
      <c r="B76" s="112">
        <f>'Returns Analysis'!C13</f>
        <v>11795.613018617316</v>
      </c>
      <c r="C76" s="112">
        <f>'Returns Analysis'!D13</f>
        <v>10466.17436505799</v>
      </c>
      <c r="D76" s="166">
        <f>'Returns Analysis'!E13</f>
        <v>11477.42478273224</v>
      </c>
      <c r="E76" s="13"/>
    </row>
    <row r="77" spans="1:10" ht="16.5" thickBot="1">
      <c r="A77" s="104" t="s">
        <v>366</v>
      </c>
      <c r="B77" s="113">
        <f>'Returns Analysis'!C21</f>
        <v>6427.4835241328183</v>
      </c>
      <c r="C77" s="113">
        <f>'Returns Analysis'!D21</f>
        <v>4358.8863215751417</v>
      </c>
      <c r="D77" s="191">
        <f>'Returns Analysis'!E21</f>
        <v>4724.3821670980869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9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9"/>
    </row>
    <row r="119" spans="9:9" ht="15.75">
      <c r="I119" s="159"/>
    </row>
    <row r="120" spans="9:9" ht="15.75">
      <c r="I120" s="159"/>
    </row>
    <row r="121" spans="9:9" ht="15.75">
      <c r="I121" s="159"/>
    </row>
    <row r="122" spans="9:9" ht="15.75">
      <c r="I122" s="159"/>
    </row>
    <row r="123" spans="9:9" ht="15.75">
      <c r="I123" s="159"/>
    </row>
    <row r="124" spans="9:9" ht="15.75">
      <c r="I124" s="159"/>
    </row>
    <row r="125" spans="9:9" ht="15.75">
      <c r="I125" s="159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5"/>
      <c r="M136" s="154"/>
      <c r="N136" s="154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4"/>
      <c r="K137" s="154"/>
      <c r="L137" s="153"/>
      <c r="M137" s="156"/>
      <c r="N137" s="156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6"/>
      <c r="K138" s="156"/>
      <c r="L138" s="158"/>
      <c r="M138" s="157"/>
      <c r="N138" s="157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7"/>
      <c r="K139" s="157"/>
      <c r="L139" s="158"/>
      <c r="M139" s="157"/>
      <c r="N139" s="157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7"/>
      <c r="K140" s="157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0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4"/>
    </row>
    <row r="151" spans="10:10" ht="15.75">
      <c r="J151" s="156"/>
    </row>
    <row r="152" spans="10:10" ht="15.75">
      <c r="J152" s="157"/>
    </row>
    <row r="153" spans="10:10" ht="15.75">
      <c r="J153" s="157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topLeftCell="A15" zoomScale="75" zoomScaleNormal="75" workbookViewId="0">
      <selection activeCell="B41" sqref="B4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0" t="s">
        <v>403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6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1">
        <f>(Assumptions!H18/12)</f>
        <v>0.66666666666666663</v>
      </c>
      <c r="E7" s="211">
        <f>D7+1</f>
        <v>1.6666666666666665</v>
      </c>
      <c r="F7" s="211">
        <f t="shared" ref="F7:Y7" si="0">E7+1</f>
        <v>2.6666666666666665</v>
      </c>
      <c r="G7" s="211">
        <f t="shared" si="0"/>
        <v>3.6666666666666665</v>
      </c>
      <c r="H7" s="211">
        <f t="shared" si="0"/>
        <v>4.6666666666666661</v>
      </c>
      <c r="I7" s="211">
        <f t="shared" si="0"/>
        <v>5.6666666666666661</v>
      </c>
      <c r="J7" s="211">
        <f t="shared" si="0"/>
        <v>6.6666666666666661</v>
      </c>
      <c r="K7" s="211">
        <f t="shared" si="0"/>
        <v>7.6666666666666661</v>
      </c>
      <c r="L7" s="211">
        <f t="shared" si="0"/>
        <v>8.6666666666666661</v>
      </c>
      <c r="M7" s="211">
        <f t="shared" si="0"/>
        <v>9.6666666666666661</v>
      </c>
      <c r="N7" s="211">
        <f t="shared" si="0"/>
        <v>10.666666666666666</v>
      </c>
      <c r="O7" s="211">
        <f t="shared" si="0"/>
        <v>11.666666666666666</v>
      </c>
      <c r="P7" s="211">
        <f t="shared" si="0"/>
        <v>12.666666666666666</v>
      </c>
      <c r="Q7" s="211">
        <f t="shared" si="0"/>
        <v>13.666666666666666</v>
      </c>
      <c r="R7" s="211">
        <f t="shared" si="0"/>
        <v>14.666666666666666</v>
      </c>
      <c r="S7" s="211">
        <f t="shared" si="0"/>
        <v>15.666666666666666</v>
      </c>
      <c r="T7" s="211">
        <f t="shared" si="0"/>
        <v>16.666666666666664</v>
      </c>
      <c r="U7" s="211">
        <f t="shared" si="0"/>
        <v>17.666666666666664</v>
      </c>
      <c r="V7" s="211">
        <f t="shared" si="0"/>
        <v>18.666666666666664</v>
      </c>
      <c r="W7" s="211">
        <f t="shared" si="0"/>
        <v>19.666666666666664</v>
      </c>
      <c r="X7" s="211">
        <f t="shared" si="0"/>
        <v>20.666666666666664</v>
      </c>
      <c r="Y7" s="211">
        <f t="shared" si="0"/>
        <v>21.666666666666664</v>
      </c>
      <c r="Z7" s="211">
        <f t="shared" ref="Z7:AG7" si="1">Y7+1</f>
        <v>22.666666666666664</v>
      </c>
      <c r="AA7" s="211">
        <f t="shared" si="1"/>
        <v>23.666666666666664</v>
      </c>
      <c r="AB7" s="211">
        <f t="shared" si="1"/>
        <v>24.666666666666664</v>
      </c>
      <c r="AC7" s="211">
        <f t="shared" si="1"/>
        <v>25.666666666666664</v>
      </c>
      <c r="AD7" s="211">
        <f t="shared" si="1"/>
        <v>26.666666666666664</v>
      </c>
      <c r="AE7" s="211">
        <f t="shared" si="1"/>
        <v>27.666666666666664</v>
      </c>
      <c r="AF7" s="211">
        <f t="shared" si="1"/>
        <v>28.666666666666664</v>
      </c>
      <c r="AG7" s="211">
        <f t="shared" si="1"/>
        <v>29.666666666666664</v>
      </c>
      <c r="AH7" s="211">
        <f>AG7+1</f>
        <v>30.666666666666664</v>
      </c>
    </row>
    <row r="8" spans="1:63" ht="16.5" thickBot="1">
      <c r="B8" s="208"/>
      <c r="C8" s="208"/>
      <c r="D8" s="513">
        <f>YEAR(Assumptions!H17)</f>
        <v>2001</v>
      </c>
      <c r="E8" s="513">
        <f t="shared" ref="E8:X8" si="2">D8+1</f>
        <v>2002</v>
      </c>
      <c r="F8" s="513">
        <f t="shared" si="2"/>
        <v>2003</v>
      </c>
      <c r="G8" s="513">
        <f t="shared" si="2"/>
        <v>2004</v>
      </c>
      <c r="H8" s="513">
        <f t="shared" si="2"/>
        <v>2005</v>
      </c>
      <c r="I8" s="513">
        <f t="shared" si="2"/>
        <v>2006</v>
      </c>
      <c r="J8" s="513">
        <f t="shared" si="2"/>
        <v>2007</v>
      </c>
      <c r="K8" s="513">
        <f t="shared" si="2"/>
        <v>2008</v>
      </c>
      <c r="L8" s="513">
        <f t="shared" si="2"/>
        <v>2009</v>
      </c>
      <c r="M8" s="513">
        <f t="shared" si="2"/>
        <v>2010</v>
      </c>
      <c r="N8" s="513">
        <f t="shared" si="2"/>
        <v>2011</v>
      </c>
      <c r="O8" s="513">
        <f t="shared" si="2"/>
        <v>2012</v>
      </c>
      <c r="P8" s="513">
        <f t="shared" si="2"/>
        <v>2013</v>
      </c>
      <c r="Q8" s="513">
        <f t="shared" si="2"/>
        <v>2014</v>
      </c>
      <c r="R8" s="513">
        <f t="shared" si="2"/>
        <v>2015</v>
      </c>
      <c r="S8" s="513">
        <f t="shared" si="2"/>
        <v>2016</v>
      </c>
      <c r="T8" s="513">
        <f t="shared" si="2"/>
        <v>2017</v>
      </c>
      <c r="U8" s="513">
        <f t="shared" si="2"/>
        <v>2018</v>
      </c>
      <c r="V8" s="513">
        <f t="shared" si="2"/>
        <v>2019</v>
      </c>
      <c r="W8" s="513">
        <f t="shared" si="2"/>
        <v>2020</v>
      </c>
      <c r="X8" s="513">
        <f t="shared" si="2"/>
        <v>2021</v>
      </c>
      <c r="Y8" s="513">
        <f>X8+1</f>
        <v>2022</v>
      </c>
      <c r="Z8" s="513">
        <f t="shared" ref="Z8:AG8" si="3">Y8+1</f>
        <v>2023</v>
      </c>
      <c r="AA8" s="513">
        <f t="shared" si="3"/>
        <v>2024</v>
      </c>
      <c r="AB8" s="513">
        <f t="shared" si="3"/>
        <v>2025</v>
      </c>
      <c r="AC8" s="513">
        <f t="shared" si="3"/>
        <v>2026</v>
      </c>
      <c r="AD8" s="513">
        <f t="shared" si="3"/>
        <v>2027</v>
      </c>
      <c r="AE8" s="513">
        <f t="shared" si="3"/>
        <v>2028</v>
      </c>
      <c r="AF8" s="513">
        <f t="shared" si="3"/>
        <v>2029</v>
      </c>
      <c r="AG8" s="513">
        <f t="shared" si="3"/>
        <v>2030</v>
      </c>
      <c r="AH8" s="513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0" t="s">
        <v>416</v>
      </c>
      <c r="C10" s="13"/>
      <c r="D10" s="357"/>
      <c r="E10" s="357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  <c r="X10" s="357"/>
      <c r="Y10" s="357"/>
      <c r="Z10" s="357"/>
      <c r="AA10" s="357"/>
      <c r="AB10" s="357"/>
      <c r="AC10" s="357"/>
      <c r="AD10" s="357"/>
      <c r="AE10" s="357"/>
      <c r="AF10" s="357"/>
      <c r="AG10" s="357"/>
      <c r="AH10" s="357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1"/>
      <c r="C11" s="13"/>
      <c r="D11" s="357"/>
      <c r="E11" s="357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  <c r="X11" s="357"/>
      <c r="Y11" s="357"/>
      <c r="Z11" s="357"/>
      <c r="AA11" s="357"/>
      <c r="AB11" s="357"/>
      <c r="AC11" s="357"/>
      <c r="AD11" s="357"/>
      <c r="AE11" s="357"/>
      <c r="AF11" s="357"/>
      <c r="AG11" s="357"/>
      <c r="AH11" s="357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6" t="s">
        <v>305</v>
      </c>
      <c r="C12" s="13"/>
      <c r="D12" s="492">
        <f>Assumptions!$H$53</f>
        <v>5.5</v>
      </c>
      <c r="E12" s="492">
        <f>Assumptions!$H$53</f>
        <v>5.5</v>
      </c>
      <c r="F12" s="492">
        <f>Assumptions!$H$53</f>
        <v>5.5</v>
      </c>
      <c r="G12" s="492">
        <f>Assumptions!$H$53</f>
        <v>5.5</v>
      </c>
      <c r="H12" s="492">
        <f>Assumptions!$H$53</f>
        <v>5.5</v>
      </c>
      <c r="I12" s="492">
        <f>Assumptions!$H$53</f>
        <v>5.5</v>
      </c>
      <c r="J12" s="492">
        <f>Assumptions!$H$53</f>
        <v>5.5</v>
      </c>
      <c r="K12" s="492">
        <f>Assumptions!$H$53</f>
        <v>5.5</v>
      </c>
      <c r="L12" s="492">
        <f>Assumptions!$H$53</f>
        <v>5.5</v>
      </c>
      <c r="M12" s="492">
        <f>Assumptions!$H$53</f>
        <v>5.5</v>
      </c>
      <c r="N12" s="492">
        <f>Assumptions!$H$53</f>
        <v>5.5</v>
      </c>
      <c r="O12" s="492">
        <f>Assumptions!$H$53</f>
        <v>5.5</v>
      </c>
      <c r="P12" s="492">
        <f>Assumptions!$H$53</f>
        <v>5.5</v>
      </c>
      <c r="Q12" s="492">
        <f>Assumptions!$H$53</f>
        <v>5.5</v>
      </c>
      <c r="R12" s="492">
        <f>Assumptions!$H$53</f>
        <v>5.5</v>
      </c>
      <c r="S12" s="492">
        <f>Assumptions!$H$53</f>
        <v>5.5</v>
      </c>
      <c r="T12" s="492">
        <f>Assumptions!$H$53</f>
        <v>5.5</v>
      </c>
      <c r="U12" s="492">
        <f>Assumptions!$H$53</f>
        <v>5.5</v>
      </c>
      <c r="V12" s="492">
        <f>Assumptions!$H$53</f>
        <v>5.5</v>
      </c>
      <c r="W12" s="492">
        <f>Assumptions!$H$53</f>
        <v>5.5</v>
      </c>
      <c r="X12" s="492">
        <f>Assumptions!$H$53</f>
        <v>5.5</v>
      </c>
      <c r="Y12" s="492">
        <f>Assumptions!$H$53</f>
        <v>5.5</v>
      </c>
      <c r="Z12" s="492">
        <f>Assumptions!$H$53</f>
        <v>5.5</v>
      </c>
      <c r="AA12" s="492">
        <f>Assumptions!$H$53</f>
        <v>5.5</v>
      </c>
      <c r="AB12" s="492">
        <f>Assumptions!$H$53</f>
        <v>5.5</v>
      </c>
      <c r="AC12" s="492">
        <f>Assumptions!$H$53</f>
        <v>5.5</v>
      </c>
      <c r="AD12" s="492">
        <f>Assumptions!$H$53</f>
        <v>5.5</v>
      </c>
      <c r="AE12" s="492">
        <f>Assumptions!$H$53</f>
        <v>5.5</v>
      </c>
      <c r="AF12" s="492">
        <f>Assumptions!$H$53</f>
        <v>5.5</v>
      </c>
      <c r="AG12" s="492">
        <f>Assumptions!$H$53</f>
        <v>5.5</v>
      </c>
      <c r="AH12" s="492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6"/>
      <c r="C13" s="13"/>
      <c r="D13" s="357"/>
      <c r="E13" s="357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7"/>
      <c r="AE13" s="357"/>
      <c r="AF13" s="357"/>
      <c r="AG13" s="357"/>
      <c r="AH13" s="357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6" t="s">
        <v>314</v>
      </c>
      <c r="C14" s="13"/>
      <c r="D14" s="357"/>
      <c r="E14" s="357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  <c r="X14" s="357"/>
      <c r="Y14" s="357"/>
      <c r="Z14" s="357"/>
      <c r="AA14" s="357"/>
      <c r="AB14" s="357"/>
      <c r="AC14" s="357"/>
      <c r="AD14" s="357"/>
      <c r="AE14" s="357"/>
      <c r="AF14" s="357"/>
      <c r="AG14" s="357"/>
      <c r="AH14" s="357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242</v>
      </c>
      <c r="C15" s="12"/>
      <c r="D15" s="493">
        <v>5.4933333333333332</v>
      </c>
      <c r="E15" s="493">
        <v>5.6581333333333328</v>
      </c>
      <c r="F15" s="493">
        <v>5.6457561666666676</v>
      </c>
      <c r="G15" s="493">
        <v>5.7213364508333333</v>
      </c>
      <c r="H15" s="493">
        <v>5.6997641986416658</v>
      </c>
      <c r="I15" s="493">
        <v>5.7712527665568336</v>
      </c>
      <c r="J15" s="493">
        <v>5.8419008607681322</v>
      </c>
      <c r="K15" s="493">
        <v>5.9115937131422074</v>
      </c>
      <c r="L15" s="493">
        <v>6.088941524536474</v>
      </c>
      <c r="M15" s="493">
        <v>6.1596167386605574</v>
      </c>
      <c r="N15" s="493">
        <v>6.3444052408203753</v>
      </c>
      <c r="O15" s="493">
        <v>6.4159239908078041</v>
      </c>
      <c r="P15" s="493">
        <v>6.6084017105320383</v>
      </c>
      <c r="Q15" s="493">
        <v>6.680604618110074</v>
      </c>
      <c r="R15" s="493">
        <v>6.7511921386033125</v>
      </c>
      <c r="S15" s="493">
        <v>6.8200023661698452</v>
      </c>
      <c r="T15" s="493">
        <v>6.8868651344656273</v>
      </c>
      <c r="U15" s="493">
        <v>6.951601666729605</v>
      </c>
      <c r="V15" s="493">
        <v>7.014024212308402</v>
      </c>
      <c r="W15" s="493">
        <v>7.0739356691218687</v>
      </c>
      <c r="X15" s="493">
        <v>7.1311291915530655</v>
      </c>
      <c r="Y15" s="493">
        <v>7.1853877832279265</v>
      </c>
      <c r="Z15" s="493">
        <v>7.2396463749027831</v>
      </c>
      <c r="AA15" s="493">
        <v>7.2939049665776494</v>
      </c>
      <c r="AB15" s="493">
        <v>7.3481635582525087</v>
      </c>
      <c r="AC15" s="493">
        <v>7.402422149927367</v>
      </c>
      <c r="AD15" s="493">
        <v>7.4566807416022245</v>
      </c>
      <c r="AE15" s="493">
        <v>7.5109393332770908</v>
      </c>
      <c r="AF15" s="493">
        <v>7.5651979249519501</v>
      </c>
      <c r="AG15" s="493">
        <v>7.6194565166268085</v>
      </c>
      <c r="AH15" s="493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243</v>
      </c>
      <c r="C16" s="12"/>
      <c r="D16" s="493">
        <v>4.3775000000000004</v>
      </c>
      <c r="E16" s="493">
        <v>4.5088249999999999</v>
      </c>
      <c r="F16" s="493">
        <v>4.7351503333333334</v>
      </c>
      <c r="G16" s="493">
        <v>4.8772048433333328</v>
      </c>
      <c r="H16" s="493">
        <v>5.023520988633333</v>
      </c>
      <c r="I16" s="493">
        <v>5.1742266182923329</v>
      </c>
      <c r="J16" s="493">
        <v>5.3294534168411039</v>
      </c>
      <c r="K16" s="493">
        <v>5.2782086724483994</v>
      </c>
      <c r="L16" s="493">
        <v>5.2190927353169778</v>
      </c>
      <c r="M16" s="493">
        <v>5.0396864225404565</v>
      </c>
      <c r="N16" s="493">
        <v>4.9601713700959298</v>
      </c>
      <c r="O16" s="493">
        <v>4.8713496967244438</v>
      </c>
      <c r="P16" s="493">
        <v>4.8951123781718797</v>
      </c>
      <c r="Q16" s="493">
        <v>4.9159166057791106</v>
      </c>
      <c r="R16" s="493">
        <v>4.8037328678523572</v>
      </c>
      <c r="S16" s="493">
        <v>4.8141193172963614</v>
      </c>
      <c r="T16" s="493">
        <v>4.8208055941259396</v>
      </c>
      <c r="U16" s="493">
        <v>4.9654297619497179</v>
      </c>
      <c r="V16" s="493">
        <v>5.114392654808209</v>
      </c>
      <c r="W16" s="493">
        <v>5.117315164896671</v>
      </c>
      <c r="X16" s="493">
        <v>5.27083461984357</v>
      </c>
      <c r="Y16" s="493">
        <v>5.4289596584388775</v>
      </c>
      <c r="Z16" s="493">
        <v>5.5870846970341832</v>
      </c>
      <c r="AA16" s="493">
        <v>5.7452097356294916</v>
      </c>
      <c r="AB16" s="493">
        <v>5.9033347742247999</v>
      </c>
      <c r="AC16" s="493">
        <v>6.0614598128201083</v>
      </c>
      <c r="AD16" s="493">
        <v>6.2195848514154086</v>
      </c>
      <c r="AE16" s="493">
        <v>6.377709890010717</v>
      </c>
      <c r="AF16" s="493">
        <v>6.5358349286060253</v>
      </c>
      <c r="AG16" s="493">
        <v>6.6939599672013337</v>
      </c>
      <c r="AH16" s="493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240</v>
      </c>
      <c r="C17" s="12"/>
      <c r="D17" s="494">
        <v>0</v>
      </c>
      <c r="E17" s="494">
        <v>0</v>
      </c>
      <c r="F17" s="494">
        <v>0</v>
      </c>
      <c r="G17" s="494">
        <v>0</v>
      </c>
      <c r="H17" s="494">
        <v>0</v>
      </c>
      <c r="I17" s="494">
        <v>0</v>
      </c>
      <c r="J17" s="494">
        <v>0</v>
      </c>
      <c r="K17" s="494">
        <v>0</v>
      </c>
      <c r="L17" s="494">
        <v>0</v>
      </c>
      <c r="M17" s="494">
        <v>0</v>
      </c>
      <c r="N17" s="494">
        <v>0</v>
      </c>
      <c r="O17" s="494">
        <v>0</v>
      </c>
      <c r="P17" s="494">
        <v>0</v>
      </c>
      <c r="Q17" s="494">
        <v>0</v>
      </c>
      <c r="R17" s="494">
        <v>0</v>
      </c>
      <c r="S17" s="494">
        <v>0</v>
      </c>
      <c r="T17" s="494">
        <v>0</v>
      </c>
      <c r="U17" s="494">
        <v>0</v>
      </c>
      <c r="V17" s="494">
        <v>0</v>
      </c>
      <c r="W17" s="494">
        <v>0</v>
      </c>
      <c r="X17" s="494">
        <v>0</v>
      </c>
      <c r="Y17" s="494">
        <v>0</v>
      </c>
      <c r="Z17" s="494">
        <v>0</v>
      </c>
      <c r="AA17" s="494">
        <v>0</v>
      </c>
      <c r="AB17" s="494">
        <v>0</v>
      </c>
      <c r="AC17" s="494">
        <v>0</v>
      </c>
      <c r="AD17" s="494">
        <v>0</v>
      </c>
      <c r="AE17" s="494">
        <v>0</v>
      </c>
      <c r="AF17" s="494">
        <v>0</v>
      </c>
      <c r="AG17" s="494">
        <v>0</v>
      </c>
      <c r="AH17" s="494">
        <v>0</v>
      </c>
      <c r="AI17" s="495"/>
      <c r="AJ17" s="495"/>
      <c r="AK17" s="495"/>
      <c r="AL17" s="495"/>
      <c r="AM17" s="495"/>
      <c r="AN17" s="495"/>
      <c r="AO17" s="495"/>
      <c r="AP17" s="495"/>
      <c r="AQ17" s="495"/>
      <c r="AR17" s="495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6">
        <v>0</v>
      </c>
      <c r="E18" s="496">
        <v>0</v>
      </c>
      <c r="F18" s="496">
        <v>0</v>
      </c>
      <c r="G18" s="496">
        <v>0</v>
      </c>
      <c r="H18" s="496">
        <v>0</v>
      </c>
      <c r="I18" s="496">
        <v>0</v>
      </c>
      <c r="J18" s="496">
        <v>0</v>
      </c>
      <c r="K18" s="496">
        <v>0</v>
      </c>
      <c r="L18" s="496">
        <v>0</v>
      </c>
      <c r="M18" s="496">
        <v>0</v>
      </c>
      <c r="N18" s="496">
        <v>0</v>
      </c>
      <c r="O18" s="496">
        <v>0</v>
      </c>
      <c r="P18" s="496">
        <v>0</v>
      </c>
      <c r="Q18" s="496">
        <v>0</v>
      </c>
      <c r="R18" s="496">
        <v>0</v>
      </c>
      <c r="S18" s="496">
        <v>0</v>
      </c>
      <c r="T18" s="496">
        <v>0</v>
      </c>
      <c r="U18" s="496">
        <v>0</v>
      </c>
      <c r="V18" s="496">
        <v>0</v>
      </c>
      <c r="W18" s="496">
        <v>0</v>
      </c>
      <c r="X18" s="496">
        <v>0</v>
      </c>
      <c r="Y18" s="496">
        <v>0</v>
      </c>
      <c r="Z18" s="496">
        <v>0</v>
      </c>
      <c r="AA18" s="496">
        <v>0</v>
      </c>
      <c r="AB18" s="496">
        <v>0</v>
      </c>
      <c r="AC18" s="496">
        <v>0</v>
      </c>
      <c r="AD18" s="496">
        <v>0</v>
      </c>
      <c r="AE18" s="496">
        <v>0</v>
      </c>
      <c r="AF18" s="496">
        <v>0</v>
      </c>
      <c r="AG18" s="496">
        <v>0</v>
      </c>
      <c r="AH18" s="496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7">
        <f>Assumptions!V13</f>
        <v>1</v>
      </c>
      <c r="B19" s="13" t="s">
        <v>120</v>
      </c>
      <c r="C19" s="498"/>
      <c r="D19" s="499">
        <f t="shared" ref="D19:AH19" si="4">CHOOSE($A$19,D15,D16,D17,D18)</f>
        <v>5.4933333333333332</v>
      </c>
      <c r="E19" s="499">
        <f t="shared" si="4"/>
        <v>5.6581333333333328</v>
      </c>
      <c r="F19" s="499">
        <f t="shared" si="4"/>
        <v>5.6457561666666676</v>
      </c>
      <c r="G19" s="499">
        <f t="shared" si="4"/>
        <v>5.7213364508333333</v>
      </c>
      <c r="H19" s="499">
        <f t="shared" si="4"/>
        <v>5.6997641986416658</v>
      </c>
      <c r="I19" s="499">
        <f t="shared" si="4"/>
        <v>5.7712527665568336</v>
      </c>
      <c r="J19" s="499">
        <f t="shared" si="4"/>
        <v>5.8419008607681322</v>
      </c>
      <c r="K19" s="499">
        <f t="shared" si="4"/>
        <v>5.9115937131422074</v>
      </c>
      <c r="L19" s="499">
        <f t="shared" si="4"/>
        <v>6.088941524536474</v>
      </c>
      <c r="M19" s="499">
        <f t="shared" si="4"/>
        <v>6.1596167386605574</v>
      </c>
      <c r="N19" s="499">
        <f t="shared" si="4"/>
        <v>6.3444052408203753</v>
      </c>
      <c r="O19" s="499">
        <f t="shared" si="4"/>
        <v>6.4159239908078041</v>
      </c>
      <c r="P19" s="499">
        <f t="shared" si="4"/>
        <v>6.6084017105320383</v>
      </c>
      <c r="Q19" s="499">
        <f t="shared" si="4"/>
        <v>6.680604618110074</v>
      </c>
      <c r="R19" s="499">
        <f t="shared" si="4"/>
        <v>6.7511921386033125</v>
      </c>
      <c r="S19" s="499">
        <f t="shared" si="4"/>
        <v>6.8200023661698452</v>
      </c>
      <c r="T19" s="499">
        <f t="shared" si="4"/>
        <v>6.8868651344656273</v>
      </c>
      <c r="U19" s="499">
        <f t="shared" si="4"/>
        <v>6.951601666729605</v>
      </c>
      <c r="V19" s="499">
        <f t="shared" si="4"/>
        <v>7.014024212308402</v>
      </c>
      <c r="W19" s="499">
        <f t="shared" si="4"/>
        <v>7.0739356691218687</v>
      </c>
      <c r="X19" s="499">
        <f t="shared" si="4"/>
        <v>7.1311291915530655</v>
      </c>
      <c r="Y19" s="499">
        <f t="shared" si="4"/>
        <v>7.1853877832279265</v>
      </c>
      <c r="Z19" s="499">
        <f t="shared" si="4"/>
        <v>7.2396463749027831</v>
      </c>
      <c r="AA19" s="499">
        <f t="shared" si="4"/>
        <v>7.2939049665776494</v>
      </c>
      <c r="AB19" s="499">
        <f t="shared" si="4"/>
        <v>7.3481635582525087</v>
      </c>
      <c r="AC19" s="499">
        <f t="shared" si="4"/>
        <v>7.402422149927367</v>
      </c>
      <c r="AD19" s="499">
        <f t="shared" si="4"/>
        <v>7.4566807416022245</v>
      </c>
      <c r="AE19" s="499">
        <f t="shared" si="4"/>
        <v>7.5109393332770908</v>
      </c>
      <c r="AF19" s="499">
        <f t="shared" si="4"/>
        <v>7.5651979249519501</v>
      </c>
      <c r="AG19" s="499">
        <f t="shared" si="4"/>
        <v>7.6194565166268085</v>
      </c>
      <c r="AH19" s="499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8"/>
      <c r="D20" s="500"/>
      <c r="E20" s="500"/>
      <c r="F20" s="500"/>
      <c r="G20" s="500"/>
      <c r="H20" s="500"/>
      <c r="I20" s="500"/>
      <c r="J20" s="500"/>
      <c r="K20" s="500"/>
      <c r="L20" s="500"/>
      <c r="M20" s="500"/>
      <c r="N20" s="500"/>
      <c r="O20" s="500"/>
      <c r="P20" s="500"/>
      <c r="Q20" s="500"/>
      <c r="R20" s="500"/>
      <c r="S20" s="500"/>
      <c r="T20" s="500"/>
      <c r="U20" s="500"/>
      <c r="V20" s="500"/>
      <c r="W20" s="500"/>
      <c r="X20" s="500"/>
      <c r="Y20" s="501"/>
      <c r="Z20" s="502"/>
      <c r="AA20" s="50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308</v>
      </c>
      <c r="C21" s="498"/>
      <c r="D21" s="503">
        <f>IF(AND(C7&lt;$D$7+Assumptions!$H$52,D7&lt;$D$7+Assumptions!$H$52),D12,IF(AND(C7&lt;$D$7+Assumptions!$H$52,D7&gt;$D$7+Assumptions!$H$52),D12*(1-$D$7)+D19*$D$7,D19))</f>
        <v>5.5</v>
      </c>
      <c r="E21" s="504">
        <f>IF(AND(D7&lt;$D$7+Assumptions!$H$52,E7&lt;$D$7+Assumptions!$H$52),E12,IF(AND(D7&lt;$D$7+Assumptions!$H$52,E7&gt;=$D$7+Assumptions!$H$52),E12*(1-$D$7)+E19*$D$7,E19))</f>
        <v>5.5</v>
      </c>
      <c r="F21" s="504">
        <f>IF(AND(E7&lt;$D$7+Assumptions!$H$52,F7&lt;$D$7+Assumptions!$H$52),F12,IF(AND(E7&lt;$D$7+Assumptions!$H$52,F7&gt;=$D$7+Assumptions!$H$52),F12*(1-$D$7)+F19*$D$7,F19))</f>
        <v>5.5</v>
      </c>
      <c r="G21" s="504">
        <f>IF(AND(F7&lt;$D$7+Assumptions!$H$52,G7&lt;$D$7+Assumptions!$H$52),G12,IF(AND(F7&lt;$D$7+Assumptions!$H$52,G7&gt;=$D$7+Assumptions!$H$52),G12*(1-$D$7)+G19*$D$7,G19))</f>
        <v>5.5</v>
      </c>
      <c r="H21" s="504">
        <f>IF(AND(G7&lt;$D$7+Assumptions!$H$52,H7&lt;$D$7+Assumptions!$H$52),H12,IF(AND(G7&lt;$D$7+Assumptions!$H$52,H7&gt;=$D$7+Assumptions!$H$52),H12*(1-$D$7)+H19*$D$7,H19))</f>
        <v>5.5</v>
      </c>
      <c r="I21" s="504">
        <f>IF(AND(H7&lt;$D$7+Assumptions!$H$52,I7&lt;$D$7+Assumptions!$H$52),I12,IF(AND(H7&lt;$D$7+Assumptions!$H$52,I7&gt;=$D$7+Assumptions!$H$52),I12*(1-$D$7)+I19*$D$7,I19))</f>
        <v>5.5</v>
      </c>
      <c r="J21" s="504">
        <f>IF(AND(I7&lt;$D$7+Assumptions!$H$52,J7&lt;$D$7+Assumptions!$H$52),J12,IF(AND(I7&lt;$D$7+Assumptions!$H$52,J7&gt;=$D$7+Assumptions!$H$52),J12*(1-$D$7)+J19*$D$7,J19))</f>
        <v>5.5</v>
      </c>
      <c r="K21" s="504">
        <f>IF(AND(J7&lt;$D$7+Assumptions!$H$52,K7&lt;$D$7+Assumptions!$H$52),K12,IF(AND(J7&lt;$D$7+Assumptions!$H$52,K7&gt;=$D$7+Assumptions!$H$52),K12*(1-$D$7)+K19*$D$7,K19))</f>
        <v>5.5</v>
      </c>
      <c r="L21" s="504">
        <f>IF(AND(K7&lt;$D$7+Assumptions!$H$52,L7&lt;$D$7+Assumptions!$H$52),L12,IF(AND(K7&lt;$D$7+Assumptions!$H$52,L7&gt;=$D$7+Assumptions!$H$52),L12*(1-$D$7)+L19*$D$7,L19))</f>
        <v>5.5</v>
      </c>
      <c r="M21" s="504">
        <f>IF(AND(L7&lt;$D$7+Assumptions!$H$52,M7&lt;$D$7+Assumptions!$H$52),M12,IF(AND(L7&lt;$D$7+Assumptions!$H$52,M7&gt;=$D$7+Assumptions!$H$52),M12*(1-$D$7)+M19*$D$7,M19))</f>
        <v>5.9397444924403722</v>
      </c>
      <c r="N21" s="504">
        <f>IF(AND(M7&lt;$D$7+Assumptions!$H$52,N7&lt;$D$7+Assumptions!$H$52),N12,IF(AND(M7&lt;$D$7+Assumptions!$H$52,N7&gt;=$D$7+Assumptions!$H$52),N12*(1-$D$7)+N19*$D$7,N19))</f>
        <v>6.3444052408203753</v>
      </c>
      <c r="O21" s="504">
        <f>IF(AND(N7&lt;$D$7+Assumptions!$H$52,O7&lt;$D$7+Assumptions!$H$52),O12,IF(AND(N7&lt;$D$7+Assumptions!$H$52,O7&gt;=$D$7+Assumptions!$H$52),O12*(1-$D$7)+O19*$D$7,O19))</f>
        <v>6.4159239908078041</v>
      </c>
      <c r="P21" s="504">
        <f>IF(AND(O7&lt;$D$7+Assumptions!$H$52,P7&lt;$D$7+Assumptions!$H$52),P12,IF(AND(O7&lt;$D$7+Assumptions!$H$52,P7&gt;=$D$7+Assumptions!$H$52),P12*(1-$D$7)+P19*$D$7,P19))</f>
        <v>6.6084017105320383</v>
      </c>
      <c r="Q21" s="504">
        <f>IF(AND(P7&lt;$D$7+Assumptions!$H$52,Q7&lt;$D$7+Assumptions!$H$52),Q12,IF(AND(P7&lt;$D$7+Assumptions!$H$52,Q7&gt;=$D$7+Assumptions!$H$52),Q12*(1-$D$7)+Q19*$D$7,Q19))</f>
        <v>6.680604618110074</v>
      </c>
      <c r="R21" s="505">
        <f>IF(AND(Q7&lt;$D$7+Assumptions!$H$52,R7&lt;$D$7+Assumptions!$H$52),R12,IF(AND(Q7&lt;$D$7+Assumptions!$H$52,R7&gt;=$D$7+Assumptions!$H$52),R12*(1-$D$7)+R19*$D$7,R19))</f>
        <v>6.7511921386033125</v>
      </c>
      <c r="S21" s="503">
        <f>IF(AND(R7&lt;$D$7+Assumptions!$H$52,S7&lt;$D$7+Assumptions!$H$52),S12,IF(AND(R7&lt;$D$7+Assumptions!$H$52,S7&gt;=$D$7+Assumptions!$H$52),S12*(1-$D$7)+S19*$D$7,S19))</f>
        <v>6.8200023661698452</v>
      </c>
      <c r="T21" s="504">
        <f>IF(AND(S7&lt;$D$7+Assumptions!$H$52,T7&lt;$D$7+Assumptions!$H$52),T12,IF(AND(S7&lt;$D$7+Assumptions!$H$52,T7&gt;=$D$7+Assumptions!$H$52),T12*(1-$D$7)+T19*$D$7,T19))</f>
        <v>6.8868651344656273</v>
      </c>
      <c r="U21" s="504">
        <f>IF(AND(T7&lt;$D$7+Assumptions!$H$52,U7&lt;$D$7+Assumptions!$H$52),U12,IF(AND(T7&lt;$D$7+Assumptions!$H$52,U7&gt;=$D$7+Assumptions!$H$52),U12*(1-$D$7)+U19*$D$7,U19))</f>
        <v>6.951601666729605</v>
      </c>
      <c r="V21" s="504">
        <f>IF(AND(U7&lt;$D$7+Assumptions!$H$52,V7&lt;$D$7+Assumptions!$H$52),V12,IF(AND(U7&lt;$D$7+Assumptions!$H$52,V7&gt;=$D$7+Assumptions!$H$52),V12*(1-$D$7)+V19*$D$7,V19))</f>
        <v>7.014024212308402</v>
      </c>
      <c r="W21" s="504">
        <f>IF(AND(V7&lt;$D$7+Assumptions!$H$52,W7&lt;$D$7+Assumptions!$H$52),W12,IF(AND(V7&lt;$D$7+Assumptions!$H$52,W7&gt;=$D$7+Assumptions!$H$52),W12*(1-$D$7)+W19*$D$7,W19))</f>
        <v>7.0739356691218687</v>
      </c>
      <c r="X21" s="504">
        <f>IF(AND(W7&lt;$D$7+Assumptions!$H$52,X7&lt;$D$7+Assumptions!$H$52),X12,IF(AND(W7&lt;$D$7+Assumptions!$H$52,X7&gt;=$D$7+Assumptions!$H$52),X12*(1-$D$7)+X19*$D$7,X19))</f>
        <v>7.1311291915530655</v>
      </c>
      <c r="Y21" s="504">
        <f>IF(AND(X7&lt;$D$7+Assumptions!$H$52,Y7&lt;$D$7+Assumptions!$H$52),Y12,IF(AND(X7&lt;$D$7+Assumptions!$H$52,Y7&gt;=$D$7+Assumptions!$H$52),Y12*(1-$D$7)+Y19*$D$7,Y19))</f>
        <v>7.1853877832279265</v>
      </c>
      <c r="Z21" s="504">
        <f>IF(AND(Y7&lt;$D$7+Assumptions!$H$52,Z7&lt;$D$7+Assumptions!$H$52),Z12,IF(AND(Y7&lt;$D$7+Assumptions!$H$52,Z7&gt;=$D$7+Assumptions!$H$52),Z12*(1-$D$7)+Z19*$D$7,Z19))</f>
        <v>7.2396463749027831</v>
      </c>
      <c r="AA21" s="504">
        <f>IF(AND(Z7&lt;$D$7+Assumptions!$H$52,AA7&lt;$D$7+Assumptions!$H$52),AA12,IF(AND(Z7&lt;$D$7+Assumptions!$H$52,AA7&gt;=$D$7+Assumptions!$H$52),AA12*(1-$D$7)+AA19*$D$7,AA19))</f>
        <v>7.2939049665776494</v>
      </c>
      <c r="AB21" s="504">
        <f>IF(AND(AA7&lt;$D$7+Assumptions!$H$52,AB7&lt;$D$7+Assumptions!$H$52),AB12,IF(AND(AA7&lt;$D$7+Assumptions!$H$52,AB7&gt;=$D$7+Assumptions!$H$52),AB12*(1-$D$7)+AB19*$D$7,AB19))</f>
        <v>7.3481635582525087</v>
      </c>
      <c r="AC21" s="504">
        <f>IF(AND(AB7&lt;$D$7+Assumptions!$H$52,AC7&lt;$D$7+Assumptions!$H$52),AC12,IF(AND(AB7&lt;$D$7+Assumptions!$H$52,AC7&gt;=$D$7+Assumptions!$H$52),AC12*(1-$D$7)+AC19*$D$7,AC19))</f>
        <v>7.402422149927367</v>
      </c>
      <c r="AD21" s="504">
        <f>IF(AND(AC7&lt;$D$7+Assumptions!$H$52,AD7&lt;$D$7+Assumptions!$H$52),AD12,IF(AND(AC7&lt;$D$7+Assumptions!$H$52,AD7&gt;=$D$7+Assumptions!$H$52),AD12*(1-$D$7)+AD19*$D$7,AD19))</f>
        <v>7.4566807416022245</v>
      </c>
      <c r="AE21" s="504">
        <f>IF(AND(AD7&lt;$D$7+Assumptions!$H$52,AE7&lt;$D$7+Assumptions!$H$52),AE12,IF(AND(AD7&lt;$D$7+Assumptions!$H$52,AE7&gt;=$D$7+Assumptions!$H$52),AE12*(1-$D$7)+AE19*$D$7,AE19))</f>
        <v>7.5109393332770908</v>
      </c>
      <c r="AF21" s="504">
        <f>IF(AND(AE7&lt;$D$7+Assumptions!$H$52,AF7&lt;$D$7+Assumptions!$H$52),AF12,IF(AND(AE7&lt;$D$7+Assumptions!$H$52,AF7&gt;=$D$7+Assumptions!$H$52),AF12*(1-$D$7)+AF19*$D$7,AF19))</f>
        <v>7.5651979249519501</v>
      </c>
      <c r="AG21" s="504">
        <f>IF(AND(AF7&lt;$D$7+Assumptions!$H$52,AG7&lt;$D$7+Assumptions!$H$52),AG12,IF(AND(AF7&lt;$D$7+Assumptions!$H$52,AG7&gt;=$D$7+Assumptions!$H$52),AG12*(1-$D$7)+AG19*$D$7,AG19))</f>
        <v>7.6194565166268085</v>
      </c>
      <c r="AH21" s="505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8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1"/>
      <c r="Z22" s="502"/>
      <c r="AA22" s="50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8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0" t="s">
        <v>393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240</v>
      </c>
      <c r="C25" s="506"/>
      <c r="D25" s="494">
        <v>2.2000000000000002</v>
      </c>
      <c r="E25" s="494">
        <v>2.2000000000000002</v>
      </c>
      <c r="F25" s="494">
        <v>2.2000000000000002</v>
      </c>
      <c r="G25" s="494">
        <v>2.2000000000000002</v>
      </c>
      <c r="H25" s="494">
        <v>2.2000000000000002</v>
      </c>
      <c r="I25" s="494">
        <v>2.2000000000000002</v>
      </c>
      <c r="J25" s="494">
        <v>2.2000000000000002</v>
      </c>
      <c r="K25" s="494">
        <v>2.2000000000000002</v>
      </c>
      <c r="L25" s="494">
        <v>2.2000000000000002</v>
      </c>
      <c r="M25" s="494">
        <v>2.2000000000000002</v>
      </c>
      <c r="N25" s="494">
        <v>2.2000000000000002</v>
      </c>
      <c r="O25" s="494">
        <v>2.2000000000000002</v>
      </c>
      <c r="P25" s="494">
        <v>2.2000000000000002</v>
      </c>
      <c r="Q25" s="494">
        <v>2.2000000000000002</v>
      </c>
      <c r="R25" s="494">
        <v>2.2000000000000002</v>
      </c>
      <c r="S25" s="494">
        <v>2.2000000000000002</v>
      </c>
      <c r="T25" s="494">
        <v>2.2000000000000002</v>
      </c>
      <c r="U25" s="494">
        <v>2.2000000000000002</v>
      </c>
      <c r="V25" s="494">
        <v>2.2000000000000002</v>
      </c>
      <c r="W25" s="494">
        <v>2.2000000000000002</v>
      </c>
      <c r="X25" s="494">
        <v>2.2000000000000002</v>
      </c>
      <c r="Y25" s="494">
        <v>2.2000000000000002</v>
      </c>
      <c r="Z25" s="494">
        <v>2.2000000000000002</v>
      </c>
      <c r="AA25" s="494">
        <v>2.2000000000000002</v>
      </c>
      <c r="AB25" s="494">
        <v>2.2000000000000002</v>
      </c>
      <c r="AC25" s="494">
        <v>2.2000000000000002</v>
      </c>
      <c r="AD25" s="494">
        <v>2.2000000000000002</v>
      </c>
      <c r="AE25" s="494">
        <v>2.2000000000000002</v>
      </c>
      <c r="AF25" s="494">
        <v>2.2000000000000002</v>
      </c>
      <c r="AG25" s="494">
        <v>2.2000000000000002</v>
      </c>
      <c r="AH25" s="494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237</v>
      </c>
      <c r="C26" s="13"/>
      <c r="D26" s="494">
        <v>2.5</v>
      </c>
      <c r="E26" s="494">
        <v>2.5</v>
      </c>
      <c r="F26" s="494">
        <v>2.5</v>
      </c>
      <c r="G26" s="494">
        <v>2.5</v>
      </c>
      <c r="H26" s="494">
        <v>2.5</v>
      </c>
      <c r="I26" s="494">
        <v>2.5</v>
      </c>
      <c r="J26" s="494">
        <v>2.5</v>
      </c>
      <c r="K26" s="494">
        <v>2.5</v>
      </c>
      <c r="L26" s="494">
        <v>2.5</v>
      </c>
      <c r="M26" s="494">
        <v>2.5</v>
      </c>
      <c r="N26" s="494">
        <v>2.5</v>
      </c>
      <c r="O26" s="494">
        <v>2.5</v>
      </c>
      <c r="P26" s="494">
        <v>2.5</v>
      </c>
      <c r="Q26" s="494">
        <v>2.5</v>
      </c>
      <c r="R26" s="494">
        <v>2.5</v>
      </c>
      <c r="S26" s="494">
        <v>2.5</v>
      </c>
      <c r="T26" s="494">
        <v>2.5</v>
      </c>
      <c r="U26" s="494">
        <v>2.5</v>
      </c>
      <c r="V26" s="494">
        <v>2.5</v>
      </c>
      <c r="W26" s="494">
        <v>2.5</v>
      </c>
      <c r="X26" s="494">
        <v>2.5</v>
      </c>
      <c r="Y26" s="494">
        <v>2.5</v>
      </c>
      <c r="Z26" s="494">
        <v>2.5</v>
      </c>
      <c r="AA26" s="494">
        <v>2.5</v>
      </c>
      <c r="AB26" s="494">
        <v>2.5</v>
      </c>
      <c r="AC26" s="494">
        <v>2.5</v>
      </c>
      <c r="AD26" s="494">
        <v>2.5</v>
      </c>
      <c r="AE26" s="494">
        <v>2.5</v>
      </c>
      <c r="AF26" s="494">
        <v>2.5</v>
      </c>
      <c r="AG26" s="494">
        <v>2.5</v>
      </c>
      <c r="AH26" s="494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7">
        <v>1.5</v>
      </c>
      <c r="E27" s="507">
        <v>1.5</v>
      </c>
      <c r="F27" s="507">
        <v>1.5</v>
      </c>
      <c r="G27" s="507">
        <v>1.5</v>
      </c>
      <c r="H27" s="507">
        <v>1.5</v>
      </c>
      <c r="I27" s="507">
        <v>1.5</v>
      </c>
      <c r="J27" s="507">
        <v>1.5</v>
      </c>
      <c r="K27" s="507">
        <v>1.5</v>
      </c>
      <c r="L27" s="507">
        <v>1.5</v>
      </c>
      <c r="M27" s="507">
        <v>1.5</v>
      </c>
      <c r="N27" s="507">
        <v>1.5</v>
      </c>
      <c r="O27" s="507">
        <v>1.5</v>
      </c>
      <c r="P27" s="507">
        <v>1.5</v>
      </c>
      <c r="Q27" s="507">
        <v>1.5</v>
      </c>
      <c r="R27" s="507">
        <v>1.5</v>
      </c>
      <c r="S27" s="507">
        <v>1.5</v>
      </c>
      <c r="T27" s="507">
        <v>1.5</v>
      </c>
      <c r="U27" s="507">
        <v>1.5</v>
      </c>
      <c r="V27" s="507">
        <v>1.5</v>
      </c>
      <c r="W27" s="507">
        <v>1.5</v>
      </c>
      <c r="X27" s="507">
        <v>1.5</v>
      </c>
      <c r="Y27" s="507">
        <v>1.5</v>
      </c>
      <c r="Z27" s="507">
        <v>1.5</v>
      </c>
      <c r="AA27" s="507">
        <v>1.5</v>
      </c>
      <c r="AB27" s="507">
        <v>1.5</v>
      </c>
      <c r="AC27" s="507">
        <v>1.5</v>
      </c>
      <c r="AD27" s="507">
        <v>1.5</v>
      </c>
      <c r="AE27" s="507">
        <v>1.5</v>
      </c>
      <c r="AF27" s="507">
        <v>1.5</v>
      </c>
      <c r="AG27" s="507">
        <v>1.5</v>
      </c>
      <c r="AH27" s="507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238</v>
      </c>
      <c r="C28" s="13"/>
      <c r="D28" s="508">
        <f>Assumptions!$N$54</f>
        <v>1.4999999999999999E-2</v>
      </c>
      <c r="E28" s="508">
        <f>Assumptions!$N$54</f>
        <v>1.4999999999999999E-2</v>
      </c>
      <c r="F28" s="508">
        <f>Assumptions!$N$54</f>
        <v>1.4999999999999999E-2</v>
      </c>
      <c r="G28" s="508">
        <f>Assumptions!$N$54</f>
        <v>1.4999999999999999E-2</v>
      </c>
      <c r="H28" s="508">
        <f>Assumptions!$N$54</f>
        <v>1.4999999999999999E-2</v>
      </c>
      <c r="I28" s="508">
        <f>Assumptions!$N$54</f>
        <v>1.4999999999999999E-2</v>
      </c>
      <c r="J28" s="508">
        <f>Assumptions!$N$54</f>
        <v>1.4999999999999999E-2</v>
      </c>
      <c r="K28" s="508">
        <f>Assumptions!$N$54</f>
        <v>1.4999999999999999E-2</v>
      </c>
      <c r="L28" s="508">
        <f>Assumptions!$N$54</f>
        <v>1.4999999999999999E-2</v>
      </c>
      <c r="M28" s="508">
        <f>Assumptions!$N$54</f>
        <v>1.4999999999999999E-2</v>
      </c>
      <c r="N28" s="508">
        <f>Assumptions!$N$54</f>
        <v>1.4999999999999999E-2</v>
      </c>
      <c r="O28" s="508">
        <f>Assumptions!$N$54</f>
        <v>1.4999999999999999E-2</v>
      </c>
      <c r="P28" s="508">
        <f>Assumptions!$N$54</f>
        <v>1.4999999999999999E-2</v>
      </c>
      <c r="Q28" s="508">
        <f>Assumptions!$N$54</f>
        <v>1.4999999999999999E-2</v>
      </c>
      <c r="R28" s="508">
        <f>Assumptions!$N$54</f>
        <v>1.4999999999999999E-2</v>
      </c>
      <c r="S28" s="508">
        <f>Assumptions!$N$54</f>
        <v>1.4999999999999999E-2</v>
      </c>
      <c r="T28" s="508">
        <f>Assumptions!$N$54</f>
        <v>1.4999999999999999E-2</v>
      </c>
      <c r="U28" s="508">
        <f>Assumptions!$N$54</f>
        <v>1.4999999999999999E-2</v>
      </c>
      <c r="V28" s="508">
        <f>Assumptions!$N$54</f>
        <v>1.4999999999999999E-2</v>
      </c>
      <c r="W28" s="508">
        <f>Assumptions!$N$54</f>
        <v>1.4999999999999999E-2</v>
      </c>
      <c r="X28" s="508">
        <f>Assumptions!$N$54</f>
        <v>1.4999999999999999E-2</v>
      </c>
      <c r="Y28" s="508">
        <f>Assumptions!$N$54</f>
        <v>1.4999999999999999E-2</v>
      </c>
      <c r="Z28" s="508">
        <f>Assumptions!$N$54</f>
        <v>1.4999999999999999E-2</v>
      </c>
      <c r="AA28" s="508">
        <f>Assumptions!$N$54</f>
        <v>1.4999999999999999E-2</v>
      </c>
      <c r="AB28" s="508">
        <f>Assumptions!$N$54</f>
        <v>1.4999999999999999E-2</v>
      </c>
      <c r="AC28" s="508">
        <f>Assumptions!$N$54</f>
        <v>1.4999999999999999E-2</v>
      </c>
      <c r="AD28" s="508">
        <f>Assumptions!$N$54</f>
        <v>1.4999999999999999E-2</v>
      </c>
      <c r="AE28" s="508">
        <f>Assumptions!$N$54</f>
        <v>1.4999999999999999E-2</v>
      </c>
      <c r="AF28" s="508">
        <f>Assumptions!$N$54</f>
        <v>1.4999999999999999E-2</v>
      </c>
      <c r="AG28" s="508">
        <f>Assumptions!$N$54</f>
        <v>1.4999999999999999E-2</v>
      </c>
      <c r="AH28" s="508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7">
        <f>Assumptions!U13</f>
        <v>3</v>
      </c>
      <c r="B30" s="43" t="s">
        <v>235</v>
      </c>
      <c r="C30" s="12"/>
      <c r="D30" s="509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10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10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10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10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10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10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10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10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10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10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10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10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10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11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9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10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10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10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10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10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10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10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10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10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10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10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10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10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10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11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0" t="s">
        <v>394</v>
      </c>
      <c r="C33" s="13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357"/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236</v>
      </c>
      <c r="C34" s="12"/>
      <c r="D34" s="495">
        <f>D46*'Price_Technical Assumption'!D30/1000</f>
        <v>15.531022499999999</v>
      </c>
      <c r="E34" s="495">
        <f>E46*'Price_Technical Assumption'!E30/1000</f>
        <v>15.531022499999999</v>
      </c>
      <c r="F34" s="495">
        <f>F46*'Price_Technical Assumption'!F30/1000</f>
        <v>15.531022499999999</v>
      </c>
      <c r="G34" s="495">
        <f>G46*'Price_Technical Assumption'!G30/1000</f>
        <v>15.531022499999999</v>
      </c>
      <c r="H34" s="495">
        <f>H46*'Price_Technical Assumption'!H30/1000</f>
        <v>15.531022499999999</v>
      </c>
      <c r="I34" s="495">
        <f>I46*'Price_Technical Assumption'!I30/1000</f>
        <v>15.531022499999999</v>
      </c>
      <c r="J34" s="495">
        <f>J46*'Price_Technical Assumption'!J30/1000</f>
        <v>15.531022499999999</v>
      </c>
      <c r="K34" s="495">
        <f>K46*'Price_Technical Assumption'!K30/1000</f>
        <v>15.531022499999999</v>
      </c>
      <c r="L34" s="495">
        <f>L46*'Price_Technical Assumption'!L30/1000</f>
        <v>15.531022499999999</v>
      </c>
      <c r="M34" s="495">
        <f>M46*'Price_Technical Assumption'!M30/1000</f>
        <v>15.531022499999999</v>
      </c>
      <c r="N34" s="495">
        <f>N46*'Price_Technical Assumption'!N30/1000</f>
        <v>15.531022499999999</v>
      </c>
      <c r="O34" s="495">
        <f>O46*'Price_Technical Assumption'!O30/1000</f>
        <v>15.531022499999999</v>
      </c>
      <c r="P34" s="495">
        <f>P46*'Price_Technical Assumption'!P30/1000</f>
        <v>15.531022499999999</v>
      </c>
      <c r="Q34" s="495">
        <f>Q46*'Price_Technical Assumption'!Q30/1000</f>
        <v>15.531022499999999</v>
      </c>
      <c r="R34" s="495">
        <f>R46*'Price_Technical Assumption'!R30/1000</f>
        <v>15.531022499999999</v>
      </c>
      <c r="S34" s="495">
        <f>S46*'Price_Technical Assumption'!S30/1000</f>
        <v>15.531022499999999</v>
      </c>
      <c r="T34" s="495">
        <f>T46*'Price_Technical Assumption'!T30/1000</f>
        <v>15.531022499999999</v>
      </c>
      <c r="U34" s="495">
        <f>U46*'Price_Technical Assumption'!U30/1000</f>
        <v>15.531022499999999</v>
      </c>
      <c r="V34" s="495">
        <f>V46*'Price_Technical Assumption'!V30/1000</f>
        <v>15.531022499999999</v>
      </c>
      <c r="W34" s="495">
        <f>W46*'Price_Technical Assumption'!W30/1000</f>
        <v>15.531022499999999</v>
      </c>
      <c r="X34" s="495">
        <f>X46*'Price_Technical Assumption'!X30/1000</f>
        <v>15.531022499999999</v>
      </c>
      <c r="Y34" s="495">
        <f>Y46*'Price_Technical Assumption'!Y30/1000</f>
        <v>15.531022499999999</v>
      </c>
      <c r="Z34" s="495">
        <f>Z46*'Price_Technical Assumption'!Z30/1000</f>
        <v>15.531022499999999</v>
      </c>
      <c r="AA34" s="495">
        <f>AA46*'Price_Technical Assumption'!AA30/1000</f>
        <v>15.531022499999999</v>
      </c>
      <c r="AB34" s="495">
        <f>AB46*'Price_Technical Assumption'!AB30/1000</f>
        <v>15.531022499999999</v>
      </c>
      <c r="AC34" s="495">
        <f>AC46*'Price_Technical Assumption'!AC30/1000</f>
        <v>15.531022499999999</v>
      </c>
      <c r="AD34" s="495">
        <f>AD46*'Price_Technical Assumption'!AD30/1000</f>
        <v>15.531022499999999</v>
      </c>
      <c r="AE34" s="495">
        <f>AE46*'Price_Technical Assumption'!AE30/1000</f>
        <v>15.531022499999999</v>
      </c>
      <c r="AF34" s="495">
        <f>AF46*'Price_Technical Assumption'!AF30/1000</f>
        <v>15.531022499999999</v>
      </c>
      <c r="AG34" s="495">
        <f>AG46*'Price_Technical Assumption'!AG30/1000</f>
        <v>15.531022499999999</v>
      </c>
      <c r="AH34" s="495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413</v>
      </c>
      <c r="C35" s="475"/>
      <c r="D35" s="512">
        <f>Assumptions!$H$60*(1+Assumptions!$N$11)^(D7)</f>
        <v>2.2743799223186225</v>
      </c>
      <c r="E35" s="512">
        <f>Assumptions!$H$60*(1+Assumptions!$N$11)^(E7)</f>
        <v>2.3426113199881811</v>
      </c>
      <c r="F35" s="512">
        <f>Assumptions!$H$60*(1+Assumptions!$N$11)^(F7)</f>
        <v>2.4128896595878269</v>
      </c>
      <c r="G35" s="512">
        <f>Assumptions!$H$60*(1+Assumptions!$N$11)^(G7)</f>
        <v>2.4852763493754617</v>
      </c>
      <c r="H35" s="512">
        <f>Assumptions!$H$60*(1+Assumptions!$N$11)^(H7)</f>
        <v>2.5598346398567253</v>
      </c>
      <c r="I35" s="512">
        <f>Assumptions!$H$60*(1+Assumptions!$N$11)^(I7)</f>
        <v>2.6366296790524273</v>
      </c>
      <c r="J35" s="512">
        <f>Assumptions!$H$60*(1+Assumptions!$N$11)^(J7)</f>
        <v>2.7157285694240003</v>
      </c>
      <c r="K35" s="512">
        <f>Assumptions!$H$60*(1+Assumptions!$N$11)^(K7)</f>
        <v>2.7972004265067199</v>
      </c>
      <c r="L35" s="512">
        <f>Assumptions!$H$60*(1+Assumptions!$N$11)^(L7)</f>
        <v>2.8811164393019215</v>
      </c>
      <c r="M35" s="512">
        <f>Assumptions!$H$60*(1+Assumptions!$N$11)^(M7)</f>
        <v>2.9675499324809795</v>
      </c>
      <c r="N35" s="512">
        <f>Assumptions!$H$60*(1+Assumptions!$N$11)^(N7)</f>
        <v>3.0565764304554088</v>
      </c>
      <c r="O35" s="512">
        <f>Assumptions!$H$60*(1+Assumptions!$N$11)^(O7)</f>
        <v>3.1482737233690714</v>
      </c>
      <c r="P35" s="512">
        <f>Assumptions!$H$60*(1+Assumptions!$N$11)^(P7)</f>
        <v>3.2427219350701435</v>
      </c>
      <c r="Q35" s="512">
        <f>Assumptions!$H$60*(1+Assumptions!$N$11)^(Q7)</f>
        <v>3.3400035931222476</v>
      </c>
      <c r="R35" s="512">
        <f>Assumptions!$H$60*(1+Assumptions!$N$11)^(R7)</f>
        <v>3.4402037009159154</v>
      </c>
      <c r="S35" s="512">
        <f>Assumptions!$H$60*(1+Assumptions!$N$11)^(S7)</f>
        <v>3.543409811943393</v>
      </c>
      <c r="T35" s="512">
        <f>Assumptions!$H$60*(1+Assumptions!$N$11)^(T7)</f>
        <v>3.6497121063016946</v>
      </c>
      <c r="U35" s="512">
        <f>Assumptions!$H$60*(1+Assumptions!$N$11)^(U7)</f>
        <v>3.7592034694907452</v>
      </c>
      <c r="V35" s="512">
        <f>Assumptions!$H$60*(1+Assumptions!$N$11)^(V7)</f>
        <v>3.8719795735754685</v>
      </c>
      <c r="W35" s="512">
        <f>Assumptions!$H$60*(1+Assumptions!$N$11)^(W7)</f>
        <v>3.9881389607827322</v>
      </c>
      <c r="X35" s="512">
        <f>Assumptions!$H$60*(1+Assumptions!$N$11)^(X7)</f>
        <v>4.1077831296062142</v>
      </c>
      <c r="Y35" s="512">
        <f>Assumptions!$H$60*(1+Assumptions!$N$11)^(Y7)</f>
        <v>4.2310166234944013</v>
      </c>
      <c r="Z35" s="512">
        <f>Assumptions!$H$60*(1+Assumptions!$N$11)^(Z7)</f>
        <v>4.3579471221992332</v>
      </c>
      <c r="AA35" s="512">
        <f>Assumptions!$H$60*(1+Assumptions!$N$11)^(AA7)</f>
        <v>4.4886855358652111</v>
      </c>
      <c r="AB35" s="512">
        <f>Assumptions!$H$60*(1+Assumptions!$N$11)^(AB7)</f>
        <v>4.6233461019411672</v>
      </c>
      <c r="AC35" s="512">
        <f>Assumptions!$H$60*(1+Assumptions!$N$11)^(AC7)</f>
        <v>4.7620464849994022</v>
      </c>
      <c r="AD35" s="512">
        <f>Assumptions!$H$60*(1+Assumptions!$N$11)^(AD7)</f>
        <v>4.9049078795493841</v>
      </c>
      <c r="AE35" s="512">
        <f>Assumptions!$H$60*(1+Assumptions!$N$11)^(AE7)</f>
        <v>5.0520551159358655</v>
      </c>
      <c r="AF35" s="512">
        <f>Assumptions!$H$60*(1+Assumptions!$N$11)^(AF7)</f>
        <v>5.2036167694139408</v>
      </c>
      <c r="AG35" s="512">
        <f>Assumptions!$H$60*(1+Assumptions!$N$11)^(AG7)</f>
        <v>5.3597252724963607</v>
      </c>
      <c r="AH35" s="512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422</v>
      </c>
      <c r="C36" s="12"/>
      <c r="D36" s="492">
        <f>SUM(D34:D35)</f>
        <v>17.805402422318622</v>
      </c>
      <c r="E36" s="492">
        <f t="shared" ref="E36:AH36" si="5">SUM(E34:E35)</f>
        <v>17.873633819988179</v>
      </c>
      <c r="F36" s="492">
        <f t="shared" si="5"/>
        <v>17.943912159587825</v>
      </c>
      <c r="G36" s="492">
        <f t="shared" si="5"/>
        <v>18.01629884937546</v>
      </c>
      <c r="H36" s="492">
        <f t="shared" si="5"/>
        <v>18.090857139856723</v>
      </c>
      <c r="I36" s="492">
        <f t="shared" si="5"/>
        <v>18.167652179052425</v>
      </c>
      <c r="J36" s="492">
        <f t="shared" si="5"/>
        <v>18.246751069424</v>
      </c>
      <c r="K36" s="492">
        <f t="shared" si="5"/>
        <v>18.328222926506719</v>
      </c>
      <c r="L36" s="492">
        <f t="shared" si="5"/>
        <v>18.412138939301919</v>
      </c>
      <c r="M36" s="492">
        <f t="shared" si="5"/>
        <v>18.498572432480977</v>
      </c>
      <c r="N36" s="492">
        <f t="shared" si="5"/>
        <v>18.587598930455407</v>
      </c>
      <c r="O36" s="492">
        <f t="shared" si="5"/>
        <v>18.679296223369072</v>
      </c>
      <c r="P36" s="492">
        <f t="shared" si="5"/>
        <v>18.773744435070142</v>
      </c>
      <c r="Q36" s="492">
        <f t="shared" si="5"/>
        <v>18.871026093122246</v>
      </c>
      <c r="R36" s="492">
        <f t="shared" si="5"/>
        <v>18.971226200915915</v>
      </c>
      <c r="S36" s="492">
        <f t="shared" si="5"/>
        <v>19.07443231194339</v>
      </c>
      <c r="T36" s="492">
        <f t="shared" si="5"/>
        <v>19.180734606301694</v>
      </c>
      <c r="U36" s="492">
        <f t="shared" si="5"/>
        <v>19.290225969490745</v>
      </c>
      <c r="V36" s="492">
        <f t="shared" si="5"/>
        <v>19.403002073575468</v>
      </c>
      <c r="W36" s="492">
        <f t="shared" si="5"/>
        <v>19.51916146078273</v>
      </c>
      <c r="X36" s="492">
        <f t="shared" si="5"/>
        <v>19.638805629606214</v>
      </c>
      <c r="Y36" s="492">
        <f t="shared" si="5"/>
        <v>19.7620391234944</v>
      </c>
      <c r="Z36" s="492">
        <f t="shared" si="5"/>
        <v>19.888969622199234</v>
      </c>
      <c r="AA36" s="492">
        <f t="shared" si="5"/>
        <v>20.019708035865211</v>
      </c>
      <c r="AB36" s="492">
        <f t="shared" si="5"/>
        <v>20.154368601941165</v>
      </c>
      <c r="AC36" s="492">
        <f t="shared" si="5"/>
        <v>20.293068984999401</v>
      </c>
      <c r="AD36" s="492">
        <f t="shared" si="5"/>
        <v>20.435930379549383</v>
      </c>
      <c r="AE36" s="492">
        <f t="shared" si="5"/>
        <v>20.583077615935863</v>
      </c>
      <c r="AF36" s="492">
        <f t="shared" si="5"/>
        <v>20.73463926941394</v>
      </c>
      <c r="AG36" s="492">
        <f t="shared" si="5"/>
        <v>20.890747772496361</v>
      </c>
      <c r="AH36" s="492">
        <f t="shared" si="5"/>
        <v>21.051539530671249</v>
      </c>
      <c r="AI36" s="495"/>
      <c r="AJ36" s="495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5"/>
      <c r="E37" s="495"/>
      <c r="F37" s="495"/>
      <c r="G37" s="495"/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495"/>
      <c r="AD37" s="495"/>
      <c r="AE37" s="495"/>
      <c r="AF37" s="495"/>
      <c r="AG37" s="495"/>
      <c r="AH37" s="495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7" t="str">
        <f>Assumptions!W14</f>
        <v>Pass-through</v>
      </c>
      <c r="B38" s="43" t="s">
        <v>244</v>
      </c>
      <c r="C38" s="12"/>
      <c r="D38" s="509">
        <f>IF($A$38="Pass-through",D36,D34)</f>
        <v>17.805402422318622</v>
      </c>
      <c r="E38" s="510">
        <f t="shared" ref="E38:AH38" si="6">IF($A$38="Pass-through",E36,E34)</f>
        <v>17.873633819988179</v>
      </c>
      <c r="F38" s="510">
        <f t="shared" si="6"/>
        <v>17.943912159587825</v>
      </c>
      <c r="G38" s="510">
        <f t="shared" si="6"/>
        <v>18.01629884937546</v>
      </c>
      <c r="H38" s="510">
        <f t="shared" si="6"/>
        <v>18.090857139856723</v>
      </c>
      <c r="I38" s="510">
        <f t="shared" si="6"/>
        <v>18.167652179052425</v>
      </c>
      <c r="J38" s="510">
        <f t="shared" si="6"/>
        <v>18.246751069424</v>
      </c>
      <c r="K38" s="510">
        <f t="shared" si="6"/>
        <v>18.328222926506719</v>
      </c>
      <c r="L38" s="510">
        <f t="shared" si="6"/>
        <v>18.412138939301919</v>
      </c>
      <c r="M38" s="510">
        <f t="shared" si="6"/>
        <v>18.498572432480977</v>
      </c>
      <c r="N38" s="510">
        <f t="shared" si="6"/>
        <v>18.587598930455407</v>
      </c>
      <c r="O38" s="510">
        <f t="shared" si="6"/>
        <v>18.679296223369072</v>
      </c>
      <c r="P38" s="510">
        <f t="shared" si="6"/>
        <v>18.773744435070142</v>
      </c>
      <c r="Q38" s="510">
        <f t="shared" si="6"/>
        <v>18.871026093122246</v>
      </c>
      <c r="R38" s="511">
        <f t="shared" si="6"/>
        <v>18.971226200915915</v>
      </c>
      <c r="S38" s="509">
        <f t="shared" si="6"/>
        <v>19.07443231194339</v>
      </c>
      <c r="T38" s="510">
        <f t="shared" si="6"/>
        <v>19.180734606301694</v>
      </c>
      <c r="U38" s="510">
        <f t="shared" si="6"/>
        <v>19.290225969490745</v>
      </c>
      <c r="V38" s="510">
        <f t="shared" si="6"/>
        <v>19.403002073575468</v>
      </c>
      <c r="W38" s="510">
        <f t="shared" si="6"/>
        <v>19.51916146078273</v>
      </c>
      <c r="X38" s="510">
        <f t="shared" si="6"/>
        <v>19.638805629606214</v>
      </c>
      <c r="Y38" s="510">
        <f t="shared" si="6"/>
        <v>19.7620391234944</v>
      </c>
      <c r="Z38" s="510">
        <f t="shared" si="6"/>
        <v>19.888969622199234</v>
      </c>
      <c r="AA38" s="510">
        <f t="shared" si="6"/>
        <v>20.019708035865211</v>
      </c>
      <c r="AB38" s="510">
        <f t="shared" si="6"/>
        <v>20.154368601941165</v>
      </c>
      <c r="AC38" s="510">
        <f t="shared" si="6"/>
        <v>20.293068984999401</v>
      </c>
      <c r="AD38" s="510">
        <f t="shared" si="6"/>
        <v>20.435930379549383</v>
      </c>
      <c r="AE38" s="510">
        <f t="shared" si="6"/>
        <v>20.583077615935863</v>
      </c>
      <c r="AF38" s="510">
        <f t="shared" si="6"/>
        <v>20.73463926941394</v>
      </c>
      <c r="AG38" s="510">
        <f t="shared" si="6"/>
        <v>20.890747772496361</v>
      </c>
      <c r="AH38" s="511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473</v>
      </c>
      <c r="C41" s="12"/>
      <c r="D41" s="549">
        <f>Assumptions!H54</f>
        <v>42.03</v>
      </c>
      <c r="E41" s="549">
        <f>D41</f>
        <v>42.03</v>
      </c>
      <c r="F41" s="549">
        <f t="shared" ref="F41:AH41" si="7">E41</f>
        <v>42.03</v>
      </c>
      <c r="G41" s="549">
        <f t="shared" si="7"/>
        <v>42.03</v>
      </c>
      <c r="H41" s="549">
        <f t="shared" si="7"/>
        <v>42.03</v>
      </c>
      <c r="I41" s="549">
        <f t="shared" si="7"/>
        <v>42.03</v>
      </c>
      <c r="J41" s="549">
        <f t="shared" si="7"/>
        <v>42.03</v>
      </c>
      <c r="K41" s="549">
        <f t="shared" si="7"/>
        <v>42.03</v>
      </c>
      <c r="L41" s="549">
        <f t="shared" si="7"/>
        <v>42.03</v>
      </c>
      <c r="M41" s="549">
        <f t="shared" si="7"/>
        <v>42.03</v>
      </c>
      <c r="N41" s="549">
        <f t="shared" si="7"/>
        <v>42.03</v>
      </c>
      <c r="O41" s="549">
        <f t="shared" si="7"/>
        <v>42.03</v>
      </c>
      <c r="P41" s="549">
        <f t="shared" si="7"/>
        <v>42.03</v>
      </c>
      <c r="Q41" s="549">
        <f t="shared" si="7"/>
        <v>42.03</v>
      </c>
      <c r="R41" s="549">
        <f t="shared" si="7"/>
        <v>42.03</v>
      </c>
      <c r="S41" s="549">
        <f t="shared" si="7"/>
        <v>42.03</v>
      </c>
      <c r="T41" s="549">
        <f t="shared" si="7"/>
        <v>42.03</v>
      </c>
      <c r="U41" s="549">
        <f t="shared" si="7"/>
        <v>42.03</v>
      </c>
      <c r="V41" s="549">
        <f t="shared" si="7"/>
        <v>42.03</v>
      </c>
      <c r="W41" s="549">
        <f t="shared" si="7"/>
        <v>42.03</v>
      </c>
      <c r="X41" s="549">
        <f t="shared" si="7"/>
        <v>42.03</v>
      </c>
      <c r="Y41" s="549">
        <f t="shared" si="7"/>
        <v>42.03</v>
      </c>
      <c r="Z41" s="549">
        <f t="shared" si="7"/>
        <v>42.03</v>
      </c>
      <c r="AA41" s="549">
        <f t="shared" si="7"/>
        <v>42.03</v>
      </c>
      <c r="AB41" s="549">
        <f t="shared" si="7"/>
        <v>42.03</v>
      </c>
      <c r="AC41" s="549">
        <f t="shared" si="7"/>
        <v>42.03</v>
      </c>
      <c r="AD41" s="549">
        <f t="shared" si="7"/>
        <v>42.03</v>
      </c>
      <c r="AE41" s="549">
        <f t="shared" si="7"/>
        <v>42.03</v>
      </c>
      <c r="AF41" s="549">
        <f t="shared" si="7"/>
        <v>42.03</v>
      </c>
      <c r="AG41" s="549">
        <f t="shared" si="7"/>
        <v>42.03</v>
      </c>
      <c r="AH41" s="549">
        <f t="shared" si="7"/>
        <v>42.03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90" t="s">
        <v>404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405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407</v>
      </c>
      <c r="C45" s="12"/>
      <c r="D45" s="517">
        <v>0.01</v>
      </c>
      <c r="E45" s="517">
        <v>0.01</v>
      </c>
      <c r="F45" s="517">
        <v>0.01</v>
      </c>
      <c r="G45" s="517">
        <v>0.01</v>
      </c>
      <c r="H45" s="517">
        <v>0.01</v>
      </c>
      <c r="I45" s="517">
        <v>0.01</v>
      </c>
      <c r="J45" s="517">
        <v>0.01</v>
      </c>
      <c r="K45" s="517">
        <v>0.01</v>
      </c>
      <c r="L45" s="517">
        <v>0.01</v>
      </c>
      <c r="M45" s="517">
        <v>0.01</v>
      </c>
      <c r="N45" s="517">
        <v>0.01</v>
      </c>
      <c r="O45" s="517">
        <v>0.01</v>
      </c>
      <c r="P45" s="517">
        <v>0.01</v>
      </c>
      <c r="Q45" s="517">
        <v>0.01</v>
      </c>
      <c r="R45" s="517">
        <v>0.01</v>
      </c>
      <c r="S45" s="517">
        <v>0.01</v>
      </c>
      <c r="T45" s="517">
        <v>0.01</v>
      </c>
      <c r="U45" s="517">
        <v>0.01</v>
      </c>
      <c r="V45" s="517">
        <v>0.01</v>
      </c>
      <c r="W45" s="517">
        <v>0.01</v>
      </c>
      <c r="X45" s="517">
        <v>0.01</v>
      </c>
      <c r="Y45" s="517">
        <v>0.01</v>
      </c>
      <c r="Z45" s="517">
        <v>0.01</v>
      </c>
      <c r="AA45" s="517">
        <v>0.01</v>
      </c>
      <c r="AB45" s="517">
        <v>0.01</v>
      </c>
      <c r="AC45" s="517">
        <v>0.01</v>
      </c>
      <c r="AD45" s="517">
        <v>0.01</v>
      </c>
      <c r="AE45" s="517">
        <v>0.01</v>
      </c>
      <c r="AF45" s="517">
        <v>0.01</v>
      </c>
      <c r="AG45" s="517">
        <v>0.01</v>
      </c>
      <c r="AH45" s="517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406</v>
      </c>
      <c r="C46" s="12"/>
      <c r="D46" s="514">
        <f>D44*(1+D45)</f>
        <v>10201</v>
      </c>
      <c r="E46" s="515">
        <f t="shared" ref="E46:AH46" si="8">E44*(1+E45)</f>
        <v>10201</v>
      </c>
      <c r="F46" s="515">
        <f t="shared" si="8"/>
        <v>10201</v>
      </c>
      <c r="G46" s="515">
        <f t="shared" si="8"/>
        <v>10201</v>
      </c>
      <c r="H46" s="515">
        <f t="shared" si="8"/>
        <v>10201</v>
      </c>
      <c r="I46" s="515">
        <f t="shared" si="8"/>
        <v>10201</v>
      </c>
      <c r="J46" s="515">
        <f t="shared" si="8"/>
        <v>10201</v>
      </c>
      <c r="K46" s="515">
        <f t="shared" si="8"/>
        <v>10201</v>
      </c>
      <c r="L46" s="515">
        <f t="shared" si="8"/>
        <v>10201</v>
      </c>
      <c r="M46" s="515">
        <f t="shared" si="8"/>
        <v>10201</v>
      </c>
      <c r="N46" s="515">
        <f t="shared" si="8"/>
        <v>10201</v>
      </c>
      <c r="O46" s="515">
        <f t="shared" si="8"/>
        <v>10201</v>
      </c>
      <c r="P46" s="515">
        <f t="shared" si="8"/>
        <v>10201</v>
      </c>
      <c r="Q46" s="515">
        <f t="shared" si="8"/>
        <v>10201</v>
      </c>
      <c r="R46" s="516">
        <f t="shared" si="8"/>
        <v>10201</v>
      </c>
      <c r="S46" s="514">
        <f t="shared" si="8"/>
        <v>10201</v>
      </c>
      <c r="T46" s="515">
        <f t="shared" si="8"/>
        <v>10201</v>
      </c>
      <c r="U46" s="515">
        <f t="shared" si="8"/>
        <v>10201</v>
      </c>
      <c r="V46" s="515">
        <f t="shared" si="8"/>
        <v>10201</v>
      </c>
      <c r="W46" s="515">
        <f t="shared" si="8"/>
        <v>10201</v>
      </c>
      <c r="X46" s="515">
        <f t="shared" si="8"/>
        <v>10201</v>
      </c>
      <c r="Y46" s="515">
        <f t="shared" si="8"/>
        <v>10201</v>
      </c>
      <c r="Z46" s="515">
        <f t="shared" si="8"/>
        <v>10201</v>
      </c>
      <c r="AA46" s="515">
        <f t="shared" si="8"/>
        <v>10201</v>
      </c>
      <c r="AB46" s="515">
        <f t="shared" si="8"/>
        <v>10201</v>
      </c>
      <c r="AC46" s="515">
        <f t="shared" si="8"/>
        <v>10201</v>
      </c>
      <c r="AD46" s="515">
        <f t="shared" si="8"/>
        <v>10201</v>
      </c>
      <c r="AE46" s="515">
        <f t="shared" si="8"/>
        <v>10201</v>
      </c>
      <c r="AF46" s="515">
        <f t="shared" si="8"/>
        <v>10201</v>
      </c>
      <c r="AG46" s="515">
        <f t="shared" si="8"/>
        <v>10201</v>
      </c>
      <c r="AH46" s="516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7"/>
  <sheetViews>
    <sheetView workbookViewId="0">
      <selection activeCell="A24" sqref="A24"/>
    </sheetView>
  </sheetViews>
  <sheetFormatPr defaultRowHeight="12.75"/>
  <cols>
    <col min="1" max="1" width="34.85546875" style="12" customWidth="1"/>
    <col min="2" max="2" width="1.7109375" style="12" customWidth="1"/>
    <col min="3" max="12" width="9.85546875" style="12" bestFit="1" customWidth="1"/>
    <col min="13" max="16384" width="9.140625" style="12"/>
  </cols>
  <sheetData>
    <row r="2" spans="1:32">
      <c r="A2" s="227" t="s">
        <v>333</v>
      </c>
    </row>
    <row r="3" spans="1:32">
      <c r="A3" s="228" t="s">
        <v>466</v>
      </c>
    </row>
    <row r="4" spans="1:32">
      <c r="A4" s="228"/>
      <c r="C4" s="550">
        <f>'Price_Technical Assumption'!D8</f>
        <v>2001</v>
      </c>
      <c r="D4" s="551">
        <f>'Price_Technical Assumption'!E8</f>
        <v>2002</v>
      </c>
      <c r="E4" s="551">
        <f>'Price_Technical Assumption'!F8</f>
        <v>2003</v>
      </c>
      <c r="F4" s="551">
        <f>'Price_Technical Assumption'!G8</f>
        <v>2004</v>
      </c>
      <c r="G4" s="551">
        <f>'Price_Technical Assumption'!H8</f>
        <v>2005</v>
      </c>
      <c r="H4" s="551">
        <f>'Price_Technical Assumption'!I8</f>
        <v>2006</v>
      </c>
      <c r="I4" s="551">
        <f>'Price_Technical Assumption'!J8</f>
        <v>2007</v>
      </c>
      <c r="J4" s="551">
        <f>'Price_Technical Assumption'!K8</f>
        <v>2008</v>
      </c>
      <c r="K4" s="551">
        <f>'Price_Technical Assumption'!L8</f>
        <v>2009</v>
      </c>
      <c r="L4" s="551">
        <f>'Price_Technical Assumption'!M8</f>
        <v>2010</v>
      </c>
      <c r="M4" s="551">
        <f>'Price_Technical Assumption'!N8</f>
        <v>2011</v>
      </c>
      <c r="N4" s="551">
        <f>'Price_Technical Assumption'!O8</f>
        <v>2012</v>
      </c>
      <c r="O4" s="551">
        <f>'Price_Technical Assumption'!P8</f>
        <v>2013</v>
      </c>
      <c r="P4" s="551">
        <f>'Price_Technical Assumption'!Q8</f>
        <v>2014</v>
      </c>
      <c r="Q4" s="551">
        <f>'Price_Technical Assumption'!R8</f>
        <v>2015</v>
      </c>
      <c r="R4" s="551">
        <f>'Price_Technical Assumption'!S8</f>
        <v>2016</v>
      </c>
      <c r="S4" s="551">
        <f>'Price_Technical Assumption'!T8</f>
        <v>2017</v>
      </c>
      <c r="T4" s="551">
        <f>'Price_Technical Assumption'!U8</f>
        <v>2018</v>
      </c>
      <c r="U4" s="551">
        <f>'Price_Technical Assumption'!V8</f>
        <v>2019</v>
      </c>
      <c r="V4" s="551">
        <f>'Price_Technical Assumption'!W8</f>
        <v>2020</v>
      </c>
      <c r="W4" s="551">
        <f>'Price_Technical Assumption'!X8</f>
        <v>2021</v>
      </c>
      <c r="X4" s="551">
        <f>'Price_Technical Assumption'!Y8</f>
        <v>2022</v>
      </c>
      <c r="Y4" s="551">
        <f>'Price_Technical Assumption'!Z8</f>
        <v>2023</v>
      </c>
      <c r="Z4" s="551">
        <f>'Price_Technical Assumption'!AA8</f>
        <v>2024</v>
      </c>
      <c r="AA4" s="551">
        <f>'Price_Technical Assumption'!AB8</f>
        <v>2025</v>
      </c>
      <c r="AB4" s="551">
        <f>'Price_Technical Assumption'!AC8</f>
        <v>2026</v>
      </c>
      <c r="AC4" s="551">
        <f>'Price_Technical Assumption'!AD8</f>
        <v>2027</v>
      </c>
      <c r="AD4" s="551">
        <f>'Price_Technical Assumption'!AE8</f>
        <v>2028</v>
      </c>
      <c r="AE4" s="551">
        <f>'Price_Technical Assumption'!AF8</f>
        <v>2029</v>
      </c>
      <c r="AF4" s="552">
        <f>'Price_Technical Assumption'!AG8</f>
        <v>2030</v>
      </c>
    </row>
    <row r="5" spans="1:32">
      <c r="A5" s="11" t="s">
        <v>41</v>
      </c>
    </row>
    <row r="6" spans="1:32">
      <c r="A6" s="12" t="s">
        <v>474</v>
      </c>
      <c r="C6" s="547">
        <v>4.3099999999999996</v>
      </c>
      <c r="D6" s="547">
        <v>4.22</v>
      </c>
      <c r="E6" s="547">
        <v>4.13</v>
      </c>
      <c r="F6" s="547">
        <v>4.13</v>
      </c>
      <c r="G6" s="547">
        <v>4.12</v>
      </c>
      <c r="H6" s="547">
        <v>4.12</v>
      </c>
      <c r="I6" s="547">
        <v>4.1500000000000004</v>
      </c>
      <c r="J6" s="547">
        <v>4.16</v>
      </c>
      <c r="K6" s="547">
        <v>4.25</v>
      </c>
      <c r="L6" s="547">
        <v>4.28</v>
      </c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53"/>
      <c r="AD6" s="553"/>
      <c r="AE6" s="553"/>
      <c r="AF6" s="553"/>
    </row>
    <row r="8" spans="1:32">
      <c r="A8" s="12" t="s">
        <v>468</v>
      </c>
      <c r="C8" s="557">
        <v>15544.94</v>
      </c>
      <c r="D8" s="557">
        <v>15996.22</v>
      </c>
      <c r="E8" s="557">
        <v>16200.055</v>
      </c>
      <c r="F8" s="557">
        <v>16546.174999999999</v>
      </c>
      <c r="G8" s="557">
        <v>16734.54</v>
      </c>
      <c r="H8" s="557">
        <v>16892.733</v>
      </c>
      <c r="I8" s="557">
        <v>17049.164000000001</v>
      </c>
      <c r="J8" s="557">
        <v>17195.86</v>
      </c>
      <c r="K8" s="557">
        <v>17267.466</v>
      </c>
      <c r="L8" s="557">
        <v>17393.796999999999</v>
      </c>
    </row>
    <row r="10" spans="1:32">
      <c r="A10" s="11" t="s">
        <v>464</v>
      </c>
    </row>
    <row r="11" spans="1:32">
      <c r="A11" s="12" t="s">
        <v>236</v>
      </c>
      <c r="C11" s="548">
        <v>14580.003000000001</v>
      </c>
      <c r="D11" s="548">
        <v>14997.486999999999</v>
      </c>
      <c r="E11" s="548">
        <v>15203.159</v>
      </c>
      <c r="F11" s="548">
        <v>15546.749</v>
      </c>
      <c r="G11" s="548">
        <v>15741.839</v>
      </c>
      <c r="H11" s="548">
        <v>15910.637000000001</v>
      </c>
      <c r="I11" s="548">
        <v>16076.874</v>
      </c>
      <c r="J11" s="548">
        <v>16234.955</v>
      </c>
      <c r="K11" s="548">
        <v>16321.38</v>
      </c>
      <c r="L11" s="548">
        <v>16456.793000000001</v>
      </c>
    </row>
    <row r="12" spans="1:32">
      <c r="A12" s="12" t="s">
        <v>245</v>
      </c>
      <c r="C12" s="548">
        <v>964.93700000000001</v>
      </c>
      <c r="D12" s="548">
        <v>998.73299999999995</v>
      </c>
      <c r="E12" s="548">
        <v>996.89599999999996</v>
      </c>
      <c r="F12" s="548">
        <v>999.42600000000004</v>
      </c>
      <c r="G12" s="548">
        <v>992.70100000000002</v>
      </c>
      <c r="H12" s="548">
        <v>982.09699999999998</v>
      </c>
      <c r="I12" s="548">
        <v>972.29</v>
      </c>
      <c r="J12" s="548">
        <v>960.90499999999997</v>
      </c>
      <c r="K12" s="548">
        <v>946.08500000000004</v>
      </c>
      <c r="L12" s="548">
        <v>937.00400000000002</v>
      </c>
    </row>
    <row r="14" spans="1:32">
      <c r="A14" s="227" t="s">
        <v>462</v>
      </c>
    </row>
    <row r="16" spans="1:32">
      <c r="A16" s="12" t="s">
        <v>463</v>
      </c>
      <c r="C16" s="18">
        <v>444454.18</v>
      </c>
      <c r="D16" s="18">
        <v>780058.98</v>
      </c>
      <c r="E16" s="18">
        <v>853098.52</v>
      </c>
      <c r="F16" s="18">
        <v>895576.95</v>
      </c>
      <c r="G16" s="18">
        <v>890978.86</v>
      </c>
      <c r="H16" s="18">
        <v>884420.04</v>
      </c>
      <c r="I16" s="18">
        <v>829190.78</v>
      </c>
      <c r="J16" s="18">
        <v>839458.88</v>
      </c>
      <c r="K16" s="18">
        <v>829528.9</v>
      </c>
      <c r="L16" s="18">
        <v>563847.9</v>
      </c>
    </row>
    <row r="17" spans="1:12">
      <c r="A17" s="12" t="s">
        <v>475</v>
      </c>
      <c r="C17" s="554">
        <v>15094.311</v>
      </c>
      <c r="D17" s="554">
        <v>24529.596000000001</v>
      </c>
      <c r="E17" s="554">
        <v>26860.987000000001</v>
      </c>
      <c r="F17" s="554">
        <v>28207.439999999999</v>
      </c>
      <c r="G17" s="554">
        <v>28131.985000000001</v>
      </c>
      <c r="H17" s="554">
        <v>28053.978999999999</v>
      </c>
      <c r="I17" s="554">
        <v>26286.584999999999</v>
      </c>
      <c r="J17" s="554">
        <v>26802.971000000001</v>
      </c>
      <c r="K17" s="554">
        <v>26892.871999999999</v>
      </c>
      <c r="L17" s="554">
        <v>19682.797999999999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zoomScale="75" zoomScaleNormal="75" workbookViewId="0">
      <selection activeCell="L30" sqref="L3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6">
        <v>37256</v>
      </c>
      <c r="D8" s="366">
        <v>37621</v>
      </c>
      <c r="E8" s="366">
        <v>37986</v>
      </c>
      <c r="F8" s="366">
        <v>38352</v>
      </c>
      <c r="G8" s="366">
        <v>38717</v>
      </c>
      <c r="H8" s="366">
        <v>39082</v>
      </c>
      <c r="I8" s="366">
        <v>39447</v>
      </c>
      <c r="J8" s="366">
        <v>39813</v>
      </c>
      <c r="K8" s="366">
        <v>40178</v>
      </c>
      <c r="L8" s="366">
        <v>40543</v>
      </c>
      <c r="M8" s="366">
        <v>40908</v>
      </c>
      <c r="N8" s="366">
        <v>41274</v>
      </c>
      <c r="O8" s="366">
        <v>41639</v>
      </c>
      <c r="P8" s="366">
        <v>42004</v>
      </c>
      <c r="Q8" s="366">
        <v>42369</v>
      </c>
      <c r="R8" s="366">
        <v>42735</v>
      </c>
      <c r="S8" s="366">
        <v>43100</v>
      </c>
      <c r="T8" s="366">
        <v>43465</v>
      </c>
      <c r="U8" s="366">
        <v>43830</v>
      </c>
      <c r="V8" s="366">
        <v>44196</v>
      </c>
      <c r="W8" s="366">
        <v>44561</v>
      </c>
      <c r="X8" s="366">
        <v>44926</v>
      </c>
      <c r="Y8" s="366">
        <v>45291</v>
      </c>
      <c r="Z8" s="366">
        <v>45657</v>
      </c>
      <c r="AA8" s="366">
        <v>46022</v>
      </c>
      <c r="AB8" s="366">
        <v>46387</v>
      </c>
      <c r="AC8" s="366">
        <v>46752</v>
      </c>
      <c r="AD8" s="366">
        <v>47118</v>
      </c>
      <c r="AE8" s="366">
        <v>47483</v>
      </c>
      <c r="AF8" s="366">
        <v>47848</v>
      </c>
      <c r="AG8" s="366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471</v>
      </c>
      <c r="C10" s="74">
        <f>Options!C6*12*Assumptions!$H$66</f>
        <v>9723.36</v>
      </c>
      <c r="D10" s="74">
        <f>Options!D6*12*Assumptions!$H$66</f>
        <v>9520.32</v>
      </c>
      <c r="E10" s="74">
        <f>Options!E6*12*Assumptions!$H$66</f>
        <v>9317.2800000000007</v>
      </c>
      <c r="F10" s="74">
        <f>Options!F6*12*Assumptions!$H$66</f>
        <v>9317.2800000000007</v>
      </c>
      <c r="G10" s="74">
        <f>Options!G6*12*Assumptions!$H$66</f>
        <v>9294.7199999999993</v>
      </c>
      <c r="H10" s="74">
        <f>Options!H6*12*Assumptions!$H$66</f>
        <v>9294.7199999999993</v>
      </c>
      <c r="I10" s="74">
        <f>Options!I6*12*Assumptions!$H$66</f>
        <v>9362.4000000000015</v>
      </c>
      <c r="J10" s="74">
        <f>Options!J6*12*Assumptions!$H$66</f>
        <v>9384.9600000000009</v>
      </c>
      <c r="K10" s="74">
        <f>Options!K6*12*Assumptions!$H$66</f>
        <v>9588</v>
      </c>
      <c r="L10" s="74">
        <f>Options!L6*12*Assumptions!$H$66</f>
        <v>9655.68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472</v>
      </c>
      <c r="C11" s="74">
        <f>IF(Assumptions!$B$16="Yes",Options!C16/1000*'Price_Technical Assumption'!D41,0)</f>
        <v>18680.4091854</v>
      </c>
      <c r="D11" s="74">
        <f>IF(Assumptions!$B$16="Yes",Options!D16/1000*'Price_Technical Assumption'!E41,0)</f>
        <v>32785.878929400002</v>
      </c>
      <c r="E11" s="74">
        <f>IF(Assumptions!$B$16="Yes",Options!E16/1000*'Price_Technical Assumption'!F41,0)</f>
        <v>35855.7307956</v>
      </c>
      <c r="F11" s="74">
        <f>IF(Assumptions!$B$16="Yes",Options!F16/1000*'Price_Technical Assumption'!G41,0)</f>
        <v>37641.099208499996</v>
      </c>
      <c r="G11" s="74">
        <f>IF(Assumptions!$B$16="Yes",Options!G16/1000*'Price_Technical Assumption'!H41,0)</f>
        <v>37447.841485799996</v>
      </c>
      <c r="H11" s="74">
        <f>IF(Assumptions!$B$16="Yes",Options!H16/1000*'Price_Technical Assumption'!I41,0)</f>
        <v>37172.174281200001</v>
      </c>
      <c r="I11" s="74">
        <f>IF(Assumptions!$B$16="Yes",Options!I16/1000*'Price_Technical Assumption'!J41,0)</f>
        <v>34850.888483399998</v>
      </c>
      <c r="J11" s="74">
        <f>IF(Assumptions!$B$16="Yes",Options!J16/1000*'Price_Technical Assumption'!K41,0)</f>
        <v>35282.4567264</v>
      </c>
      <c r="K11" s="74">
        <f>IF(Assumptions!$B$16="Yes",Options!K16/1000*'Price_Technical Assumption'!L41,0)</f>
        <v>34865.099667000002</v>
      </c>
      <c r="L11" s="74">
        <f>IF(Assumptions!$B$16="Yes",Options!L16/1000*'Price_Technical Assumption'!M41,0)</f>
        <v>23698.527236999998</v>
      </c>
      <c r="M11" s="74">
        <f>Options!M16/1000*'Price_Technical Assumption'!N41</f>
        <v>0</v>
      </c>
      <c r="N11" s="74">
        <f>Options!N16/1000*'Price_Technical Assumption'!O41</f>
        <v>0</v>
      </c>
      <c r="O11" s="74">
        <f>Options!O16/1000*'Price_Technical Assumption'!P41</f>
        <v>0</v>
      </c>
      <c r="P11" s="74">
        <f>Options!P16/1000*'Price_Technical Assumption'!Q41</f>
        <v>0</v>
      </c>
      <c r="Q11" s="74">
        <f>Options!Q16/1000*'Price_Technical Assumption'!R41</f>
        <v>0</v>
      </c>
      <c r="R11" s="74">
        <f>Options!R16/1000*'Price_Technical Assumption'!S41</f>
        <v>0</v>
      </c>
      <c r="S11" s="74">
        <f>Options!S16/1000*'Price_Technical Assumption'!T41</f>
        <v>0</v>
      </c>
      <c r="T11" s="74">
        <f>Options!T16/1000*'Price_Technical Assumption'!U41</f>
        <v>0</v>
      </c>
      <c r="U11" s="74">
        <f>Options!U16/1000*'Price_Technical Assumption'!V41</f>
        <v>0</v>
      </c>
      <c r="V11" s="74">
        <f>Options!V16/1000*'Price_Technical Assumption'!W41</f>
        <v>0</v>
      </c>
      <c r="W11" s="74">
        <f>Options!W16/1000*'Price_Technical Assumption'!X41</f>
        <v>0</v>
      </c>
      <c r="X11" s="74">
        <f>Options!X16/1000*'Price_Technical Assumption'!Y41</f>
        <v>0</v>
      </c>
      <c r="Y11" s="74">
        <f>Options!Y16/1000*'Price_Technical Assumption'!Z41</f>
        <v>0</v>
      </c>
      <c r="Z11" s="74">
        <f>Options!Z16/1000*'Price_Technical Assumption'!AA41</f>
        <v>0</v>
      </c>
      <c r="AA11" s="74">
        <f>Options!AA16/1000*'Price_Technical Assumption'!AB41</f>
        <v>0</v>
      </c>
      <c r="AB11" s="74">
        <f>Options!AB16/1000*'Price_Technical Assumption'!AC41</f>
        <v>0</v>
      </c>
      <c r="AC11" s="74">
        <f>Options!AC16/1000*'Price_Technical Assumption'!AD41</f>
        <v>0</v>
      </c>
      <c r="AD11" s="74">
        <f>Options!AD16/1000*'Price_Technical Assumption'!AE41</f>
        <v>0</v>
      </c>
      <c r="AE11" s="74">
        <f>Options!AE16/1000*'Price_Technical Assumption'!AF41</f>
        <v>0</v>
      </c>
      <c r="AF11" s="74">
        <f>Options!AF16/1000*'Price_Technical Assumption'!AG41</f>
        <v>0</v>
      </c>
      <c r="AG11" s="74">
        <f>Options!AG16/1000*'Price_Technical Assumption'!AH41</f>
        <v>0</v>
      </c>
    </row>
    <row r="12" spans="1:43">
      <c r="A12" s="207" t="s">
        <v>461</v>
      </c>
      <c r="C12" s="367">
        <f>2*6*Assumptions!H68</f>
        <v>2256</v>
      </c>
      <c r="D12" s="367">
        <v>0</v>
      </c>
      <c r="E12" s="367">
        <v>0</v>
      </c>
      <c r="F12" s="367">
        <v>0</v>
      </c>
      <c r="G12" s="367">
        <v>0</v>
      </c>
      <c r="H12" s="367">
        <v>0</v>
      </c>
      <c r="I12" s="367">
        <v>0</v>
      </c>
      <c r="J12" s="367">
        <v>0</v>
      </c>
      <c r="K12" s="367">
        <v>0</v>
      </c>
      <c r="L12" s="367">
        <v>0</v>
      </c>
      <c r="M12" s="367">
        <v>0</v>
      </c>
      <c r="N12" s="367">
        <v>0</v>
      </c>
      <c r="O12" s="367">
        <v>0</v>
      </c>
      <c r="P12" s="367">
        <v>0</v>
      </c>
      <c r="Q12" s="367">
        <v>0</v>
      </c>
      <c r="R12" s="367">
        <v>0</v>
      </c>
      <c r="S12" s="367">
        <v>0</v>
      </c>
      <c r="T12" s="367">
        <v>0</v>
      </c>
      <c r="U12" s="367">
        <v>0</v>
      </c>
      <c r="V12" s="367">
        <v>0</v>
      </c>
      <c r="W12" s="367">
        <v>0</v>
      </c>
      <c r="X12" s="367">
        <v>0</v>
      </c>
      <c r="Y12" s="367">
        <v>0</v>
      </c>
      <c r="Z12" s="367">
        <v>0</v>
      </c>
      <c r="AA12" s="367">
        <v>0</v>
      </c>
      <c r="AB12" s="367">
        <v>0</v>
      </c>
      <c r="AC12" s="367">
        <v>0</v>
      </c>
      <c r="AD12" s="367">
        <v>0</v>
      </c>
      <c r="AE12" s="367">
        <v>0</v>
      </c>
      <c r="AF12" s="367">
        <v>0</v>
      </c>
      <c r="AG12" s="367">
        <v>0</v>
      </c>
    </row>
    <row r="13" spans="1:43" s="11" customFormat="1">
      <c r="A13" s="2" t="s">
        <v>42</v>
      </c>
      <c r="C13" s="124">
        <f t="shared" ref="C13:AG13" si="0">SUM(C10:C12)</f>
        <v>30659.7691854</v>
      </c>
      <c r="D13" s="124">
        <f t="shared" si="0"/>
        <v>42306.198929400001</v>
      </c>
      <c r="E13" s="124">
        <f t="shared" si="0"/>
        <v>45173.010795599999</v>
      </c>
      <c r="F13" s="124">
        <f t="shared" si="0"/>
        <v>46958.379208499995</v>
      </c>
      <c r="G13" s="124">
        <f t="shared" si="0"/>
        <v>46742.561485799997</v>
      </c>
      <c r="H13" s="124">
        <f t="shared" si="0"/>
        <v>46466.894281200002</v>
      </c>
      <c r="I13" s="124">
        <f t="shared" si="0"/>
        <v>44213.2884834</v>
      </c>
      <c r="J13" s="124">
        <f t="shared" si="0"/>
        <v>44667.416726399999</v>
      </c>
      <c r="K13" s="124">
        <f t="shared" si="0"/>
        <v>44453.099667000002</v>
      </c>
      <c r="L13" s="124">
        <f t="shared" si="0"/>
        <v>33354.207236999995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465</v>
      </c>
      <c r="C16" s="36">
        <f>IF(Assumptions!$B$16="Yes",Options!C17,0)</f>
        <v>15094.311</v>
      </c>
      <c r="D16" s="36">
        <f>IF(Assumptions!$B$16="Yes",Options!D17,0)</f>
        <v>24529.596000000001</v>
      </c>
      <c r="E16" s="36">
        <f>IF(Assumptions!$B$16="Yes",Options!E17,0)</f>
        <v>26860.987000000001</v>
      </c>
      <c r="F16" s="36">
        <f>IF(Assumptions!$B$16="Yes",Options!F17,0)</f>
        <v>28207.439999999999</v>
      </c>
      <c r="G16" s="36">
        <f>IF(Assumptions!$B$16="Yes",Options!G17,0)</f>
        <v>28131.985000000001</v>
      </c>
      <c r="H16" s="36">
        <f>IF(Assumptions!$B$16="Yes",Options!H17,0)</f>
        <v>28053.978999999999</v>
      </c>
      <c r="I16" s="36">
        <f>IF(Assumptions!$B$16="Yes",Options!I17,0)</f>
        <v>26286.584999999999</v>
      </c>
      <c r="J16" s="36">
        <f>IF(Assumptions!$B$16="Yes",Options!J17,0)</f>
        <v>26802.971000000001</v>
      </c>
      <c r="K16" s="36">
        <f>IF(Assumptions!$B$16="Yes",Options!K17,0)</f>
        <v>26892.871999999999</v>
      </c>
      <c r="L16" s="36">
        <f>IF(Assumptions!$B$16="Yes",Options!L17,0)</f>
        <v>19682.797999999999</v>
      </c>
      <c r="M16" s="36">
        <f>IF(Assumptions!$B$16="Yes",Options!M17,0)</f>
        <v>0</v>
      </c>
      <c r="N16" s="36">
        <f>IF(Assumptions!$B$16="Yes",Options!N17,0)</f>
        <v>0</v>
      </c>
      <c r="O16" s="36">
        <f>IF(Assumptions!$B$16="Yes",Options!O17,0)</f>
        <v>0</v>
      </c>
      <c r="P16" s="36">
        <f>IF(Assumptions!$B$16="Yes",Options!P17,0)</f>
        <v>0</v>
      </c>
      <c r="Q16" s="36">
        <f>IF(Assumptions!$B$16="Yes",Options!Q17,0)</f>
        <v>0</v>
      </c>
      <c r="R16" s="36">
        <f>IF(Assumptions!$B$16="Yes",Options!R17,0)</f>
        <v>0</v>
      </c>
      <c r="S16" s="36">
        <f>IF(Assumptions!$B$16="Yes",Options!S17,0)</f>
        <v>0</v>
      </c>
      <c r="T16" s="36">
        <f>IF(Assumptions!$B$16="Yes",Options!T17,0)</f>
        <v>0</v>
      </c>
      <c r="U16" s="36">
        <f>IF(Assumptions!$B$16="Yes",Options!U17,0)</f>
        <v>0</v>
      </c>
      <c r="V16" s="36">
        <f>IF(Assumptions!$B$16="Yes",Options!V17,0)</f>
        <v>0</v>
      </c>
      <c r="W16" s="36">
        <f>IF(Assumptions!$B$16="Yes",Options!W17,0)</f>
        <v>0</v>
      </c>
      <c r="X16" s="36">
        <f>IF(Assumptions!$B$16="Yes",Options!X17,0)</f>
        <v>0</v>
      </c>
      <c r="Y16" s="36">
        <f>IF(Assumptions!$B$16="Yes",Options!Y17,0)</f>
        <v>0</v>
      </c>
      <c r="Z16" s="36">
        <f>IF(Assumptions!$B$16="Yes",Options!Z17,0)</f>
        <v>0</v>
      </c>
      <c r="AA16" s="36">
        <f>IF(Assumptions!$B$16="Yes",Options!AA17,0)</f>
        <v>0</v>
      </c>
      <c r="AB16" s="36">
        <f>IF(Assumptions!$B$16="Yes",Options!AB17,0)</f>
        <v>0</v>
      </c>
      <c r="AC16" s="36">
        <f>IF(Assumptions!$B$16="Yes",Options!AC17,0)</f>
        <v>0</v>
      </c>
      <c r="AD16" s="36">
        <f>IF(Assumptions!$B$16="Yes",Options!AD17,0)</f>
        <v>0</v>
      </c>
      <c r="AE16" s="36">
        <f>IF(Assumptions!$B$16="Yes",Options!AE17,0)</f>
        <v>0</v>
      </c>
      <c r="AF16" s="36">
        <f>IF(Assumptions!$B$16="Yes",Options!AF17,0)</f>
        <v>0</v>
      </c>
      <c r="AG16" s="36">
        <f>IF(Assumptions!$B$16="Yes",Options!AG17,0)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202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352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214</v>
      </c>
      <c r="C21" s="540">
        <v>400</v>
      </c>
      <c r="D21" s="192">
        <f>C21*(1+Assumptions!$P$30)</f>
        <v>408</v>
      </c>
      <c r="E21" s="192">
        <f>D21*(1+Assumptions!$P$30)</f>
        <v>416.16</v>
      </c>
      <c r="F21" s="192">
        <f>E21*(1+Assumptions!$P$30)</f>
        <v>424.48320000000001</v>
      </c>
      <c r="G21" s="192">
        <f>F21*(1+Assumptions!$P$30)</f>
        <v>432.97286400000002</v>
      </c>
      <c r="H21" s="192">
        <f>G21*(1+Assumptions!$P$30)</f>
        <v>441.63232128000004</v>
      </c>
      <c r="I21" s="192">
        <f>H21*(1+Assumptions!$P$30)</f>
        <v>450.46496770560003</v>
      </c>
      <c r="J21" s="192">
        <f>I21*(1+Assumptions!$P$30)</f>
        <v>459.47426705971202</v>
      </c>
      <c r="K21" s="192">
        <f>J21*(1+Assumptions!$P$30)</f>
        <v>468.66375240090628</v>
      </c>
      <c r="L21" s="192">
        <f>K21*(1+Assumptions!$P$30)</f>
        <v>478.03702744892439</v>
      </c>
      <c r="M21" s="192">
        <f>L21*(1+Assumptions!$P$30)</f>
        <v>487.59776799790291</v>
      </c>
      <c r="N21" s="192">
        <f>M21*(1+Assumptions!$P$30)</f>
        <v>497.34972335786097</v>
      </c>
      <c r="O21" s="192">
        <f>N21*(1+Assumptions!$P$30)</f>
        <v>507.29671782501822</v>
      </c>
      <c r="P21" s="192">
        <f>O21*(1+Assumptions!$P$30)</f>
        <v>517.44265218151861</v>
      </c>
      <c r="Q21" s="192">
        <f>P21*(1+Assumptions!$P$30)</f>
        <v>527.79150522514897</v>
      </c>
      <c r="R21" s="192">
        <f>Q21*(1+Assumptions!$P$30)</f>
        <v>538.34733532965197</v>
      </c>
      <c r="S21" s="192">
        <f>R21*(1+Assumptions!$P$30)</f>
        <v>549.11428203624507</v>
      </c>
      <c r="T21" s="192">
        <f>S21*(1+Assumptions!$P$30)</f>
        <v>560.09656767697004</v>
      </c>
      <c r="U21" s="192">
        <f>T21*(1+Assumptions!$P$30)</f>
        <v>571.29849903050945</v>
      </c>
      <c r="V21" s="192">
        <f>U21*(1+Assumptions!$P$30)</f>
        <v>582.7244690111196</v>
      </c>
      <c r="W21" s="192">
        <f>V21*(1+Assumptions!$P$30)</f>
        <v>594.37895839134205</v>
      </c>
      <c r="X21" s="192">
        <f>W21*(1+Assumptions!$P$30)</f>
        <v>606.26653755916891</v>
      </c>
      <c r="Y21" s="192">
        <f>X21*(1+Assumptions!$P$30)</f>
        <v>618.39186831035227</v>
      </c>
      <c r="Z21" s="192">
        <f>Y21*(1+Assumptions!$P$30)</f>
        <v>630.75970567655929</v>
      </c>
      <c r="AA21" s="192">
        <f>Z21*(1+Assumptions!$P$30)</f>
        <v>643.37489979009047</v>
      </c>
      <c r="AB21" s="192">
        <f>AA21*(1+Assumptions!$P$30)</f>
        <v>656.24239778589231</v>
      </c>
      <c r="AC21" s="192">
        <f>AB21*(1+Assumptions!$P$30)</f>
        <v>669.36724574161019</v>
      </c>
      <c r="AD21" s="192">
        <f>AC21*(1+Assumptions!$P$30)</f>
        <v>682.75459065644236</v>
      </c>
      <c r="AE21" s="192">
        <f>AD21*(1+Assumptions!$P$30)</f>
        <v>696.40968246957118</v>
      </c>
      <c r="AF21" s="192">
        <f>AE21*(1+Assumptions!$P$30)</f>
        <v>710.33787611896264</v>
      </c>
      <c r="AG21" s="192">
        <f>AF21*(1+Assumptions!$P$30)</f>
        <v>724.54463364134187</v>
      </c>
    </row>
    <row r="22" spans="1:47">
      <c r="A22" s="5" t="s">
        <v>204</v>
      </c>
      <c r="C22" s="74">
        <f>Assumptions!$N$52*Depreciation!D50*Assumptions!H18/12</f>
        <v>170.32671307978265</v>
      </c>
      <c r="D22" s="74">
        <f>Assumptions!$N$52*Depreciation!E50</f>
        <v>246.00295932519418</v>
      </c>
      <c r="E22" s="74">
        <f>Assumptions!$N$52*Depreciation!F50</f>
        <v>236.51584903071435</v>
      </c>
      <c r="F22" s="74">
        <f>Assumptions!$N$52*Depreciation!G50</f>
        <v>227.02873873623452</v>
      </c>
      <c r="G22" s="74">
        <f>Assumptions!$N$52*Depreciation!H50</f>
        <v>217.54162844175471</v>
      </c>
      <c r="H22" s="74">
        <f>Assumptions!$N$52*Depreciation!I50</f>
        <v>209.29582481394155</v>
      </c>
      <c r="I22" s="74">
        <f>Assumptions!$N$52*Depreciation!J50</f>
        <v>201.67067451946173</v>
      </c>
      <c r="J22" s="74">
        <f>Assumptions!$N$52*Depreciation!K50</f>
        <v>194.0455242249819</v>
      </c>
      <c r="K22" s="74">
        <f>Assumptions!$N$52*Depreciation!L50</f>
        <v>186.42037393050208</v>
      </c>
      <c r="L22" s="74">
        <f>Assumptions!$N$52*Depreciation!M50</f>
        <v>178.79522363602223</v>
      </c>
      <c r="M22" s="74">
        <f>Assumptions!$N$52*Depreciation!N50</f>
        <v>171.17007334154241</v>
      </c>
      <c r="N22" s="74">
        <f>Assumptions!$N$52*Depreciation!O50</f>
        <v>163.54492304706261</v>
      </c>
      <c r="O22" s="74">
        <f>Assumptions!$N$52*Depreciation!P50</f>
        <v>155.91977275258279</v>
      </c>
      <c r="P22" s="74">
        <f>Assumptions!$N$52*Depreciation!Q50</f>
        <v>148.29462245810299</v>
      </c>
      <c r="Q22" s="74">
        <f>Assumptions!$N$52*Depreciation!R50</f>
        <v>140.66947216362317</v>
      </c>
      <c r="R22" s="74">
        <f>Assumptions!$N$52*Depreciation!S50</f>
        <v>133.04432186914337</v>
      </c>
      <c r="S22" s="74">
        <f>Assumptions!$N$52*Depreciation!T50</f>
        <v>125.41917157466357</v>
      </c>
      <c r="T22" s="74">
        <f>Assumptions!$N$52*Depreciation!U50</f>
        <v>117.79402128018376</v>
      </c>
      <c r="U22" s="74">
        <f>Assumptions!$N$52*Depreciation!V50</f>
        <v>110.16887098570395</v>
      </c>
      <c r="V22" s="74">
        <f>Assumptions!$N$52*Depreciation!W50</f>
        <v>102.54372069122414</v>
      </c>
      <c r="W22" s="74">
        <f>Assumptions!$N$52*Depreciation!X50</f>
        <v>95.001903730077643</v>
      </c>
      <c r="X22" s="74">
        <f>Assumptions!$N$52*Depreciation!Y50</f>
        <v>87.501753435597834</v>
      </c>
      <c r="Y22" s="74">
        <f>Assumptions!$N$52*Depreciation!Z50</f>
        <v>80.001603141118025</v>
      </c>
      <c r="Z22" s="74">
        <f>Assumptions!$N$52*Depreciation!AA50</f>
        <v>72.501452846638202</v>
      </c>
      <c r="AA22" s="74">
        <f>Assumptions!$N$52*Depreciation!AB50</f>
        <v>65.001302552158393</v>
      </c>
      <c r="AB22" s="74">
        <f>Assumptions!$N$52*Depreciation!AC50</f>
        <v>57.501152257678569</v>
      </c>
      <c r="AC22" s="74">
        <f>Assumptions!$N$52*Depreciation!AD50</f>
        <v>50.001001963198753</v>
      </c>
      <c r="AD22" s="74">
        <f>Assumptions!$N$52*Depreciation!AE50</f>
        <v>42.500851668718937</v>
      </c>
      <c r="AE22" s="74">
        <f>Assumptions!$N$52*Depreciation!AF50</f>
        <v>35.000701374239114</v>
      </c>
      <c r="AF22" s="74">
        <f>Assumptions!$N$52*Depreciation!AG50</f>
        <v>27.500551079759298</v>
      </c>
      <c r="AG22" s="74">
        <f>Assumptions!$N$52*Depreciation!AH50</f>
        <v>25.000500981599359</v>
      </c>
    </row>
    <row r="23" spans="1:47">
      <c r="A23" s="5" t="s">
        <v>208</v>
      </c>
      <c r="C23" s="192">
        <v>0</v>
      </c>
      <c r="D23" s="192">
        <v>0</v>
      </c>
      <c r="E23" s="192">
        <v>0</v>
      </c>
      <c r="F23" s="192">
        <v>0</v>
      </c>
      <c r="G23" s="192">
        <v>0</v>
      </c>
      <c r="H23" s="192">
        <v>0</v>
      </c>
      <c r="I23" s="192">
        <v>0</v>
      </c>
      <c r="J23" s="192">
        <v>0</v>
      </c>
      <c r="K23" s="192">
        <v>0</v>
      </c>
      <c r="L23" s="192">
        <v>0</v>
      </c>
      <c r="M23" s="192">
        <v>0</v>
      </c>
      <c r="N23" s="192">
        <v>0</v>
      </c>
      <c r="O23" s="192">
        <v>0</v>
      </c>
      <c r="P23" s="192">
        <v>0</v>
      </c>
      <c r="Q23" s="192">
        <v>0</v>
      </c>
      <c r="R23" s="192">
        <v>0</v>
      </c>
      <c r="S23" s="192">
        <v>0</v>
      </c>
      <c r="T23" s="192">
        <v>0</v>
      </c>
      <c r="U23" s="192">
        <v>0</v>
      </c>
      <c r="V23" s="192">
        <v>0</v>
      </c>
      <c r="W23" s="192">
        <v>0</v>
      </c>
      <c r="X23" s="192">
        <v>0</v>
      </c>
      <c r="Y23" s="192">
        <v>0</v>
      </c>
      <c r="Z23" s="192">
        <v>0</v>
      </c>
      <c r="AA23" s="192">
        <v>0</v>
      </c>
      <c r="AB23" s="192">
        <v>0</v>
      </c>
      <c r="AC23" s="192">
        <v>0</v>
      </c>
      <c r="AD23" s="192">
        <v>0</v>
      </c>
      <c r="AE23" s="192">
        <v>0</v>
      </c>
      <c r="AF23" s="192">
        <v>0</v>
      </c>
      <c r="AG23" s="192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6" t="s">
        <v>47</v>
      </c>
      <c r="C28" s="124">
        <f>SUM(C16:C27)</f>
        <v>16331.304379746451</v>
      </c>
      <c r="D28" s="124">
        <f t="shared" ref="D28:AG28" si="1">SUM(D16:D27)</f>
        <v>26213.598959325194</v>
      </c>
      <c r="E28" s="124">
        <f t="shared" si="1"/>
        <v>28574.562849030714</v>
      </c>
      <c r="F28" s="124">
        <f t="shared" si="1"/>
        <v>29951.678938736226</v>
      </c>
      <c r="G28" s="124">
        <f t="shared" si="1"/>
        <v>29908.008302441751</v>
      </c>
      <c r="H28" s="124">
        <f t="shared" si="1"/>
        <v>29864.181220393937</v>
      </c>
      <c r="I28" s="124">
        <f t="shared" si="1"/>
        <v>28132.772938754064</v>
      </c>
      <c r="J28" s="124">
        <f t="shared" si="1"/>
        <v>28686.364656709564</v>
      </c>
      <c r="K28" s="124">
        <f t="shared" si="1"/>
        <v>28814.726207719024</v>
      </c>
      <c r="L28" s="124">
        <f t="shared" si="1"/>
        <v>21644.403434914188</v>
      </c>
      <c r="M28" s="124">
        <f t="shared" si="1"/>
        <v>2002.6842206835674</v>
      </c>
      <c r="N28" s="124">
        <f t="shared" si="1"/>
        <v>2045.1285171293696</v>
      </c>
      <c r="O28" s="124">
        <f t="shared" si="1"/>
        <v>2088.9773774237806</v>
      </c>
      <c r="P28" s="124">
        <f t="shared" si="1"/>
        <v>2134.2709880911866</v>
      </c>
      <c r="Q28" s="124">
        <f t="shared" si="1"/>
        <v>2181.0507022438837</v>
      </c>
      <c r="R28" s="124">
        <f t="shared" si="1"/>
        <v>2229.3590737995605</v>
      </c>
      <c r="S28" s="124">
        <f t="shared" si="1"/>
        <v>2279.2398927096965</v>
      </c>
      <c r="T28" s="124">
        <f t="shared" si="1"/>
        <v>2330.7382212289053</v>
      </c>
      <c r="U28" s="124">
        <f t="shared" si="1"/>
        <v>2383.9004312561178</v>
      </c>
      <c r="V28" s="124">
        <f t="shared" si="1"/>
        <v>2438.7742427794456</v>
      </c>
      <c r="W28" s="124">
        <f t="shared" si="1"/>
        <v>2495.4920967908338</v>
      </c>
      <c r="X28" s="124">
        <f t="shared" si="1"/>
        <v>2554.0628627042638</v>
      </c>
      <c r="Y28" s="124">
        <f t="shared" si="1"/>
        <v>2614.496880312252</v>
      </c>
      <c r="Z28" s="124">
        <f t="shared" si="1"/>
        <v>2676.8476696498028</v>
      </c>
      <c r="AA28" s="124">
        <f t="shared" si="1"/>
        <v>2741.170308802652</v>
      </c>
      <c r="AB28" s="124">
        <f t="shared" si="1"/>
        <v>2807.5214796977871</v>
      </c>
      <c r="AC28" s="124">
        <f t="shared" si="1"/>
        <v>2875.9595152486513</v>
      </c>
      <c r="AD28" s="124">
        <f t="shared" si="1"/>
        <v>2946.5444478953186</v>
      </c>
      <c r="AE28" s="124">
        <f t="shared" si="1"/>
        <v>3019.3380595810727</v>
      </c>
      <c r="AF28" s="124">
        <f t="shared" si="1"/>
        <v>3094.403933208102</v>
      </c>
      <c r="AG28" s="124">
        <f t="shared" si="1"/>
        <v>3176.807605812603</v>
      </c>
    </row>
    <row r="29" spans="1:47">
      <c r="A29" s="4"/>
      <c r="C29" s="368"/>
      <c r="D29" s="368"/>
      <c r="E29" s="368"/>
      <c r="F29" s="368"/>
      <c r="G29" s="368"/>
      <c r="H29" s="368"/>
      <c r="I29" s="368"/>
      <c r="J29" s="368"/>
      <c r="K29" s="368"/>
      <c r="L29" s="368"/>
      <c r="M29" s="368"/>
      <c r="N29" s="368"/>
      <c r="O29" s="368"/>
      <c r="P29" s="368"/>
      <c r="Q29" s="368"/>
      <c r="R29" s="368"/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8"/>
      <c r="AF29" s="368"/>
      <c r="AG29" s="368"/>
    </row>
    <row r="30" spans="1:47">
      <c r="A30" s="1" t="s">
        <v>48</v>
      </c>
      <c r="C30" s="124">
        <f t="shared" ref="C30:AG30" si="2">C13-C28</f>
        <v>14328.46480565355</v>
      </c>
      <c r="D30" s="124">
        <f t="shared" si="2"/>
        <v>16092.599970074807</v>
      </c>
      <c r="E30" s="124">
        <f t="shared" si="2"/>
        <v>16598.447946569286</v>
      </c>
      <c r="F30" s="124">
        <f t="shared" si="2"/>
        <v>17006.700269763769</v>
      </c>
      <c r="G30" s="124">
        <f t="shared" si="2"/>
        <v>16834.553183358246</v>
      </c>
      <c r="H30" s="124">
        <f t="shared" si="2"/>
        <v>16602.713060806065</v>
      </c>
      <c r="I30" s="124">
        <f t="shared" si="2"/>
        <v>16080.515544645936</v>
      </c>
      <c r="J30" s="124">
        <f t="shared" si="2"/>
        <v>15981.052069690435</v>
      </c>
      <c r="K30" s="124">
        <f t="shared" si="2"/>
        <v>15638.373459280978</v>
      </c>
      <c r="L30" s="124">
        <f t="shared" si="2"/>
        <v>11709.803802085808</v>
      </c>
      <c r="M30" s="124">
        <f t="shared" si="2"/>
        <v>-2002.6842206835674</v>
      </c>
      <c r="N30" s="124">
        <f t="shared" si="2"/>
        <v>-2045.1285171293696</v>
      </c>
      <c r="O30" s="124">
        <f t="shared" si="2"/>
        <v>-2088.9773774237806</v>
      </c>
      <c r="P30" s="124">
        <f t="shared" si="2"/>
        <v>-2134.2709880911866</v>
      </c>
      <c r="Q30" s="124">
        <f t="shared" si="2"/>
        <v>-2181.0507022438837</v>
      </c>
      <c r="R30" s="124">
        <f t="shared" si="2"/>
        <v>-2229.3590737995605</v>
      </c>
      <c r="S30" s="124">
        <f t="shared" si="2"/>
        <v>-2279.2398927096965</v>
      </c>
      <c r="T30" s="124">
        <f t="shared" si="2"/>
        <v>-2330.7382212289053</v>
      </c>
      <c r="U30" s="124">
        <f t="shared" si="2"/>
        <v>-2383.9004312561178</v>
      </c>
      <c r="V30" s="124">
        <f t="shared" si="2"/>
        <v>-2438.7742427794456</v>
      </c>
      <c r="W30" s="124">
        <f t="shared" si="2"/>
        <v>-2495.4920967908338</v>
      </c>
      <c r="X30" s="124">
        <f t="shared" si="2"/>
        <v>-2554.0628627042638</v>
      </c>
      <c r="Y30" s="124">
        <f t="shared" si="2"/>
        <v>-2614.496880312252</v>
      </c>
      <c r="Z30" s="124">
        <f t="shared" si="2"/>
        <v>-2676.8476696498028</v>
      </c>
      <c r="AA30" s="124">
        <f t="shared" si="2"/>
        <v>-2741.170308802652</v>
      </c>
      <c r="AB30" s="124">
        <f t="shared" si="2"/>
        <v>-2807.5214796977871</v>
      </c>
      <c r="AC30" s="124">
        <f t="shared" si="2"/>
        <v>-2875.9595152486513</v>
      </c>
      <c r="AD30" s="124">
        <f t="shared" si="2"/>
        <v>-2946.5444478953186</v>
      </c>
      <c r="AE30" s="124">
        <f t="shared" si="2"/>
        <v>-3019.3380595810727</v>
      </c>
      <c r="AF30" s="124">
        <f t="shared" si="2"/>
        <v>-3094.403933208102</v>
      </c>
      <c r="AG30" s="124">
        <f t="shared" si="2"/>
        <v>-3176.807605812603</v>
      </c>
    </row>
    <row r="31" spans="1:47">
      <c r="A31" s="1"/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8"/>
    </row>
    <row r="32" spans="1:47">
      <c r="A32" s="3" t="s">
        <v>49</v>
      </c>
      <c r="C32" s="65">
        <f>Depreciation!D48</f>
        <v>2529.896078527951</v>
      </c>
      <c r="D32" s="65">
        <f>Depreciation!E48</f>
        <v>3794.8441177919262</v>
      </c>
      <c r="E32" s="65">
        <f>Depreciation!F48</f>
        <v>3794.8441177919262</v>
      </c>
      <c r="F32" s="65">
        <f>Depreciation!G48</f>
        <v>3794.8441177919262</v>
      </c>
      <c r="G32" s="65">
        <f>Depreciation!H48</f>
        <v>3794.8441177919262</v>
      </c>
      <c r="H32" s="65">
        <f>Depreciation!I48</f>
        <v>3298.3214511252595</v>
      </c>
      <c r="I32" s="65">
        <f>Depreciation!J48</f>
        <v>3050.0601177919261</v>
      </c>
      <c r="J32" s="65">
        <f>Depreciation!K48</f>
        <v>3050.0601177919261</v>
      </c>
      <c r="K32" s="65">
        <f>Depreciation!L48</f>
        <v>3050.0601177919261</v>
      </c>
      <c r="L32" s="65">
        <f>Depreciation!M48</f>
        <v>3050.0601177919261</v>
      </c>
      <c r="M32" s="65">
        <f>Depreciation!N48</f>
        <v>3050.0601177919261</v>
      </c>
      <c r="N32" s="65">
        <f>Depreciation!O48</f>
        <v>3050.0601177919261</v>
      </c>
      <c r="O32" s="65">
        <f>Depreciation!P48</f>
        <v>3050.0601177919261</v>
      </c>
      <c r="P32" s="65">
        <f>Depreciation!Q48</f>
        <v>3050.0601177919261</v>
      </c>
      <c r="Q32" s="65">
        <f>Depreciation!R48</f>
        <v>3050.0601177919261</v>
      </c>
      <c r="R32" s="65">
        <f>Depreciation!S48</f>
        <v>3050.0601177919261</v>
      </c>
      <c r="S32" s="65">
        <f>Depreciation!T48</f>
        <v>3050.0601177919261</v>
      </c>
      <c r="T32" s="65">
        <f>Depreciation!U48</f>
        <v>3050.0601177919261</v>
      </c>
      <c r="U32" s="65">
        <f>Depreciation!V48</f>
        <v>3050.0601177919261</v>
      </c>
      <c r="V32" s="65">
        <f>Depreciation!W48</f>
        <v>3050.0601177919261</v>
      </c>
      <c r="W32" s="65">
        <f>Depreciation!X48</f>
        <v>3016.7267844585926</v>
      </c>
      <c r="X32" s="65">
        <f>Depreciation!Y48</f>
        <v>3000.0601177919261</v>
      </c>
      <c r="Y32" s="65">
        <f>Depreciation!Z48</f>
        <v>3000.0601177919261</v>
      </c>
      <c r="Z32" s="65">
        <f>Depreciation!AA48</f>
        <v>3000.0601177919261</v>
      </c>
      <c r="AA32" s="65">
        <f>Depreciation!AB48</f>
        <v>3000.0601177919261</v>
      </c>
      <c r="AB32" s="65">
        <f>Depreciation!AC48</f>
        <v>3000.0601177919261</v>
      </c>
      <c r="AC32" s="65">
        <f>Depreciation!AD48</f>
        <v>3000.0601177919261</v>
      </c>
      <c r="AD32" s="65">
        <f>Depreciation!AE48</f>
        <v>3000.0601177919261</v>
      </c>
      <c r="AE32" s="65">
        <f>Depreciation!AF48</f>
        <v>3000.0601177919261</v>
      </c>
      <c r="AF32" s="65">
        <f>Depreciation!AG48</f>
        <v>3000.0601177919261</v>
      </c>
      <c r="AG32" s="65">
        <f>Depreciation!AH48</f>
        <v>1000.0200392639757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11798.568727125599</v>
      </c>
      <c r="D34" s="124">
        <f t="shared" ref="D34:X34" si="3">D30-D32</f>
        <v>12297.75585228288</v>
      </c>
      <c r="E34" s="124">
        <f t="shared" si="3"/>
        <v>12803.603828777359</v>
      </c>
      <c r="F34" s="124">
        <f t="shared" si="3"/>
        <v>13211.856151971842</v>
      </c>
      <c r="G34" s="124">
        <f t="shared" si="3"/>
        <v>13039.70906556632</v>
      </c>
      <c r="H34" s="124">
        <f t="shared" si="3"/>
        <v>13304.391609680806</v>
      </c>
      <c r="I34" s="124">
        <f t="shared" si="3"/>
        <v>13030.455426854009</v>
      </c>
      <c r="J34" s="124">
        <f t="shared" si="3"/>
        <v>12930.991951898508</v>
      </c>
      <c r="K34" s="124">
        <f t="shared" si="3"/>
        <v>12588.313341489051</v>
      </c>
      <c r="L34" s="124">
        <f t="shared" si="3"/>
        <v>8659.7436842938805</v>
      </c>
      <c r="M34" s="124">
        <f t="shared" si="3"/>
        <v>-5052.7443384754934</v>
      </c>
      <c r="N34" s="124">
        <f t="shared" si="3"/>
        <v>-5095.1886349212955</v>
      </c>
      <c r="O34" s="124">
        <f t="shared" si="3"/>
        <v>-5139.0374952157072</v>
      </c>
      <c r="P34" s="124">
        <f t="shared" si="3"/>
        <v>-5184.3311058831132</v>
      </c>
      <c r="Q34" s="124">
        <f t="shared" si="3"/>
        <v>-5231.1108200358103</v>
      </c>
      <c r="R34" s="124">
        <f t="shared" si="3"/>
        <v>-5279.4191915914871</v>
      </c>
      <c r="S34" s="124">
        <f t="shared" si="3"/>
        <v>-5329.3000105016226</v>
      </c>
      <c r="T34" s="124">
        <f t="shared" si="3"/>
        <v>-5380.7983390208319</v>
      </c>
      <c r="U34" s="124">
        <f t="shared" si="3"/>
        <v>-5433.9605490480444</v>
      </c>
      <c r="V34" s="124">
        <f t="shared" si="3"/>
        <v>-5488.8343605713717</v>
      </c>
      <c r="W34" s="124">
        <f t="shared" si="3"/>
        <v>-5512.218881249426</v>
      </c>
      <c r="X34" s="124">
        <f t="shared" si="3"/>
        <v>-5554.1229804961895</v>
      </c>
      <c r="Y34" s="124">
        <f t="shared" ref="Y34:AG34" si="4">Y30-Y32</f>
        <v>-5614.5569981041781</v>
      </c>
      <c r="Z34" s="124">
        <f t="shared" si="4"/>
        <v>-5676.9077874417289</v>
      </c>
      <c r="AA34" s="124">
        <f t="shared" si="4"/>
        <v>-5741.2304265945786</v>
      </c>
      <c r="AB34" s="124">
        <f t="shared" si="4"/>
        <v>-5807.5815974897132</v>
      </c>
      <c r="AC34" s="124">
        <f t="shared" si="4"/>
        <v>-5876.0196330405779</v>
      </c>
      <c r="AD34" s="124">
        <f t="shared" si="4"/>
        <v>-5946.6045656872448</v>
      </c>
      <c r="AE34" s="124">
        <f t="shared" si="4"/>
        <v>-6019.3981773729993</v>
      </c>
      <c r="AF34" s="124">
        <f t="shared" si="4"/>
        <v>-6094.4640510000281</v>
      </c>
      <c r="AG34" s="124">
        <f t="shared" si="4"/>
        <v>-4176.8276450765788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134</v>
      </c>
      <c r="C36" s="65">
        <f>Debt!B57</f>
        <v>3966.1111200132818</v>
      </c>
      <c r="D36" s="65">
        <f>Debt!C57</f>
        <v>5500.4735152550165</v>
      </c>
      <c r="E36" s="65">
        <f>Debt!D57</f>
        <v>4996.8280587436957</v>
      </c>
      <c r="F36" s="65">
        <f>Debt!E57</f>
        <v>4465.8640618083564</v>
      </c>
      <c r="G36" s="65">
        <f>Debt!F57</f>
        <v>3874.8030984270736</v>
      </c>
      <c r="H36" s="65">
        <f>Debt!G57</f>
        <v>3240.9352069896695</v>
      </c>
      <c r="I36" s="65">
        <f>Debt!H57</f>
        <v>2570.9908418502546</v>
      </c>
      <c r="J36" s="65">
        <f>Debt!I57</f>
        <v>1862.8289657545743</v>
      </c>
      <c r="K36" s="65">
        <f>Debt!J57</f>
        <v>1105.1215540969747</v>
      </c>
      <c r="L36" s="65">
        <f>Debt!K57</f>
        <v>378.291593284729</v>
      </c>
      <c r="M36" s="65">
        <f>Debt!L57</f>
        <v>9.5961251932742133</v>
      </c>
      <c r="N36" s="65">
        <f>Debt!M57</f>
        <v>58.13690056122401</v>
      </c>
      <c r="O36" s="65">
        <f>Debt!N57</f>
        <v>182.33355324990825</v>
      </c>
      <c r="P36" s="65">
        <f>Debt!O57</f>
        <v>319.66356812592301</v>
      </c>
      <c r="Q36" s="65">
        <f>Debt!P57</f>
        <v>471.59977994120379</v>
      </c>
      <c r="R36" s="65">
        <f>Debt!Q57</f>
        <v>639.31399207378456</v>
      </c>
      <c r="S36" s="65">
        <f>Debt!R57</f>
        <v>824.74094817822879</v>
      </c>
      <c r="T36" s="65">
        <f>Debt!S57</f>
        <v>1028.9231226536144</v>
      </c>
      <c r="U36" s="65">
        <f>Debt!T57</f>
        <v>1253.889175304336</v>
      </c>
      <c r="V36" s="65">
        <f>Debt!U57</f>
        <v>1501.3199967707569</v>
      </c>
      <c r="W36" s="65">
        <f>Debt!V57</f>
        <v>1773.8350408235437</v>
      </c>
      <c r="X36" s="65">
        <f>Debt!W57</f>
        <v>2073.0036041670132</v>
      </c>
      <c r="Y36" s="65">
        <f>Debt!X57</f>
        <v>2401.6310937856069</v>
      </c>
      <c r="Z36" s="65">
        <f>Debt!Y57</f>
        <v>2762.1135016480507</v>
      </c>
      <c r="AA36" s="65">
        <f>Debt!Z57</f>
        <v>3158.0164677412176</v>
      </c>
      <c r="AB36" s="65">
        <f>Debt!AA57</f>
        <v>3591.6454051176584</v>
      </c>
      <c r="AC36" s="65">
        <f>Debt!AB57</f>
        <v>4066.8836705188587</v>
      </c>
      <c r="AD36" s="65">
        <f>Debt!AC57</f>
        <v>4587.1280295505312</v>
      </c>
      <c r="AE36" s="65">
        <f>Debt!AD57</f>
        <v>5157.2594617299592</v>
      </c>
      <c r="AF36" s="65">
        <f>Debt!AE57</f>
        <v>5780.6244254456906</v>
      </c>
      <c r="AG36" s="65">
        <f>Debt!AF57</f>
        <v>6493.6978414473915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210</v>
      </c>
      <c r="C38" s="124">
        <f>C34-C36</f>
        <v>7832.4576071123174</v>
      </c>
      <c r="D38" s="124">
        <f t="shared" ref="D38:X38" si="5">D34-D36</f>
        <v>6797.2823370278638</v>
      </c>
      <c r="E38" s="124">
        <f t="shared" si="5"/>
        <v>7806.7757700336633</v>
      </c>
      <c r="F38" s="124">
        <f t="shared" si="5"/>
        <v>8745.9920901634869</v>
      </c>
      <c r="G38" s="124">
        <f t="shared" si="5"/>
        <v>9164.9059671392461</v>
      </c>
      <c r="H38" s="124">
        <f t="shared" si="5"/>
        <v>10063.456402691136</v>
      </c>
      <c r="I38" s="124">
        <f t="shared" si="5"/>
        <v>10459.464585003754</v>
      </c>
      <c r="J38" s="124">
        <f t="shared" si="5"/>
        <v>11068.162986143934</v>
      </c>
      <c r="K38" s="124">
        <f t="shared" si="5"/>
        <v>11483.191787392076</v>
      </c>
      <c r="L38" s="124">
        <f t="shared" si="5"/>
        <v>8281.4520910091524</v>
      </c>
      <c r="M38" s="124">
        <f t="shared" si="5"/>
        <v>-5062.3404636687674</v>
      </c>
      <c r="N38" s="124">
        <f t="shared" si="5"/>
        <v>-5153.3255354825196</v>
      </c>
      <c r="O38" s="124">
        <f t="shared" si="5"/>
        <v>-5321.3710484656158</v>
      </c>
      <c r="P38" s="124">
        <f t="shared" si="5"/>
        <v>-5503.9946740090363</v>
      </c>
      <c r="Q38" s="124">
        <f t="shared" si="5"/>
        <v>-5702.7105999770138</v>
      </c>
      <c r="R38" s="124">
        <f t="shared" si="5"/>
        <v>-5918.733183665272</v>
      </c>
      <c r="S38" s="124">
        <f t="shared" si="5"/>
        <v>-6154.0409586798514</v>
      </c>
      <c r="T38" s="124">
        <f t="shared" si="5"/>
        <v>-6409.7214616744459</v>
      </c>
      <c r="U38" s="124">
        <f t="shared" si="5"/>
        <v>-6687.8497243523807</v>
      </c>
      <c r="V38" s="124">
        <f t="shared" si="5"/>
        <v>-6990.1543573421286</v>
      </c>
      <c r="W38" s="124">
        <f t="shared" si="5"/>
        <v>-7286.0539220729697</v>
      </c>
      <c r="X38" s="124">
        <f t="shared" si="5"/>
        <v>-7627.1265846632032</v>
      </c>
      <c r="Y38" s="124">
        <f t="shared" ref="Y38:AG38" si="6">Y34-Y36</f>
        <v>-8016.188091889785</v>
      </c>
      <c r="Z38" s="124">
        <f t="shared" si="6"/>
        <v>-8439.0212890897801</v>
      </c>
      <c r="AA38" s="124">
        <f t="shared" si="6"/>
        <v>-8899.2468943357962</v>
      </c>
      <c r="AB38" s="124">
        <f t="shared" si="6"/>
        <v>-9399.2270026073711</v>
      </c>
      <c r="AC38" s="124">
        <f t="shared" si="6"/>
        <v>-9942.9033035594366</v>
      </c>
      <c r="AD38" s="124">
        <f t="shared" si="6"/>
        <v>-10533.732595237776</v>
      </c>
      <c r="AE38" s="124">
        <f t="shared" si="6"/>
        <v>-11176.657639102959</v>
      </c>
      <c r="AF38" s="124">
        <f t="shared" si="6"/>
        <v>-11875.088476445719</v>
      </c>
      <c r="AG38" s="124">
        <f t="shared" si="6"/>
        <v>-10670.525486523969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5">
        <f>Assumptions!N51</f>
        <v>7.0000000000000007E-2</v>
      </c>
      <c r="C40" s="74">
        <f>-C38*$B$40</f>
        <v>-548.27203249786226</v>
      </c>
      <c r="D40" s="74">
        <f t="shared" ref="D40:AG40" si="7">-D38*$B$40</f>
        <v>-475.80976359195051</v>
      </c>
      <c r="E40" s="74">
        <f t="shared" si="7"/>
        <v>-546.4743039023565</v>
      </c>
      <c r="F40" s="74">
        <f t="shared" si="7"/>
        <v>-612.21944631144413</v>
      </c>
      <c r="G40" s="74">
        <f t="shared" si="7"/>
        <v>-641.54341769974724</v>
      </c>
      <c r="H40" s="74">
        <f t="shared" si="7"/>
        <v>-704.44194818837957</v>
      </c>
      <c r="I40" s="74">
        <f t="shared" si="7"/>
        <v>-732.16252095026289</v>
      </c>
      <c r="J40" s="74">
        <f t="shared" si="7"/>
        <v>-774.77140903007546</v>
      </c>
      <c r="K40" s="74">
        <f t="shared" si="7"/>
        <v>-803.82342511744537</v>
      </c>
      <c r="L40" s="74">
        <f t="shared" si="7"/>
        <v>-579.70164637064067</v>
      </c>
      <c r="M40" s="74">
        <f t="shared" si="7"/>
        <v>354.36383245681373</v>
      </c>
      <c r="N40" s="74">
        <f t="shared" si="7"/>
        <v>360.73278748377641</v>
      </c>
      <c r="O40" s="74">
        <f t="shared" si="7"/>
        <v>372.49597339259316</v>
      </c>
      <c r="P40" s="74">
        <f t="shared" si="7"/>
        <v>385.27962718063259</v>
      </c>
      <c r="Q40" s="74">
        <f t="shared" si="7"/>
        <v>399.18974199839101</v>
      </c>
      <c r="R40" s="74">
        <f t="shared" si="7"/>
        <v>414.31132285656906</v>
      </c>
      <c r="S40" s="74">
        <f t="shared" si="7"/>
        <v>430.78286710758965</v>
      </c>
      <c r="T40" s="74">
        <f t="shared" si="7"/>
        <v>448.68050231721128</v>
      </c>
      <c r="U40" s="74">
        <f t="shared" si="7"/>
        <v>468.1494807046667</v>
      </c>
      <c r="V40" s="74">
        <f t="shared" si="7"/>
        <v>489.31080501394905</v>
      </c>
      <c r="W40" s="74">
        <f t="shared" si="7"/>
        <v>510.02377454510793</v>
      </c>
      <c r="X40" s="74">
        <f t="shared" si="7"/>
        <v>533.89886092642428</v>
      </c>
      <c r="Y40" s="74">
        <f t="shared" si="7"/>
        <v>561.13316643228495</v>
      </c>
      <c r="Z40" s="74">
        <f t="shared" si="7"/>
        <v>590.73149023628469</v>
      </c>
      <c r="AA40" s="74">
        <f t="shared" si="7"/>
        <v>622.94728260350576</v>
      </c>
      <c r="AB40" s="74">
        <f t="shared" si="7"/>
        <v>657.945890182516</v>
      </c>
      <c r="AC40" s="74">
        <f t="shared" si="7"/>
        <v>696.00323124916065</v>
      </c>
      <c r="AD40" s="74">
        <f t="shared" si="7"/>
        <v>737.36128166664435</v>
      </c>
      <c r="AE40" s="74">
        <f t="shared" si="7"/>
        <v>782.3660347372072</v>
      </c>
      <c r="AF40" s="74">
        <f t="shared" si="7"/>
        <v>831.25619335120041</v>
      </c>
      <c r="AG40" s="74">
        <f t="shared" si="7"/>
        <v>746.93678405667788</v>
      </c>
    </row>
    <row r="41" spans="1:33">
      <c r="A41" s="3" t="s">
        <v>52</v>
      </c>
      <c r="B41" s="345">
        <f>Assumptions!N50</f>
        <v>0.35</v>
      </c>
      <c r="C41" s="74">
        <f t="shared" ref="C41:AG41" si="8">(C38+C40)*-$B$41</f>
        <v>-2549.4649511150592</v>
      </c>
      <c r="D41" s="74">
        <f t="shared" si="8"/>
        <v>-2212.5154007025694</v>
      </c>
      <c r="E41" s="74">
        <f t="shared" si="8"/>
        <v>-2541.105513145957</v>
      </c>
      <c r="F41" s="74">
        <f t="shared" si="8"/>
        <v>-2846.8204253482149</v>
      </c>
      <c r="G41" s="74">
        <f t="shared" si="8"/>
        <v>-2983.1768923038244</v>
      </c>
      <c r="H41" s="74">
        <f t="shared" si="8"/>
        <v>-3275.6550590759643</v>
      </c>
      <c r="I41" s="74">
        <f t="shared" si="8"/>
        <v>-3404.5557224187214</v>
      </c>
      <c r="J41" s="74">
        <f t="shared" si="8"/>
        <v>-3602.6870519898503</v>
      </c>
      <c r="K41" s="74">
        <f t="shared" si="8"/>
        <v>-3737.7789267961202</v>
      </c>
      <c r="L41" s="74">
        <f t="shared" si="8"/>
        <v>-2695.612655623479</v>
      </c>
      <c r="M41" s="74">
        <f t="shared" si="8"/>
        <v>1647.7918209241836</v>
      </c>
      <c r="N41" s="74">
        <f t="shared" si="8"/>
        <v>1677.40746179956</v>
      </c>
      <c r="O41" s="74">
        <f t="shared" si="8"/>
        <v>1732.1062762755578</v>
      </c>
      <c r="P41" s="74">
        <f t="shared" si="8"/>
        <v>1791.550266389941</v>
      </c>
      <c r="Q41" s="74">
        <f t="shared" si="8"/>
        <v>1856.2323002925179</v>
      </c>
      <c r="R41" s="74">
        <f t="shared" si="8"/>
        <v>1926.547651283046</v>
      </c>
      <c r="S41" s="74">
        <f t="shared" si="8"/>
        <v>2003.1403320502916</v>
      </c>
      <c r="T41" s="74">
        <f t="shared" si="8"/>
        <v>2086.364335775032</v>
      </c>
      <c r="U41" s="74">
        <f t="shared" si="8"/>
        <v>2176.8950852766998</v>
      </c>
      <c r="V41" s="74">
        <f t="shared" si="8"/>
        <v>2275.2952433148625</v>
      </c>
      <c r="W41" s="74">
        <f t="shared" si="8"/>
        <v>2371.6105516347516</v>
      </c>
      <c r="X41" s="74">
        <f t="shared" si="8"/>
        <v>2482.6297033078727</v>
      </c>
      <c r="Y41" s="74">
        <f t="shared" si="8"/>
        <v>2609.2692239101248</v>
      </c>
      <c r="Z41" s="74">
        <f t="shared" si="8"/>
        <v>2746.9014295987231</v>
      </c>
      <c r="AA41" s="74">
        <f t="shared" si="8"/>
        <v>2896.7048641063016</v>
      </c>
      <c r="AB41" s="74">
        <f t="shared" si="8"/>
        <v>3059.448389348699</v>
      </c>
      <c r="AC41" s="74">
        <f t="shared" si="8"/>
        <v>3236.4150253085963</v>
      </c>
      <c r="AD41" s="74">
        <f t="shared" si="8"/>
        <v>3428.7299597498959</v>
      </c>
      <c r="AE41" s="74">
        <f t="shared" si="8"/>
        <v>3638.0020615280127</v>
      </c>
      <c r="AF41" s="74">
        <f t="shared" si="8"/>
        <v>3865.3412990830811</v>
      </c>
      <c r="AG41" s="74">
        <f t="shared" si="8"/>
        <v>3473.2560458635521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9">
        <f t="shared" ref="C43:AG43" si="9">C38+C40+C41</f>
        <v>4734.7206234993964</v>
      </c>
      <c r="D43" s="369">
        <f t="shared" si="9"/>
        <v>4108.9571727333441</v>
      </c>
      <c r="E43" s="369">
        <f t="shared" si="9"/>
        <v>4719.1959529853493</v>
      </c>
      <c r="F43" s="369">
        <f t="shared" si="9"/>
        <v>5286.9522185038277</v>
      </c>
      <c r="G43" s="369">
        <f t="shared" si="9"/>
        <v>5540.1856571356739</v>
      </c>
      <c r="H43" s="369">
        <f t="shared" si="9"/>
        <v>6083.3593954267917</v>
      </c>
      <c r="I43" s="369">
        <f t="shared" si="9"/>
        <v>6322.7463416347691</v>
      </c>
      <c r="J43" s="369">
        <f t="shared" si="9"/>
        <v>6690.7045251240079</v>
      </c>
      <c r="K43" s="369">
        <f t="shared" si="9"/>
        <v>6941.5894354785105</v>
      </c>
      <c r="L43" s="369">
        <f t="shared" si="9"/>
        <v>5006.1377890150325</v>
      </c>
      <c r="M43" s="369">
        <f t="shared" si="9"/>
        <v>-3060.1848102877702</v>
      </c>
      <c r="N43" s="369">
        <f t="shared" si="9"/>
        <v>-3115.1852861991829</v>
      </c>
      <c r="O43" s="369">
        <f t="shared" si="9"/>
        <v>-3216.7687987974646</v>
      </c>
      <c r="P43" s="369">
        <f t="shared" si="9"/>
        <v>-3327.1647804384625</v>
      </c>
      <c r="Q43" s="369">
        <f t="shared" si="9"/>
        <v>-3447.2885576861054</v>
      </c>
      <c r="R43" s="369">
        <f t="shared" si="9"/>
        <v>-3577.8742095256571</v>
      </c>
      <c r="S43" s="369">
        <f t="shared" si="9"/>
        <v>-3720.1177595219706</v>
      </c>
      <c r="T43" s="369">
        <f t="shared" si="9"/>
        <v>-3874.6766235822029</v>
      </c>
      <c r="U43" s="369">
        <f t="shared" si="9"/>
        <v>-4042.8051583710144</v>
      </c>
      <c r="V43" s="369">
        <f t="shared" si="9"/>
        <v>-4225.5483090133166</v>
      </c>
      <c r="W43" s="369">
        <f t="shared" si="9"/>
        <v>-4404.4195958931105</v>
      </c>
      <c r="X43" s="369">
        <f t="shared" si="9"/>
        <v>-4610.5980204289062</v>
      </c>
      <c r="Y43" s="369">
        <f t="shared" si="9"/>
        <v>-4845.7857015473746</v>
      </c>
      <c r="Z43" s="369">
        <f t="shared" si="9"/>
        <v>-5101.3883692547715</v>
      </c>
      <c r="AA43" s="369">
        <f t="shared" si="9"/>
        <v>-5379.5947476259898</v>
      </c>
      <c r="AB43" s="369">
        <f t="shared" si="9"/>
        <v>-5681.8327230761552</v>
      </c>
      <c r="AC43" s="369">
        <f t="shared" si="9"/>
        <v>-6010.48504700168</v>
      </c>
      <c r="AD43" s="369">
        <f t="shared" si="9"/>
        <v>-6367.6413538212355</v>
      </c>
      <c r="AE43" s="369">
        <f t="shared" si="9"/>
        <v>-6756.2895428377387</v>
      </c>
      <c r="AF43" s="369">
        <f t="shared" si="9"/>
        <v>-7178.4909840114369</v>
      </c>
      <c r="AG43" s="369">
        <f t="shared" si="9"/>
        <v>-6450.3326566037395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</row>
    <row r="48" spans="1:33">
      <c r="A48" s="11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0"/>
    </row>
    <row r="49" spans="3:7">
      <c r="C49" s="370"/>
      <c r="D49" s="370"/>
      <c r="E49" s="370"/>
      <c r="F49" s="370"/>
      <c r="G49" s="370"/>
    </row>
    <row r="50" spans="3:7">
      <c r="C50" s="6"/>
      <c r="D50" s="6"/>
      <c r="E50" s="6"/>
      <c r="F50" s="6"/>
      <c r="G50" s="6"/>
    </row>
    <row r="51" spans="3:7">
      <c r="C51" s="370"/>
      <c r="D51" s="370"/>
      <c r="E51" s="370"/>
      <c r="F51" s="370"/>
      <c r="G51" s="370"/>
    </row>
    <row r="52" spans="3:7">
      <c r="C52" s="370"/>
      <c r="D52" s="370"/>
      <c r="E52" s="370"/>
      <c r="F52" s="370"/>
      <c r="G52" s="370"/>
    </row>
    <row r="53" spans="3:7">
      <c r="C53" s="370"/>
      <c r="D53" s="370"/>
      <c r="E53" s="370"/>
      <c r="F53" s="370"/>
      <c r="G53" s="370"/>
    </row>
    <row r="54" spans="3:7">
      <c r="C54" s="370"/>
      <c r="D54" s="370"/>
      <c r="E54" s="370"/>
      <c r="F54" s="370"/>
      <c r="G54" s="370"/>
    </row>
    <row r="55" spans="3:7">
      <c r="C55" s="370"/>
      <c r="D55" s="370"/>
      <c r="E55" s="370"/>
      <c r="F55" s="370"/>
      <c r="G55" s="370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71"/>
      <c r="D58" s="371"/>
      <c r="E58" s="371"/>
      <c r="F58" s="371"/>
      <c r="G58" s="6"/>
    </row>
    <row r="59" spans="3:7">
      <c r="C59" s="6"/>
      <c r="D59" s="6"/>
      <c r="E59" s="6"/>
      <c r="F59" s="6"/>
      <c r="G59" s="6"/>
    </row>
    <row r="60" spans="3:7">
      <c r="C60" s="371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136</v>
      </c>
      <c r="B4" s="8"/>
      <c r="C4" s="8"/>
    </row>
    <row r="6" spans="1:60">
      <c r="C6" s="315">
        <v>0</v>
      </c>
      <c r="D6" s="209">
        <f>'Price_Technical Assumption'!D7</f>
        <v>0.66666666666666663</v>
      </c>
      <c r="E6" s="209">
        <f>'Price_Technical Assumption'!E7</f>
        <v>1.6666666666666665</v>
      </c>
      <c r="F6" s="209">
        <f>'Price_Technical Assumption'!F7</f>
        <v>2.6666666666666665</v>
      </c>
      <c r="G6" s="209">
        <f>'Price_Technical Assumption'!G7</f>
        <v>3.6666666666666665</v>
      </c>
      <c r="H6" s="209">
        <f>'Price_Technical Assumption'!H7</f>
        <v>4.6666666666666661</v>
      </c>
      <c r="I6" s="209">
        <f>'Price_Technical Assumption'!I7</f>
        <v>5.6666666666666661</v>
      </c>
      <c r="J6" s="209">
        <f>'Price_Technical Assumption'!J7</f>
        <v>6.6666666666666661</v>
      </c>
      <c r="K6" s="209">
        <f>'Price_Technical Assumption'!K7</f>
        <v>7.6666666666666661</v>
      </c>
      <c r="L6" s="209">
        <f>'Price_Technical Assumption'!L7</f>
        <v>8.6666666666666661</v>
      </c>
      <c r="M6" s="209">
        <f>'Price_Technical Assumption'!M7</f>
        <v>9.6666666666666661</v>
      </c>
      <c r="N6" s="209">
        <f>'Price_Technical Assumption'!N7</f>
        <v>10.666666666666666</v>
      </c>
      <c r="O6" s="209">
        <f>'Price_Technical Assumption'!O7</f>
        <v>11.666666666666666</v>
      </c>
      <c r="P6" s="209">
        <f>'Price_Technical Assumption'!P7</f>
        <v>12.666666666666666</v>
      </c>
      <c r="Q6" s="209">
        <f>'Price_Technical Assumption'!Q7</f>
        <v>13.666666666666666</v>
      </c>
      <c r="R6" s="209">
        <f>'Price_Technical Assumption'!R7</f>
        <v>14.666666666666666</v>
      </c>
      <c r="S6" s="209">
        <f>'Price_Technical Assumption'!S7</f>
        <v>15.666666666666666</v>
      </c>
      <c r="T6" s="209">
        <f>'Price_Technical Assumption'!T7</f>
        <v>16.666666666666664</v>
      </c>
      <c r="U6" s="209">
        <f>'Price_Technical Assumption'!U7</f>
        <v>17.666666666666664</v>
      </c>
      <c r="V6" s="209">
        <f>'Price_Technical Assumption'!V7</f>
        <v>18.666666666666664</v>
      </c>
      <c r="W6" s="209">
        <f>'Price_Technical Assumption'!W7</f>
        <v>19.666666666666664</v>
      </c>
      <c r="X6" s="209">
        <f>'Price_Technical Assumption'!X7</f>
        <v>20.666666666666664</v>
      </c>
      <c r="Y6" s="209">
        <f>'Price_Technical Assumption'!Y7</f>
        <v>21.666666666666664</v>
      </c>
      <c r="Z6" s="209">
        <f>'Price_Technical Assumption'!Z7</f>
        <v>22.666666666666664</v>
      </c>
      <c r="AA6" s="209">
        <f>'Price_Technical Assumption'!AA7</f>
        <v>23.666666666666664</v>
      </c>
      <c r="AB6" s="209">
        <f>'Price_Technical Assumption'!AB7</f>
        <v>24.666666666666664</v>
      </c>
      <c r="AC6" s="209">
        <f>'Price_Technical Assumption'!AC7</f>
        <v>25.666666666666664</v>
      </c>
      <c r="AD6" s="209">
        <f>'Price_Technical Assumption'!AD7</f>
        <v>26.666666666666664</v>
      </c>
      <c r="AE6" s="209">
        <f>'Price_Technical Assumption'!AE7</f>
        <v>27.666666666666664</v>
      </c>
      <c r="AF6" s="209">
        <f>'Price_Technical Assumption'!AF7</f>
        <v>28.666666666666664</v>
      </c>
      <c r="AG6" s="209">
        <f>'Price_Technical Assumption'!AG7</f>
        <v>29.666666666666664</v>
      </c>
      <c r="AH6" s="209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6" t="s">
        <v>252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7"/>
      <c r="D8" s="210">
        <f>Assumptions!H17+365.25*Assumptions!H18/12</f>
        <v>37255.5</v>
      </c>
      <c r="E8" s="210">
        <f t="shared" ref="E8:AH8" si="0">D8+365.25</f>
        <v>37620.75</v>
      </c>
      <c r="F8" s="210">
        <f t="shared" si="0"/>
        <v>37986</v>
      </c>
      <c r="G8" s="210">
        <f t="shared" si="0"/>
        <v>38351.25</v>
      </c>
      <c r="H8" s="210">
        <f t="shared" si="0"/>
        <v>38716.5</v>
      </c>
      <c r="I8" s="210">
        <f t="shared" si="0"/>
        <v>39081.75</v>
      </c>
      <c r="J8" s="210">
        <f t="shared" si="0"/>
        <v>39447</v>
      </c>
      <c r="K8" s="210">
        <f t="shared" si="0"/>
        <v>39812.25</v>
      </c>
      <c r="L8" s="210">
        <f t="shared" si="0"/>
        <v>40177.5</v>
      </c>
      <c r="M8" s="210">
        <f t="shared" si="0"/>
        <v>40542.75</v>
      </c>
      <c r="N8" s="210">
        <f t="shared" si="0"/>
        <v>40908</v>
      </c>
      <c r="O8" s="210">
        <f t="shared" si="0"/>
        <v>41273.25</v>
      </c>
      <c r="P8" s="210">
        <f t="shared" si="0"/>
        <v>41638.5</v>
      </c>
      <c r="Q8" s="210">
        <f t="shared" si="0"/>
        <v>42003.75</v>
      </c>
      <c r="R8" s="210">
        <f t="shared" si="0"/>
        <v>42369</v>
      </c>
      <c r="S8" s="210">
        <f t="shared" si="0"/>
        <v>42734.25</v>
      </c>
      <c r="T8" s="210">
        <f t="shared" si="0"/>
        <v>43099.5</v>
      </c>
      <c r="U8" s="210">
        <f t="shared" si="0"/>
        <v>43464.75</v>
      </c>
      <c r="V8" s="210">
        <f t="shared" si="0"/>
        <v>43830</v>
      </c>
      <c r="W8" s="210">
        <f t="shared" si="0"/>
        <v>44195.25</v>
      </c>
      <c r="X8" s="210">
        <f t="shared" si="0"/>
        <v>44560.5</v>
      </c>
      <c r="Y8" s="210">
        <f t="shared" si="0"/>
        <v>44925.75</v>
      </c>
      <c r="Z8" s="210">
        <f t="shared" si="0"/>
        <v>45291</v>
      </c>
      <c r="AA8" s="210">
        <f t="shared" si="0"/>
        <v>45656.25</v>
      </c>
      <c r="AB8" s="210">
        <f t="shared" si="0"/>
        <v>46021.5</v>
      </c>
      <c r="AC8" s="210">
        <f t="shared" si="0"/>
        <v>46386.75</v>
      </c>
      <c r="AD8" s="210">
        <f t="shared" si="0"/>
        <v>46752</v>
      </c>
      <c r="AE8" s="210">
        <f t="shared" si="0"/>
        <v>47117.25</v>
      </c>
      <c r="AF8" s="210">
        <f t="shared" si="0"/>
        <v>47482.5</v>
      </c>
      <c r="AG8" s="210">
        <f t="shared" si="0"/>
        <v>47847.75</v>
      </c>
      <c r="AH8" s="210">
        <f t="shared" si="0"/>
        <v>48213</v>
      </c>
    </row>
    <row r="9" spans="1:60">
      <c r="A9" s="1" t="s">
        <v>137</v>
      </c>
      <c r="B9" s="12"/>
      <c r="C9" s="318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8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138</v>
      </c>
      <c r="B11" s="12"/>
      <c r="C11" s="319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</row>
    <row r="12" spans="1:60">
      <c r="A12" s="23" t="s">
        <v>139</v>
      </c>
      <c r="B12" s="12"/>
      <c r="C12" s="319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/>
      <c r="AY12" s="308"/>
      <c r="AZ12" s="308"/>
      <c r="BA12" s="308"/>
      <c r="BB12" s="308"/>
      <c r="BC12" s="308"/>
      <c r="BD12" s="308"/>
      <c r="BE12" s="308"/>
      <c r="BF12" s="308"/>
      <c r="BG12" s="308"/>
      <c r="BH12" s="308"/>
    </row>
    <row r="13" spans="1:60">
      <c r="A13" s="23" t="s">
        <v>140</v>
      </c>
      <c r="B13" s="12"/>
      <c r="C13" s="319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</row>
    <row r="14" spans="1:60">
      <c r="A14" s="23" t="s">
        <v>141</v>
      </c>
      <c r="B14" s="12"/>
      <c r="C14" s="319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/>
      <c r="AY14" s="308"/>
      <c r="AZ14" s="308"/>
      <c r="BA14" s="308"/>
      <c r="BB14" s="308"/>
      <c r="BC14" s="308"/>
      <c r="BD14" s="308"/>
      <c r="BE14" s="308"/>
      <c r="BF14" s="308"/>
      <c r="BG14" s="308"/>
      <c r="BH14" s="308"/>
    </row>
    <row r="15" spans="1:60">
      <c r="A15" s="307" t="s">
        <v>142</v>
      </c>
      <c r="B15" s="58"/>
      <c r="C15" s="320">
        <v>0</v>
      </c>
      <c r="D15" s="307">
        <v>0</v>
      </c>
      <c r="E15" s="307">
        <v>0</v>
      </c>
      <c r="F15" s="307">
        <v>0</v>
      </c>
      <c r="G15" s="307">
        <v>0</v>
      </c>
      <c r="H15" s="307">
        <v>0</v>
      </c>
      <c r="I15" s="307">
        <v>0</v>
      </c>
      <c r="J15" s="307">
        <v>0</v>
      </c>
      <c r="K15" s="307">
        <v>0</v>
      </c>
      <c r="L15" s="307">
        <v>0</v>
      </c>
      <c r="M15" s="307">
        <v>0</v>
      </c>
      <c r="N15" s="307">
        <v>0</v>
      </c>
      <c r="O15" s="307">
        <v>0</v>
      </c>
      <c r="P15" s="307">
        <v>0</v>
      </c>
      <c r="Q15" s="307">
        <v>0</v>
      </c>
      <c r="R15" s="307">
        <v>0</v>
      </c>
      <c r="S15" s="307">
        <v>0</v>
      </c>
      <c r="T15" s="307">
        <v>0</v>
      </c>
      <c r="U15" s="307">
        <v>0</v>
      </c>
      <c r="V15" s="307">
        <v>0</v>
      </c>
      <c r="W15" s="307">
        <v>0</v>
      </c>
      <c r="X15" s="307">
        <v>0</v>
      </c>
      <c r="Y15" s="307">
        <v>0</v>
      </c>
      <c r="Z15" s="307">
        <v>0</v>
      </c>
      <c r="AA15" s="307">
        <v>0</v>
      </c>
      <c r="AB15" s="307">
        <v>0</v>
      </c>
      <c r="AC15" s="307">
        <v>0</v>
      </c>
      <c r="AD15" s="307">
        <v>0</v>
      </c>
      <c r="AE15" s="307">
        <v>0</v>
      </c>
      <c r="AF15" s="307">
        <v>0</v>
      </c>
      <c r="AG15" s="307">
        <v>0</v>
      </c>
      <c r="AH15" s="307">
        <v>0</v>
      </c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/>
      <c r="AY15" s="308"/>
      <c r="AZ15" s="308"/>
      <c r="BA15" s="308"/>
      <c r="BB15" s="308"/>
      <c r="BC15" s="308"/>
      <c r="BD15" s="308"/>
      <c r="BE15" s="308"/>
      <c r="BF15" s="308"/>
      <c r="BG15" s="308"/>
      <c r="BH15" s="308"/>
    </row>
    <row r="16" spans="1:60">
      <c r="A16" s="23" t="s">
        <v>143</v>
      </c>
      <c r="B16" s="12"/>
      <c r="C16" s="319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/>
      <c r="AY16" s="308"/>
      <c r="AZ16" s="308"/>
      <c r="BA16" s="308"/>
      <c r="BB16" s="308"/>
      <c r="BC16" s="308"/>
      <c r="BD16" s="308"/>
      <c r="BE16" s="308"/>
      <c r="BF16" s="308"/>
      <c r="BG16" s="308"/>
      <c r="BH16" s="308"/>
    </row>
    <row r="17" spans="1:60">
      <c r="A17" s="13"/>
      <c r="B17" s="12"/>
      <c r="C17" s="319"/>
      <c r="D17" s="18"/>
      <c r="E17" s="18"/>
      <c r="F17" s="308"/>
      <c r="G17" s="308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308"/>
      <c r="T17" s="308"/>
      <c r="U17" s="308"/>
      <c r="V17" s="308"/>
      <c r="W17" s="308"/>
      <c r="X17" s="308"/>
      <c r="Y17" s="308"/>
      <c r="Z17" s="150"/>
      <c r="AA17" s="150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/>
      <c r="AY17" s="308"/>
      <c r="AZ17" s="308"/>
      <c r="BA17" s="308"/>
      <c r="BB17" s="308"/>
      <c r="BC17" s="308"/>
      <c r="BD17" s="308"/>
      <c r="BE17" s="308"/>
      <c r="BF17" s="308"/>
      <c r="BG17" s="308"/>
      <c r="BH17" s="308"/>
    </row>
    <row r="18" spans="1:60">
      <c r="A18" s="23" t="s">
        <v>144</v>
      </c>
      <c r="B18" s="12"/>
      <c r="C18" s="319">
        <f>Assumptions!C58</f>
        <v>104725.92392639755</v>
      </c>
      <c r="D18" s="18">
        <f>Depreciation!$B$48</f>
        <v>104725.92392639755</v>
      </c>
      <c r="E18" s="18">
        <f>Depreciation!$B$48</f>
        <v>104725.92392639755</v>
      </c>
      <c r="F18" s="18">
        <f>Depreciation!$B$48</f>
        <v>104725.92392639755</v>
      </c>
      <c r="G18" s="18">
        <f>Depreciation!$B$48</f>
        <v>104725.92392639755</v>
      </c>
      <c r="H18" s="18">
        <f>Depreciation!$B$48</f>
        <v>104725.92392639755</v>
      </c>
      <c r="I18" s="18">
        <f>Depreciation!$B$48</f>
        <v>104725.92392639755</v>
      </c>
      <c r="J18" s="18">
        <f>Depreciation!$B$48</f>
        <v>104725.92392639755</v>
      </c>
      <c r="K18" s="18">
        <f>Depreciation!$B$48</f>
        <v>104725.92392639755</v>
      </c>
      <c r="L18" s="18">
        <f>Depreciation!$B$48</f>
        <v>104725.92392639755</v>
      </c>
      <c r="M18" s="18">
        <f>Depreciation!$B$48</f>
        <v>104725.92392639755</v>
      </c>
      <c r="N18" s="18">
        <f>Depreciation!$B$48</f>
        <v>104725.92392639755</v>
      </c>
      <c r="O18" s="18">
        <f>Depreciation!$B$48</f>
        <v>104725.92392639755</v>
      </c>
      <c r="P18" s="18">
        <f>Depreciation!$B$48</f>
        <v>104725.92392639755</v>
      </c>
      <c r="Q18" s="18">
        <f>Depreciation!$B$48</f>
        <v>104725.92392639755</v>
      </c>
      <c r="R18" s="18">
        <f>Depreciation!$B$48</f>
        <v>104725.92392639755</v>
      </c>
      <c r="S18" s="18">
        <f>Depreciation!$B$48</f>
        <v>104725.92392639755</v>
      </c>
      <c r="T18" s="18">
        <f>Depreciation!$B$48</f>
        <v>104725.92392639755</v>
      </c>
      <c r="U18" s="18">
        <f>Depreciation!$B$48</f>
        <v>104725.92392639755</v>
      </c>
      <c r="V18" s="18">
        <f>Depreciation!$B$48</f>
        <v>104725.92392639755</v>
      </c>
      <c r="W18" s="18">
        <f>Depreciation!$B$48</f>
        <v>104725.92392639755</v>
      </c>
      <c r="X18" s="18">
        <f>Depreciation!$B$48</f>
        <v>104725.92392639755</v>
      </c>
      <c r="Y18" s="18">
        <f>Depreciation!$B$48</f>
        <v>104725.92392639755</v>
      </c>
      <c r="Z18" s="18">
        <f>Depreciation!$B$48</f>
        <v>104725.92392639755</v>
      </c>
      <c r="AA18" s="18">
        <f>Depreciation!$B$48</f>
        <v>104725.92392639755</v>
      </c>
      <c r="AB18" s="18">
        <f>Depreciation!$B$48</f>
        <v>104725.92392639755</v>
      </c>
      <c r="AC18" s="18">
        <f>Depreciation!$B$48</f>
        <v>104725.92392639755</v>
      </c>
      <c r="AD18" s="18">
        <f>Depreciation!$B$48</f>
        <v>104725.92392639755</v>
      </c>
      <c r="AE18" s="18">
        <f>Depreciation!$B$48</f>
        <v>104725.92392639755</v>
      </c>
      <c r="AF18" s="18">
        <f>Depreciation!$B$48</f>
        <v>104725.92392639755</v>
      </c>
      <c r="AG18" s="18">
        <f>Depreciation!$B$48</f>
        <v>104725.92392639755</v>
      </c>
      <c r="AH18" s="18">
        <f>Depreciation!$B$48</f>
        <v>104725.92392639755</v>
      </c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</row>
    <row r="19" spans="1:60">
      <c r="A19" s="23" t="s">
        <v>145</v>
      </c>
      <c r="B19" s="13"/>
      <c r="C19" s="321">
        <v>0</v>
      </c>
      <c r="D19" s="309">
        <f>SUM(Depreciation!$D$48:D48)</f>
        <v>2529.896078527951</v>
      </c>
      <c r="E19" s="309">
        <f>SUM(Depreciation!$D$48:E48)</f>
        <v>6324.7401963198772</v>
      </c>
      <c r="F19" s="309">
        <f>SUM(Depreciation!$D$48:F48)</f>
        <v>10119.584314111804</v>
      </c>
      <c r="G19" s="309">
        <f>SUM(Depreciation!$D$48:G48)</f>
        <v>13914.428431903731</v>
      </c>
      <c r="H19" s="309">
        <f>SUM(Depreciation!$D$48:H48)</f>
        <v>17709.272549695655</v>
      </c>
      <c r="I19" s="309">
        <f>SUM(Depreciation!$D$48:I48)</f>
        <v>21007.594000820915</v>
      </c>
      <c r="J19" s="309">
        <f>SUM(Depreciation!$D$48:J48)</f>
        <v>24057.654118612842</v>
      </c>
      <c r="K19" s="309">
        <f>SUM(Depreciation!$D$48:K48)</f>
        <v>27107.714236404769</v>
      </c>
      <c r="L19" s="309">
        <f>SUM(Depreciation!$D$48:L48)</f>
        <v>30157.774354196696</v>
      </c>
      <c r="M19" s="309">
        <f>SUM(Depreciation!$D$48:M48)</f>
        <v>33207.834471988623</v>
      </c>
      <c r="N19" s="309">
        <f>SUM(Depreciation!$D$48:N48)</f>
        <v>36257.894589780546</v>
      </c>
      <c r="O19" s="309">
        <f>SUM(Depreciation!$D$48:O48)</f>
        <v>39307.954707572469</v>
      </c>
      <c r="P19" s="309">
        <f>SUM(Depreciation!$D$48:P48)</f>
        <v>42358.014825364393</v>
      </c>
      <c r="Q19" s="309">
        <f>SUM(Depreciation!$D$48:Q48)</f>
        <v>45408.074943156316</v>
      </c>
      <c r="R19" s="309">
        <f>SUM(Depreciation!$D$48:R48)</f>
        <v>48458.13506094824</v>
      </c>
      <c r="S19" s="309">
        <f>SUM(Depreciation!$D$48:S48)</f>
        <v>51508.195178740163</v>
      </c>
      <c r="T19" s="309">
        <f>SUM(Depreciation!$D$48:T48)</f>
        <v>54558.255296532087</v>
      </c>
      <c r="U19" s="309">
        <f>SUM(Depreciation!$D$48:U48)</f>
        <v>57608.31541432401</v>
      </c>
      <c r="V19" s="309">
        <f>SUM(Depreciation!$D$48:V48)</f>
        <v>60658.375532115933</v>
      </c>
      <c r="W19" s="309">
        <f>SUM(Depreciation!$D$48:W48)</f>
        <v>63708.435649907857</v>
      </c>
      <c r="X19" s="309">
        <f>SUM(Depreciation!$D$48:X48)</f>
        <v>66725.162434366444</v>
      </c>
      <c r="Y19" s="309">
        <f>SUM(Depreciation!$D$48:Y48)</f>
        <v>69725.222552158375</v>
      </c>
      <c r="Z19" s="309">
        <f>SUM(Depreciation!$D$48:Z48)</f>
        <v>72725.282669950306</v>
      </c>
      <c r="AA19" s="309">
        <f>SUM(Depreciation!$D$48:AA48)</f>
        <v>75725.342787742236</v>
      </c>
      <c r="AB19" s="309">
        <f>SUM(Depreciation!$D$48:AB48)</f>
        <v>78725.402905534167</v>
      </c>
      <c r="AC19" s="309">
        <f>SUM(Depreciation!$D$48:AC48)</f>
        <v>81725.463023326098</v>
      </c>
      <c r="AD19" s="309">
        <f>SUM(Depreciation!$D$48:AD48)</f>
        <v>84725.523141118028</v>
      </c>
      <c r="AE19" s="309">
        <f>SUM(Depreciation!$D$48:AE48)</f>
        <v>87725.583258909959</v>
      </c>
      <c r="AF19" s="309">
        <f>SUM(Depreciation!$D$48:AF48)</f>
        <v>90725.64337670189</v>
      </c>
      <c r="AG19" s="309">
        <f>SUM(Depreciation!$D$48:AG48)</f>
        <v>93725.70349449382</v>
      </c>
      <c r="AH19" s="309">
        <f>SUM(Depreciation!$D$48:AH48)</f>
        <v>94725.723533757802</v>
      </c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/>
      <c r="AY19" s="308"/>
      <c r="AZ19" s="308"/>
      <c r="BA19" s="308"/>
      <c r="BB19" s="308"/>
      <c r="BC19" s="308"/>
      <c r="BD19" s="308"/>
      <c r="BE19" s="308"/>
      <c r="BF19" s="308"/>
      <c r="BG19" s="308"/>
      <c r="BH19" s="308"/>
    </row>
    <row r="20" spans="1:60">
      <c r="A20" s="23" t="s">
        <v>146</v>
      </c>
      <c r="B20" s="13"/>
      <c r="C20" s="322">
        <f>C18-C19</f>
        <v>104725.92392639755</v>
      </c>
      <c r="D20" s="23">
        <f>D18-D19</f>
        <v>102196.0278478696</v>
      </c>
      <c r="E20" s="23">
        <f t="shared" ref="E20:AH20" si="2">E18-E19</f>
        <v>98401.183730077668</v>
      </c>
      <c r="F20" s="23">
        <f t="shared" si="2"/>
        <v>94606.339612285738</v>
      </c>
      <c r="G20" s="23">
        <f t="shared" si="2"/>
        <v>90811.495494493822</v>
      </c>
      <c r="H20" s="23">
        <f t="shared" si="2"/>
        <v>87016.651376701891</v>
      </c>
      <c r="I20" s="23">
        <f t="shared" si="2"/>
        <v>83718.329925576632</v>
      </c>
      <c r="J20" s="23">
        <f t="shared" si="2"/>
        <v>80668.269807784702</v>
      </c>
      <c r="K20" s="23">
        <f t="shared" si="2"/>
        <v>77618.209689992771</v>
      </c>
      <c r="L20" s="23">
        <f t="shared" si="2"/>
        <v>74568.149572200855</v>
      </c>
      <c r="M20" s="23">
        <f t="shared" si="2"/>
        <v>71518.089454408924</v>
      </c>
      <c r="N20" s="23">
        <f t="shared" si="2"/>
        <v>68468.029336617008</v>
      </c>
      <c r="O20" s="23">
        <f t="shared" si="2"/>
        <v>65417.969218825077</v>
      </c>
      <c r="P20" s="23">
        <f t="shared" si="2"/>
        <v>62367.909101033154</v>
      </c>
      <c r="Q20" s="23">
        <f t="shared" si="2"/>
        <v>59317.848983241231</v>
      </c>
      <c r="R20" s="23">
        <f t="shared" si="2"/>
        <v>56267.788865449307</v>
      </c>
      <c r="S20" s="23">
        <f t="shared" si="2"/>
        <v>53217.728747657384</v>
      </c>
      <c r="T20" s="23">
        <f t="shared" si="2"/>
        <v>50167.66862986546</v>
      </c>
      <c r="U20" s="23">
        <f t="shared" si="2"/>
        <v>47117.608512073537</v>
      </c>
      <c r="V20" s="23">
        <f t="shared" si="2"/>
        <v>44067.548394281614</v>
      </c>
      <c r="W20" s="23">
        <f t="shared" si="2"/>
        <v>41017.48827648969</v>
      </c>
      <c r="X20" s="23">
        <f t="shared" si="2"/>
        <v>38000.761492031103</v>
      </c>
      <c r="Y20" s="23">
        <f t="shared" si="2"/>
        <v>35000.701374239172</v>
      </c>
      <c r="Z20" s="23">
        <f t="shared" si="2"/>
        <v>32000.641256447241</v>
      </c>
      <c r="AA20" s="23">
        <f t="shared" si="2"/>
        <v>29000.58113865531</v>
      </c>
      <c r="AB20" s="23">
        <f t="shared" si="2"/>
        <v>26000.52102086338</v>
      </c>
      <c r="AC20" s="23">
        <f t="shared" si="2"/>
        <v>23000.460903071449</v>
      </c>
      <c r="AD20" s="23">
        <f t="shared" si="2"/>
        <v>20000.400785279518</v>
      </c>
      <c r="AE20" s="23">
        <f t="shared" si="2"/>
        <v>17000.340667487588</v>
      </c>
      <c r="AF20" s="23">
        <f t="shared" si="2"/>
        <v>14000.280549695657</v>
      </c>
      <c r="AG20" s="23">
        <f t="shared" si="2"/>
        <v>11000.220431903726</v>
      </c>
      <c r="AH20" s="23">
        <f t="shared" si="2"/>
        <v>10000.200392639745</v>
      </c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/>
      <c r="AY20" s="308"/>
      <c r="AZ20" s="308"/>
      <c r="BA20" s="308"/>
      <c r="BB20" s="308"/>
      <c r="BC20" s="308"/>
      <c r="BD20" s="308"/>
      <c r="BE20" s="308"/>
      <c r="BF20" s="308"/>
      <c r="BG20" s="308"/>
      <c r="BH20" s="308"/>
    </row>
    <row r="21" spans="1:60">
      <c r="A21" s="23"/>
      <c r="B21" s="13"/>
      <c r="C21" s="322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8"/>
      <c r="AJ21" s="308"/>
      <c r="AK21" s="308"/>
      <c r="AL21" s="308"/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</row>
    <row r="22" spans="1:60">
      <c r="A22" s="23" t="s">
        <v>147</v>
      </c>
      <c r="B22" s="13"/>
      <c r="C22" s="319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8"/>
      <c r="AJ22" s="308"/>
      <c r="AK22" s="308"/>
      <c r="AL22" s="308"/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308"/>
      <c r="BD22" s="308"/>
      <c r="BE22" s="308"/>
      <c r="BF22" s="308"/>
      <c r="BG22" s="308"/>
      <c r="BH22" s="308"/>
    </row>
    <row r="23" spans="1:60">
      <c r="A23" s="23" t="s">
        <v>148</v>
      </c>
      <c r="B23" s="13"/>
      <c r="C23" s="323">
        <v>0</v>
      </c>
      <c r="D23" s="310">
        <v>0</v>
      </c>
      <c r="E23" s="310">
        <v>0</v>
      </c>
      <c r="F23" s="310">
        <v>0</v>
      </c>
      <c r="G23" s="310">
        <v>0</v>
      </c>
      <c r="H23" s="310">
        <v>0</v>
      </c>
      <c r="I23" s="310">
        <v>0</v>
      </c>
      <c r="J23" s="310">
        <v>0</v>
      </c>
      <c r="K23" s="310">
        <v>0</v>
      </c>
      <c r="L23" s="310">
        <v>0</v>
      </c>
      <c r="M23" s="310">
        <v>0</v>
      </c>
      <c r="N23" s="310">
        <v>0</v>
      </c>
      <c r="O23" s="310">
        <v>0</v>
      </c>
      <c r="P23" s="310">
        <v>0</v>
      </c>
      <c r="Q23" s="310">
        <v>0</v>
      </c>
      <c r="R23" s="310">
        <v>0</v>
      </c>
      <c r="S23" s="310">
        <v>0</v>
      </c>
      <c r="T23" s="310">
        <v>0</v>
      </c>
      <c r="U23" s="310">
        <v>0</v>
      </c>
      <c r="V23" s="310">
        <v>0</v>
      </c>
      <c r="W23" s="310">
        <v>0</v>
      </c>
      <c r="X23" s="310">
        <v>0</v>
      </c>
      <c r="Y23" s="310">
        <v>0</v>
      </c>
      <c r="Z23" s="310">
        <v>0</v>
      </c>
      <c r="AA23" s="310">
        <v>0</v>
      </c>
      <c r="AB23" s="310">
        <v>0</v>
      </c>
      <c r="AC23" s="310">
        <v>0</v>
      </c>
      <c r="AD23" s="310">
        <v>0</v>
      </c>
      <c r="AE23" s="310">
        <v>0</v>
      </c>
      <c r="AF23" s="310">
        <v>0</v>
      </c>
      <c r="AG23" s="310">
        <v>0</v>
      </c>
      <c r="AH23" s="310">
        <v>0</v>
      </c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</row>
    <row r="24" spans="1:60">
      <c r="A24" s="13"/>
      <c r="B24" s="13"/>
      <c r="C24" s="322"/>
      <c r="D24" s="23"/>
      <c r="E24" s="23"/>
      <c r="F24" s="311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150"/>
      <c r="AA24" s="150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/>
      <c r="AY24" s="308"/>
      <c r="AZ24" s="308"/>
      <c r="BA24" s="308"/>
      <c r="BB24" s="308"/>
      <c r="BC24" s="308"/>
      <c r="BD24" s="308"/>
      <c r="BE24" s="308"/>
      <c r="BF24" s="308"/>
      <c r="BG24" s="308"/>
      <c r="BH24" s="308"/>
    </row>
    <row r="25" spans="1:60">
      <c r="A25" s="134" t="s">
        <v>149</v>
      </c>
      <c r="B25" s="13"/>
      <c r="C25" s="322">
        <f>SUM(C16,C20,C22,C23)</f>
        <v>104725.92392639755</v>
      </c>
      <c r="D25" s="23">
        <f>SUM(D16,D20,D22,D23)</f>
        <v>102196.0278478696</v>
      </c>
      <c r="E25" s="23">
        <f t="shared" ref="E25:AH25" si="3">SUM(E16,E20,E22,E23)</f>
        <v>98401.183730077668</v>
      </c>
      <c r="F25" s="23">
        <f t="shared" si="3"/>
        <v>94606.339612285738</v>
      </c>
      <c r="G25" s="23">
        <f t="shared" si="3"/>
        <v>90811.495494493822</v>
      </c>
      <c r="H25" s="23">
        <f t="shared" si="3"/>
        <v>87016.651376701891</v>
      </c>
      <c r="I25" s="23">
        <f t="shared" si="3"/>
        <v>83718.329925576632</v>
      </c>
      <c r="J25" s="23">
        <f t="shared" si="3"/>
        <v>80668.269807784702</v>
      </c>
      <c r="K25" s="23">
        <f t="shared" si="3"/>
        <v>77618.209689992771</v>
      </c>
      <c r="L25" s="23">
        <f t="shared" si="3"/>
        <v>74568.149572200855</v>
      </c>
      <c r="M25" s="23">
        <f t="shared" si="3"/>
        <v>71518.089454408924</v>
      </c>
      <c r="N25" s="23">
        <f t="shared" si="3"/>
        <v>68468.029336617008</v>
      </c>
      <c r="O25" s="23">
        <f t="shared" si="3"/>
        <v>65417.969218825077</v>
      </c>
      <c r="P25" s="23">
        <f t="shared" si="3"/>
        <v>62367.909101033154</v>
      </c>
      <c r="Q25" s="23">
        <f t="shared" si="3"/>
        <v>59317.848983241231</v>
      </c>
      <c r="R25" s="23">
        <f t="shared" si="3"/>
        <v>56267.788865449307</v>
      </c>
      <c r="S25" s="23">
        <f t="shared" si="3"/>
        <v>53217.728747657384</v>
      </c>
      <c r="T25" s="23">
        <f t="shared" si="3"/>
        <v>50167.66862986546</v>
      </c>
      <c r="U25" s="23">
        <f t="shared" si="3"/>
        <v>47117.608512073537</v>
      </c>
      <c r="V25" s="23">
        <f t="shared" si="3"/>
        <v>44067.548394281614</v>
      </c>
      <c r="W25" s="23">
        <f t="shared" si="3"/>
        <v>41017.48827648969</v>
      </c>
      <c r="X25" s="23">
        <f t="shared" si="3"/>
        <v>38000.761492031103</v>
      </c>
      <c r="Y25" s="23">
        <f t="shared" si="3"/>
        <v>35000.701374239172</v>
      </c>
      <c r="Z25" s="23">
        <f t="shared" si="3"/>
        <v>32000.641256447241</v>
      </c>
      <c r="AA25" s="23">
        <f t="shared" si="3"/>
        <v>29000.58113865531</v>
      </c>
      <c r="AB25" s="23">
        <f t="shared" si="3"/>
        <v>26000.52102086338</v>
      </c>
      <c r="AC25" s="23">
        <f t="shared" si="3"/>
        <v>23000.460903071449</v>
      </c>
      <c r="AD25" s="23">
        <f t="shared" si="3"/>
        <v>20000.400785279518</v>
      </c>
      <c r="AE25" s="23">
        <f t="shared" si="3"/>
        <v>17000.340667487588</v>
      </c>
      <c r="AF25" s="23">
        <f t="shared" si="3"/>
        <v>14000.280549695657</v>
      </c>
      <c r="AG25" s="23">
        <f t="shared" si="3"/>
        <v>11000.220431903726</v>
      </c>
      <c r="AH25" s="23">
        <f t="shared" si="3"/>
        <v>10000.200392639745</v>
      </c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08"/>
      <c r="BA25" s="308"/>
      <c r="BB25" s="308"/>
      <c r="BC25" s="308"/>
      <c r="BD25" s="308"/>
      <c r="BE25" s="308"/>
      <c r="BF25" s="308"/>
      <c r="BG25" s="308"/>
      <c r="BH25" s="308"/>
    </row>
    <row r="26" spans="1:60">
      <c r="A26" s="13"/>
      <c r="B26" s="13"/>
      <c r="C26" s="322"/>
      <c r="D26" s="23"/>
      <c r="E26" s="23"/>
      <c r="F26" s="311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150"/>
      <c r="AA26" s="150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/>
      <c r="AZ26" s="308"/>
      <c r="BA26" s="308"/>
      <c r="BB26" s="308"/>
      <c r="BC26" s="308"/>
      <c r="BD26" s="308"/>
      <c r="BE26" s="308"/>
      <c r="BF26" s="308"/>
      <c r="BG26" s="308"/>
      <c r="BH26" s="308"/>
    </row>
    <row r="27" spans="1:60">
      <c r="A27" s="13"/>
      <c r="B27" s="13"/>
      <c r="C27" s="322"/>
      <c r="D27" s="23"/>
      <c r="E27" s="23"/>
      <c r="F27" s="311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150"/>
      <c r="AA27" s="150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08"/>
      <c r="BA27" s="308"/>
      <c r="BB27" s="308"/>
      <c r="BC27" s="308"/>
      <c r="BD27" s="308"/>
      <c r="BE27" s="308"/>
      <c r="BF27" s="308"/>
      <c r="BG27" s="308"/>
      <c r="BH27" s="308"/>
    </row>
    <row r="28" spans="1:60">
      <c r="A28" s="134" t="s">
        <v>150</v>
      </c>
      <c r="B28" s="13"/>
      <c r="C28" s="322"/>
      <c r="D28" s="23"/>
      <c r="E28" s="23"/>
      <c r="F28" s="311"/>
      <c r="G28" s="308"/>
      <c r="H28" s="308"/>
      <c r="I28" s="308"/>
      <c r="J28" s="308"/>
      <c r="K28" s="308"/>
      <c r="L28" s="308"/>
      <c r="M28" s="308"/>
      <c r="N28" s="308"/>
      <c r="O28" s="308"/>
      <c r="P28" s="308"/>
      <c r="Q28" s="308"/>
      <c r="R28" s="308"/>
      <c r="S28" s="308"/>
      <c r="T28" s="308"/>
      <c r="U28" s="308"/>
      <c r="V28" s="308"/>
      <c r="W28" s="308"/>
      <c r="X28" s="308"/>
      <c r="Y28" s="308"/>
      <c r="Z28" s="150"/>
      <c r="AA28" s="150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08"/>
      <c r="BA28" s="308"/>
      <c r="BB28" s="308"/>
      <c r="BC28" s="308"/>
      <c r="BD28" s="308"/>
      <c r="BE28" s="308"/>
      <c r="BF28" s="308"/>
      <c r="BG28" s="308"/>
      <c r="BH28" s="308"/>
    </row>
    <row r="29" spans="1:60">
      <c r="A29" s="134"/>
      <c r="B29" s="13"/>
      <c r="C29" s="322"/>
      <c r="D29" s="23"/>
      <c r="E29" s="23"/>
      <c r="F29" s="311"/>
      <c r="G29" s="308"/>
      <c r="H29" s="308"/>
      <c r="I29" s="308"/>
      <c r="J29" s="308"/>
      <c r="K29" s="308"/>
      <c r="L29" s="308"/>
      <c r="M29" s="308"/>
      <c r="N29" s="308"/>
      <c r="O29" s="308"/>
      <c r="P29" s="308"/>
      <c r="Q29" s="308"/>
      <c r="R29" s="308"/>
      <c r="S29" s="308"/>
      <c r="T29" s="308"/>
      <c r="U29" s="308"/>
      <c r="V29" s="308"/>
      <c r="W29" s="308"/>
      <c r="X29" s="308"/>
      <c r="Y29" s="308"/>
      <c r="Z29" s="150"/>
      <c r="AA29" s="150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08"/>
      <c r="AZ29" s="308"/>
      <c r="BA29" s="308"/>
      <c r="BB29" s="308"/>
      <c r="BC29" s="308"/>
      <c r="BD29" s="308"/>
      <c r="BE29" s="308"/>
      <c r="BF29" s="308"/>
      <c r="BG29" s="308"/>
      <c r="BH29" s="308"/>
    </row>
    <row r="30" spans="1:60">
      <c r="A30" s="23" t="s">
        <v>151</v>
      </c>
      <c r="C30" s="319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8"/>
      <c r="AJ30" s="308"/>
      <c r="AK30" s="308"/>
      <c r="AL30" s="308"/>
      <c r="AM30" s="308"/>
      <c r="AN30" s="308"/>
      <c r="AO30" s="308"/>
      <c r="AP30" s="308"/>
      <c r="AQ30" s="308"/>
      <c r="AR30" s="308"/>
      <c r="AS30" s="308"/>
      <c r="AT30" s="308"/>
      <c r="AU30" s="308"/>
      <c r="AV30" s="308"/>
      <c r="AW30" s="308"/>
      <c r="AX30" s="308"/>
      <c r="AY30" s="308"/>
      <c r="AZ30" s="308"/>
      <c r="BA30" s="308"/>
      <c r="BB30" s="308"/>
      <c r="BC30" s="308"/>
      <c r="BD30" s="308"/>
      <c r="BE30" s="308"/>
      <c r="BF30" s="308"/>
      <c r="BG30" s="308"/>
      <c r="BH30" s="308"/>
    </row>
    <row r="31" spans="1:60">
      <c r="A31" s="23" t="s">
        <v>152</v>
      </c>
      <c r="C31" s="319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</row>
    <row r="32" spans="1:60">
      <c r="A32" s="23" t="s">
        <v>153</v>
      </c>
      <c r="C32" s="322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8"/>
      <c r="BB32" s="308"/>
      <c r="BC32" s="308"/>
      <c r="BD32" s="308"/>
      <c r="BE32" s="308"/>
      <c r="BF32" s="308"/>
      <c r="BG32" s="308"/>
      <c r="BH32" s="308"/>
    </row>
    <row r="33" spans="1:60">
      <c r="A33" s="23" t="s">
        <v>154</v>
      </c>
      <c r="C33" s="319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8"/>
      <c r="AJ33" s="308"/>
      <c r="AK33" s="308"/>
      <c r="AL33" s="308"/>
      <c r="AM33" s="308"/>
      <c r="AN33" s="308"/>
      <c r="AO33" s="308"/>
      <c r="AP33" s="308"/>
      <c r="AQ33" s="308"/>
      <c r="AR33" s="308"/>
      <c r="AS33" s="308"/>
      <c r="AT33" s="308"/>
      <c r="AU33" s="308"/>
      <c r="AV33" s="308"/>
      <c r="AW33" s="308"/>
      <c r="AX33" s="308"/>
      <c r="AY33" s="308"/>
      <c r="AZ33" s="308"/>
      <c r="BA33" s="308"/>
      <c r="BB33" s="308"/>
      <c r="BC33" s="308"/>
      <c r="BD33" s="308"/>
      <c r="BE33" s="308"/>
      <c r="BF33" s="308"/>
      <c r="BG33" s="308"/>
      <c r="BH33" s="308"/>
    </row>
    <row r="34" spans="1:60">
      <c r="A34" s="23" t="s">
        <v>155</v>
      </c>
      <c r="C34" s="322">
        <f>Assumptions!C12</f>
        <v>71136.033465204469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8"/>
      <c r="AJ34" s="308"/>
      <c r="AK34" s="308"/>
      <c r="AL34" s="308"/>
      <c r="AM34" s="308"/>
      <c r="AN34" s="308"/>
      <c r="AO34" s="308"/>
      <c r="AP34" s="308"/>
      <c r="AQ34" s="308"/>
      <c r="AR34" s="308"/>
      <c r="AS34" s="308"/>
      <c r="AT34" s="308"/>
      <c r="AU34" s="308"/>
      <c r="AV34" s="308"/>
      <c r="AW34" s="308"/>
      <c r="AX34" s="308"/>
      <c r="AY34" s="308"/>
      <c r="AZ34" s="308"/>
      <c r="BA34" s="308"/>
      <c r="BB34" s="308"/>
      <c r="BC34" s="308"/>
      <c r="BD34" s="308"/>
      <c r="BE34" s="308"/>
      <c r="BF34" s="308"/>
      <c r="BG34" s="308"/>
      <c r="BH34" s="308"/>
    </row>
    <row r="35" spans="1:60">
      <c r="A35" s="23" t="s">
        <v>156</v>
      </c>
      <c r="C35" s="321">
        <v>0</v>
      </c>
      <c r="D35" s="309">
        <v>0</v>
      </c>
      <c r="E35" s="309">
        <v>0</v>
      </c>
      <c r="F35" s="312">
        <v>0</v>
      </c>
      <c r="G35" s="313">
        <v>0</v>
      </c>
      <c r="H35" s="313">
        <v>0</v>
      </c>
      <c r="I35" s="313">
        <v>0</v>
      </c>
      <c r="J35" s="313">
        <v>0</v>
      </c>
      <c r="K35" s="313">
        <v>0</v>
      </c>
      <c r="L35" s="313">
        <v>0</v>
      </c>
      <c r="M35" s="313">
        <v>0</v>
      </c>
      <c r="N35" s="313">
        <v>0</v>
      </c>
      <c r="O35" s="313">
        <v>0</v>
      </c>
      <c r="P35" s="313">
        <v>0</v>
      </c>
      <c r="Q35" s="313">
        <v>0</v>
      </c>
      <c r="R35" s="313">
        <v>0</v>
      </c>
      <c r="S35" s="313">
        <v>0</v>
      </c>
      <c r="T35" s="313">
        <v>0</v>
      </c>
      <c r="U35" s="313">
        <v>0</v>
      </c>
      <c r="V35" s="313">
        <v>0</v>
      </c>
      <c r="W35" s="313">
        <v>0</v>
      </c>
      <c r="X35" s="313">
        <v>0</v>
      </c>
      <c r="Y35" s="313">
        <v>0</v>
      </c>
      <c r="Z35" s="314">
        <v>0</v>
      </c>
      <c r="AA35" s="314">
        <v>0</v>
      </c>
      <c r="AB35" s="313">
        <v>0</v>
      </c>
      <c r="AC35" s="313">
        <v>0</v>
      </c>
      <c r="AD35" s="313">
        <v>0</v>
      </c>
      <c r="AE35" s="313">
        <v>0</v>
      </c>
      <c r="AF35" s="313">
        <v>0</v>
      </c>
      <c r="AG35" s="313">
        <v>0</v>
      </c>
      <c r="AH35" s="313">
        <v>0</v>
      </c>
      <c r="AI35" s="308"/>
      <c r="AJ35" s="308"/>
      <c r="AK35" s="308"/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8"/>
      <c r="BA35" s="308"/>
      <c r="BB35" s="308"/>
      <c r="BC35" s="308"/>
      <c r="BD35" s="308"/>
      <c r="BE35" s="308"/>
      <c r="BF35" s="308"/>
      <c r="BG35" s="308"/>
      <c r="BH35" s="308"/>
    </row>
    <row r="36" spans="1:60">
      <c r="A36" s="23"/>
      <c r="C36" s="322"/>
      <c r="D36" s="23"/>
      <c r="E36" s="23"/>
      <c r="F36" s="311"/>
      <c r="G36" s="308"/>
      <c r="H36" s="308"/>
      <c r="I36" s="308"/>
      <c r="J36" s="308"/>
      <c r="K36" s="308"/>
      <c r="L36" s="308"/>
      <c r="M36" s="308"/>
      <c r="N36" s="308"/>
      <c r="O36" s="308"/>
      <c r="P36" s="308"/>
      <c r="Q36" s="308"/>
      <c r="R36" s="308"/>
      <c r="S36" s="308"/>
      <c r="T36" s="308"/>
      <c r="U36" s="308"/>
      <c r="V36" s="308"/>
      <c r="W36" s="308"/>
      <c r="X36" s="308"/>
      <c r="Y36" s="308"/>
      <c r="Z36" s="150"/>
      <c r="AA36" s="150"/>
      <c r="AB36" s="308"/>
      <c r="AC36" s="308"/>
      <c r="AD36" s="308"/>
      <c r="AE36" s="308"/>
      <c r="AF36" s="308"/>
      <c r="AG36" s="308"/>
      <c r="AH36" s="308"/>
      <c r="AI36" s="308"/>
      <c r="AJ36" s="308"/>
      <c r="AK36" s="308"/>
      <c r="AL36" s="308"/>
      <c r="AM36" s="308"/>
      <c r="AN36" s="308"/>
      <c r="AO36" s="308"/>
      <c r="AP36" s="308"/>
      <c r="AQ36" s="308"/>
      <c r="AR36" s="308"/>
      <c r="AS36" s="308"/>
      <c r="AT36" s="308"/>
      <c r="AU36" s="308"/>
      <c r="AV36" s="308"/>
      <c r="AW36" s="308"/>
      <c r="AX36" s="308"/>
      <c r="AY36" s="308"/>
      <c r="AZ36" s="308"/>
      <c r="BA36" s="308"/>
      <c r="BB36" s="308"/>
      <c r="BC36" s="308"/>
      <c r="BD36" s="308"/>
      <c r="BE36" s="308"/>
      <c r="BF36" s="308"/>
      <c r="BG36" s="308"/>
      <c r="BH36" s="308"/>
    </row>
    <row r="37" spans="1:60">
      <c r="A37" s="134" t="s">
        <v>157</v>
      </c>
      <c r="B37" s="13"/>
      <c r="C37" s="322">
        <f>SUM(C30:C35)</f>
        <v>71136.033465204469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8"/>
      <c r="AJ37" s="308"/>
      <c r="AK37" s="308"/>
      <c r="AL37" s="308"/>
      <c r="AM37" s="308"/>
      <c r="AN37" s="308"/>
      <c r="AO37" s="308"/>
      <c r="AP37" s="308"/>
      <c r="AQ37" s="308"/>
      <c r="AR37" s="308"/>
      <c r="AS37" s="308"/>
      <c r="AT37" s="308"/>
      <c r="AU37" s="308"/>
      <c r="AV37" s="308"/>
      <c r="AW37" s="308"/>
      <c r="AX37" s="308"/>
      <c r="AY37" s="308"/>
      <c r="AZ37" s="308"/>
      <c r="BA37" s="308"/>
      <c r="BB37" s="308"/>
      <c r="BC37" s="308"/>
      <c r="BD37" s="308"/>
      <c r="BE37" s="308"/>
      <c r="BF37" s="308"/>
      <c r="BG37" s="308"/>
      <c r="BH37" s="308"/>
    </row>
    <row r="38" spans="1:60">
      <c r="A38" s="23"/>
      <c r="B38" s="13"/>
      <c r="C38" s="322"/>
      <c r="D38" s="23"/>
      <c r="E38" s="23"/>
      <c r="F38" s="311"/>
      <c r="G38" s="308"/>
      <c r="H38" s="308"/>
      <c r="I38" s="308"/>
      <c r="J38" s="308"/>
      <c r="K38" s="308"/>
      <c r="L38" s="308"/>
      <c r="M38" s="308"/>
      <c r="N38" s="308"/>
      <c r="O38" s="308"/>
      <c r="P38" s="308"/>
      <c r="Q38" s="308"/>
      <c r="R38" s="308"/>
      <c r="S38" s="308"/>
      <c r="T38" s="308"/>
      <c r="U38" s="308"/>
      <c r="V38" s="308"/>
      <c r="W38" s="308"/>
      <c r="X38" s="308"/>
      <c r="Y38" s="308"/>
      <c r="Z38" s="150"/>
      <c r="AA38" s="150"/>
      <c r="AB38" s="308"/>
      <c r="AC38" s="308"/>
      <c r="AD38" s="308"/>
      <c r="AE38" s="308"/>
      <c r="AF38" s="308"/>
      <c r="AG38" s="308"/>
      <c r="AH38" s="308"/>
      <c r="AI38" s="308"/>
      <c r="AJ38" s="308"/>
      <c r="AK38" s="308"/>
      <c r="AL38" s="308"/>
      <c r="AM38" s="308"/>
      <c r="AN38" s="308"/>
      <c r="AO38" s="308"/>
      <c r="AP38" s="308"/>
      <c r="AQ38" s="308"/>
      <c r="AR38" s="308"/>
      <c r="AS38" s="308"/>
      <c r="AT38" s="308"/>
      <c r="AU38" s="308"/>
      <c r="AV38" s="308"/>
      <c r="AW38" s="308"/>
      <c r="AX38" s="308"/>
      <c r="AY38" s="308"/>
      <c r="AZ38" s="308"/>
      <c r="BA38" s="308"/>
      <c r="BB38" s="308"/>
      <c r="BC38" s="308"/>
      <c r="BD38" s="308"/>
      <c r="BE38" s="308"/>
      <c r="BF38" s="308"/>
      <c r="BG38" s="308"/>
      <c r="BH38" s="308"/>
    </row>
    <row r="39" spans="1:60">
      <c r="A39" s="134" t="s">
        <v>158</v>
      </c>
      <c r="B39" s="13"/>
      <c r="C39" s="322"/>
      <c r="D39" s="23"/>
      <c r="E39" s="23"/>
      <c r="F39" s="311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150"/>
      <c r="AA39" s="150"/>
      <c r="AB39" s="308"/>
      <c r="AC39" s="308"/>
      <c r="AD39" s="308"/>
      <c r="AE39" s="308"/>
      <c r="AF39" s="308"/>
      <c r="AG39" s="308"/>
      <c r="AH39" s="308"/>
      <c r="AI39" s="308"/>
      <c r="AJ39" s="308"/>
      <c r="AK39" s="308"/>
      <c r="AL39" s="308"/>
      <c r="AM39" s="308"/>
      <c r="AN39" s="308"/>
      <c r="AO39" s="308"/>
      <c r="AP39" s="308"/>
      <c r="AQ39" s="308"/>
      <c r="AR39" s="308"/>
      <c r="AS39" s="308"/>
      <c r="AT39" s="308"/>
      <c r="AU39" s="308"/>
      <c r="AV39" s="308"/>
      <c r="AW39" s="308"/>
      <c r="AX39" s="308"/>
      <c r="AY39" s="308"/>
      <c r="AZ39" s="308"/>
      <c r="BA39" s="308"/>
      <c r="BB39" s="308"/>
      <c r="BC39" s="308"/>
      <c r="BD39" s="308"/>
      <c r="BE39" s="308"/>
      <c r="BF39" s="308"/>
      <c r="BG39" s="308"/>
      <c r="BH39" s="308"/>
    </row>
    <row r="40" spans="1:60">
      <c r="A40" s="134"/>
      <c r="B40" s="13"/>
      <c r="C40" s="322"/>
      <c r="D40" s="23"/>
      <c r="E40" s="23"/>
      <c r="F40" s="311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150"/>
      <c r="AA40" s="150"/>
      <c r="AB40" s="308"/>
      <c r="AC40" s="308"/>
      <c r="AD40" s="308"/>
      <c r="AE40" s="308"/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</row>
    <row r="41" spans="1:60">
      <c r="A41" s="23" t="s">
        <v>159</v>
      </c>
      <c r="C41" s="322">
        <f>Assumptions!$C$11</f>
        <v>33589.890461193077</v>
      </c>
      <c r="D41" s="23">
        <f>Assumptions!$C$11</f>
        <v>33589.890461193077</v>
      </c>
      <c r="E41" s="23">
        <f>Assumptions!$C$11</f>
        <v>33589.890461193077</v>
      </c>
      <c r="F41" s="23">
        <f>Assumptions!$C$11</f>
        <v>33589.890461193077</v>
      </c>
      <c r="G41" s="23">
        <f>Assumptions!$C$11</f>
        <v>33589.890461193077</v>
      </c>
      <c r="H41" s="23">
        <f>Assumptions!$C$11</f>
        <v>33589.890461193077</v>
      </c>
      <c r="I41" s="23">
        <f>Assumptions!$C$11</f>
        <v>33589.890461193077</v>
      </c>
      <c r="J41" s="23">
        <f>Assumptions!$C$11</f>
        <v>33589.890461193077</v>
      </c>
      <c r="K41" s="23">
        <f>Assumptions!$C$11</f>
        <v>33589.890461193077</v>
      </c>
      <c r="L41" s="23">
        <f>Assumptions!$C$11</f>
        <v>33589.890461193077</v>
      </c>
      <c r="M41" s="23">
        <f>Assumptions!$C$11</f>
        <v>33589.890461193077</v>
      </c>
      <c r="N41" s="23">
        <f>Assumptions!$C$11</f>
        <v>33589.890461193077</v>
      </c>
      <c r="O41" s="23">
        <f>Assumptions!$C$11</f>
        <v>33589.890461193077</v>
      </c>
      <c r="P41" s="23">
        <f>Assumptions!$C$11</f>
        <v>33589.890461193077</v>
      </c>
      <c r="Q41" s="23">
        <f>Assumptions!$C$11</f>
        <v>33589.890461193077</v>
      </c>
      <c r="R41" s="23">
        <f>Assumptions!$C$11</f>
        <v>33589.890461193077</v>
      </c>
      <c r="S41" s="23">
        <f>Assumptions!$C$11</f>
        <v>33589.890461193077</v>
      </c>
      <c r="T41" s="23">
        <f>Assumptions!$C$11</f>
        <v>33589.890461193077</v>
      </c>
      <c r="U41" s="23">
        <f>Assumptions!$C$11</f>
        <v>33589.890461193077</v>
      </c>
      <c r="V41" s="23">
        <f>Assumptions!$C$11</f>
        <v>33589.890461193077</v>
      </c>
      <c r="W41" s="23">
        <f>Assumptions!$C$11</f>
        <v>33589.890461193077</v>
      </c>
      <c r="X41" s="23">
        <f>Assumptions!$C$11</f>
        <v>33589.890461193077</v>
      </c>
      <c r="Y41" s="23">
        <f>Assumptions!$C$11</f>
        <v>33589.890461193077</v>
      </c>
      <c r="Z41" s="23">
        <f>Assumptions!$C$11</f>
        <v>33589.890461193077</v>
      </c>
      <c r="AA41" s="23">
        <f>Assumptions!$C$11</f>
        <v>33589.890461193077</v>
      </c>
      <c r="AB41" s="23">
        <f>Assumptions!$C$11</f>
        <v>33589.890461193077</v>
      </c>
      <c r="AC41" s="23">
        <f>Assumptions!$C$11</f>
        <v>33589.890461193077</v>
      </c>
      <c r="AD41" s="23">
        <f>Assumptions!$C$11</f>
        <v>33589.890461193077</v>
      </c>
      <c r="AE41" s="23">
        <f>Assumptions!$C$11</f>
        <v>33589.890461193077</v>
      </c>
      <c r="AF41" s="23">
        <f>Assumptions!$C$11</f>
        <v>33589.890461193077</v>
      </c>
      <c r="AG41" s="23">
        <f>Assumptions!$C$11</f>
        <v>33589.890461193077</v>
      </c>
      <c r="AH41" s="23">
        <f>Assumptions!$C$11</f>
        <v>33589.890461193077</v>
      </c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/>
      <c r="AY41" s="308"/>
      <c r="AZ41" s="308"/>
      <c r="BA41" s="308"/>
      <c r="BB41" s="308"/>
      <c r="BC41" s="308"/>
      <c r="BD41" s="308"/>
      <c r="BE41" s="308"/>
      <c r="BF41" s="308"/>
      <c r="BG41" s="308"/>
      <c r="BH41" s="308"/>
    </row>
    <row r="42" spans="1:60">
      <c r="A42" s="23" t="s">
        <v>160</v>
      </c>
      <c r="C42" s="321" t="e">
        <f>IS!B43-'Returns Analysis'!#REF!</f>
        <v>#REF!</v>
      </c>
      <c r="D42" s="309" t="e">
        <f>IS!C43-'Returns Analysis'!#REF!</f>
        <v>#REF!</v>
      </c>
      <c r="E42" s="309" t="e">
        <f>IS!D43-'Returns Analysis'!#REF!</f>
        <v>#REF!</v>
      </c>
      <c r="F42" s="309" t="e">
        <f>IS!E43-'Returns Analysis'!#REF!</f>
        <v>#REF!</v>
      </c>
      <c r="G42" s="309" t="e">
        <f>IS!F43-'Returns Analysis'!#REF!</f>
        <v>#REF!</v>
      </c>
      <c r="H42" s="309" t="e">
        <f>IS!G43-'Returns Analysis'!#REF!</f>
        <v>#REF!</v>
      </c>
      <c r="I42" s="309" t="e">
        <f>IS!H43-'Returns Analysis'!#REF!</f>
        <v>#REF!</v>
      </c>
      <c r="J42" s="309" t="e">
        <f>IS!I43-'Returns Analysis'!#REF!</f>
        <v>#REF!</v>
      </c>
      <c r="K42" s="309" t="e">
        <f>IS!J43-'Returns Analysis'!#REF!</f>
        <v>#REF!</v>
      </c>
      <c r="L42" s="309" t="e">
        <f>IS!K43-'Returns Analysis'!#REF!</f>
        <v>#REF!</v>
      </c>
      <c r="M42" s="309" t="e">
        <f>IS!L43-'Returns Analysis'!#REF!</f>
        <v>#REF!</v>
      </c>
      <c r="N42" s="309" t="e">
        <f>IS!M43-'Returns Analysis'!#REF!</f>
        <v>#REF!</v>
      </c>
      <c r="O42" s="309" t="e">
        <f>IS!N43-'Returns Analysis'!#REF!</f>
        <v>#REF!</v>
      </c>
      <c r="P42" s="309" t="e">
        <f>IS!O43-'Returns Analysis'!#REF!</f>
        <v>#REF!</v>
      </c>
      <c r="Q42" s="309" t="e">
        <f>IS!P43-'Returns Analysis'!#REF!</f>
        <v>#REF!</v>
      </c>
      <c r="R42" s="309" t="e">
        <f>IS!Q43-'Returns Analysis'!#REF!</f>
        <v>#REF!</v>
      </c>
      <c r="S42" s="309" t="e">
        <f>IS!R43-'Returns Analysis'!#REF!</f>
        <v>#REF!</v>
      </c>
      <c r="T42" s="309" t="e">
        <f>IS!S43-'Returns Analysis'!#REF!</f>
        <v>#REF!</v>
      </c>
      <c r="U42" s="309" t="e">
        <f>IS!T43-'Returns Analysis'!#REF!</f>
        <v>#REF!</v>
      </c>
      <c r="V42" s="309" t="e">
        <f>IS!U43-'Returns Analysis'!#REF!</f>
        <v>#REF!</v>
      </c>
      <c r="W42" s="309" t="e">
        <f>IS!V43-'Returns Analysis'!#REF!</f>
        <v>#REF!</v>
      </c>
      <c r="X42" s="309" t="e">
        <f>IS!W43-'Returns Analysis'!#REF!</f>
        <v>#REF!</v>
      </c>
      <c r="Y42" s="309" t="e">
        <f>IS!X43-'Returns Analysis'!#REF!</f>
        <v>#REF!</v>
      </c>
      <c r="Z42" s="309" t="e">
        <f>IS!Y43-'Returns Analysis'!#REF!</f>
        <v>#REF!</v>
      </c>
      <c r="AA42" s="309" t="e">
        <f>IS!Z43-'Returns Analysis'!#REF!</f>
        <v>#REF!</v>
      </c>
      <c r="AB42" s="309" t="e">
        <f>IS!AA43-'Returns Analysis'!#REF!</f>
        <v>#REF!</v>
      </c>
      <c r="AC42" s="309" t="e">
        <f>IS!AB43-'Returns Analysis'!#REF!</f>
        <v>#REF!</v>
      </c>
      <c r="AD42" s="309" t="e">
        <f>IS!AC43-'Returns Analysis'!#REF!</f>
        <v>#REF!</v>
      </c>
      <c r="AE42" s="309" t="e">
        <f>IS!AD43-'Returns Analysis'!#REF!</f>
        <v>#REF!</v>
      </c>
      <c r="AF42" s="309" t="e">
        <f>IS!AE43-'Returns Analysis'!#REF!</f>
        <v>#REF!</v>
      </c>
      <c r="AG42" s="309" t="e">
        <f>IS!AF43-'Returns Analysis'!#REF!</f>
        <v>#REF!</v>
      </c>
      <c r="AH42" s="309" t="e">
        <f>IS!AG43-'Returns Analysis'!#REF!</f>
        <v>#REF!</v>
      </c>
      <c r="AI42" s="308"/>
      <c r="AJ42" s="308"/>
      <c r="AK42" s="308"/>
      <c r="AL42" s="308"/>
      <c r="AM42" s="308"/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08"/>
      <c r="AZ42" s="308"/>
      <c r="BA42" s="308"/>
      <c r="BB42" s="308"/>
      <c r="BC42" s="308"/>
      <c r="BD42" s="308"/>
      <c r="BE42" s="308"/>
      <c r="BF42" s="308"/>
      <c r="BG42" s="308"/>
      <c r="BH42" s="308"/>
    </row>
    <row r="43" spans="1:60">
      <c r="A43" s="23" t="s">
        <v>161</v>
      </c>
      <c r="C43" s="322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08"/>
      <c r="BB43" s="308"/>
      <c r="BC43" s="308"/>
      <c r="BD43" s="308"/>
      <c r="BE43" s="308"/>
      <c r="BF43" s="308"/>
      <c r="BG43" s="308"/>
      <c r="BH43" s="308"/>
    </row>
    <row r="44" spans="1:60">
      <c r="A44" s="13"/>
      <c r="B44" s="13"/>
      <c r="C44" s="322"/>
      <c r="D44" s="23"/>
      <c r="E44" s="23"/>
      <c r="F44" s="311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150"/>
      <c r="AA44" s="150"/>
      <c r="AB44" s="308"/>
      <c r="AC44" s="308"/>
      <c r="AD44" s="308"/>
      <c r="AE44" s="308"/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/>
      <c r="AY44" s="308"/>
      <c r="AZ44" s="308"/>
      <c r="BA44" s="308"/>
      <c r="BB44" s="308"/>
      <c r="BC44" s="308"/>
      <c r="BD44" s="308"/>
      <c r="BE44" s="308"/>
      <c r="BF44" s="308"/>
      <c r="BG44" s="308"/>
      <c r="BH44" s="308"/>
    </row>
    <row r="45" spans="1:60">
      <c r="A45" s="134" t="s">
        <v>162</v>
      </c>
      <c r="B45" s="13"/>
      <c r="C45" s="322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8"/>
      <c r="AJ45" s="308"/>
      <c r="AK45" s="308"/>
      <c r="AL45" s="308"/>
      <c r="AM45" s="308"/>
      <c r="AN45" s="308"/>
      <c r="AO45" s="308"/>
      <c r="AP45" s="308"/>
      <c r="AQ45" s="308"/>
      <c r="AR45" s="308"/>
      <c r="AS45" s="308"/>
      <c r="AT45" s="308"/>
      <c r="AU45" s="308"/>
      <c r="AV45" s="308"/>
      <c r="AW45" s="308"/>
      <c r="AX45" s="308"/>
      <c r="AY45" s="308"/>
      <c r="AZ45" s="308"/>
      <c r="BA45" s="308"/>
      <c r="BB45" s="308"/>
      <c r="BC45" s="308"/>
      <c r="BD45" s="308"/>
      <c r="BE45" s="308"/>
      <c r="BF45" s="308"/>
      <c r="BG45" s="308"/>
      <c r="BH45" s="308"/>
    </row>
    <row r="46" spans="1:60">
      <c r="A46" s="23"/>
      <c r="B46" s="13"/>
      <c r="C46" s="322"/>
      <c r="D46" s="23"/>
      <c r="E46" s="23"/>
      <c r="F46" s="311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  <c r="R46" s="308"/>
      <c r="S46" s="308"/>
      <c r="T46" s="308"/>
      <c r="U46" s="308"/>
      <c r="V46" s="308"/>
      <c r="W46" s="308"/>
      <c r="X46" s="308"/>
      <c r="Y46" s="308"/>
      <c r="Z46" s="150"/>
      <c r="AA46" s="150"/>
      <c r="AB46" s="308"/>
      <c r="AC46" s="308"/>
      <c r="AD46" s="308"/>
      <c r="AE46" s="308"/>
      <c r="AF46" s="308"/>
      <c r="AG46" s="308"/>
      <c r="AH46" s="308"/>
      <c r="AI46" s="308"/>
      <c r="AJ46" s="308"/>
      <c r="AK46" s="308"/>
      <c r="AL46" s="308"/>
      <c r="AM46" s="308"/>
      <c r="AN46" s="308"/>
      <c r="AO46" s="308"/>
      <c r="AP46" s="308"/>
      <c r="AQ46" s="308"/>
      <c r="AR46" s="308"/>
      <c r="AS46" s="308"/>
      <c r="AT46" s="308"/>
      <c r="AU46" s="308"/>
      <c r="AV46" s="308"/>
      <c r="AW46" s="308"/>
      <c r="AX46" s="308"/>
      <c r="AY46" s="308"/>
      <c r="AZ46" s="308"/>
      <c r="BA46" s="308"/>
      <c r="BB46" s="308"/>
      <c r="BC46" s="308"/>
      <c r="BD46" s="308"/>
      <c r="BE46" s="308"/>
      <c r="BF46" s="308"/>
      <c r="BG46" s="308"/>
      <c r="BH46" s="308"/>
    </row>
    <row r="47" spans="1:60">
      <c r="A47" s="134" t="s">
        <v>163</v>
      </c>
      <c r="B47" s="13"/>
      <c r="C47" s="322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8"/>
      <c r="AJ47" s="308"/>
      <c r="AK47" s="308"/>
      <c r="AL47" s="308"/>
      <c r="AM47" s="308"/>
      <c r="AN47" s="308"/>
      <c r="AO47" s="308"/>
      <c r="AP47" s="308"/>
      <c r="AQ47" s="308"/>
      <c r="AR47" s="308"/>
      <c r="AS47" s="308"/>
      <c r="AT47" s="308"/>
      <c r="AU47" s="308"/>
      <c r="AV47" s="308"/>
      <c r="AW47" s="308"/>
      <c r="AX47" s="308"/>
      <c r="AY47" s="308"/>
      <c r="AZ47" s="308"/>
      <c r="BA47" s="308"/>
      <c r="BB47" s="308"/>
      <c r="BC47" s="308"/>
      <c r="BD47" s="308"/>
      <c r="BE47" s="308"/>
      <c r="BF47" s="308"/>
      <c r="BG47" s="308"/>
      <c r="BH47" s="308"/>
    </row>
    <row r="48" spans="1:60">
      <c r="A48" s="13"/>
      <c r="B48" s="13"/>
      <c r="C48" s="23"/>
      <c r="D48" s="23"/>
      <c r="E48" s="23"/>
      <c r="F48" s="311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150"/>
      <c r="AA48" s="150"/>
      <c r="AB48" s="308"/>
      <c r="AC48" s="308"/>
      <c r="AD48" s="308"/>
      <c r="AE48" s="308"/>
      <c r="AF48" s="308"/>
      <c r="AG48" s="308"/>
      <c r="AH48" s="308"/>
      <c r="AI48" s="308"/>
      <c r="AJ48" s="308"/>
      <c r="AK48" s="308"/>
      <c r="AL48" s="308"/>
      <c r="AM48" s="308"/>
      <c r="AN48" s="308"/>
      <c r="AO48" s="308"/>
      <c r="AP48" s="308"/>
      <c r="AQ48" s="308"/>
      <c r="AR48" s="308"/>
      <c r="AS48" s="308"/>
      <c r="AT48" s="308"/>
      <c r="AU48" s="308"/>
      <c r="AV48" s="308"/>
      <c r="AW48" s="308"/>
      <c r="AX48" s="308"/>
      <c r="AY48" s="308"/>
      <c r="AZ48" s="308"/>
      <c r="BA48" s="308"/>
      <c r="BB48" s="308"/>
      <c r="BC48" s="308"/>
      <c r="BD48" s="308"/>
      <c r="BE48" s="308"/>
      <c r="BF48" s="308"/>
      <c r="BG48" s="308"/>
      <c r="BH48" s="308"/>
    </row>
    <row r="49" spans="1:60">
      <c r="A49" s="13"/>
      <c r="B49" s="13"/>
      <c r="C49" s="23"/>
      <c r="D49" s="23"/>
      <c r="E49" s="23"/>
      <c r="F49" s="311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150"/>
      <c r="AA49" s="150"/>
      <c r="AB49" s="308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08"/>
      <c r="BF49" s="308"/>
      <c r="BG49" s="308"/>
      <c r="BH49" s="308"/>
    </row>
    <row r="50" spans="1:60">
      <c r="A50" s="13"/>
      <c r="B50" s="13"/>
      <c r="C50" s="23"/>
      <c r="D50" s="23"/>
      <c r="E50" s="23"/>
      <c r="F50" s="311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  <c r="Y50" s="308"/>
      <c r="Z50" s="150"/>
      <c r="AA50" s="150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  <c r="BF50" s="308"/>
      <c r="BG50" s="308"/>
      <c r="BH50" s="308"/>
    </row>
    <row r="51" spans="1:60">
      <c r="A51" s="13"/>
      <c r="B51" s="13"/>
      <c r="C51" s="23"/>
      <c r="D51" s="23"/>
      <c r="E51" s="23"/>
      <c r="F51" s="311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  <c r="Y51" s="308"/>
      <c r="Z51" s="150"/>
      <c r="AA51" s="150"/>
      <c r="AB51" s="308"/>
      <c r="AC51" s="308"/>
      <c r="AD51" s="308"/>
      <c r="AE51" s="308"/>
      <c r="AF51" s="308"/>
      <c r="AG51" s="308"/>
      <c r="AH51" s="308"/>
      <c r="AI51" s="308"/>
      <c r="AJ51" s="308"/>
      <c r="AK51" s="308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08"/>
      <c r="BD51" s="308"/>
      <c r="BE51" s="308"/>
      <c r="BF51" s="308"/>
      <c r="BG51" s="308"/>
      <c r="BH51" s="308"/>
    </row>
    <row r="52" spans="1:60">
      <c r="A52" s="13"/>
      <c r="B52" s="13"/>
      <c r="C52" s="23"/>
      <c r="D52" s="23"/>
      <c r="E52" s="23"/>
      <c r="F52" s="311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150"/>
      <c r="AA52" s="150"/>
      <c r="AB52" s="308"/>
      <c r="AC52" s="308"/>
      <c r="AD52" s="308"/>
      <c r="AE52" s="308"/>
      <c r="AF52" s="308"/>
      <c r="AG52" s="308"/>
      <c r="AH52" s="308"/>
      <c r="AI52" s="308"/>
      <c r="AJ52" s="308"/>
      <c r="AK52" s="308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8"/>
      <c r="AZ52" s="308"/>
      <c r="BA52" s="308"/>
      <c r="BB52" s="308"/>
      <c r="BC52" s="308"/>
      <c r="BD52" s="308"/>
      <c r="BE52" s="308"/>
      <c r="BF52" s="308"/>
      <c r="BG52" s="308"/>
      <c r="BH52" s="308"/>
    </row>
    <row r="53" spans="1:60">
      <c r="A53" s="13"/>
      <c r="B53" s="13"/>
      <c r="C53" s="23"/>
      <c r="D53" s="23"/>
      <c r="E53" s="23"/>
      <c r="F53" s="311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150"/>
      <c r="AA53" s="150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08"/>
      <c r="BD53" s="308"/>
      <c r="BE53" s="308"/>
      <c r="BF53" s="308"/>
      <c r="BG53" s="308"/>
      <c r="BH53" s="308"/>
    </row>
    <row r="54" spans="1:60">
      <c r="A54" s="13"/>
      <c r="B54" s="13"/>
      <c r="C54" s="23"/>
      <c r="D54" s="23"/>
      <c r="E54" s="23"/>
      <c r="F54" s="311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  <c r="R54" s="308"/>
      <c r="S54" s="308"/>
      <c r="T54" s="308"/>
      <c r="U54" s="308"/>
      <c r="V54" s="308"/>
      <c r="W54" s="308"/>
      <c r="X54" s="308"/>
      <c r="Y54" s="308"/>
      <c r="Z54" s="150"/>
      <c r="AA54" s="150"/>
      <c r="AB54" s="308"/>
      <c r="AC54" s="308"/>
      <c r="AD54" s="308"/>
      <c r="AE54" s="308"/>
      <c r="AF54" s="308"/>
      <c r="AG54" s="308"/>
      <c r="AH54" s="308"/>
      <c r="AI54" s="308"/>
      <c r="AJ54" s="308"/>
      <c r="AK54" s="308"/>
      <c r="AL54" s="308"/>
      <c r="AM54" s="308"/>
      <c r="AN54" s="308"/>
      <c r="AO54" s="308"/>
      <c r="AP54" s="308"/>
      <c r="AQ54" s="308"/>
      <c r="AR54" s="308"/>
      <c r="AS54" s="308"/>
      <c r="AT54" s="308"/>
      <c r="AU54" s="308"/>
      <c r="AV54" s="308"/>
      <c r="AW54" s="308"/>
      <c r="AX54" s="308"/>
      <c r="AY54" s="308"/>
      <c r="AZ54" s="308"/>
      <c r="BA54" s="308"/>
      <c r="BB54" s="308"/>
      <c r="BC54" s="308"/>
      <c r="BD54" s="308"/>
      <c r="BE54" s="308"/>
      <c r="BF54" s="308"/>
      <c r="BG54" s="308"/>
      <c r="BH54" s="308"/>
    </row>
    <row r="55" spans="1:60">
      <c r="A55" s="13"/>
      <c r="B55" s="179"/>
      <c r="C55" s="311"/>
      <c r="D55" s="311"/>
      <c r="E55" s="311"/>
      <c r="F55" s="311"/>
      <c r="G55" s="308"/>
      <c r="H55" s="308"/>
      <c r="I55" s="308"/>
      <c r="J55" s="308"/>
      <c r="K55" s="308"/>
      <c r="L55" s="308"/>
      <c r="M55" s="308"/>
      <c r="N55" s="308"/>
      <c r="O55" s="308"/>
      <c r="P55" s="308"/>
      <c r="Q55" s="308"/>
      <c r="R55" s="308"/>
      <c r="S55" s="308"/>
      <c r="T55" s="308"/>
      <c r="U55" s="308"/>
      <c r="V55" s="308"/>
      <c r="W55" s="308"/>
      <c r="X55" s="308"/>
      <c r="Y55" s="308"/>
      <c r="Z55" s="150"/>
      <c r="AA55" s="150"/>
      <c r="AB55" s="308"/>
      <c r="AC55" s="308"/>
      <c r="AD55" s="308"/>
      <c r="AE55" s="308"/>
      <c r="AF55" s="308"/>
      <c r="AG55" s="308"/>
      <c r="AH55" s="308"/>
      <c r="AI55" s="308"/>
      <c r="AJ55" s="308"/>
      <c r="AK55" s="308"/>
      <c r="AL55" s="308"/>
      <c r="AM55" s="308"/>
      <c r="AN55" s="308"/>
      <c r="AO55" s="308"/>
      <c r="AP55" s="308"/>
      <c r="AQ55" s="308"/>
      <c r="AR55" s="308"/>
      <c r="AS55" s="308"/>
      <c r="AT55" s="308"/>
      <c r="AU55" s="308"/>
      <c r="AV55" s="308"/>
      <c r="AW55" s="308"/>
      <c r="AX55" s="308"/>
      <c r="AY55" s="308"/>
      <c r="AZ55" s="308"/>
      <c r="BA55" s="308"/>
      <c r="BB55" s="308"/>
      <c r="BC55" s="308"/>
      <c r="BD55" s="308"/>
      <c r="BE55" s="308"/>
      <c r="BF55" s="308"/>
      <c r="BG55" s="308"/>
      <c r="BH55" s="308"/>
    </row>
    <row r="56" spans="1:60">
      <c r="A56" s="13"/>
      <c r="B56" s="179"/>
      <c r="C56" s="311"/>
      <c r="D56" s="311"/>
      <c r="E56" s="311"/>
      <c r="F56" s="311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150"/>
      <c r="AA56" s="150"/>
      <c r="AB56" s="308"/>
      <c r="AC56" s="308"/>
      <c r="AD56" s="308"/>
      <c r="AE56" s="308"/>
      <c r="AF56" s="308"/>
      <c r="AG56" s="308"/>
      <c r="AH56" s="308"/>
      <c r="AI56" s="308"/>
      <c r="AJ56" s="308"/>
      <c r="AK56" s="308"/>
      <c r="AL56" s="308"/>
      <c r="AM56" s="308"/>
      <c r="AN56" s="308"/>
      <c r="AO56" s="308"/>
      <c r="AP56" s="308"/>
      <c r="AQ56" s="308"/>
      <c r="AR56" s="308"/>
      <c r="AS56" s="308"/>
      <c r="AT56" s="308"/>
      <c r="AU56" s="308"/>
      <c r="AV56" s="308"/>
      <c r="AW56" s="308"/>
      <c r="AX56" s="308"/>
      <c r="AY56" s="308"/>
      <c r="AZ56" s="308"/>
      <c r="BA56" s="308"/>
      <c r="BB56" s="308"/>
      <c r="BC56" s="308"/>
      <c r="BD56" s="308"/>
      <c r="BE56" s="308"/>
      <c r="BF56" s="308"/>
      <c r="BG56" s="308"/>
      <c r="BH56" s="308"/>
    </row>
    <row r="57" spans="1:60">
      <c r="A57" s="13"/>
      <c r="B57" s="179"/>
      <c r="C57" s="311"/>
      <c r="D57" s="311"/>
      <c r="E57" s="311"/>
      <c r="F57" s="311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150"/>
      <c r="AA57" s="150"/>
      <c r="AB57" s="308"/>
      <c r="AC57" s="308"/>
      <c r="AD57" s="308"/>
      <c r="AE57" s="308"/>
      <c r="AF57" s="308"/>
      <c r="AG57" s="308"/>
      <c r="AH57" s="308"/>
      <c r="AI57" s="308"/>
      <c r="AJ57" s="308"/>
      <c r="AK57" s="308"/>
      <c r="AL57" s="308"/>
      <c r="AM57" s="308"/>
      <c r="AN57" s="308"/>
      <c r="AO57" s="308"/>
      <c r="AP57" s="308"/>
      <c r="AQ57" s="308"/>
      <c r="AR57" s="308"/>
      <c r="AS57" s="308"/>
      <c r="AT57" s="308"/>
      <c r="AU57" s="308"/>
      <c r="AV57" s="308"/>
      <c r="AW57" s="308"/>
      <c r="AX57" s="308"/>
      <c r="AY57" s="308"/>
      <c r="AZ57" s="308"/>
      <c r="BA57" s="308"/>
      <c r="BB57" s="308"/>
      <c r="BC57" s="308"/>
      <c r="BD57" s="308"/>
      <c r="BE57" s="308"/>
      <c r="BF57" s="308"/>
      <c r="BG57" s="308"/>
      <c r="BH57" s="308"/>
    </row>
    <row r="58" spans="1:60">
      <c r="A58" s="13"/>
      <c r="B58" s="179"/>
      <c r="C58" s="311"/>
      <c r="D58" s="311"/>
      <c r="E58" s="311"/>
      <c r="F58" s="311"/>
      <c r="G58" s="308"/>
      <c r="H58" s="308"/>
      <c r="I58" s="308"/>
      <c r="J58" s="308"/>
      <c r="K58" s="308"/>
      <c r="L58" s="308"/>
      <c r="M58" s="308"/>
      <c r="N58" s="308"/>
      <c r="O58" s="308"/>
      <c r="P58" s="308"/>
      <c r="Q58" s="308"/>
      <c r="R58" s="308"/>
      <c r="S58" s="308"/>
      <c r="T58" s="308"/>
      <c r="U58" s="308"/>
      <c r="V58" s="308"/>
      <c r="W58" s="308"/>
      <c r="X58" s="308"/>
      <c r="Y58" s="308"/>
      <c r="Z58" s="150"/>
      <c r="AA58" s="150"/>
      <c r="AB58" s="308"/>
      <c r="AC58" s="308"/>
      <c r="AD58" s="308"/>
      <c r="AE58" s="308"/>
      <c r="AF58" s="308"/>
      <c r="AG58" s="308"/>
      <c r="AH58" s="308"/>
      <c r="AI58" s="308"/>
      <c r="AJ58" s="308"/>
      <c r="AK58" s="308"/>
      <c r="AL58" s="308"/>
      <c r="AM58" s="308"/>
      <c r="AN58" s="308"/>
      <c r="AO58" s="308"/>
      <c r="AP58" s="308"/>
      <c r="AQ58" s="308"/>
      <c r="AR58" s="308"/>
      <c r="AS58" s="308"/>
      <c r="AT58" s="308"/>
      <c r="AU58" s="308"/>
      <c r="AV58" s="308"/>
      <c r="AW58" s="308"/>
      <c r="AX58" s="308"/>
      <c r="AY58" s="308"/>
      <c r="AZ58" s="308"/>
      <c r="BA58" s="308"/>
      <c r="BB58" s="308"/>
      <c r="BC58" s="308"/>
      <c r="BD58" s="308"/>
      <c r="BE58" s="308"/>
      <c r="BF58" s="308"/>
      <c r="BG58" s="308"/>
      <c r="BH58" s="308"/>
    </row>
    <row r="59" spans="1:60">
      <c r="A59" s="13"/>
      <c r="B59" s="179"/>
      <c r="C59" s="311"/>
      <c r="D59" s="311"/>
      <c r="E59" s="311"/>
      <c r="F59" s="311"/>
      <c r="G59" s="308"/>
      <c r="H59" s="308"/>
      <c r="I59" s="308"/>
      <c r="J59" s="308"/>
      <c r="K59" s="308"/>
      <c r="L59" s="308"/>
      <c r="M59" s="308"/>
      <c r="N59" s="308"/>
      <c r="O59" s="308"/>
      <c r="P59" s="308"/>
      <c r="Q59" s="308"/>
      <c r="R59" s="308"/>
      <c r="S59" s="308"/>
      <c r="T59" s="308"/>
      <c r="U59" s="308"/>
      <c r="V59" s="308"/>
      <c r="W59" s="308"/>
      <c r="X59" s="308"/>
      <c r="Y59" s="308"/>
      <c r="Z59" s="150"/>
      <c r="AA59" s="150"/>
      <c r="AB59" s="308"/>
      <c r="AC59" s="308"/>
      <c r="AD59" s="308"/>
      <c r="AE59" s="308"/>
      <c r="AF59" s="308"/>
      <c r="AG59" s="308"/>
      <c r="AH59" s="308"/>
      <c r="AI59" s="308"/>
      <c r="AJ59" s="308"/>
      <c r="AK59" s="308"/>
      <c r="AL59" s="308"/>
      <c r="AM59" s="308"/>
      <c r="AN59" s="308"/>
      <c r="AO59" s="308"/>
      <c r="AP59" s="308"/>
      <c r="AQ59" s="308"/>
      <c r="AR59" s="308"/>
      <c r="AS59" s="308"/>
      <c r="AT59" s="308"/>
      <c r="AU59" s="308"/>
      <c r="AV59" s="308"/>
      <c r="AW59" s="308"/>
      <c r="AX59" s="308"/>
      <c r="AY59" s="308"/>
      <c r="AZ59" s="308"/>
      <c r="BA59" s="308"/>
      <c r="BB59" s="308"/>
      <c r="BC59" s="308"/>
      <c r="BD59" s="308"/>
      <c r="BE59" s="308"/>
      <c r="BF59" s="308"/>
      <c r="BG59" s="308"/>
      <c r="BH59" s="308"/>
    </row>
    <row r="60" spans="1:60">
      <c r="A60" s="13"/>
      <c r="B60" s="179"/>
      <c r="C60" s="311"/>
      <c r="D60" s="311"/>
      <c r="E60" s="311"/>
      <c r="F60" s="311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150"/>
      <c r="AA60" s="150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308"/>
      <c r="AW60" s="308"/>
      <c r="AX60" s="308"/>
      <c r="AY60" s="308"/>
    </row>
    <row r="61" spans="1:60">
      <c r="A61" s="179"/>
      <c r="B61" s="179"/>
      <c r="C61" s="311"/>
      <c r="D61" s="311"/>
      <c r="E61" s="311"/>
      <c r="F61" s="311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150"/>
      <c r="AA61" s="150"/>
      <c r="AB61" s="308"/>
      <c r="AC61" s="308"/>
      <c r="AD61" s="308"/>
      <c r="AE61" s="308"/>
      <c r="AF61" s="308"/>
      <c r="AG61" s="308"/>
      <c r="AH61" s="308"/>
      <c r="AI61" s="308"/>
      <c r="AJ61" s="308"/>
      <c r="AK61" s="308"/>
      <c r="AL61" s="308"/>
      <c r="AM61" s="308"/>
      <c r="AN61" s="308"/>
      <c r="AO61" s="308"/>
      <c r="AP61" s="308"/>
      <c r="AQ61" s="308"/>
      <c r="AR61" s="308"/>
      <c r="AS61" s="308"/>
      <c r="AT61" s="308"/>
      <c r="AU61" s="308"/>
      <c r="AV61" s="308"/>
      <c r="AW61" s="308"/>
      <c r="AX61" s="308"/>
      <c r="AY61" s="308"/>
    </row>
    <row r="62" spans="1:60">
      <c r="C62" s="308"/>
      <c r="D62" s="308"/>
      <c r="E62" s="308"/>
      <c r="F62" s="308"/>
      <c r="G62" s="308"/>
      <c r="H62" s="308"/>
      <c r="I62" s="308"/>
      <c r="J62" s="308"/>
      <c r="K62" s="308"/>
      <c r="L62" s="308"/>
      <c r="M62" s="308"/>
      <c r="N62" s="308"/>
      <c r="O62" s="308"/>
      <c r="P62" s="308"/>
      <c r="Q62" s="308"/>
      <c r="R62" s="308"/>
      <c r="S62" s="308"/>
      <c r="T62" s="308"/>
      <c r="U62" s="308"/>
      <c r="V62" s="308"/>
      <c r="W62" s="308"/>
      <c r="X62" s="308"/>
      <c r="Y62" s="308"/>
      <c r="Z62" s="150"/>
      <c r="AA62" s="150"/>
      <c r="AB62" s="308"/>
      <c r="AC62" s="308"/>
      <c r="AD62" s="308"/>
      <c r="AE62" s="308"/>
      <c r="AF62" s="308"/>
      <c r="AG62" s="308"/>
      <c r="AH62" s="308"/>
      <c r="AI62" s="308"/>
      <c r="AJ62" s="308"/>
      <c r="AK62" s="308"/>
      <c r="AL62" s="308"/>
      <c r="AM62" s="308"/>
      <c r="AN62" s="308"/>
      <c r="AO62" s="308"/>
      <c r="AP62" s="308"/>
      <c r="AQ62" s="308"/>
      <c r="AR62" s="308"/>
      <c r="AS62" s="308"/>
      <c r="AT62" s="308"/>
      <c r="AU62" s="308"/>
      <c r="AV62" s="308"/>
      <c r="AW62" s="308"/>
      <c r="AX62" s="308"/>
      <c r="AY62" s="308"/>
    </row>
    <row r="63" spans="1:60">
      <c r="C63" s="308"/>
      <c r="D63" s="308"/>
      <c r="E63" s="308"/>
      <c r="F63" s="308"/>
      <c r="G63" s="308"/>
      <c r="H63" s="308"/>
      <c r="I63" s="308"/>
      <c r="J63" s="308"/>
      <c r="K63" s="308"/>
      <c r="L63" s="308"/>
      <c r="M63" s="308"/>
      <c r="N63" s="308"/>
      <c r="O63" s="308"/>
      <c r="P63" s="308"/>
      <c r="Q63" s="308"/>
      <c r="R63" s="308"/>
      <c r="S63" s="308"/>
      <c r="T63" s="308"/>
      <c r="U63" s="308"/>
      <c r="V63" s="308"/>
      <c r="W63" s="308"/>
      <c r="X63" s="308"/>
      <c r="Y63" s="308"/>
      <c r="Z63" s="150"/>
      <c r="AA63" s="150"/>
      <c r="AB63" s="308"/>
      <c r="AC63" s="308"/>
      <c r="AD63" s="308"/>
      <c r="AE63" s="308"/>
      <c r="AF63" s="308"/>
      <c r="AG63" s="308"/>
      <c r="AH63" s="308"/>
      <c r="AI63" s="308"/>
      <c r="AJ63" s="308"/>
      <c r="AK63" s="308"/>
      <c r="AL63" s="308"/>
      <c r="AM63" s="308"/>
      <c r="AN63" s="308"/>
      <c r="AO63" s="308"/>
      <c r="AP63" s="308"/>
      <c r="AQ63" s="308"/>
      <c r="AR63" s="308"/>
      <c r="AS63" s="308"/>
      <c r="AT63" s="308"/>
      <c r="AU63" s="308"/>
      <c r="AV63" s="308"/>
      <c r="AW63" s="308"/>
      <c r="AX63" s="308"/>
      <c r="AY63" s="308"/>
    </row>
    <row r="64" spans="1:60"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08"/>
      <c r="P64" s="308"/>
      <c r="Q64" s="308"/>
      <c r="R64" s="308"/>
      <c r="S64" s="308"/>
      <c r="T64" s="308"/>
      <c r="U64" s="308"/>
      <c r="V64" s="308"/>
      <c r="W64" s="308"/>
      <c r="X64" s="308"/>
      <c r="Y64" s="308"/>
      <c r="Z64" s="150"/>
      <c r="AA64" s="150"/>
      <c r="AB64" s="308"/>
      <c r="AC64" s="308"/>
      <c r="AD64" s="308"/>
      <c r="AE64" s="308"/>
      <c r="AF64" s="308"/>
      <c r="AG64" s="308"/>
      <c r="AH64" s="308"/>
      <c r="AI64" s="308"/>
      <c r="AJ64" s="308"/>
      <c r="AK64" s="308"/>
      <c r="AL64" s="308"/>
      <c r="AM64" s="308"/>
      <c r="AN64" s="308"/>
      <c r="AO64" s="308"/>
      <c r="AP64" s="308"/>
      <c r="AQ64" s="308"/>
      <c r="AR64" s="308"/>
      <c r="AS64" s="308"/>
      <c r="AT64" s="308"/>
      <c r="AU64" s="308"/>
      <c r="AV64" s="308"/>
      <c r="AW64" s="308"/>
      <c r="AX64" s="308"/>
      <c r="AY64" s="308"/>
    </row>
    <row r="65" spans="3:51"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150"/>
      <c r="AA65" s="150"/>
      <c r="AB65" s="308"/>
      <c r="AC65" s="308"/>
      <c r="AD65" s="308"/>
      <c r="AE65" s="308"/>
      <c r="AF65" s="308"/>
      <c r="AG65" s="308"/>
      <c r="AH65" s="308"/>
      <c r="AI65" s="308"/>
      <c r="AJ65" s="308"/>
      <c r="AK65" s="308"/>
      <c r="AL65" s="308"/>
      <c r="AM65" s="308"/>
      <c r="AN65" s="308"/>
      <c r="AO65" s="308"/>
      <c r="AP65" s="308"/>
      <c r="AQ65" s="308"/>
      <c r="AR65" s="308"/>
      <c r="AS65" s="308"/>
      <c r="AT65" s="308"/>
      <c r="AU65" s="308"/>
      <c r="AV65" s="308"/>
      <c r="AW65" s="308"/>
      <c r="AX65" s="308"/>
      <c r="AY65" s="308"/>
    </row>
    <row r="66" spans="3:51"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150"/>
      <c r="AA66" s="150"/>
      <c r="AB66" s="308"/>
      <c r="AC66" s="308"/>
      <c r="AD66" s="308"/>
      <c r="AE66" s="308"/>
      <c r="AF66" s="308"/>
      <c r="AG66" s="308"/>
      <c r="AH66" s="308"/>
      <c r="AI66" s="308"/>
      <c r="AJ66" s="308"/>
      <c r="AK66" s="308"/>
      <c r="AL66" s="308"/>
      <c r="AM66" s="308"/>
      <c r="AN66" s="308"/>
      <c r="AO66" s="308"/>
      <c r="AP66" s="308"/>
      <c r="AQ66" s="308"/>
      <c r="AR66" s="308"/>
      <c r="AS66" s="308"/>
      <c r="AT66" s="308"/>
      <c r="AU66" s="308"/>
      <c r="AV66" s="308"/>
      <c r="AW66" s="308"/>
      <c r="AX66" s="308"/>
      <c r="AY66" s="308"/>
    </row>
    <row r="67" spans="3:51">
      <c r="C67" s="308"/>
      <c r="D67" s="308"/>
      <c r="E67" s="308"/>
      <c r="F67" s="308"/>
      <c r="G67" s="308"/>
      <c r="H67" s="308"/>
      <c r="I67" s="308"/>
      <c r="J67" s="308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150"/>
      <c r="AA67" s="150"/>
      <c r="AB67" s="308"/>
      <c r="AC67" s="308"/>
      <c r="AD67" s="308"/>
      <c r="AE67" s="308"/>
      <c r="AF67" s="308"/>
      <c r="AG67" s="308"/>
      <c r="AH67" s="308"/>
      <c r="AI67" s="308"/>
      <c r="AJ67" s="308"/>
      <c r="AK67" s="308"/>
      <c r="AL67" s="308"/>
      <c r="AM67" s="308"/>
      <c r="AN67" s="308"/>
      <c r="AO67" s="308"/>
      <c r="AP67" s="308"/>
      <c r="AQ67" s="308"/>
      <c r="AR67" s="308"/>
      <c r="AS67" s="308"/>
      <c r="AT67" s="308"/>
      <c r="AU67" s="308"/>
      <c r="AV67" s="308"/>
      <c r="AW67" s="308"/>
      <c r="AX67" s="308"/>
      <c r="AY67" s="308"/>
    </row>
    <row r="68" spans="3:51">
      <c r="C68" s="308"/>
      <c r="D68" s="308"/>
      <c r="E68" s="308"/>
      <c r="F68" s="308"/>
      <c r="G68" s="308"/>
      <c r="H68" s="308"/>
      <c r="I68" s="308"/>
      <c r="J68" s="308"/>
      <c r="K68" s="308"/>
      <c r="L68" s="308"/>
      <c r="M68" s="308"/>
      <c r="N68" s="308"/>
      <c r="O68" s="308"/>
      <c r="P68" s="308"/>
      <c r="Q68" s="308"/>
      <c r="R68" s="308"/>
      <c r="S68" s="308"/>
      <c r="T68" s="308"/>
      <c r="U68" s="308"/>
      <c r="V68" s="308"/>
      <c r="W68" s="308"/>
      <c r="X68" s="308"/>
      <c r="Y68" s="308"/>
      <c r="Z68" s="150"/>
      <c r="AA68" s="150"/>
      <c r="AB68" s="308"/>
      <c r="AC68" s="308"/>
      <c r="AD68" s="308"/>
      <c r="AE68" s="308"/>
      <c r="AF68" s="308"/>
      <c r="AG68" s="308"/>
      <c r="AH68" s="308"/>
      <c r="AI68" s="308"/>
      <c r="AJ68" s="308"/>
      <c r="AK68" s="308"/>
      <c r="AL68" s="308"/>
      <c r="AM68" s="308"/>
      <c r="AN68" s="308"/>
      <c r="AO68" s="308"/>
      <c r="AP68" s="308"/>
      <c r="AQ68" s="308"/>
      <c r="AR68" s="308"/>
      <c r="AS68" s="308"/>
      <c r="AT68" s="308"/>
      <c r="AU68" s="308"/>
      <c r="AV68" s="308"/>
      <c r="AW68" s="308"/>
      <c r="AX68" s="308"/>
      <c r="AY68" s="308"/>
    </row>
    <row r="69" spans="3:51">
      <c r="C69" s="308"/>
      <c r="D69" s="308"/>
      <c r="E69" s="308"/>
      <c r="F69" s="308"/>
      <c r="G69" s="308"/>
      <c r="H69" s="308"/>
      <c r="I69" s="308"/>
      <c r="J69" s="308"/>
      <c r="K69" s="308"/>
      <c r="L69" s="308"/>
      <c r="M69" s="308"/>
      <c r="N69" s="308"/>
      <c r="O69" s="308"/>
      <c r="P69" s="308"/>
      <c r="Q69" s="308"/>
      <c r="R69" s="308"/>
      <c r="S69" s="308"/>
      <c r="T69" s="308"/>
      <c r="U69" s="308"/>
      <c r="V69" s="308"/>
      <c r="W69" s="308"/>
      <c r="X69" s="308"/>
      <c r="Y69" s="308"/>
      <c r="Z69" s="150"/>
      <c r="AA69" s="150"/>
      <c r="AB69" s="308"/>
      <c r="AC69" s="308"/>
      <c r="AD69" s="308"/>
      <c r="AE69" s="308"/>
      <c r="AF69" s="308"/>
      <c r="AG69" s="308"/>
      <c r="AH69" s="308"/>
      <c r="AI69" s="308"/>
      <c r="AJ69" s="308"/>
      <c r="AK69" s="308"/>
      <c r="AL69" s="308"/>
      <c r="AM69" s="308"/>
      <c r="AN69" s="308"/>
      <c r="AO69" s="308"/>
      <c r="AP69" s="308"/>
      <c r="AQ69" s="308"/>
      <c r="AR69" s="308"/>
      <c r="AS69" s="308"/>
      <c r="AT69" s="308"/>
      <c r="AU69" s="308"/>
      <c r="AV69" s="308"/>
      <c r="AW69" s="308"/>
      <c r="AX69" s="308"/>
      <c r="AY69" s="308"/>
    </row>
    <row r="70" spans="3:51"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08"/>
      <c r="P70" s="308"/>
      <c r="Q70" s="308"/>
      <c r="R70" s="308"/>
      <c r="S70" s="308"/>
      <c r="T70" s="308"/>
      <c r="U70" s="308"/>
      <c r="V70" s="308"/>
      <c r="W70" s="308"/>
      <c r="X70" s="308"/>
      <c r="Y70" s="308"/>
      <c r="Z70" s="150"/>
      <c r="AA70" s="150"/>
      <c r="AB70" s="308"/>
      <c r="AC70" s="308"/>
      <c r="AD70" s="308"/>
      <c r="AE70" s="308"/>
      <c r="AF70" s="308"/>
      <c r="AG70" s="308"/>
      <c r="AH70" s="308"/>
      <c r="AI70" s="308"/>
      <c r="AJ70" s="308"/>
      <c r="AK70" s="308"/>
      <c r="AL70" s="308"/>
      <c r="AM70" s="308"/>
      <c r="AN70" s="308"/>
      <c r="AO70" s="308"/>
      <c r="AP70" s="308"/>
      <c r="AQ70" s="308"/>
      <c r="AR70" s="308"/>
      <c r="AS70" s="308"/>
      <c r="AT70" s="308"/>
      <c r="AU70" s="308"/>
      <c r="AV70" s="308"/>
      <c r="AW70" s="308"/>
      <c r="AX70" s="308"/>
      <c r="AY70" s="308"/>
    </row>
    <row r="71" spans="3:51"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08"/>
      <c r="P71" s="308"/>
      <c r="Q71" s="308"/>
      <c r="R71" s="308"/>
      <c r="S71" s="308"/>
      <c r="T71" s="308"/>
      <c r="U71" s="308"/>
      <c r="V71" s="308"/>
      <c r="W71" s="308"/>
      <c r="X71" s="308"/>
      <c r="Y71" s="308"/>
      <c r="Z71" s="150"/>
      <c r="AA71" s="150"/>
      <c r="AB71" s="308"/>
      <c r="AC71" s="308"/>
      <c r="AD71" s="308"/>
      <c r="AE71" s="308"/>
      <c r="AF71" s="308"/>
      <c r="AG71" s="308"/>
      <c r="AH71" s="308"/>
      <c r="AI71" s="308"/>
      <c r="AJ71" s="308"/>
      <c r="AK71" s="308"/>
      <c r="AL71" s="308"/>
      <c r="AM71" s="308"/>
      <c r="AN71" s="308"/>
      <c r="AO71" s="308"/>
      <c r="AP71" s="308"/>
      <c r="AQ71" s="308"/>
      <c r="AR71" s="308"/>
      <c r="AS71" s="308"/>
      <c r="AT71" s="308"/>
      <c r="AU71" s="308"/>
      <c r="AV71" s="308"/>
      <c r="AW71" s="308"/>
      <c r="AX71" s="308"/>
      <c r="AY71" s="308"/>
    </row>
    <row r="72" spans="3:51"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150"/>
      <c r="AA72" s="150"/>
      <c r="AB72" s="308"/>
      <c r="AC72" s="308"/>
      <c r="AD72" s="308"/>
      <c r="AE72" s="308"/>
      <c r="AF72" s="308"/>
      <c r="AG72" s="308"/>
      <c r="AH72" s="308"/>
      <c r="AI72" s="308"/>
      <c r="AJ72" s="308"/>
      <c r="AK72" s="308"/>
      <c r="AL72" s="308"/>
      <c r="AM72" s="308"/>
      <c r="AN72" s="308"/>
      <c r="AO72" s="308"/>
      <c r="AP72" s="308"/>
      <c r="AQ72" s="308"/>
      <c r="AR72" s="308"/>
      <c r="AS72" s="308"/>
      <c r="AT72" s="308"/>
      <c r="AU72" s="308"/>
      <c r="AV72" s="308"/>
      <c r="AW72" s="308"/>
      <c r="AX72" s="308"/>
      <c r="AY72" s="308"/>
    </row>
    <row r="73" spans="3:51"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150"/>
      <c r="AA73" s="150"/>
      <c r="AB73" s="308"/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8"/>
      <c r="AP73" s="308"/>
      <c r="AQ73" s="308"/>
      <c r="AR73" s="308"/>
      <c r="AS73" s="308"/>
      <c r="AT73" s="308"/>
      <c r="AU73" s="308"/>
      <c r="AV73" s="308"/>
      <c r="AW73" s="308"/>
      <c r="AX73" s="308"/>
      <c r="AY73" s="308"/>
    </row>
    <row r="74" spans="3:51">
      <c r="C74" s="308"/>
      <c r="D74" s="308"/>
      <c r="E74" s="308"/>
      <c r="F74" s="308"/>
      <c r="G74" s="308"/>
      <c r="H74" s="308"/>
      <c r="I74" s="308"/>
      <c r="J74" s="308"/>
      <c r="K74" s="308"/>
      <c r="L74" s="308"/>
      <c r="M74" s="308"/>
      <c r="N74" s="308"/>
      <c r="O74" s="308"/>
      <c r="P74" s="308"/>
      <c r="Q74" s="308"/>
      <c r="R74" s="308"/>
      <c r="S74" s="308"/>
      <c r="T74" s="308"/>
      <c r="U74" s="308"/>
      <c r="V74" s="308"/>
      <c r="W74" s="308"/>
      <c r="X74" s="308"/>
      <c r="Y74" s="308"/>
      <c r="Z74" s="150"/>
      <c r="AA74" s="150"/>
      <c r="AB74" s="308"/>
      <c r="AC74" s="308"/>
      <c r="AD74" s="308"/>
      <c r="AE74" s="308"/>
      <c r="AF74" s="308"/>
      <c r="AG74" s="308"/>
      <c r="AH74" s="308"/>
      <c r="AI74" s="308"/>
      <c r="AJ74" s="308"/>
      <c r="AK74" s="308"/>
      <c r="AL74" s="308"/>
      <c r="AM74" s="308"/>
      <c r="AN74" s="308"/>
      <c r="AO74" s="308"/>
      <c r="AP74" s="308"/>
      <c r="AQ74" s="308"/>
      <c r="AR74" s="308"/>
      <c r="AS74" s="308"/>
      <c r="AT74" s="308"/>
      <c r="AU74" s="308"/>
      <c r="AV74" s="308"/>
      <c r="AW74" s="308"/>
      <c r="AX74" s="308"/>
      <c r="AY74" s="308"/>
    </row>
    <row r="75" spans="3:51">
      <c r="C75" s="308"/>
      <c r="D75" s="308"/>
      <c r="E75" s="308"/>
      <c r="F75" s="308"/>
      <c r="G75" s="308"/>
      <c r="H75" s="308"/>
      <c r="I75" s="308"/>
      <c r="J75" s="308"/>
      <c r="K75" s="308"/>
      <c r="L75" s="308"/>
      <c r="M75" s="308"/>
      <c r="N75" s="308"/>
      <c r="O75" s="308"/>
      <c r="P75" s="308"/>
      <c r="Q75" s="308"/>
      <c r="R75" s="308"/>
      <c r="S75" s="308"/>
      <c r="T75" s="308"/>
      <c r="U75" s="308"/>
      <c r="V75" s="308"/>
      <c r="W75" s="308"/>
      <c r="X75" s="308"/>
      <c r="Y75" s="308"/>
      <c r="Z75" s="150"/>
      <c r="AA75" s="150"/>
      <c r="AB75" s="308"/>
      <c r="AC75" s="308"/>
      <c r="AD75" s="308"/>
      <c r="AE75" s="308"/>
      <c r="AF75" s="308"/>
      <c r="AG75" s="308"/>
      <c r="AH75" s="308"/>
      <c r="AI75" s="308"/>
      <c r="AJ75" s="308"/>
      <c r="AK75" s="308"/>
      <c r="AL75" s="308"/>
      <c r="AM75" s="308"/>
      <c r="AN75" s="308"/>
      <c r="AO75" s="308"/>
      <c r="AP75" s="308"/>
      <c r="AQ75" s="308"/>
      <c r="AR75" s="308"/>
      <c r="AS75" s="308"/>
      <c r="AT75" s="308"/>
      <c r="AU75" s="308"/>
      <c r="AV75" s="308"/>
      <c r="AW75" s="308"/>
      <c r="AX75" s="308"/>
      <c r="AY75" s="308"/>
    </row>
    <row r="76" spans="3:51"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08"/>
      <c r="P76" s="308"/>
      <c r="Q76" s="308"/>
      <c r="R76" s="308"/>
      <c r="S76" s="308"/>
      <c r="T76" s="308"/>
      <c r="U76" s="308"/>
      <c r="V76" s="308"/>
      <c r="W76" s="308"/>
      <c r="X76" s="308"/>
      <c r="Y76" s="308"/>
      <c r="Z76" s="150"/>
      <c r="AA76" s="150"/>
      <c r="AB76" s="308"/>
      <c r="AC76" s="308"/>
      <c r="AD76" s="308"/>
      <c r="AE76" s="308"/>
      <c r="AF76" s="308"/>
      <c r="AG76" s="308"/>
      <c r="AH76" s="308"/>
      <c r="AI76" s="308"/>
      <c r="AJ76" s="308"/>
      <c r="AK76" s="308"/>
      <c r="AL76" s="308"/>
      <c r="AM76" s="308"/>
      <c r="AN76" s="308"/>
      <c r="AO76" s="308"/>
      <c r="AP76" s="308"/>
      <c r="AQ76" s="308"/>
      <c r="AR76" s="308"/>
      <c r="AS76" s="308"/>
      <c r="AT76" s="308"/>
      <c r="AU76" s="308"/>
      <c r="AV76" s="308"/>
      <c r="AW76" s="308"/>
      <c r="AX76" s="308"/>
      <c r="AY76" s="308"/>
    </row>
    <row r="77" spans="3:51"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08"/>
      <c r="P77" s="308"/>
      <c r="Q77" s="308"/>
      <c r="R77" s="308"/>
      <c r="S77" s="308"/>
      <c r="T77" s="308"/>
      <c r="U77" s="308"/>
      <c r="V77" s="308"/>
      <c r="W77" s="308"/>
      <c r="X77" s="308"/>
      <c r="Y77" s="308"/>
      <c r="Z77" s="150"/>
      <c r="AA77" s="150"/>
      <c r="AB77" s="308"/>
      <c r="AC77" s="308"/>
      <c r="AD77" s="308"/>
      <c r="AE77" s="308"/>
      <c r="AF77" s="308"/>
      <c r="AG77" s="308"/>
      <c r="AH77" s="308"/>
      <c r="AI77" s="308"/>
      <c r="AJ77" s="308"/>
      <c r="AK77" s="308"/>
      <c r="AL77" s="308"/>
      <c r="AM77" s="308"/>
      <c r="AN77" s="308"/>
      <c r="AO77" s="308"/>
      <c r="AP77" s="308"/>
      <c r="AQ77" s="308"/>
      <c r="AR77" s="308"/>
      <c r="AS77" s="308"/>
      <c r="AT77" s="308"/>
      <c r="AU77" s="308"/>
      <c r="AV77" s="308"/>
      <c r="AW77" s="308"/>
      <c r="AX77" s="308"/>
      <c r="AY77" s="308"/>
    </row>
    <row r="78" spans="3:51"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150"/>
      <c r="AA78" s="150"/>
      <c r="AB78" s="308"/>
      <c r="AC78" s="308"/>
      <c r="AD78" s="308"/>
      <c r="AE78" s="308"/>
      <c r="AF78" s="308"/>
      <c r="AG78" s="308"/>
      <c r="AH78" s="308"/>
      <c r="AI78" s="308"/>
      <c r="AJ78" s="308"/>
      <c r="AK78" s="308"/>
      <c r="AL78" s="308"/>
      <c r="AM78" s="308"/>
      <c r="AN78" s="308"/>
      <c r="AO78" s="308"/>
      <c r="AP78" s="308"/>
      <c r="AQ78" s="308"/>
      <c r="AR78" s="308"/>
      <c r="AS78" s="308"/>
      <c r="AT78" s="308"/>
      <c r="AU78" s="308"/>
      <c r="AV78" s="308"/>
      <c r="AW78" s="308"/>
      <c r="AX78" s="308"/>
      <c r="AY78" s="308"/>
    </row>
    <row r="79" spans="3:51"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150"/>
      <c r="AA79" s="150"/>
      <c r="AB79" s="308"/>
      <c r="AC79" s="308"/>
      <c r="AD79" s="308"/>
      <c r="AE79" s="308"/>
      <c r="AF79" s="308"/>
      <c r="AG79" s="308"/>
      <c r="AH79" s="308"/>
      <c r="AI79" s="308"/>
      <c r="AJ79" s="308"/>
      <c r="AK79" s="308"/>
      <c r="AL79" s="308"/>
      <c r="AM79" s="308"/>
      <c r="AN79" s="308"/>
      <c r="AO79" s="308"/>
      <c r="AP79" s="308"/>
      <c r="AQ79" s="308"/>
      <c r="AR79" s="308"/>
      <c r="AS79" s="308"/>
      <c r="AT79" s="308"/>
      <c r="AU79" s="308"/>
      <c r="AV79" s="308"/>
      <c r="AW79" s="308"/>
      <c r="AX79" s="308"/>
      <c r="AY79" s="308"/>
    </row>
    <row r="80" spans="3:51">
      <c r="C80" s="308"/>
      <c r="D80" s="308"/>
      <c r="E80" s="308"/>
      <c r="F80" s="308"/>
      <c r="G80" s="308"/>
      <c r="H80" s="308"/>
      <c r="I80" s="308"/>
      <c r="J80" s="308"/>
      <c r="K80" s="308"/>
      <c r="L80" s="308"/>
      <c r="M80" s="308"/>
      <c r="N80" s="308"/>
      <c r="O80" s="308"/>
      <c r="P80" s="308"/>
      <c r="Q80" s="308"/>
      <c r="R80" s="308"/>
      <c r="S80" s="308"/>
      <c r="T80" s="308"/>
      <c r="U80" s="308"/>
      <c r="V80" s="308"/>
      <c r="W80" s="308"/>
      <c r="X80" s="308"/>
      <c r="Y80" s="308"/>
      <c r="Z80" s="150"/>
      <c r="AA80" s="150"/>
      <c r="AB80" s="308"/>
      <c r="AC80" s="308"/>
      <c r="AD80" s="308"/>
      <c r="AE80" s="308"/>
      <c r="AF80" s="308"/>
      <c r="AG80" s="308"/>
      <c r="AH80" s="308"/>
      <c r="AI80" s="308"/>
      <c r="AJ80" s="308"/>
      <c r="AK80" s="308"/>
      <c r="AL80" s="308"/>
      <c r="AM80" s="308"/>
      <c r="AN80" s="308"/>
      <c r="AO80" s="308"/>
      <c r="AP80" s="308"/>
      <c r="AQ80" s="308"/>
      <c r="AR80" s="308"/>
      <c r="AS80" s="308"/>
      <c r="AT80" s="308"/>
      <c r="AU80" s="308"/>
      <c r="AV80" s="308"/>
      <c r="AW80" s="308"/>
      <c r="AX80" s="308"/>
      <c r="AY80" s="308"/>
    </row>
    <row r="81" spans="3:51"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M81" s="308"/>
      <c r="N81" s="308"/>
      <c r="O81" s="308"/>
      <c r="P81" s="308"/>
      <c r="Q81" s="308"/>
      <c r="R81" s="308"/>
      <c r="S81" s="308"/>
      <c r="T81" s="308"/>
      <c r="U81" s="308"/>
      <c r="V81" s="308"/>
      <c r="W81" s="308"/>
      <c r="X81" s="308"/>
      <c r="Y81" s="308"/>
      <c r="Z81" s="150"/>
      <c r="AA81" s="150"/>
      <c r="AB81" s="308"/>
      <c r="AC81" s="308"/>
      <c r="AD81" s="308"/>
      <c r="AE81" s="308"/>
      <c r="AF81" s="308"/>
      <c r="AG81" s="308"/>
      <c r="AH81" s="308"/>
      <c r="AI81" s="308"/>
      <c r="AJ81" s="308"/>
      <c r="AK81" s="308"/>
      <c r="AL81" s="308"/>
      <c r="AM81" s="308"/>
      <c r="AN81" s="308"/>
      <c r="AO81" s="308"/>
      <c r="AP81" s="308"/>
      <c r="AQ81" s="308"/>
      <c r="AR81" s="308"/>
      <c r="AS81" s="308"/>
      <c r="AT81" s="308"/>
      <c r="AU81" s="308"/>
      <c r="AV81" s="308"/>
      <c r="AW81" s="308"/>
      <c r="AX81" s="308"/>
      <c r="AY81" s="308"/>
    </row>
    <row r="82" spans="3:51"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08"/>
      <c r="P82" s="308"/>
      <c r="Q82" s="308"/>
      <c r="R82" s="308"/>
      <c r="S82" s="308"/>
      <c r="T82" s="308"/>
      <c r="U82" s="308"/>
      <c r="V82" s="308"/>
      <c r="W82" s="308"/>
      <c r="X82" s="308"/>
      <c r="Y82" s="308"/>
      <c r="Z82" s="150"/>
      <c r="AA82" s="150"/>
      <c r="AB82" s="308"/>
      <c r="AC82" s="308"/>
      <c r="AD82" s="308"/>
      <c r="AE82" s="308"/>
      <c r="AF82" s="308"/>
      <c r="AG82" s="308"/>
      <c r="AH82" s="308"/>
      <c r="AI82" s="308"/>
      <c r="AJ82" s="308"/>
      <c r="AK82" s="308"/>
      <c r="AL82" s="308"/>
      <c r="AM82" s="308"/>
      <c r="AN82" s="308"/>
      <c r="AO82" s="308"/>
      <c r="AP82" s="308"/>
      <c r="AQ82" s="308"/>
      <c r="AR82" s="308"/>
      <c r="AS82" s="308"/>
      <c r="AT82" s="308"/>
      <c r="AU82" s="308"/>
      <c r="AV82" s="308"/>
      <c r="AW82" s="308"/>
      <c r="AX82" s="308"/>
      <c r="AY82" s="308"/>
    </row>
    <row r="83" spans="3:51"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150"/>
      <c r="AA83" s="150"/>
      <c r="AB83" s="308"/>
      <c r="AC83" s="308"/>
      <c r="AD83" s="308"/>
      <c r="AE83" s="308"/>
      <c r="AF83" s="308"/>
      <c r="AG83" s="308"/>
      <c r="AH83" s="308"/>
      <c r="AI83" s="308"/>
      <c r="AJ83" s="308"/>
      <c r="AK83" s="308"/>
      <c r="AL83" s="308"/>
      <c r="AM83" s="308"/>
      <c r="AN83" s="308"/>
      <c r="AO83" s="308"/>
      <c r="AP83" s="308"/>
      <c r="AQ83" s="308"/>
      <c r="AR83" s="308"/>
      <c r="AS83" s="308"/>
      <c r="AT83" s="308"/>
      <c r="AU83" s="308"/>
      <c r="AV83" s="308"/>
      <c r="AW83" s="308"/>
      <c r="AX83" s="308"/>
      <c r="AY83" s="308"/>
    </row>
    <row r="84" spans="3:51"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150"/>
      <c r="AA84" s="150"/>
      <c r="AB84" s="308"/>
      <c r="AC84" s="308"/>
      <c r="AD84" s="308"/>
      <c r="AE84" s="308"/>
      <c r="AF84" s="308"/>
      <c r="AG84" s="308"/>
      <c r="AH84" s="308"/>
      <c r="AI84" s="308"/>
      <c r="AJ84" s="308"/>
      <c r="AK84" s="308"/>
      <c r="AL84" s="308"/>
      <c r="AM84" s="308"/>
      <c r="AN84" s="308"/>
      <c r="AO84" s="308"/>
      <c r="AP84" s="308"/>
      <c r="AQ84" s="308"/>
      <c r="AR84" s="308"/>
      <c r="AS84" s="308"/>
      <c r="AT84" s="308"/>
      <c r="AU84" s="308"/>
      <c r="AV84" s="308"/>
      <c r="AW84" s="308"/>
      <c r="AX84" s="308"/>
      <c r="AY84" s="308"/>
    </row>
    <row r="85" spans="3:51"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150"/>
      <c r="AA85" s="150"/>
      <c r="AB85" s="308"/>
      <c r="AC85" s="308"/>
      <c r="AD85" s="308"/>
      <c r="AE85" s="308"/>
      <c r="AF85" s="308"/>
      <c r="AG85" s="308"/>
      <c r="AH85" s="308"/>
      <c r="AI85" s="308"/>
      <c r="AJ85" s="308"/>
      <c r="AK85" s="308"/>
      <c r="AL85" s="308"/>
      <c r="AM85" s="308"/>
      <c r="AN85" s="308"/>
      <c r="AO85" s="308"/>
      <c r="AP85" s="308"/>
      <c r="AQ85" s="308"/>
      <c r="AR85" s="308"/>
      <c r="AS85" s="308"/>
      <c r="AT85" s="308"/>
      <c r="AU85" s="308"/>
      <c r="AV85" s="308"/>
      <c r="AW85" s="308"/>
      <c r="AX85" s="308"/>
      <c r="AY85" s="308"/>
    </row>
    <row r="86" spans="3:51">
      <c r="C86" s="308"/>
      <c r="D86" s="308"/>
      <c r="E86" s="308"/>
      <c r="F86" s="308"/>
      <c r="G86" s="308"/>
      <c r="H86" s="308"/>
      <c r="I86" s="308"/>
      <c r="J86" s="308"/>
      <c r="K86" s="308"/>
      <c r="L86" s="308"/>
      <c r="M86" s="308"/>
      <c r="N86" s="308"/>
      <c r="O86" s="308"/>
      <c r="P86" s="308"/>
      <c r="Q86" s="308"/>
      <c r="R86" s="308"/>
      <c r="S86" s="308"/>
      <c r="T86" s="308"/>
      <c r="U86" s="308"/>
      <c r="V86" s="308"/>
      <c r="W86" s="308"/>
      <c r="X86" s="308"/>
      <c r="Y86" s="308"/>
      <c r="Z86" s="150"/>
      <c r="AA86" s="150"/>
      <c r="AB86" s="308"/>
      <c r="AC86" s="308"/>
      <c r="AD86" s="308"/>
      <c r="AE86" s="308"/>
      <c r="AF86" s="308"/>
      <c r="AG86" s="308"/>
      <c r="AH86" s="308"/>
      <c r="AI86" s="308"/>
      <c r="AJ86" s="308"/>
      <c r="AK86" s="308"/>
      <c r="AL86" s="308"/>
      <c r="AM86" s="308"/>
      <c r="AN86" s="308"/>
      <c r="AO86" s="308"/>
      <c r="AP86" s="308"/>
      <c r="AQ86" s="308"/>
      <c r="AR86" s="308"/>
      <c r="AS86" s="308"/>
      <c r="AT86" s="308"/>
      <c r="AU86" s="308"/>
      <c r="AV86" s="308"/>
      <c r="AW86" s="308"/>
      <c r="AX86" s="308"/>
      <c r="AY86" s="308"/>
    </row>
    <row r="87" spans="3:51">
      <c r="C87" s="308"/>
      <c r="D87" s="308"/>
      <c r="E87" s="308"/>
      <c r="F87" s="308"/>
      <c r="G87" s="308"/>
      <c r="H87" s="308"/>
      <c r="I87" s="308"/>
      <c r="J87" s="308"/>
      <c r="K87" s="308"/>
      <c r="L87" s="308"/>
      <c r="M87" s="308"/>
      <c r="N87" s="308"/>
      <c r="O87" s="308"/>
      <c r="P87" s="308"/>
      <c r="Q87" s="308"/>
      <c r="R87" s="308"/>
      <c r="S87" s="308"/>
      <c r="T87" s="308"/>
      <c r="U87" s="308"/>
      <c r="V87" s="308"/>
      <c r="W87" s="308"/>
      <c r="X87" s="308"/>
      <c r="Y87" s="308"/>
      <c r="Z87" s="150"/>
      <c r="AA87" s="150"/>
      <c r="AB87" s="308"/>
      <c r="AC87" s="308"/>
      <c r="AD87" s="308"/>
      <c r="AE87" s="308"/>
      <c r="AF87" s="308"/>
      <c r="AG87" s="308"/>
      <c r="AH87" s="308"/>
      <c r="AI87" s="308"/>
      <c r="AJ87" s="308"/>
      <c r="AK87" s="308"/>
      <c r="AL87" s="308"/>
      <c r="AM87" s="308"/>
      <c r="AN87" s="308"/>
      <c r="AO87" s="308"/>
      <c r="AP87" s="308"/>
      <c r="AQ87" s="308"/>
      <c r="AR87" s="308"/>
      <c r="AS87" s="308"/>
      <c r="AT87" s="308"/>
      <c r="AU87" s="308"/>
      <c r="AV87" s="308"/>
      <c r="AW87" s="308"/>
      <c r="AX87" s="308"/>
      <c r="AY87" s="308"/>
    </row>
    <row r="88" spans="3:51"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08"/>
      <c r="P88" s="308"/>
      <c r="Q88" s="308"/>
      <c r="R88" s="308"/>
      <c r="S88" s="308"/>
      <c r="T88" s="308"/>
      <c r="U88" s="308"/>
      <c r="V88" s="308"/>
      <c r="W88" s="308"/>
      <c r="X88" s="308"/>
      <c r="Y88" s="308"/>
      <c r="Z88" s="150"/>
      <c r="AA88" s="150"/>
      <c r="AB88" s="308"/>
      <c r="AC88" s="308"/>
      <c r="AD88" s="308"/>
      <c r="AE88" s="308"/>
      <c r="AF88" s="308"/>
      <c r="AG88" s="308"/>
      <c r="AH88" s="308"/>
      <c r="AI88" s="308"/>
      <c r="AJ88" s="308"/>
      <c r="AK88" s="308"/>
      <c r="AL88" s="308"/>
      <c r="AM88" s="308"/>
      <c r="AN88" s="308"/>
      <c r="AO88" s="308"/>
      <c r="AP88" s="308"/>
      <c r="AQ88" s="308"/>
      <c r="AR88" s="308"/>
      <c r="AS88" s="308"/>
      <c r="AT88" s="308"/>
      <c r="AU88" s="308"/>
      <c r="AV88" s="308"/>
      <c r="AW88" s="308"/>
      <c r="AX88" s="308"/>
      <c r="AY88" s="308"/>
    </row>
    <row r="89" spans="3:51"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150"/>
      <c r="AA89" s="150"/>
      <c r="AB89" s="308"/>
      <c r="AC89" s="308"/>
      <c r="AD89" s="308"/>
      <c r="AE89" s="308"/>
      <c r="AF89" s="308"/>
      <c r="AG89" s="308"/>
      <c r="AH89" s="308"/>
      <c r="AI89" s="308"/>
      <c r="AJ89" s="308"/>
      <c r="AK89" s="308"/>
      <c r="AL89" s="308"/>
      <c r="AM89" s="308"/>
      <c r="AN89" s="308"/>
      <c r="AO89" s="308"/>
      <c r="AP89" s="308"/>
      <c r="AQ89" s="308"/>
      <c r="AR89" s="308"/>
      <c r="AS89" s="308"/>
      <c r="AT89" s="308"/>
      <c r="AU89" s="308"/>
      <c r="AV89" s="308"/>
      <c r="AW89" s="308"/>
      <c r="AX89" s="308"/>
      <c r="AY89" s="308"/>
    </row>
    <row r="90" spans="3:51"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150"/>
      <c r="AA90" s="150"/>
      <c r="AB90" s="308"/>
      <c r="AC90" s="308"/>
      <c r="AD90" s="308"/>
      <c r="AE90" s="308"/>
      <c r="AF90" s="308"/>
      <c r="AG90" s="308"/>
      <c r="AH90" s="308"/>
      <c r="AI90" s="308"/>
      <c r="AJ90" s="308"/>
      <c r="AK90" s="308"/>
      <c r="AL90" s="308"/>
      <c r="AM90" s="308"/>
      <c r="AN90" s="308"/>
      <c r="AO90" s="308"/>
      <c r="AP90" s="308"/>
      <c r="AQ90" s="308"/>
      <c r="AR90" s="308"/>
      <c r="AS90" s="308"/>
      <c r="AT90" s="308"/>
      <c r="AU90" s="308"/>
      <c r="AV90" s="308"/>
      <c r="AW90" s="308"/>
      <c r="AX90" s="308"/>
      <c r="AY90" s="308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7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383</v>
      </c>
      <c r="Y4" s="6"/>
      <c r="Z4" s="6"/>
    </row>
    <row r="5" spans="1:35">
      <c r="Y5" s="6"/>
      <c r="Z5" s="6"/>
    </row>
    <row r="6" spans="1:35">
      <c r="B6" s="211">
        <v>0</v>
      </c>
      <c r="C6" s="211">
        <f>'Price_Technical Assumption'!D7</f>
        <v>0.66666666666666663</v>
      </c>
      <c r="D6" s="211">
        <f>'Price_Technical Assumption'!E7</f>
        <v>1.6666666666666665</v>
      </c>
      <c r="E6" s="211">
        <f>'Price_Technical Assumption'!F7</f>
        <v>2.6666666666666665</v>
      </c>
      <c r="F6" s="211">
        <f>'Price_Technical Assumption'!G7</f>
        <v>3.6666666666666665</v>
      </c>
      <c r="G6" s="211">
        <f>'Price_Technical Assumption'!H7</f>
        <v>4.6666666666666661</v>
      </c>
      <c r="H6" s="211">
        <f>'Price_Technical Assumption'!I7</f>
        <v>5.6666666666666661</v>
      </c>
      <c r="I6" s="211">
        <f>'Price_Technical Assumption'!J7</f>
        <v>6.6666666666666661</v>
      </c>
      <c r="J6" s="211">
        <f>'Price_Technical Assumption'!K7</f>
        <v>7.6666666666666661</v>
      </c>
      <c r="K6" s="211">
        <f>'Price_Technical Assumption'!L7</f>
        <v>8.6666666666666661</v>
      </c>
      <c r="L6" s="211">
        <f>'Price_Technical Assumption'!M7</f>
        <v>9.6666666666666661</v>
      </c>
      <c r="M6" s="211">
        <f>'Price_Technical Assumption'!N7</f>
        <v>10.666666666666666</v>
      </c>
      <c r="N6" s="211">
        <f>'Price_Technical Assumption'!O7</f>
        <v>11.666666666666666</v>
      </c>
      <c r="O6" s="211">
        <f>'Price_Technical Assumption'!P7</f>
        <v>12.666666666666666</v>
      </c>
      <c r="P6" s="211">
        <f>'Price_Technical Assumption'!Q7</f>
        <v>13.666666666666666</v>
      </c>
      <c r="Q6" s="211">
        <f>'Price_Technical Assumption'!R7</f>
        <v>14.666666666666666</v>
      </c>
      <c r="R6" s="211">
        <f>'Price_Technical Assumption'!S7</f>
        <v>15.666666666666666</v>
      </c>
      <c r="S6" s="211">
        <f>'Price_Technical Assumption'!T7</f>
        <v>16.666666666666664</v>
      </c>
      <c r="T6" s="211">
        <f>'Price_Technical Assumption'!U7</f>
        <v>17.666666666666664</v>
      </c>
      <c r="U6" s="211">
        <f>'Price_Technical Assumption'!V7</f>
        <v>18.666666666666664</v>
      </c>
      <c r="V6" s="211">
        <f>'Price_Technical Assumption'!W7</f>
        <v>19.666666666666664</v>
      </c>
      <c r="W6" s="211">
        <f>'Price_Technical Assumption'!X7</f>
        <v>20.666666666666664</v>
      </c>
      <c r="X6" s="211">
        <f>'Price_Technical Assumption'!Y7</f>
        <v>21.666666666666664</v>
      </c>
      <c r="Y6" s="211">
        <f>'Price_Technical Assumption'!Z7</f>
        <v>22.666666666666664</v>
      </c>
      <c r="Z6" s="211">
        <f>'Price_Technical Assumption'!AA7</f>
        <v>23.666666666666664</v>
      </c>
      <c r="AA6" s="211">
        <f>'Price_Technical Assumption'!AB7</f>
        <v>24.666666666666664</v>
      </c>
      <c r="AB6" s="211">
        <f>'Price_Technical Assumption'!AC7</f>
        <v>25.666666666666664</v>
      </c>
      <c r="AC6" s="211">
        <f>'Price_Technical Assumption'!AD7</f>
        <v>26.666666666666664</v>
      </c>
      <c r="AD6" s="211">
        <f>'Price_Technical Assumption'!AE7</f>
        <v>27.666666666666664</v>
      </c>
      <c r="AE6" s="211">
        <f>'Price_Technical Assumption'!AF7</f>
        <v>28.666666666666664</v>
      </c>
      <c r="AF6" s="211">
        <f>'Price_Technical Assumption'!AG7</f>
        <v>29.666666666666664</v>
      </c>
      <c r="AG6" s="211">
        <f>'Price_Technical Assumption'!AH7</f>
        <v>30.666666666666664</v>
      </c>
    </row>
    <row r="7" spans="1:35" ht="13.5" thickBot="1">
      <c r="A7" s="123" t="s">
        <v>40</v>
      </c>
      <c r="B7" s="7" t="s">
        <v>252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3"/>
      <c r="J10" s="163"/>
      <c r="K10" s="164"/>
      <c r="L10" s="164"/>
      <c r="M10" s="163"/>
      <c r="N10" s="163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14328.46480565355</v>
      </c>
      <c r="D11" s="18">
        <f>IS!D30</f>
        <v>16092.599970074807</v>
      </c>
      <c r="E11" s="18">
        <f>IS!E30</f>
        <v>16598.447946569286</v>
      </c>
      <c r="F11" s="18">
        <f>IS!F30</f>
        <v>17006.700269763769</v>
      </c>
      <c r="G11" s="18">
        <f>IS!G30</f>
        <v>16834.553183358246</v>
      </c>
      <c r="H11" s="18">
        <f>IS!H30</f>
        <v>16602.713060806065</v>
      </c>
      <c r="I11" s="18">
        <f>IS!I30</f>
        <v>16080.515544645936</v>
      </c>
      <c r="J11" s="18">
        <f>IS!J30</f>
        <v>15981.052069690435</v>
      </c>
      <c r="K11" s="18">
        <f>IS!K30</f>
        <v>15638.373459280978</v>
      </c>
      <c r="L11" s="18">
        <f>IS!L30</f>
        <v>11709.803802085808</v>
      </c>
      <c r="M11" s="18">
        <f>IS!M30</f>
        <v>-2002.6842206835674</v>
      </c>
      <c r="N11" s="18">
        <f>IS!N30</f>
        <v>-2045.1285171293696</v>
      </c>
      <c r="O11" s="18">
        <f>IS!O30</f>
        <v>-2088.9773774237806</v>
      </c>
      <c r="P11" s="18">
        <f>IS!P30</f>
        <v>-2134.2709880911866</v>
      </c>
      <c r="Q11" s="18">
        <f>IS!Q30</f>
        <v>-2181.0507022438837</v>
      </c>
      <c r="R11" s="18">
        <f>IS!R30</f>
        <v>-2229.3590737995605</v>
      </c>
      <c r="S11" s="18">
        <f>IS!S30</f>
        <v>-2279.2398927096965</v>
      </c>
      <c r="T11" s="18">
        <f>IS!T30</f>
        <v>-2330.7382212289053</v>
      </c>
      <c r="U11" s="18">
        <f>IS!U30</f>
        <v>-2383.9004312561178</v>
      </c>
      <c r="V11" s="18">
        <f>IS!V30</f>
        <v>-2438.7742427794456</v>
      </c>
      <c r="W11" s="18">
        <f>IS!W30</f>
        <v>-2495.4920967908338</v>
      </c>
      <c r="X11" s="18">
        <f>IS!X30</f>
        <v>-2554.0628627042638</v>
      </c>
      <c r="Y11" s="18">
        <f>IS!Y30</f>
        <v>-2614.496880312252</v>
      </c>
      <c r="Z11" s="18">
        <f>IS!Z30</f>
        <v>-2676.8476696498028</v>
      </c>
      <c r="AA11" s="18">
        <f>IS!AA30</f>
        <v>-2741.170308802652</v>
      </c>
      <c r="AB11" s="18">
        <f>IS!AB30</f>
        <v>-2807.5214796977871</v>
      </c>
      <c r="AC11" s="18">
        <f>IS!AC30</f>
        <v>-2875.9595152486513</v>
      </c>
      <c r="AD11" s="18">
        <f>IS!AD30</f>
        <v>-2946.5444478953186</v>
      </c>
      <c r="AE11" s="18">
        <f>IS!AE30</f>
        <v>-3019.3380595810727</v>
      </c>
      <c r="AF11" s="18">
        <f>IS!AF30</f>
        <v>-3094.403933208102</v>
      </c>
      <c r="AG11" s="18">
        <f>IS!AG30</f>
        <v>-3176.807605812603</v>
      </c>
    </row>
    <row r="12" spans="1:35">
      <c r="A12" s="45" t="s">
        <v>80</v>
      </c>
      <c r="B12" s="445">
        <v>0</v>
      </c>
      <c r="C12" s="445">
        <f>-(Debt!B36)</f>
        <v>-2532.8517870362334</v>
      </c>
      <c r="D12" s="445">
        <f>-(Debt!B44+Debt!C27+Debt!C36)</f>
        <v>-5626.4256050168169</v>
      </c>
      <c r="E12" s="445">
        <f>-(Debt!C44+Debt!D27+Debt!D36)</f>
        <v>-5121.0231638370469</v>
      </c>
      <c r="F12" s="445">
        <f>-(Debt!D44+Debt!E27+Debt!E36)</f>
        <v>-4610.0100836303591</v>
      </c>
      <c r="G12" s="445">
        <f>-(Debt!E44+Debt!F27+Debt!F36)</f>
        <v>-4024.9397655650255</v>
      </c>
      <c r="H12" s="445">
        <f>-(Debt!F44+Debt!G27+Debt!G36)</f>
        <v>-3404.1720505862495</v>
      </c>
      <c r="I12" s="445">
        <f>-(Debt!G44+Debt!H27+Debt!H36)</f>
        <v>-2741.9074436689129</v>
      </c>
      <c r="J12" s="445">
        <f>-(Debt!H44+Debt!I27+Debt!I36)</f>
        <v>-2046.7525003634687</v>
      </c>
      <c r="K12" s="445">
        <f>-(Debt!I44+Debt!J27+Debt!J36)</f>
        <v>-1298.5765151539906</v>
      </c>
      <c r="L12" s="445">
        <f>-(Debt!J44+Debt!K27+Debt!K36)</f>
        <v>-545.99297617224806</v>
      </c>
      <c r="M12" s="445">
        <f>-(Debt!K44+Debt!L27+Debt!L36)</f>
        <v>-19.192250386548427</v>
      </c>
      <c r="N12" s="445">
        <f>-(Debt!L44+Debt!M27+Debt!M36)</f>
        <v>-28.842478132944741</v>
      </c>
      <c r="O12" s="445">
        <f>-(Debt!M44+Debt!N27+Debt!N36)</f>
        <v>-149.74137113021661</v>
      </c>
      <c r="P12" s="445">
        <f>-(Debt!N44+Debt!O27+Debt!O36)</f>
        <v>-283.65919310433799</v>
      </c>
      <c r="Q12" s="445">
        <f>-(Debt!O44+Debt!P27+Debt!P36)</f>
        <v>-431.80036714526057</v>
      </c>
      <c r="R12" s="445">
        <f>-(Debt!P44+Debt!Q27+Debt!Q36)</f>
        <v>-595.83615609722642</v>
      </c>
      <c r="S12" s="445">
        <f>-(Debt!Q44+Debt!R27+Debt!R36)</f>
        <v>-775.80038626869145</v>
      </c>
      <c r="T12" s="445">
        <f>-(Debt!R44+Debt!S27+Debt!S36)</f>
        <v>-975.50352854637504</v>
      </c>
      <c r="U12" s="445">
        <f>-(Debt!S44+Debt!T27+Debt!T36)</f>
        <v>-1195.0713409732962</v>
      </c>
      <c r="V12" s="445">
        <f>-(Debt!T44+Debt!U27+Debt!U36)</f>
        <v>-1437.6804427617506</v>
      </c>
      <c r="W12" s="445">
        <f>-(Debt!U44+Debt!V27+Debt!V36)</f>
        <v>-1701.6294907888987</v>
      </c>
      <c r="X12" s="445">
        <f>-(Debt!V44+Debt!W27+Debt!W36)</f>
        <v>-1994.8520136330976</v>
      </c>
      <c r="Y12" s="445">
        <f>-(Debt!W44+Debt!X27+Debt!X36)</f>
        <v>-2315.8301645652455</v>
      </c>
      <c r="Z12" s="445">
        <f>-(Debt!X44+Debt!Y27+Debt!Y36)</f>
        <v>-2669.9207507198803</v>
      </c>
      <c r="AA12" s="445">
        <f>-(Debt!Y44+Debt!Z27+Debt!Z36)</f>
        <v>-3052.8350459556036</v>
      </c>
      <c r="AB12" s="445">
        <f>-(Debt!Z44+Debt!AA27+Debt!AA36)</f>
        <v>-3478.4992657130069</v>
      </c>
      <c r="AC12" s="445">
        <f>-(Debt!AA44+Debt!AB27+Debt!AB36)</f>
        <v>-3942.9357626354931</v>
      </c>
      <c r="AD12" s="445">
        <f>-(Debt!AB44+Debt!AC27+Debt!AC36)</f>
        <v>-4454.6310074319508</v>
      </c>
      <c r="AE12" s="445">
        <f>-(Debt!AC44+Debt!AD27+Debt!AD36)</f>
        <v>-5005.49937819353</v>
      </c>
      <c r="AF12" s="445">
        <f>-(Debt!AD44+Debt!AE27+Debt!AE36)</f>
        <v>-5618.1137080345588</v>
      </c>
      <c r="AG12" s="445">
        <f>-(Debt!AE44+Debt!AF27+Debt!AF36)</f>
        <v>-3579.4531480877095</v>
      </c>
      <c r="AH12" s="13"/>
      <c r="AI12" s="13"/>
    </row>
    <row r="13" spans="1:35">
      <c r="A13" s="45" t="s">
        <v>354</v>
      </c>
      <c r="B13" s="64">
        <f>SUM(B11:B12)</f>
        <v>0</v>
      </c>
      <c r="C13" s="64">
        <f t="shared" ref="C13:AG13" si="0">SUM(C11:C12)</f>
        <v>11795.613018617316</v>
      </c>
      <c r="D13" s="64">
        <f t="shared" si="0"/>
        <v>10466.17436505799</v>
      </c>
      <c r="E13" s="64">
        <f t="shared" si="0"/>
        <v>11477.42478273224</v>
      </c>
      <c r="F13" s="64">
        <f t="shared" si="0"/>
        <v>12396.69018613341</v>
      </c>
      <c r="G13" s="64">
        <f t="shared" si="0"/>
        <v>12809.613417793222</v>
      </c>
      <c r="H13" s="64">
        <f t="shared" si="0"/>
        <v>13198.541010219815</v>
      </c>
      <c r="I13" s="64">
        <f t="shared" si="0"/>
        <v>13338.608100977022</v>
      </c>
      <c r="J13" s="64">
        <f t="shared" si="0"/>
        <v>13934.299569326966</v>
      </c>
      <c r="K13" s="64">
        <f t="shared" si="0"/>
        <v>14339.796944126987</v>
      </c>
      <c r="L13" s="64">
        <f t="shared" si="0"/>
        <v>11163.810825913559</v>
      </c>
      <c r="M13" s="64">
        <f t="shared" si="0"/>
        <v>-2021.8764710701159</v>
      </c>
      <c r="N13" s="64">
        <f t="shared" si="0"/>
        <v>-2073.9709952623143</v>
      </c>
      <c r="O13" s="64">
        <f t="shared" si="0"/>
        <v>-2238.7187485539971</v>
      </c>
      <c r="P13" s="64">
        <f t="shared" si="0"/>
        <v>-2417.9301811955247</v>
      </c>
      <c r="Q13" s="64">
        <f t="shared" si="0"/>
        <v>-2612.8510693891444</v>
      </c>
      <c r="R13" s="64">
        <f t="shared" si="0"/>
        <v>-2825.1952298967872</v>
      </c>
      <c r="S13" s="64">
        <f t="shared" si="0"/>
        <v>-3055.040278978388</v>
      </c>
      <c r="T13" s="64">
        <f t="shared" si="0"/>
        <v>-3306.2417497752804</v>
      </c>
      <c r="U13" s="64">
        <f t="shared" si="0"/>
        <v>-3578.971772229414</v>
      </c>
      <c r="V13" s="64">
        <f t="shared" si="0"/>
        <v>-3876.4546855411963</v>
      </c>
      <c r="W13" s="64">
        <f t="shared" si="0"/>
        <v>-4197.1215875797325</v>
      </c>
      <c r="X13" s="64">
        <f t="shared" si="0"/>
        <v>-4548.9148763373614</v>
      </c>
      <c r="Y13" s="64">
        <f t="shared" si="0"/>
        <v>-4930.3270448774974</v>
      </c>
      <c r="Z13" s="64">
        <f t="shared" si="0"/>
        <v>-5346.7684203696826</v>
      </c>
      <c r="AA13" s="64">
        <f t="shared" si="0"/>
        <v>-5794.0053547582556</v>
      </c>
      <c r="AB13" s="64">
        <f t="shared" si="0"/>
        <v>-6286.020745410794</v>
      </c>
      <c r="AC13" s="64">
        <f t="shared" si="0"/>
        <v>-6818.8952778841449</v>
      </c>
      <c r="AD13" s="64">
        <f t="shared" si="0"/>
        <v>-7401.1754553272694</v>
      </c>
      <c r="AE13" s="64">
        <f t="shared" si="0"/>
        <v>-8024.8374377746022</v>
      </c>
      <c r="AF13" s="64">
        <f t="shared" si="0"/>
        <v>-8712.5176412426608</v>
      </c>
      <c r="AG13" s="64">
        <f t="shared" si="0"/>
        <v>-6756.2607539003129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355</v>
      </c>
      <c r="B15" s="18">
        <v>0</v>
      </c>
      <c r="C15" s="18">
        <f>-Taxes!B24-Taxes!B41</f>
        <v>-1911.2132070262144</v>
      </c>
      <c r="D15" s="18">
        <f>-Taxes!C24-Taxes!C41</f>
        <v>-117.52364835665563</v>
      </c>
      <c r="E15" s="18">
        <f>-Taxes!D24-Taxes!D41</f>
        <v>-892.51083036290549</v>
      </c>
      <c r="F15" s="18">
        <f>-Taxes!E24-Taxes!E41</f>
        <v>-1600.152621673818</v>
      </c>
      <c r="G15" s="18">
        <f>-Taxes!F24-Taxes!F41</f>
        <v>-2070.3741626749857</v>
      </c>
      <c r="H15" s="18">
        <f>-Taxes!G24-Taxes!G41</f>
        <v>-2702.606407805989</v>
      </c>
      <c r="I15" s="18">
        <f>-Taxes!H24-Taxes!H41</f>
        <v>-2989.7452593351672</v>
      </c>
      <c r="J15" s="18">
        <f>-Taxes!I24-Taxes!I41</f>
        <v>-3226.5303977308199</v>
      </c>
      <c r="K15" s="18">
        <f>-Taxes!J24-Taxes!J41</f>
        <v>-3394.6293678797492</v>
      </c>
      <c r="L15" s="18">
        <f>-Taxes!K24-Taxes!K41</f>
        <v>-2124.386238705014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-3456.9162874582835</v>
      </c>
      <c r="D16" s="23">
        <f>-Debt!C48</f>
        <v>-5989.7643951261925</v>
      </c>
      <c r="E16" s="23">
        <f>-Debt!D48</f>
        <v>-5860.5317852712469</v>
      </c>
      <c r="F16" s="23">
        <f>-Debt!E48</f>
        <v>-6667.6576404306979</v>
      </c>
      <c r="G16" s="23">
        <f>-Debt!F48</f>
        <v>-7218.9850836008336</v>
      </c>
      <c r="H16" s="23">
        <f>-Debt!G48</f>
        <v>-7702.8374806401771</v>
      </c>
      <c r="I16" s="23">
        <f>-Debt!H48</f>
        <v>-8065.2307257673201</v>
      </c>
      <c r="J16" s="23">
        <f>-Debt!I48</f>
        <v>-8631.0714496585097</v>
      </c>
      <c r="K16" s="23">
        <f>-Debt!J48</f>
        <v>-9176.7050103359506</v>
      </c>
      <c r="L16" s="23">
        <f>-Debt!K48</f>
        <v>-7913.5106339941085</v>
      </c>
      <c r="M16" s="23">
        <f>-Debt!L48</f>
        <v>-452.8229729211489</v>
      </c>
      <c r="N16" s="23">
        <f>-Debt!M48</f>
        <v>1386.1355667421089</v>
      </c>
      <c r="O16" s="23">
        <f>-Debt!N48</f>
        <v>1534.1760893677019</v>
      </c>
      <c r="P16" s="23">
        <f>-Debt!O48</f>
        <v>1698.9782654012311</v>
      </c>
      <c r="Q16" s="23">
        <f>-Debt!P48</f>
        <v>1878.0589102158037</v>
      </c>
      <c r="R16" s="23">
        <f>-Debt!Q48</f>
        <v>2075.0586114784455</v>
      </c>
      <c r="S16" s="23">
        <f>-Debt!R48</f>
        <v>2285.9905453961273</v>
      </c>
      <c r="T16" s="23">
        <f>-Debt!S48</f>
        <v>2520.7694698309442</v>
      </c>
      <c r="U16" s="23">
        <f>-Debt!T48</f>
        <v>2775.5022017879182</v>
      </c>
      <c r="V16" s="23">
        <f>-Debt!U48</f>
        <v>3055.5168695521988</v>
      </c>
      <c r="W16" s="23">
        <f>-Debt!V48</f>
        <v>3354.7563012212777</v>
      </c>
      <c r="X16" s="23">
        <f>-Debt!W48</f>
        <v>3687.8255390923332</v>
      </c>
      <c r="Y16" s="23">
        <f>-Debt!X48</f>
        <v>4048.7833439472452</v>
      </c>
      <c r="Z16" s="23">
        <f>-Debt!Y48</f>
        <v>4445.3381618872772</v>
      </c>
      <c r="AA16" s="23">
        <f>-Debt!Z48</f>
        <v>4868.3752240896065</v>
      </c>
      <c r="AB16" s="23">
        <f>-Debt!AA48</f>
        <v>5339.1520210339877</v>
      </c>
      <c r="AC16" s="23">
        <f>-Debt!AB48</f>
        <v>5848.8670171206613</v>
      </c>
      <c r="AD16" s="23">
        <f>-Debt!AC48</f>
        <v>6408.6001496949248</v>
      </c>
      <c r="AE16" s="23">
        <f>-Debt!AD48</f>
        <v>7004.954286514374</v>
      </c>
      <c r="AF16" s="23">
        <f>-Debt!AE48</f>
        <v>7668.5729612234281</v>
      </c>
      <c r="AG16" s="23">
        <f>-Debt!AF48</f>
        <v>6211.6459043315845</v>
      </c>
    </row>
    <row r="17" spans="1:33">
      <c r="A17" s="45" t="s">
        <v>356</v>
      </c>
      <c r="B17" s="446">
        <v>0</v>
      </c>
      <c r="C17" s="446">
        <v>0</v>
      </c>
      <c r="D17" s="446">
        <v>0</v>
      </c>
      <c r="E17" s="446">
        <v>0</v>
      </c>
      <c r="F17" s="446">
        <v>0</v>
      </c>
      <c r="G17" s="446">
        <v>0</v>
      </c>
      <c r="H17" s="446">
        <v>0</v>
      </c>
      <c r="I17" s="446">
        <v>0</v>
      </c>
      <c r="J17" s="446">
        <v>0</v>
      </c>
      <c r="K17" s="446">
        <v>0</v>
      </c>
      <c r="L17" s="446">
        <v>0</v>
      </c>
      <c r="M17" s="446">
        <v>0</v>
      </c>
      <c r="N17" s="446">
        <v>0</v>
      </c>
      <c r="O17" s="446">
        <v>0</v>
      </c>
      <c r="P17" s="446">
        <v>0</v>
      </c>
      <c r="Q17" s="446">
        <v>0</v>
      </c>
      <c r="R17" s="446">
        <v>0</v>
      </c>
      <c r="S17" s="446">
        <v>0</v>
      </c>
      <c r="T17" s="446">
        <v>0</v>
      </c>
      <c r="U17" s="446">
        <v>0</v>
      </c>
      <c r="V17" s="446">
        <v>0</v>
      </c>
      <c r="W17" s="446">
        <v>0</v>
      </c>
      <c r="X17" s="446">
        <v>0</v>
      </c>
      <c r="Y17" s="446">
        <v>0</v>
      </c>
      <c r="Z17" s="446">
        <v>0</v>
      </c>
      <c r="AA17" s="446">
        <v>0</v>
      </c>
      <c r="AB17" s="446">
        <v>0</v>
      </c>
      <c r="AC17" s="446">
        <v>0</v>
      </c>
      <c r="AD17" s="446">
        <v>0</v>
      </c>
      <c r="AE17" s="446">
        <v>0</v>
      </c>
      <c r="AF17" s="446">
        <v>0</v>
      </c>
      <c r="AG17" s="446">
        <v>0</v>
      </c>
    </row>
    <row r="18" spans="1:33">
      <c r="A18" s="45" t="s">
        <v>357</v>
      </c>
      <c r="B18" s="64">
        <f>B13+B17+B16+B15</f>
        <v>0</v>
      </c>
      <c r="C18" s="64">
        <f t="shared" ref="C18:AG18" si="1">C13+C17+C16+C15</f>
        <v>6427.4835241328183</v>
      </c>
      <c r="D18" s="64">
        <f t="shared" si="1"/>
        <v>4358.8863215751417</v>
      </c>
      <c r="E18" s="64">
        <f t="shared" si="1"/>
        <v>4724.3821670980869</v>
      </c>
      <c r="F18" s="64">
        <f t="shared" si="1"/>
        <v>4128.8799240288936</v>
      </c>
      <c r="G18" s="64">
        <f t="shared" si="1"/>
        <v>3520.2541715174025</v>
      </c>
      <c r="H18" s="64">
        <f t="shared" si="1"/>
        <v>2793.0971217736487</v>
      </c>
      <c r="I18" s="64">
        <f t="shared" si="1"/>
        <v>2283.632115874535</v>
      </c>
      <c r="J18" s="64">
        <f t="shared" si="1"/>
        <v>2076.6977219376363</v>
      </c>
      <c r="K18" s="64">
        <f t="shared" si="1"/>
        <v>1768.4625659112871</v>
      </c>
      <c r="L18" s="64">
        <f t="shared" si="1"/>
        <v>1125.9139532144363</v>
      </c>
      <c r="M18" s="64">
        <f t="shared" si="1"/>
        <v>-2474.6994439912651</v>
      </c>
      <c r="N18" s="64">
        <f t="shared" si="1"/>
        <v>-687.83542852020537</v>
      </c>
      <c r="O18" s="64">
        <f t="shared" si="1"/>
        <v>-704.54265918629517</v>
      </c>
      <c r="P18" s="64">
        <f t="shared" si="1"/>
        <v>-718.95191579429365</v>
      </c>
      <c r="Q18" s="64">
        <f t="shared" si="1"/>
        <v>-734.79215917334068</v>
      </c>
      <c r="R18" s="64">
        <f t="shared" si="1"/>
        <v>-750.13661841834164</v>
      </c>
      <c r="S18" s="64">
        <f t="shared" si="1"/>
        <v>-769.04973358226061</v>
      </c>
      <c r="T18" s="64">
        <f t="shared" si="1"/>
        <v>-785.47227994433615</v>
      </c>
      <c r="U18" s="64">
        <f t="shared" si="1"/>
        <v>-803.46957044149576</v>
      </c>
      <c r="V18" s="64">
        <f t="shared" si="1"/>
        <v>-820.9378159889975</v>
      </c>
      <c r="W18" s="64">
        <f t="shared" si="1"/>
        <v>-842.3652863584548</v>
      </c>
      <c r="X18" s="64">
        <f t="shared" si="1"/>
        <v>-861.08933724502822</v>
      </c>
      <c r="Y18" s="64">
        <f t="shared" si="1"/>
        <v>-881.54370093025227</v>
      </c>
      <c r="Z18" s="64">
        <f t="shared" si="1"/>
        <v>-901.43025848240541</v>
      </c>
      <c r="AA18" s="64">
        <f t="shared" si="1"/>
        <v>-925.63013066864914</v>
      </c>
      <c r="AB18" s="64">
        <f t="shared" si="1"/>
        <v>-946.86872437680631</v>
      </c>
      <c r="AC18" s="64">
        <f t="shared" si="1"/>
        <v>-970.02826076348356</v>
      </c>
      <c r="AD18" s="64">
        <f t="shared" si="1"/>
        <v>-992.57530563234468</v>
      </c>
      <c r="AE18" s="64">
        <f t="shared" si="1"/>
        <v>-1019.8831512602283</v>
      </c>
      <c r="AF18" s="64">
        <f t="shared" si="1"/>
        <v>-1043.9446800192327</v>
      </c>
      <c r="AG18" s="64">
        <f t="shared" si="1"/>
        <v>-544.61484956872846</v>
      </c>
    </row>
    <row r="19" spans="1:33">
      <c r="A19" s="335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7" t="s">
        <v>408</v>
      </c>
      <c r="B20" s="518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6427.4835241328183</v>
      </c>
      <c r="D21" s="64">
        <f t="shared" si="2"/>
        <v>4358.8863215751417</v>
      </c>
      <c r="E21" s="64">
        <f t="shared" si="2"/>
        <v>4724.3821670980869</v>
      </c>
      <c r="F21" s="64">
        <f t="shared" si="2"/>
        <v>4128.8799240288936</v>
      </c>
      <c r="G21" s="64">
        <f t="shared" si="2"/>
        <v>3520.2541715174025</v>
      </c>
      <c r="H21" s="64">
        <f t="shared" si="2"/>
        <v>2793.0971217736487</v>
      </c>
      <c r="I21" s="64">
        <f t="shared" si="2"/>
        <v>2283.632115874535</v>
      </c>
      <c r="J21" s="64">
        <f t="shared" si="2"/>
        <v>2076.6977219376363</v>
      </c>
      <c r="K21" s="64">
        <f t="shared" si="2"/>
        <v>1768.4625659112871</v>
      </c>
      <c r="L21" s="64">
        <f t="shared" si="2"/>
        <v>1125.9139532144363</v>
      </c>
      <c r="M21" s="64">
        <f t="shared" si="2"/>
        <v>-2474.6994439912651</v>
      </c>
      <c r="N21" s="64">
        <f t="shared" si="2"/>
        <v>-687.83542852020537</v>
      </c>
      <c r="O21" s="64">
        <f t="shared" si="2"/>
        <v>-704.54265918629517</v>
      </c>
      <c r="P21" s="64">
        <f t="shared" si="2"/>
        <v>-718.95191579429365</v>
      </c>
      <c r="Q21" s="64">
        <f t="shared" si="2"/>
        <v>-734.79215917334068</v>
      </c>
      <c r="R21" s="64">
        <f t="shared" si="2"/>
        <v>-750.13661841834164</v>
      </c>
      <c r="S21" s="64">
        <f t="shared" si="2"/>
        <v>-769.04973358226061</v>
      </c>
      <c r="T21" s="64">
        <f t="shared" si="2"/>
        <v>-785.47227994433615</v>
      </c>
      <c r="U21" s="64">
        <f t="shared" si="2"/>
        <v>-803.46957044149576</v>
      </c>
      <c r="V21" s="64">
        <f t="shared" si="2"/>
        <v>-820.9378159889975</v>
      </c>
      <c r="W21" s="64">
        <f t="shared" si="2"/>
        <v>-842.3652863584548</v>
      </c>
      <c r="X21" s="64">
        <f t="shared" si="2"/>
        <v>-861.08933724502822</v>
      </c>
      <c r="Y21" s="64">
        <f t="shared" si="2"/>
        <v>-881.54370093025227</v>
      </c>
      <c r="Z21" s="64">
        <f t="shared" si="2"/>
        <v>-901.43025848240541</v>
      </c>
      <c r="AA21" s="64">
        <f t="shared" si="2"/>
        <v>-925.63013066864914</v>
      </c>
      <c r="AB21" s="64">
        <f t="shared" si="2"/>
        <v>-946.86872437680631</v>
      </c>
      <c r="AC21" s="64">
        <f t="shared" si="2"/>
        <v>-970.02826076348356</v>
      </c>
      <c r="AD21" s="64">
        <f t="shared" si="2"/>
        <v>-992.57530563234468</v>
      </c>
      <c r="AE21" s="64">
        <f t="shared" si="2"/>
        <v>-1019.8831512602283</v>
      </c>
      <c r="AF21" s="64">
        <f t="shared" si="2"/>
        <v>-1043.9446800192327</v>
      </c>
      <c r="AG21" s="64">
        <f t="shared" si="2"/>
        <v>-544.61484956872846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>
      <c r="A24" s="448" t="s">
        <v>364</v>
      </c>
      <c r="B24" s="454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-33589.890461193077</v>
      </c>
      <c r="C25" s="18">
        <f t="shared" ref="C25:V25" si="3">+B29</f>
        <v>-33589.890461193077</v>
      </c>
      <c r="D25" s="18">
        <f t="shared" si="3"/>
        <v>-31864.991601627291</v>
      </c>
      <c r="E25" s="18">
        <f t="shared" si="3"/>
        <v>-31864.991601627291</v>
      </c>
      <c r="F25" s="18">
        <f t="shared" si="3"/>
        <v>-31601.708258757026</v>
      </c>
      <c r="G25" s="18">
        <f t="shared" si="3"/>
        <v>-31601.708258757026</v>
      </c>
      <c r="H25" s="18">
        <f t="shared" si="3"/>
        <v>-31601.708258757026</v>
      </c>
      <c r="I25" s="18">
        <f t="shared" si="3"/>
        <v>-31601.708258757026</v>
      </c>
      <c r="J25" s="18">
        <f t="shared" si="3"/>
        <v>-31601.708258757026</v>
      </c>
      <c r="K25" s="18">
        <f t="shared" si="3"/>
        <v>-31601.708258757026</v>
      </c>
      <c r="L25" s="18">
        <f t="shared" si="3"/>
        <v>-31601.708258757026</v>
      </c>
      <c r="M25" s="18">
        <f t="shared" si="3"/>
        <v>-31601.708258757026</v>
      </c>
      <c r="N25" s="18">
        <f t="shared" si="3"/>
        <v>-31601.708258757026</v>
      </c>
      <c r="O25" s="18">
        <f t="shared" si="3"/>
        <v>-31601.708258757026</v>
      </c>
      <c r="P25" s="18">
        <f t="shared" si="3"/>
        <v>-31601.708258757026</v>
      </c>
      <c r="Q25" s="18">
        <f t="shared" si="3"/>
        <v>-31601.708258757026</v>
      </c>
      <c r="R25" s="18">
        <f t="shared" si="3"/>
        <v>-31601.708258757026</v>
      </c>
      <c r="S25" s="18">
        <f t="shared" si="3"/>
        <v>-31601.708258757026</v>
      </c>
      <c r="T25" s="18">
        <f t="shared" si="3"/>
        <v>-31601.708258757026</v>
      </c>
      <c r="U25" s="18">
        <f t="shared" si="3"/>
        <v>-31601.708258757026</v>
      </c>
      <c r="V25" s="18">
        <f t="shared" si="3"/>
        <v>-31601.708258757026</v>
      </c>
      <c r="W25" s="18">
        <f t="shared" ref="W25:AG25" si="4">+V29</f>
        <v>-31601.708258757026</v>
      </c>
      <c r="X25" s="18">
        <f t="shared" si="4"/>
        <v>-31601.708258757026</v>
      </c>
      <c r="Y25" s="18">
        <f t="shared" si="4"/>
        <v>-31601.708258757026</v>
      </c>
      <c r="Z25" s="18">
        <f t="shared" si="4"/>
        <v>-31601.708258757026</v>
      </c>
      <c r="AA25" s="18">
        <f t="shared" si="4"/>
        <v>-31601.708258757026</v>
      </c>
      <c r="AB25" s="18">
        <f t="shared" si="4"/>
        <v>-31601.708258757026</v>
      </c>
      <c r="AC25" s="18">
        <f t="shared" si="4"/>
        <v>-31601.708258757026</v>
      </c>
      <c r="AD25" s="18">
        <f t="shared" si="4"/>
        <v>-31601.708258757026</v>
      </c>
      <c r="AE25" s="18">
        <f t="shared" si="4"/>
        <v>-31601.708258757026</v>
      </c>
      <c r="AF25" s="18">
        <f t="shared" si="4"/>
        <v>-31601.708258757026</v>
      </c>
      <c r="AG25" s="18">
        <f t="shared" si="4"/>
        <v>-31601.708258757026</v>
      </c>
    </row>
    <row r="26" spans="1:33">
      <c r="A26" s="45" t="s">
        <v>363</v>
      </c>
      <c r="B26" s="18">
        <v>0</v>
      </c>
      <c r="C26" s="18">
        <f>+-B25*$B$24</f>
        <v>4702.5846645670317</v>
      </c>
      <c r="D26" s="18">
        <f t="shared" ref="D26:V26" si="5">+-D25*$B$24</f>
        <v>4461.0988242278208</v>
      </c>
      <c r="E26" s="18">
        <f t="shared" si="5"/>
        <v>4461.0988242278208</v>
      </c>
      <c r="F26" s="18">
        <f t="shared" si="5"/>
        <v>4424.2391562259836</v>
      </c>
      <c r="G26" s="18">
        <f t="shared" si="5"/>
        <v>4424.2391562259836</v>
      </c>
      <c r="H26" s="18">
        <f t="shared" si="5"/>
        <v>4424.2391562259836</v>
      </c>
      <c r="I26" s="18">
        <f t="shared" si="5"/>
        <v>4424.2391562259836</v>
      </c>
      <c r="J26" s="18">
        <f t="shared" si="5"/>
        <v>4424.2391562259836</v>
      </c>
      <c r="K26" s="18">
        <f t="shared" si="5"/>
        <v>4424.2391562259836</v>
      </c>
      <c r="L26" s="18">
        <f t="shared" si="5"/>
        <v>4424.2391562259836</v>
      </c>
      <c r="M26" s="18">
        <f t="shared" si="5"/>
        <v>4424.2391562259836</v>
      </c>
      <c r="N26" s="18">
        <f t="shared" si="5"/>
        <v>4424.2391562259836</v>
      </c>
      <c r="O26" s="18">
        <f t="shared" si="5"/>
        <v>4424.2391562259836</v>
      </c>
      <c r="P26" s="18">
        <f t="shared" si="5"/>
        <v>4424.2391562259836</v>
      </c>
      <c r="Q26" s="18">
        <f t="shared" si="5"/>
        <v>4424.2391562259836</v>
      </c>
      <c r="R26" s="18">
        <f t="shared" si="5"/>
        <v>4424.2391562259836</v>
      </c>
      <c r="S26" s="18">
        <f t="shared" si="5"/>
        <v>4424.2391562259836</v>
      </c>
      <c r="T26" s="18">
        <f t="shared" si="5"/>
        <v>4424.2391562259836</v>
      </c>
      <c r="U26" s="18">
        <f t="shared" si="5"/>
        <v>4424.2391562259836</v>
      </c>
      <c r="V26" s="18">
        <f t="shared" si="5"/>
        <v>4424.2391562259836</v>
      </c>
      <c r="W26" s="18">
        <f t="shared" ref="W26:AG26" si="6">+-W25*$B$24</f>
        <v>4424.2391562259836</v>
      </c>
      <c r="X26" s="18">
        <f t="shared" si="6"/>
        <v>4424.2391562259836</v>
      </c>
      <c r="Y26" s="18">
        <f t="shared" si="6"/>
        <v>4424.2391562259836</v>
      </c>
      <c r="Z26" s="18">
        <f t="shared" si="6"/>
        <v>4424.2391562259836</v>
      </c>
      <c r="AA26" s="18">
        <f t="shared" si="6"/>
        <v>4424.2391562259836</v>
      </c>
      <c r="AB26" s="18">
        <f t="shared" si="6"/>
        <v>4424.2391562259836</v>
      </c>
      <c r="AC26" s="18">
        <f t="shared" si="6"/>
        <v>4424.2391562259836</v>
      </c>
      <c r="AD26" s="18">
        <f t="shared" si="6"/>
        <v>4424.2391562259836</v>
      </c>
      <c r="AE26" s="18">
        <f t="shared" si="6"/>
        <v>4424.2391562259836</v>
      </c>
      <c r="AF26" s="18">
        <f t="shared" si="6"/>
        <v>4424.2391562259836</v>
      </c>
      <c r="AG26" s="18">
        <f t="shared" si="6"/>
        <v>4424.2391562259836</v>
      </c>
    </row>
    <row r="27" spans="1:33">
      <c r="A27" s="45" t="s">
        <v>359</v>
      </c>
      <c r="B27" s="18">
        <f>B21</f>
        <v>0</v>
      </c>
      <c r="C27" s="18">
        <f t="shared" ref="C27:AG27" si="7">C21</f>
        <v>6427.4835241328183</v>
      </c>
      <c r="D27" s="18">
        <f t="shared" si="7"/>
        <v>4358.8863215751417</v>
      </c>
      <c r="E27" s="18">
        <f t="shared" si="7"/>
        <v>4724.3821670980869</v>
      </c>
      <c r="F27" s="18">
        <f t="shared" si="7"/>
        <v>4128.8799240288936</v>
      </c>
      <c r="G27" s="18">
        <f t="shared" si="7"/>
        <v>3520.2541715174025</v>
      </c>
      <c r="H27" s="18">
        <f t="shared" si="7"/>
        <v>2793.0971217736487</v>
      </c>
      <c r="I27" s="18">
        <f t="shared" si="7"/>
        <v>2283.632115874535</v>
      </c>
      <c r="J27" s="18">
        <f t="shared" si="7"/>
        <v>2076.6977219376363</v>
      </c>
      <c r="K27" s="18">
        <f t="shared" si="7"/>
        <v>1768.4625659112871</v>
      </c>
      <c r="L27" s="18">
        <f t="shared" si="7"/>
        <v>1125.9139532144363</v>
      </c>
      <c r="M27" s="18">
        <f t="shared" si="7"/>
        <v>-2474.6994439912651</v>
      </c>
      <c r="N27" s="18">
        <f t="shared" si="7"/>
        <v>-687.83542852020537</v>
      </c>
      <c r="O27" s="18">
        <f t="shared" si="7"/>
        <v>-704.54265918629517</v>
      </c>
      <c r="P27" s="18">
        <f t="shared" si="7"/>
        <v>-718.95191579429365</v>
      </c>
      <c r="Q27" s="18">
        <f t="shared" si="7"/>
        <v>-734.79215917334068</v>
      </c>
      <c r="R27" s="18">
        <f t="shared" si="7"/>
        <v>-750.13661841834164</v>
      </c>
      <c r="S27" s="18">
        <f t="shared" si="7"/>
        <v>-769.04973358226061</v>
      </c>
      <c r="T27" s="18">
        <f t="shared" si="7"/>
        <v>-785.47227994433615</v>
      </c>
      <c r="U27" s="18">
        <f t="shared" si="7"/>
        <v>-803.46957044149576</v>
      </c>
      <c r="V27" s="18">
        <f t="shared" si="7"/>
        <v>-820.9378159889975</v>
      </c>
      <c r="W27" s="18">
        <f t="shared" si="7"/>
        <v>-842.3652863584548</v>
      </c>
      <c r="X27" s="18">
        <f t="shared" si="7"/>
        <v>-861.08933724502822</v>
      </c>
      <c r="Y27" s="18">
        <f t="shared" si="7"/>
        <v>-881.54370093025227</v>
      </c>
      <c r="Z27" s="18">
        <f t="shared" si="7"/>
        <v>-901.43025848240541</v>
      </c>
      <c r="AA27" s="18">
        <f t="shared" si="7"/>
        <v>-925.63013066864914</v>
      </c>
      <c r="AB27" s="18">
        <f t="shared" si="7"/>
        <v>-946.86872437680631</v>
      </c>
      <c r="AC27" s="18">
        <f t="shared" si="7"/>
        <v>-970.02826076348356</v>
      </c>
      <c r="AD27" s="18">
        <f t="shared" si="7"/>
        <v>-992.57530563234468</v>
      </c>
      <c r="AE27" s="18">
        <f t="shared" si="7"/>
        <v>-1019.8831512602283</v>
      </c>
      <c r="AF27" s="18">
        <f t="shared" si="7"/>
        <v>-1043.9446800192327</v>
      </c>
      <c r="AG27" s="18">
        <f t="shared" si="7"/>
        <v>-544.61484956872846</v>
      </c>
    </row>
    <row r="28" spans="1:33">
      <c r="A28" s="45" t="s">
        <v>362</v>
      </c>
      <c r="B28" s="310">
        <v>0</v>
      </c>
      <c r="C28" s="310">
        <f t="shared" ref="C28:V28" si="8">+IF(C27&gt;C26,C27-C26,0)</f>
        <v>1724.8988595657866</v>
      </c>
      <c r="D28" s="310">
        <f t="shared" si="8"/>
        <v>0</v>
      </c>
      <c r="E28" s="310">
        <f t="shared" si="8"/>
        <v>263.2833428702661</v>
      </c>
      <c r="F28" s="310">
        <f t="shared" si="8"/>
        <v>0</v>
      </c>
      <c r="G28" s="310">
        <f t="shared" si="8"/>
        <v>0</v>
      </c>
      <c r="H28" s="310">
        <f t="shared" si="8"/>
        <v>0</v>
      </c>
      <c r="I28" s="310">
        <f t="shared" si="8"/>
        <v>0</v>
      </c>
      <c r="J28" s="310">
        <f t="shared" si="8"/>
        <v>0</v>
      </c>
      <c r="K28" s="310">
        <f t="shared" si="8"/>
        <v>0</v>
      </c>
      <c r="L28" s="310">
        <f t="shared" si="8"/>
        <v>0</v>
      </c>
      <c r="M28" s="310">
        <f t="shared" si="8"/>
        <v>0</v>
      </c>
      <c r="N28" s="310">
        <f t="shared" si="8"/>
        <v>0</v>
      </c>
      <c r="O28" s="310">
        <f t="shared" si="8"/>
        <v>0</v>
      </c>
      <c r="P28" s="310">
        <f t="shared" si="8"/>
        <v>0</v>
      </c>
      <c r="Q28" s="310">
        <f t="shared" si="8"/>
        <v>0</v>
      </c>
      <c r="R28" s="310">
        <f t="shared" si="8"/>
        <v>0</v>
      </c>
      <c r="S28" s="310">
        <f t="shared" si="8"/>
        <v>0</v>
      </c>
      <c r="T28" s="310">
        <f t="shared" si="8"/>
        <v>0</v>
      </c>
      <c r="U28" s="310">
        <f t="shared" si="8"/>
        <v>0</v>
      </c>
      <c r="V28" s="310">
        <f t="shared" si="8"/>
        <v>0</v>
      </c>
      <c r="W28" s="310">
        <f t="shared" ref="W28:AG28" si="9">+IF(W27&gt;W26,W27-W26,0)</f>
        <v>0</v>
      </c>
      <c r="X28" s="310">
        <f t="shared" si="9"/>
        <v>0</v>
      </c>
      <c r="Y28" s="310">
        <f t="shared" si="9"/>
        <v>0</v>
      </c>
      <c r="Z28" s="310">
        <f t="shared" si="9"/>
        <v>0</v>
      </c>
      <c r="AA28" s="310">
        <f t="shared" si="9"/>
        <v>0</v>
      </c>
      <c r="AB28" s="310">
        <f t="shared" si="9"/>
        <v>0</v>
      </c>
      <c r="AC28" s="310">
        <f t="shared" si="9"/>
        <v>0</v>
      </c>
      <c r="AD28" s="310">
        <f t="shared" si="9"/>
        <v>0</v>
      </c>
      <c r="AE28" s="310">
        <f t="shared" si="9"/>
        <v>0</v>
      </c>
      <c r="AF28" s="310">
        <f t="shared" si="9"/>
        <v>0</v>
      </c>
      <c r="AG28" s="310">
        <f t="shared" si="9"/>
        <v>0</v>
      </c>
    </row>
    <row r="29" spans="1:33">
      <c r="A29" s="45" t="s">
        <v>58</v>
      </c>
      <c r="B29" s="18">
        <f t="shared" ref="B29:V29" si="10">+B25+B28</f>
        <v>-33589.890461193077</v>
      </c>
      <c r="C29" s="18">
        <f t="shared" si="10"/>
        <v>-31864.991601627291</v>
      </c>
      <c r="D29" s="18">
        <f t="shared" si="10"/>
        <v>-31864.991601627291</v>
      </c>
      <c r="E29" s="18">
        <f t="shared" si="10"/>
        <v>-31601.708258757026</v>
      </c>
      <c r="F29" s="18">
        <f t="shared" si="10"/>
        <v>-31601.708258757026</v>
      </c>
      <c r="G29" s="18">
        <f t="shared" si="10"/>
        <v>-31601.708258757026</v>
      </c>
      <c r="H29" s="18">
        <f t="shared" si="10"/>
        <v>-31601.708258757026</v>
      </c>
      <c r="I29" s="18">
        <f t="shared" si="10"/>
        <v>-31601.708258757026</v>
      </c>
      <c r="J29" s="18">
        <f t="shared" si="10"/>
        <v>-31601.708258757026</v>
      </c>
      <c r="K29" s="18">
        <f t="shared" si="10"/>
        <v>-31601.708258757026</v>
      </c>
      <c r="L29" s="18">
        <f t="shared" si="10"/>
        <v>-31601.708258757026</v>
      </c>
      <c r="M29" s="18">
        <f t="shared" si="10"/>
        <v>-31601.708258757026</v>
      </c>
      <c r="N29" s="18">
        <f t="shared" si="10"/>
        <v>-31601.708258757026</v>
      </c>
      <c r="O29" s="18">
        <f t="shared" si="10"/>
        <v>-31601.708258757026</v>
      </c>
      <c r="P29" s="18">
        <f t="shared" si="10"/>
        <v>-31601.708258757026</v>
      </c>
      <c r="Q29" s="18">
        <f t="shared" si="10"/>
        <v>-31601.708258757026</v>
      </c>
      <c r="R29" s="18">
        <f t="shared" si="10"/>
        <v>-31601.708258757026</v>
      </c>
      <c r="S29" s="18">
        <f t="shared" si="10"/>
        <v>-31601.708258757026</v>
      </c>
      <c r="T29" s="18">
        <f t="shared" si="10"/>
        <v>-31601.708258757026</v>
      </c>
      <c r="U29" s="18">
        <f t="shared" si="10"/>
        <v>-31601.708258757026</v>
      </c>
      <c r="V29" s="18">
        <f t="shared" si="10"/>
        <v>-31601.708258757026</v>
      </c>
      <c r="W29" s="18">
        <f t="shared" ref="W29:AG29" si="11">+W25+W28</f>
        <v>-31601.708258757026</v>
      </c>
      <c r="X29" s="18">
        <f t="shared" si="11"/>
        <v>-31601.708258757026</v>
      </c>
      <c r="Y29" s="18">
        <f t="shared" si="11"/>
        <v>-31601.708258757026</v>
      </c>
      <c r="Z29" s="18">
        <f t="shared" si="11"/>
        <v>-31601.708258757026</v>
      </c>
      <c r="AA29" s="18">
        <f t="shared" si="11"/>
        <v>-31601.708258757026</v>
      </c>
      <c r="AB29" s="18">
        <f t="shared" si="11"/>
        <v>-31601.708258757026</v>
      </c>
      <c r="AC29" s="18">
        <f t="shared" si="11"/>
        <v>-31601.708258757026</v>
      </c>
      <c r="AD29" s="18">
        <f t="shared" si="11"/>
        <v>-31601.708258757026</v>
      </c>
      <c r="AE29" s="18">
        <f t="shared" si="11"/>
        <v>-31601.708258757026</v>
      </c>
      <c r="AF29" s="18">
        <f t="shared" si="11"/>
        <v>-31601.708258757026</v>
      </c>
      <c r="AG29" s="18">
        <f t="shared" si="11"/>
        <v>-31601.708258757026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8" t="s">
        <v>395</v>
      </c>
    </row>
    <row r="34" spans="1:33">
      <c r="A34" s="448"/>
    </row>
    <row r="35" spans="1:33">
      <c r="A35" s="447" t="s">
        <v>361</v>
      </c>
    </row>
    <row r="36" spans="1:33" s="18" customFormat="1">
      <c r="A36" s="45" t="s">
        <v>360</v>
      </c>
      <c r="B36" s="18">
        <f>-Assumptions!C11*Assumptions!$G$48</f>
        <v>-33589.890461193077</v>
      </c>
    </row>
    <row r="37" spans="1:33" s="18" customFormat="1">
      <c r="A37" s="45" t="s">
        <v>359</v>
      </c>
      <c r="B37" s="455">
        <f>B21*Assumptions!$G$48</f>
        <v>0</v>
      </c>
      <c r="C37" s="310">
        <f>C21*Assumptions!$G$48</f>
        <v>6427.4835241328183</v>
      </c>
      <c r="D37" s="310">
        <f>D21*Assumptions!$G$48</f>
        <v>4358.8863215751417</v>
      </c>
      <c r="E37" s="310">
        <f>E21*Assumptions!$G$48</f>
        <v>4724.3821670980869</v>
      </c>
      <c r="F37" s="310">
        <f>F21*Assumptions!$G$48</f>
        <v>4128.8799240288936</v>
      </c>
      <c r="G37" s="310">
        <f>G21*Assumptions!$G$48</f>
        <v>3520.2541715174025</v>
      </c>
      <c r="H37" s="310">
        <f>H21*Assumptions!$G$48</f>
        <v>2793.0971217736487</v>
      </c>
      <c r="I37" s="310">
        <f>I21*Assumptions!$G$48</f>
        <v>2283.632115874535</v>
      </c>
      <c r="J37" s="310">
        <f>J21*Assumptions!$G$48</f>
        <v>2076.6977219376363</v>
      </c>
      <c r="K37" s="310">
        <f>K21*Assumptions!$G$48</f>
        <v>1768.4625659112871</v>
      </c>
      <c r="L37" s="310">
        <f>L21*Assumptions!$G$48</f>
        <v>1125.9139532144363</v>
      </c>
      <c r="M37" s="310">
        <f>M21*Assumptions!$G$48</f>
        <v>-2474.6994439912651</v>
      </c>
      <c r="N37" s="310">
        <f>N21*Assumptions!$G$48</f>
        <v>-687.83542852020537</v>
      </c>
      <c r="O37" s="310">
        <f>O21*Assumptions!$G$48</f>
        <v>-704.54265918629517</v>
      </c>
      <c r="P37" s="310">
        <f>P21*Assumptions!$G$48</f>
        <v>-718.95191579429365</v>
      </c>
      <c r="Q37" s="310">
        <f>Q21*Assumptions!$G$48</f>
        <v>-734.79215917334068</v>
      </c>
      <c r="R37" s="310">
        <f>R21*Assumptions!$G$48</f>
        <v>-750.13661841834164</v>
      </c>
      <c r="S37" s="310">
        <f>S21*Assumptions!$G$48</f>
        <v>-769.04973358226061</v>
      </c>
      <c r="T37" s="310">
        <f>T21*Assumptions!$G$48</f>
        <v>-785.47227994433615</v>
      </c>
      <c r="U37" s="310">
        <f>U21*Assumptions!$G$48</f>
        <v>-803.46957044149576</v>
      </c>
      <c r="V37" s="310">
        <f>V21*Assumptions!$G$48</f>
        <v>-820.9378159889975</v>
      </c>
      <c r="W37" s="310">
        <f>W21*Assumptions!$G$48</f>
        <v>-842.3652863584548</v>
      </c>
      <c r="X37" s="310">
        <f>X21*Assumptions!$G$48</f>
        <v>-861.08933724502822</v>
      </c>
      <c r="Y37" s="310">
        <f>Y21*Assumptions!$G$48</f>
        <v>-881.54370093025227</v>
      </c>
      <c r="Z37" s="310">
        <f>Z21*Assumptions!$G$48</f>
        <v>-901.43025848240541</v>
      </c>
      <c r="AA37" s="310">
        <f>AA21*Assumptions!$G$48</f>
        <v>-925.63013066864914</v>
      </c>
      <c r="AB37" s="310">
        <f>AB21*Assumptions!$G$48</f>
        <v>-946.86872437680631</v>
      </c>
      <c r="AC37" s="310">
        <f>AC21*Assumptions!$G$48</f>
        <v>-970.02826076348356</v>
      </c>
      <c r="AD37" s="310">
        <f>AD21*Assumptions!$G$48</f>
        <v>-992.57530563234468</v>
      </c>
      <c r="AE37" s="310">
        <f>AE21*Assumptions!$G$48</f>
        <v>-1019.8831512602283</v>
      </c>
      <c r="AF37" s="310">
        <f>AF21*Assumptions!$G$48</f>
        <v>-1043.9446800192327</v>
      </c>
      <c r="AG37" s="310">
        <f>AG21*Assumptions!$G$48</f>
        <v>-544.61484956872846</v>
      </c>
    </row>
    <row r="38" spans="1:33" s="18" customFormat="1">
      <c r="A38" s="45" t="s">
        <v>358</v>
      </c>
      <c r="B38" s="18">
        <f t="shared" ref="B38:AG38" si="12">SUM(B36:B37)</f>
        <v>-33589.890461193077</v>
      </c>
      <c r="C38" s="18">
        <f t="shared" si="12"/>
        <v>6427.4835241328183</v>
      </c>
      <c r="D38" s="18">
        <f t="shared" si="12"/>
        <v>4358.8863215751417</v>
      </c>
      <c r="E38" s="18">
        <f t="shared" si="12"/>
        <v>4724.3821670980869</v>
      </c>
      <c r="F38" s="18">
        <f t="shared" si="12"/>
        <v>4128.8799240288936</v>
      </c>
      <c r="G38" s="18">
        <f t="shared" si="12"/>
        <v>3520.2541715174025</v>
      </c>
      <c r="H38" s="18">
        <f t="shared" si="12"/>
        <v>2793.0971217736487</v>
      </c>
      <c r="I38" s="18">
        <f t="shared" si="12"/>
        <v>2283.632115874535</v>
      </c>
      <c r="J38" s="18">
        <f t="shared" si="12"/>
        <v>2076.6977219376363</v>
      </c>
      <c r="K38" s="18">
        <f t="shared" si="12"/>
        <v>1768.4625659112871</v>
      </c>
      <c r="L38" s="18">
        <f t="shared" si="12"/>
        <v>1125.9139532144363</v>
      </c>
      <c r="M38" s="18">
        <f t="shared" si="12"/>
        <v>-2474.6994439912651</v>
      </c>
      <c r="N38" s="18">
        <f t="shared" si="12"/>
        <v>-687.83542852020537</v>
      </c>
      <c r="O38" s="18">
        <f t="shared" si="12"/>
        <v>-704.54265918629517</v>
      </c>
      <c r="P38" s="18">
        <f t="shared" si="12"/>
        <v>-718.95191579429365</v>
      </c>
      <c r="Q38" s="18">
        <f t="shared" si="12"/>
        <v>-734.79215917334068</v>
      </c>
      <c r="R38" s="18">
        <f t="shared" si="12"/>
        <v>-750.13661841834164</v>
      </c>
      <c r="S38" s="18">
        <f t="shared" si="12"/>
        <v>-769.04973358226061</v>
      </c>
      <c r="T38" s="18">
        <f t="shared" si="12"/>
        <v>-785.47227994433615</v>
      </c>
      <c r="U38" s="18">
        <f t="shared" si="12"/>
        <v>-803.46957044149576</v>
      </c>
      <c r="V38" s="18">
        <f t="shared" si="12"/>
        <v>-820.9378159889975</v>
      </c>
      <c r="W38" s="18">
        <f t="shared" si="12"/>
        <v>-842.3652863584548</v>
      </c>
      <c r="X38" s="18">
        <f t="shared" si="12"/>
        <v>-861.08933724502822</v>
      </c>
      <c r="Y38" s="18">
        <f t="shared" si="12"/>
        <v>-881.54370093025227</v>
      </c>
      <c r="Z38" s="18">
        <f t="shared" si="12"/>
        <v>-901.43025848240541</v>
      </c>
      <c r="AA38" s="18">
        <f t="shared" si="12"/>
        <v>-925.63013066864914</v>
      </c>
      <c r="AB38" s="18">
        <f t="shared" si="12"/>
        <v>-946.86872437680631</v>
      </c>
      <c r="AC38" s="18">
        <f t="shared" si="12"/>
        <v>-970.02826076348356</v>
      </c>
      <c r="AD38" s="18">
        <f t="shared" si="12"/>
        <v>-992.57530563234468</v>
      </c>
      <c r="AE38" s="18">
        <f t="shared" si="12"/>
        <v>-1019.8831512602283</v>
      </c>
      <c r="AF38" s="18">
        <f t="shared" si="12"/>
        <v>-1043.9446800192327</v>
      </c>
      <c r="AG38" s="18">
        <f t="shared" si="12"/>
        <v>-544.61484956872846</v>
      </c>
    </row>
    <row r="39" spans="1:33">
      <c r="B39" s="447" t="s">
        <v>1</v>
      </c>
      <c r="C39" s="453">
        <f>XIRR(B38:L38,B8:L8)</f>
        <v>-2.2983461618423465E-3</v>
      </c>
    </row>
    <row r="40" spans="1:33">
      <c r="A40" s="45"/>
      <c r="B40" s="449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360</v>
      </c>
      <c r="B42" s="18">
        <f>-Assumptions!C11*Assumptions!$G$48</f>
        <v>-33589.890461193077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359</v>
      </c>
      <c r="B43" s="450">
        <f>B21*Assumptions!$G$48</f>
        <v>0</v>
      </c>
      <c r="C43" s="18">
        <f>C21*Assumptions!$G$48</f>
        <v>6427.4835241328183</v>
      </c>
      <c r="D43" s="18">
        <f>D21*Assumptions!$G$48</f>
        <v>4358.8863215751417</v>
      </c>
      <c r="E43" s="18">
        <f>E21*Assumptions!$G$48</f>
        <v>4724.3821670980869</v>
      </c>
      <c r="F43" s="18">
        <f>F21*Assumptions!$G$48</f>
        <v>4128.8799240288936</v>
      </c>
      <c r="G43" s="18">
        <f>G21*Assumptions!$G$48</f>
        <v>3520.2541715174025</v>
      </c>
      <c r="H43" s="18">
        <f>H21*Assumptions!$G$48</f>
        <v>2793.0971217736487</v>
      </c>
      <c r="I43" s="18">
        <f>I21*Assumptions!$G$48</f>
        <v>2283.632115874535</v>
      </c>
      <c r="J43" s="18">
        <f>J21*Assumptions!$G$48</f>
        <v>2076.6977219376363</v>
      </c>
      <c r="K43" s="18">
        <f>K21*Assumptions!$G$48</f>
        <v>1768.4625659112871</v>
      </c>
      <c r="L43" s="18">
        <f>L21*Assumptions!$G$48</f>
        <v>1125.9139532144363</v>
      </c>
      <c r="M43" s="18">
        <f>M21*Assumptions!$G$48</f>
        <v>-2474.6994439912651</v>
      </c>
      <c r="N43" s="18">
        <f>N21*Assumptions!$G$48</f>
        <v>-687.83542852020537</v>
      </c>
      <c r="O43" s="18">
        <f>O21*Assumptions!$G$48</f>
        <v>-704.54265918629517</v>
      </c>
      <c r="P43" s="18">
        <f>P21*Assumptions!$G$48</f>
        <v>-718.95191579429365</v>
      </c>
      <c r="Q43" s="18">
        <f>Q21*Assumptions!$G$48</f>
        <v>-734.79215917334068</v>
      </c>
      <c r="R43" s="18">
        <f>R21*Assumptions!$G$48</f>
        <v>-750.13661841834164</v>
      </c>
      <c r="S43" s="18">
        <f>S21*Assumptions!$G$48</f>
        <v>-769.04973358226061</v>
      </c>
      <c r="T43" s="18">
        <f>T21*Assumptions!$G$48</f>
        <v>-785.47227994433615</v>
      </c>
      <c r="U43" s="18">
        <f>U21*Assumptions!$G$48</f>
        <v>-803.46957044149576</v>
      </c>
      <c r="V43" s="18">
        <f>V21*Assumptions!$G$48</f>
        <v>-820.9378159889975</v>
      </c>
      <c r="W43" s="18">
        <f>W21*Assumptions!$G$48</f>
        <v>-842.3652863584548</v>
      </c>
      <c r="X43" s="18">
        <f>X21*Assumptions!$G$48</f>
        <v>-861.08933724502822</v>
      </c>
      <c r="Y43" s="18">
        <f>Y21*Assumptions!$G$48</f>
        <v>-881.54370093025227</v>
      </c>
      <c r="Z43" s="18">
        <f>Z21*Assumptions!$G$48</f>
        <v>-901.43025848240541</v>
      </c>
      <c r="AA43" s="18">
        <f>AA21*Assumptions!$G$48</f>
        <v>-925.63013066864914</v>
      </c>
      <c r="AB43" s="18">
        <f>AB21*Assumptions!$G$48</f>
        <v>-946.86872437680631</v>
      </c>
      <c r="AC43" s="18">
        <f>AC21*Assumptions!$G$48</f>
        <v>-970.02826076348356</v>
      </c>
      <c r="AD43" s="18">
        <f>AD21*Assumptions!$G$48</f>
        <v>-992.57530563234468</v>
      </c>
      <c r="AE43" s="18">
        <f>AE21*Assumptions!$G$48</f>
        <v>-1019.8831512602283</v>
      </c>
      <c r="AF43" s="18">
        <f>AF21*Assumptions!$G$48</f>
        <v>-1043.9446800192327</v>
      </c>
      <c r="AG43" s="18">
        <f>AG21*Assumptions!$G$48</f>
        <v>-544.61484956872846</v>
      </c>
    </row>
    <row r="44" spans="1:33">
      <c r="A44" s="56" t="s">
        <v>124</v>
      </c>
      <c r="B44" s="310">
        <v>0</v>
      </c>
      <c r="C44" s="310">
        <v>0</v>
      </c>
      <c r="D44" s="310">
        <v>0</v>
      </c>
      <c r="E44" s="310">
        <v>0</v>
      </c>
      <c r="F44" s="310">
        <v>0</v>
      </c>
      <c r="G44" s="310">
        <v>0</v>
      </c>
      <c r="H44" s="310">
        <v>0</v>
      </c>
      <c r="I44" s="310">
        <v>0</v>
      </c>
      <c r="J44" s="310">
        <v>0</v>
      </c>
      <c r="K44" s="310">
        <v>0</v>
      </c>
      <c r="L44" s="310">
        <f>Assumptions!$H$23*IS!L30*Assumptions!$G$48</f>
        <v>46839.21520834323</v>
      </c>
      <c r="M44" s="310">
        <v>0</v>
      </c>
      <c r="N44" s="310">
        <v>0</v>
      </c>
      <c r="O44" s="310">
        <v>0</v>
      </c>
      <c r="P44" s="310">
        <v>0</v>
      </c>
      <c r="Q44" s="310">
        <v>0</v>
      </c>
      <c r="R44" s="310">
        <v>0</v>
      </c>
      <c r="S44" s="310">
        <v>0</v>
      </c>
      <c r="T44" s="310">
        <v>0</v>
      </c>
      <c r="U44" s="310">
        <v>0</v>
      </c>
      <c r="V44" s="310">
        <v>0</v>
      </c>
      <c r="W44" s="310">
        <f>Assumptions!H23*IS!W30*Assumptions!G48</f>
        <v>-9981.9683871633351</v>
      </c>
      <c r="X44" s="310">
        <v>0</v>
      </c>
      <c r="Y44" s="310">
        <v>0</v>
      </c>
      <c r="Z44" s="310">
        <v>0</v>
      </c>
      <c r="AA44" s="310">
        <v>0</v>
      </c>
      <c r="AB44" s="310">
        <v>0</v>
      </c>
      <c r="AC44" s="310">
        <v>0</v>
      </c>
      <c r="AD44" s="310">
        <v>0</v>
      </c>
      <c r="AE44" s="310">
        <v>0</v>
      </c>
      <c r="AF44" s="310">
        <v>0</v>
      </c>
      <c r="AG44" s="310">
        <f>Assumptions!H23*IS!AF30*Assumptions!G48</f>
        <v>-12377.615732832408</v>
      </c>
    </row>
    <row r="45" spans="1:33">
      <c r="A45" s="56" t="s">
        <v>358</v>
      </c>
      <c r="B45" s="18">
        <f t="shared" ref="B45:AG45" si="13">SUM(B42:B44)</f>
        <v>-33589.890461193077</v>
      </c>
      <c r="C45" s="18">
        <f t="shared" si="13"/>
        <v>6427.4835241328183</v>
      </c>
      <c r="D45" s="18">
        <f t="shared" si="13"/>
        <v>4358.8863215751417</v>
      </c>
      <c r="E45" s="18">
        <f t="shared" si="13"/>
        <v>4724.3821670980869</v>
      </c>
      <c r="F45" s="18">
        <f t="shared" si="13"/>
        <v>4128.8799240288936</v>
      </c>
      <c r="G45" s="18">
        <f t="shared" si="13"/>
        <v>3520.2541715174025</v>
      </c>
      <c r="H45" s="18">
        <f t="shared" si="13"/>
        <v>2793.0971217736487</v>
      </c>
      <c r="I45" s="18">
        <f t="shared" si="13"/>
        <v>2283.632115874535</v>
      </c>
      <c r="J45" s="18">
        <f t="shared" si="13"/>
        <v>2076.6977219376363</v>
      </c>
      <c r="K45" s="18">
        <f t="shared" si="13"/>
        <v>1768.4625659112871</v>
      </c>
      <c r="L45" s="18">
        <f t="shared" si="13"/>
        <v>47965.129161557663</v>
      </c>
      <c r="M45" s="18">
        <f t="shared" si="13"/>
        <v>-2474.6994439912651</v>
      </c>
      <c r="N45" s="18">
        <f t="shared" si="13"/>
        <v>-687.83542852020537</v>
      </c>
      <c r="O45" s="18">
        <f t="shared" si="13"/>
        <v>-704.54265918629517</v>
      </c>
      <c r="P45" s="18">
        <f t="shared" si="13"/>
        <v>-718.95191579429365</v>
      </c>
      <c r="Q45" s="18">
        <f t="shared" si="13"/>
        <v>-734.79215917334068</v>
      </c>
      <c r="R45" s="18">
        <f t="shared" si="13"/>
        <v>-750.13661841834164</v>
      </c>
      <c r="S45" s="18">
        <f t="shared" si="13"/>
        <v>-769.04973358226061</v>
      </c>
      <c r="T45" s="18">
        <f t="shared" si="13"/>
        <v>-785.47227994433615</v>
      </c>
      <c r="U45" s="18">
        <f t="shared" si="13"/>
        <v>-803.46957044149576</v>
      </c>
      <c r="V45" s="18">
        <f t="shared" si="13"/>
        <v>-820.9378159889975</v>
      </c>
      <c r="W45" s="18">
        <f t="shared" si="13"/>
        <v>-10824.333673521789</v>
      </c>
      <c r="X45" s="18">
        <f t="shared" si="13"/>
        <v>-861.08933724502822</v>
      </c>
      <c r="Y45" s="18">
        <f t="shared" si="13"/>
        <v>-881.54370093025227</v>
      </c>
      <c r="Z45" s="18">
        <f t="shared" si="13"/>
        <v>-901.43025848240541</v>
      </c>
      <c r="AA45" s="18">
        <f t="shared" si="13"/>
        <v>-925.63013066864914</v>
      </c>
      <c r="AB45" s="18">
        <f t="shared" si="13"/>
        <v>-946.86872437680631</v>
      </c>
      <c r="AC45" s="18">
        <f t="shared" si="13"/>
        <v>-970.02826076348356</v>
      </c>
      <c r="AD45" s="18">
        <f t="shared" si="13"/>
        <v>-992.57530563234468</v>
      </c>
      <c r="AE45" s="18">
        <f t="shared" si="13"/>
        <v>-1019.8831512602283</v>
      </c>
      <c r="AF45" s="18">
        <f t="shared" si="13"/>
        <v>-1043.9446800192327</v>
      </c>
      <c r="AG45" s="18">
        <f t="shared" si="13"/>
        <v>-12922.230582401136</v>
      </c>
    </row>
    <row r="46" spans="1:33">
      <c r="A46" s="13"/>
      <c r="B46" s="447" t="s">
        <v>1</v>
      </c>
      <c r="C46" s="453">
        <f>XIRR(B45:L45,B8:L8)</f>
        <v>0.11995845437049862</v>
      </c>
    </row>
    <row r="47" spans="1:33">
      <c r="A47" s="56"/>
      <c r="B47" s="449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360</v>
      </c>
      <c r="B49" s="18">
        <f>-Assumptions!C11*Assumptions!G48</f>
        <v>-33589.890461193077</v>
      </c>
    </row>
    <row r="50" spans="1:33" s="18" customFormat="1">
      <c r="A50" s="56" t="s">
        <v>359</v>
      </c>
      <c r="B50" s="18">
        <f>+B21*Assumptions!$G$48</f>
        <v>0</v>
      </c>
      <c r="C50" s="18">
        <f>+C21*Assumptions!$G$48</f>
        <v>6427.4835241328183</v>
      </c>
      <c r="D50" s="18">
        <f>+D21*Assumptions!$G$48</f>
        <v>4358.8863215751417</v>
      </c>
      <c r="E50" s="18">
        <f>+E21*Assumptions!$G$48</f>
        <v>4724.3821670980869</v>
      </c>
      <c r="F50" s="18">
        <f>+F21*Assumptions!$G$48</f>
        <v>4128.8799240288936</v>
      </c>
      <c r="G50" s="18">
        <f>+G21*Assumptions!$G$48</f>
        <v>3520.2541715174025</v>
      </c>
      <c r="H50" s="18">
        <f>+H21*Assumptions!$G$48</f>
        <v>2793.0971217736487</v>
      </c>
      <c r="I50" s="18">
        <f>+I21*Assumptions!$G$48</f>
        <v>2283.632115874535</v>
      </c>
      <c r="J50" s="18">
        <f>+J21*Assumptions!$G$48</f>
        <v>2076.6977219376363</v>
      </c>
      <c r="K50" s="18">
        <f>+K21*Assumptions!$G$48</f>
        <v>1768.4625659112871</v>
      </c>
      <c r="L50" s="18">
        <f>+L21*Assumptions!$G$48</f>
        <v>1125.9139532144363</v>
      </c>
      <c r="M50" s="18">
        <f>+M21*Assumptions!$G$48</f>
        <v>-2474.6994439912651</v>
      </c>
      <c r="N50" s="18">
        <f>+N21*Assumptions!$G$48</f>
        <v>-687.83542852020537</v>
      </c>
      <c r="O50" s="18">
        <f>+O21*Assumptions!$G$48</f>
        <v>-704.54265918629517</v>
      </c>
      <c r="P50" s="18">
        <f>+P21*Assumptions!$G$48</f>
        <v>-718.95191579429365</v>
      </c>
      <c r="Q50" s="18">
        <f>+Q21*Assumptions!$G$48</f>
        <v>-734.79215917334068</v>
      </c>
      <c r="R50" s="18">
        <f>+R21*Assumptions!$G$48</f>
        <v>-750.13661841834164</v>
      </c>
      <c r="S50" s="18">
        <f>+S21*Assumptions!$G$48</f>
        <v>-769.04973358226061</v>
      </c>
      <c r="T50" s="18">
        <f>+T21*Assumptions!$G$48</f>
        <v>-785.47227994433615</v>
      </c>
      <c r="U50" s="18">
        <f>+U21*Assumptions!$G$48</f>
        <v>-803.46957044149576</v>
      </c>
      <c r="V50" s="18">
        <f>+V21*Assumptions!$G$48</f>
        <v>-820.9378159889975</v>
      </c>
      <c r="W50" s="18">
        <f>+W21*Assumptions!$G$48</f>
        <v>-842.3652863584548</v>
      </c>
      <c r="X50" s="18">
        <f>+X21*Assumptions!$G$48</f>
        <v>-861.08933724502822</v>
      </c>
      <c r="Y50" s="18">
        <f>+Y21*Assumptions!$G$48</f>
        <v>-881.54370093025227</v>
      </c>
      <c r="Z50" s="18">
        <f>+Z21*Assumptions!$G$48</f>
        <v>-901.43025848240541</v>
      </c>
      <c r="AA50" s="18">
        <f>+AA21*Assumptions!$G$48</f>
        <v>-925.63013066864914</v>
      </c>
      <c r="AB50" s="18">
        <f>+AB21*Assumptions!$G$48</f>
        <v>-946.86872437680631</v>
      </c>
      <c r="AC50" s="18">
        <f>+AC21*Assumptions!$G$48</f>
        <v>-970.02826076348356</v>
      </c>
      <c r="AD50" s="18">
        <f>+AD21*Assumptions!$G$48</f>
        <v>-992.57530563234468</v>
      </c>
      <c r="AE50" s="18">
        <f>+AE21*Assumptions!$G$48</f>
        <v>-1019.8831512602283</v>
      </c>
      <c r="AF50" s="18">
        <f>+AF21*Assumptions!$G$48</f>
        <v>-1043.9446800192327</v>
      </c>
      <c r="AG50" s="18">
        <f>+AG21*Assumptions!$G$48</f>
        <v>-544.61484956872846</v>
      </c>
    </row>
    <row r="51" spans="1:33" s="18" customFormat="1">
      <c r="A51" s="56" t="s">
        <v>124</v>
      </c>
      <c r="B51" s="310">
        <v>0</v>
      </c>
      <c r="C51" s="310">
        <v>0</v>
      </c>
      <c r="D51" s="310">
        <v>0</v>
      </c>
      <c r="E51" s="310">
        <v>0</v>
      </c>
      <c r="F51" s="310">
        <v>0</v>
      </c>
      <c r="G51" s="310">
        <v>0</v>
      </c>
      <c r="H51" s="310">
        <v>0</v>
      </c>
      <c r="I51" s="310">
        <v>0</v>
      </c>
      <c r="J51" s="310">
        <v>0</v>
      </c>
      <c r="K51" s="310">
        <v>0</v>
      </c>
      <c r="L51" s="310">
        <f>AG51</f>
        <v>46864.850957062903</v>
      </c>
      <c r="M51" s="310">
        <v>0</v>
      </c>
      <c r="N51" s="310">
        <v>0</v>
      </c>
      <c r="O51" s="310">
        <v>0</v>
      </c>
      <c r="P51" s="310">
        <v>0</v>
      </c>
      <c r="Q51" s="310">
        <v>0</v>
      </c>
      <c r="R51" s="310">
        <v>0</v>
      </c>
      <c r="S51" s="310">
        <v>0</v>
      </c>
      <c r="T51" s="310">
        <v>0</v>
      </c>
      <c r="U51" s="310">
        <v>0</v>
      </c>
      <c r="V51" s="310">
        <v>0</v>
      </c>
      <c r="W51" s="310">
        <v>0</v>
      </c>
      <c r="X51" s="310">
        <v>0</v>
      </c>
      <c r="Y51" s="310">
        <v>0</v>
      </c>
      <c r="Z51" s="310">
        <v>0</v>
      </c>
      <c r="AA51" s="310">
        <v>0</v>
      </c>
      <c r="AB51" s="310">
        <v>0</v>
      </c>
      <c r="AC51" s="310">
        <v>0</v>
      </c>
      <c r="AD51" s="310">
        <v>0</v>
      </c>
      <c r="AE51" s="310">
        <v>0</v>
      </c>
      <c r="AF51" s="310">
        <v>0</v>
      </c>
      <c r="AG51" s="310">
        <f>Assumptions!H24*Assumptions!C58*Assumptions!G48</f>
        <v>46864.850957062903</v>
      </c>
    </row>
    <row r="52" spans="1:33" s="18" customFormat="1">
      <c r="A52" s="56" t="s">
        <v>358</v>
      </c>
      <c r="B52" s="18">
        <f>SUM(B49:B51)</f>
        <v>-33589.890461193077</v>
      </c>
      <c r="C52" s="18">
        <f t="shared" ref="C52:AG52" si="14">SUM(C49:C51)</f>
        <v>6427.4835241328183</v>
      </c>
      <c r="D52" s="18">
        <f t="shared" si="14"/>
        <v>4358.8863215751417</v>
      </c>
      <c r="E52" s="18">
        <f t="shared" si="14"/>
        <v>4724.3821670980869</v>
      </c>
      <c r="F52" s="18">
        <f t="shared" si="14"/>
        <v>4128.8799240288936</v>
      </c>
      <c r="G52" s="18">
        <f t="shared" si="14"/>
        <v>3520.2541715174025</v>
      </c>
      <c r="H52" s="18">
        <f t="shared" si="14"/>
        <v>2793.0971217736487</v>
      </c>
      <c r="I52" s="18">
        <f t="shared" si="14"/>
        <v>2283.632115874535</v>
      </c>
      <c r="J52" s="18">
        <f t="shared" si="14"/>
        <v>2076.6977219376363</v>
      </c>
      <c r="K52" s="18">
        <f t="shared" si="14"/>
        <v>1768.4625659112871</v>
      </c>
      <c r="L52" s="18">
        <f t="shared" si="14"/>
        <v>47990.764910277343</v>
      </c>
      <c r="M52" s="18">
        <f t="shared" si="14"/>
        <v>-2474.6994439912651</v>
      </c>
      <c r="N52" s="18">
        <f t="shared" si="14"/>
        <v>-687.83542852020537</v>
      </c>
      <c r="O52" s="18">
        <f t="shared" si="14"/>
        <v>-704.54265918629517</v>
      </c>
      <c r="P52" s="18">
        <f t="shared" si="14"/>
        <v>-718.95191579429365</v>
      </c>
      <c r="Q52" s="18">
        <f t="shared" si="14"/>
        <v>-734.79215917334068</v>
      </c>
      <c r="R52" s="18">
        <f t="shared" si="14"/>
        <v>-750.13661841834164</v>
      </c>
      <c r="S52" s="18">
        <f t="shared" si="14"/>
        <v>-769.04973358226061</v>
      </c>
      <c r="T52" s="18">
        <f t="shared" si="14"/>
        <v>-785.47227994433615</v>
      </c>
      <c r="U52" s="18">
        <f t="shared" si="14"/>
        <v>-803.46957044149576</v>
      </c>
      <c r="V52" s="18">
        <f t="shared" si="14"/>
        <v>-820.9378159889975</v>
      </c>
      <c r="W52" s="18">
        <f t="shared" si="14"/>
        <v>-842.3652863584548</v>
      </c>
      <c r="X52" s="18">
        <f t="shared" si="14"/>
        <v>-861.08933724502822</v>
      </c>
      <c r="Y52" s="18">
        <f t="shared" si="14"/>
        <v>-881.54370093025227</v>
      </c>
      <c r="Z52" s="18">
        <f t="shared" si="14"/>
        <v>-901.43025848240541</v>
      </c>
      <c r="AA52" s="18">
        <f t="shared" si="14"/>
        <v>-925.63013066864914</v>
      </c>
      <c r="AB52" s="18">
        <f t="shared" si="14"/>
        <v>-946.86872437680631</v>
      </c>
      <c r="AC52" s="18">
        <f t="shared" si="14"/>
        <v>-970.02826076348356</v>
      </c>
      <c r="AD52" s="18">
        <f t="shared" si="14"/>
        <v>-992.57530563234468</v>
      </c>
      <c r="AE52" s="18">
        <f t="shared" si="14"/>
        <v>-1019.8831512602283</v>
      </c>
      <c r="AF52" s="18">
        <f t="shared" si="14"/>
        <v>-1043.9446800192327</v>
      </c>
      <c r="AG52" s="18">
        <f t="shared" si="14"/>
        <v>46320.236107494173</v>
      </c>
    </row>
    <row r="53" spans="1:33">
      <c r="A53" s="13"/>
      <c r="B53" s="447" t="s">
        <v>1</v>
      </c>
      <c r="C53" s="453">
        <f>XIRR(B52:L52,B8:L8)</f>
        <v>0.11999494433403013</v>
      </c>
    </row>
    <row r="54" spans="1:33">
      <c r="A54" s="56"/>
      <c r="B54" s="449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360</v>
      </c>
      <c r="B56" s="18">
        <f>-Assumptions!C11*Assumptions!G48</f>
        <v>-33589.890461193077</v>
      </c>
    </row>
    <row r="57" spans="1:33" s="18" customFormat="1">
      <c r="A57" s="56" t="s">
        <v>359</v>
      </c>
      <c r="B57" s="450">
        <f>B21*Assumptions!$G$48</f>
        <v>0</v>
      </c>
      <c r="C57" s="18">
        <f>C21*Assumptions!$G$48</f>
        <v>6427.4835241328183</v>
      </c>
      <c r="D57" s="18">
        <f>D21*Assumptions!$G$48</f>
        <v>4358.8863215751417</v>
      </c>
      <c r="E57" s="18">
        <f>E21*Assumptions!$G$48</f>
        <v>4724.3821670980869</v>
      </c>
      <c r="F57" s="18">
        <f>F21*Assumptions!$G$48</f>
        <v>4128.8799240288936</v>
      </c>
      <c r="G57" s="18">
        <f>G21*Assumptions!$G$48</f>
        <v>3520.2541715174025</v>
      </c>
      <c r="H57" s="18">
        <f>H21*Assumptions!$G$48</f>
        <v>2793.0971217736487</v>
      </c>
      <c r="I57" s="18">
        <f>I21*Assumptions!$G$48</f>
        <v>2283.632115874535</v>
      </c>
      <c r="J57" s="18">
        <f>J21*Assumptions!$G$48</f>
        <v>2076.6977219376363</v>
      </c>
      <c r="K57" s="18">
        <f>K21*Assumptions!$G$48</f>
        <v>1768.4625659112871</v>
      </c>
      <c r="L57" s="18">
        <f>L21*Assumptions!$G$48</f>
        <v>1125.9139532144363</v>
      </c>
      <c r="M57" s="18">
        <f>M21*Assumptions!$G$48</f>
        <v>-2474.6994439912651</v>
      </c>
      <c r="N57" s="18">
        <f>N21*Assumptions!$G$48</f>
        <v>-687.83542852020537</v>
      </c>
      <c r="O57" s="18">
        <f>O21*Assumptions!$G$48</f>
        <v>-704.54265918629517</v>
      </c>
      <c r="P57" s="18">
        <f>P21*Assumptions!$G$48</f>
        <v>-718.95191579429365</v>
      </c>
      <c r="Q57" s="18">
        <f>Q21*Assumptions!$G$48</f>
        <v>-734.79215917334068</v>
      </c>
      <c r="R57" s="18">
        <f>R21*Assumptions!$G$48</f>
        <v>-750.13661841834164</v>
      </c>
      <c r="S57" s="18">
        <f>S21*Assumptions!$G$48</f>
        <v>-769.04973358226061</v>
      </c>
      <c r="T57" s="18">
        <f>T21*Assumptions!$G$48</f>
        <v>-785.47227994433615</v>
      </c>
      <c r="U57" s="18">
        <f>U21*Assumptions!$G$48</f>
        <v>-803.46957044149576</v>
      </c>
      <c r="V57" s="18">
        <f>V21*Assumptions!$G$48</f>
        <v>-820.9378159889975</v>
      </c>
      <c r="W57" s="18">
        <f>W21*Assumptions!$G$48</f>
        <v>-842.3652863584548</v>
      </c>
      <c r="X57" s="18">
        <f>X21*Assumptions!$G$48</f>
        <v>-861.08933724502822</v>
      </c>
      <c r="Y57" s="18">
        <f>Y21*Assumptions!$G$48</f>
        <v>-881.54370093025227</v>
      </c>
      <c r="Z57" s="18">
        <f>Z21*Assumptions!$G$48</f>
        <v>-901.43025848240541</v>
      </c>
      <c r="AA57" s="18">
        <f>AA21*Assumptions!$G$48</f>
        <v>-925.63013066864914</v>
      </c>
      <c r="AB57" s="18">
        <f>AB21*Assumptions!$G$48</f>
        <v>-946.86872437680631</v>
      </c>
      <c r="AC57" s="18">
        <f>AC21*Assumptions!$G$48</f>
        <v>-970.02826076348356</v>
      </c>
      <c r="AD57" s="18">
        <f>AD21*Assumptions!$G$48</f>
        <v>-992.57530563234468</v>
      </c>
      <c r="AE57" s="18">
        <f>AE21*Assumptions!$G$48</f>
        <v>-1019.8831512602283</v>
      </c>
      <c r="AF57" s="18">
        <f>AF21*Assumptions!$G$48</f>
        <v>-1043.9446800192327</v>
      </c>
      <c r="AG57" s="18">
        <f>AG21*Assumptions!$G$48</f>
        <v>-544.61484956872846</v>
      </c>
    </row>
    <row r="58" spans="1:33" s="18" customFormat="1">
      <c r="A58" s="56" t="s">
        <v>124</v>
      </c>
      <c r="B58" s="310">
        <v>0</v>
      </c>
      <c r="C58" s="310">
        <v>0</v>
      </c>
      <c r="D58" s="310">
        <v>0</v>
      </c>
      <c r="E58" s="310">
        <v>0</v>
      </c>
      <c r="F58" s="310">
        <v>0</v>
      </c>
      <c r="G58" s="310">
        <v>0</v>
      </c>
      <c r="H58" s="310">
        <v>0</v>
      </c>
      <c r="I58" s="310">
        <v>0</v>
      </c>
      <c r="J58" s="310">
        <v>0</v>
      </c>
      <c r="K58" s="310">
        <v>0</v>
      </c>
      <c r="L58" s="310">
        <f>AG58</f>
        <v>47000</v>
      </c>
      <c r="M58" s="310">
        <v>0</v>
      </c>
      <c r="N58" s="310">
        <v>0</v>
      </c>
      <c r="O58" s="310">
        <v>0</v>
      </c>
      <c r="P58" s="310">
        <v>0</v>
      </c>
      <c r="Q58" s="310">
        <v>0</v>
      </c>
      <c r="R58" s="310">
        <v>0</v>
      </c>
      <c r="S58" s="310">
        <v>0</v>
      </c>
      <c r="T58" s="310">
        <v>0</v>
      </c>
      <c r="U58" s="310">
        <v>0</v>
      </c>
      <c r="V58" s="310">
        <v>0</v>
      </c>
      <c r="W58" s="310">
        <v>0</v>
      </c>
      <c r="X58" s="310">
        <v>0</v>
      </c>
      <c r="Y58" s="310">
        <v>0</v>
      </c>
      <c r="Z58" s="310">
        <v>0</v>
      </c>
      <c r="AA58" s="310">
        <v>0</v>
      </c>
      <c r="AB58" s="310">
        <v>0</v>
      </c>
      <c r="AC58" s="310">
        <v>0</v>
      </c>
      <c r="AD58" s="310">
        <v>0</v>
      </c>
      <c r="AE58" s="310">
        <v>0</v>
      </c>
      <c r="AF58" s="310">
        <v>0</v>
      </c>
      <c r="AG58" s="310">
        <f>Assumptions!H25*Assumptions!H68*Assumptions!G48</f>
        <v>47000</v>
      </c>
    </row>
    <row r="59" spans="1:33" s="18" customFormat="1" ht="12" customHeight="1">
      <c r="A59" s="56" t="s">
        <v>358</v>
      </c>
      <c r="B59" s="18">
        <f>SUM(B56:B58)</f>
        <v>-33589.890461193077</v>
      </c>
      <c r="C59" s="18">
        <f t="shared" ref="C59:AG59" si="15">SUM(C56:C58)</f>
        <v>6427.4835241328183</v>
      </c>
      <c r="D59" s="18">
        <f t="shared" si="15"/>
        <v>4358.8863215751417</v>
      </c>
      <c r="E59" s="18">
        <f t="shared" si="15"/>
        <v>4724.3821670980869</v>
      </c>
      <c r="F59" s="18">
        <f t="shared" si="15"/>
        <v>4128.8799240288936</v>
      </c>
      <c r="G59" s="18">
        <f t="shared" si="15"/>
        <v>3520.2541715174025</v>
      </c>
      <c r="H59" s="18">
        <f t="shared" si="15"/>
        <v>2793.0971217736487</v>
      </c>
      <c r="I59" s="18">
        <f t="shared" si="15"/>
        <v>2283.632115874535</v>
      </c>
      <c r="J59" s="18">
        <f t="shared" si="15"/>
        <v>2076.6977219376363</v>
      </c>
      <c r="K59" s="18">
        <f t="shared" si="15"/>
        <v>1768.4625659112871</v>
      </c>
      <c r="L59" s="18">
        <f t="shared" si="15"/>
        <v>48125.913953214433</v>
      </c>
      <c r="M59" s="18">
        <f t="shared" si="15"/>
        <v>-2474.6994439912651</v>
      </c>
      <c r="N59" s="18">
        <f t="shared" si="15"/>
        <v>-687.83542852020537</v>
      </c>
      <c r="O59" s="18">
        <f t="shared" si="15"/>
        <v>-704.54265918629517</v>
      </c>
      <c r="P59" s="18">
        <f t="shared" si="15"/>
        <v>-718.95191579429365</v>
      </c>
      <c r="Q59" s="18">
        <f t="shared" si="15"/>
        <v>-734.79215917334068</v>
      </c>
      <c r="R59" s="18">
        <f t="shared" si="15"/>
        <v>-750.13661841834164</v>
      </c>
      <c r="S59" s="18">
        <f t="shared" si="15"/>
        <v>-769.04973358226061</v>
      </c>
      <c r="T59" s="18">
        <f t="shared" si="15"/>
        <v>-785.47227994433615</v>
      </c>
      <c r="U59" s="18">
        <f t="shared" si="15"/>
        <v>-803.46957044149576</v>
      </c>
      <c r="V59" s="18">
        <f t="shared" si="15"/>
        <v>-820.9378159889975</v>
      </c>
      <c r="W59" s="18">
        <f t="shared" si="15"/>
        <v>-842.3652863584548</v>
      </c>
      <c r="X59" s="18">
        <f t="shared" si="15"/>
        <v>-861.08933724502822</v>
      </c>
      <c r="Y59" s="18">
        <f t="shared" si="15"/>
        <v>-881.54370093025227</v>
      </c>
      <c r="Z59" s="18">
        <f t="shared" si="15"/>
        <v>-901.43025848240541</v>
      </c>
      <c r="AA59" s="18">
        <f t="shared" si="15"/>
        <v>-925.63013066864914</v>
      </c>
      <c r="AB59" s="18">
        <f t="shared" si="15"/>
        <v>-946.86872437680631</v>
      </c>
      <c r="AC59" s="18">
        <f t="shared" si="15"/>
        <v>-970.02826076348356</v>
      </c>
      <c r="AD59" s="18">
        <f t="shared" si="15"/>
        <v>-992.57530563234468</v>
      </c>
      <c r="AE59" s="18">
        <f t="shared" si="15"/>
        <v>-1019.8831512602283</v>
      </c>
      <c r="AF59" s="18">
        <f t="shared" si="15"/>
        <v>-1043.9446800192327</v>
      </c>
      <c r="AG59" s="18">
        <f t="shared" si="15"/>
        <v>46455.38515043127</v>
      </c>
    </row>
    <row r="60" spans="1:33">
      <c r="A60" s="13"/>
      <c r="B60" s="447" t="s">
        <v>1</v>
      </c>
      <c r="C60" s="453">
        <f>XIRR(B59:L59,B8:L8)</f>
        <v>0.12018703818321227</v>
      </c>
    </row>
    <row r="61" spans="1:33">
      <c r="A61" s="56"/>
      <c r="B61" s="449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9" t="s">
        <v>410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/>
    </row>
    <row r="7" spans="1:40" ht="13.5" thickBot="1">
      <c r="A7" s="123" t="s">
        <v>40</v>
      </c>
      <c r="B7" s="213">
        <f>IS!C7</f>
        <v>2001</v>
      </c>
      <c r="C7" s="213">
        <f>B7+1</f>
        <v>2002</v>
      </c>
      <c r="D7" s="213">
        <f t="shared" ref="D7:AF7" si="0">C7+1</f>
        <v>2003</v>
      </c>
      <c r="E7" s="213">
        <f t="shared" si="0"/>
        <v>2004</v>
      </c>
      <c r="F7" s="213">
        <f t="shared" si="0"/>
        <v>2005</v>
      </c>
      <c r="G7" s="213">
        <f t="shared" si="0"/>
        <v>2006</v>
      </c>
      <c r="H7" s="213">
        <f t="shared" si="0"/>
        <v>2007</v>
      </c>
      <c r="I7" s="213">
        <f t="shared" si="0"/>
        <v>2008</v>
      </c>
      <c r="J7" s="213">
        <f t="shared" si="0"/>
        <v>2009</v>
      </c>
      <c r="K7" s="213">
        <f t="shared" si="0"/>
        <v>2010</v>
      </c>
      <c r="L7" s="213">
        <f t="shared" si="0"/>
        <v>2011</v>
      </c>
      <c r="M7" s="213">
        <f t="shared" si="0"/>
        <v>2012</v>
      </c>
      <c r="N7" s="213">
        <f t="shared" si="0"/>
        <v>2013</v>
      </c>
      <c r="O7" s="213">
        <f t="shared" si="0"/>
        <v>2014</v>
      </c>
      <c r="P7" s="213">
        <f t="shared" si="0"/>
        <v>2015</v>
      </c>
      <c r="Q7" s="213">
        <f t="shared" si="0"/>
        <v>2016</v>
      </c>
      <c r="R7" s="213">
        <f t="shared" si="0"/>
        <v>2017</v>
      </c>
      <c r="S7" s="213">
        <f t="shared" si="0"/>
        <v>2018</v>
      </c>
      <c r="T7" s="213">
        <f t="shared" si="0"/>
        <v>2019</v>
      </c>
      <c r="U7" s="213">
        <f t="shared" si="0"/>
        <v>2020</v>
      </c>
      <c r="V7" s="213">
        <f t="shared" si="0"/>
        <v>2021</v>
      </c>
      <c r="W7" s="213">
        <f t="shared" si="0"/>
        <v>2022</v>
      </c>
      <c r="X7" s="213">
        <f t="shared" si="0"/>
        <v>2023</v>
      </c>
      <c r="Y7" s="213">
        <f t="shared" si="0"/>
        <v>2024</v>
      </c>
      <c r="Z7" s="213">
        <f t="shared" si="0"/>
        <v>2025</v>
      </c>
      <c r="AA7" s="213">
        <f t="shared" si="0"/>
        <v>2026</v>
      </c>
      <c r="AB7" s="213">
        <f t="shared" si="0"/>
        <v>2027</v>
      </c>
      <c r="AC7" s="213">
        <f t="shared" si="0"/>
        <v>2028</v>
      </c>
      <c r="AD7" s="213">
        <f t="shared" si="0"/>
        <v>2029</v>
      </c>
      <c r="AE7" s="213">
        <f t="shared" si="0"/>
        <v>2030</v>
      </c>
      <c r="AF7" s="213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7" t="s">
        <v>392</v>
      </c>
      <c r="B11" s="388">
        <f>B29+B38</f>
        <v>8984.6521117417742</v>
      </c>
      <c r="C11" s="388">
        <f t="shared" ref="C11:AF11" si="1">C29+C38</f>
        <v>17424.285000214506</v>
      </c>
      <c r="D11" s="388">
        <f t="shared" si="1"/>
        <v>16472.332423662443</v>
      </c>
      <c r="E11" s="388">
        <f t="shared" si="1"/>
        <v>16916.501586091588</v>
      </c>
      <c r="F11" s="388">
        <f t="shared" si="1"/>
        <v>16865.887273748798</v>
      </c>
      <c r="G11" s="388">
        <f t="shared" si="1"/>
        <v>16660.514296839625</v>
      </c>
      <c r="H11" s="388">
        <f t="shared" si="1"/>
        <v>16210.707254154353</v>
      </c>
      <c r="I11" s="388">
        <f t="shared" si="1"/>
        <v>16016.735925032974</v>
      </c>
      <c r="J11" s="388">
        <f t="shared" si="1"/>
        <v>15712.92228823491</v>
      </c>
      <c r="K11" s="388">
        <f t="shared" si="1"/>
        <v>12689.255415249536</v>
      </c>
      <c r="L11" s="388">
        <f t="shared" si="1"/>
        <v>1416.0456699246877</v>
      </c>
      <c r="M11" s="388">
        <f t="shared" si="1"/>
        <v>-2035.9396329137462</v>
      </c>
      <c r="N11" s="388">
        <f t="shared" si="1"/>
        <v>-2076.6520773562279</v>
      </c>
      <c r="O11" s="388">
        <f t="shared" si="1"/>
        <v>-2122.9786084453403</v>
      </c>
      <c r="P11" s="464">
        <f t="shared" si="1"/>
        <v>-2169.3878146058141</v>
      </c>
      <c r="Q11" s="388">
        <f t="shared" si="1"/>
        <v>-2218.833683071829</v>
      </c>
      <c r="R11" s="388">
        <f t="shared" si="1"/>
        <v>-2265.2852386911568</v>
      </c>
      <c r="S11" s="388">
        <f t="shared" si="1"/>
        <v>-2317.8989119268563</v>
      </c>
      <c r="T11" s="388">
        <f t="shared" si="1"/>
        <v>-2370.6462912219363</v>
      </c>
      <c r="U11" s="388">
        <f t="shared" si="1"/>
        <v>-2426.7546401856662</v>
      </c>
      <c r="V11" s="388">
        <f t="shared" si="1"/>
        <v>-2479.6902156485612</v>
      </c>
      <c r="W11" s="388">
        <f t="shared" si="1"/>
        <v>-2539.4602881888609</v>
      </c>
      <c r="X11" s="388">
        <f t="shared" si="1"/>
        <v>-2599.429769073</v>
      </c>
      <c r="Y11" s="388">
        <f t="shared" si="1"/>
        <v>-2663.1261167510952</v>
      </c>
      <c r="Z11" s="388">
        <f t="shared" si="1"/>
        <v>-2723.3102672010136</v>
      </c>
      <c r="AA11" s="388">
        <f t="shared" si="1"/>
        <v>-2790.9791329814657</v>
      </c>
      <c r="AB11" s="388">
        <f t="shared" si="1"/>
        <v>-2858.896881727751</v>
      </c>
      <c r="AC11" s="388">
        <f t="shared" si="1"/>
        <v>-2930.9537133944473</v>
      </c>
      <c r="AD11" s="388">
        <f t="shared" si="1"/>
        <v>-2999.1823624812587</v>
      </c>
      <c r="AE11" s="388">
        <f t="shared" si="1"/>
        <v>-3075.6888797832812</v>
      </c>
      <c r="AF11" s="464">
        <f t="shared" si="1"/>
        <v>-3948.2891343658562</v>
      </c>
      <c r="AG11"/>
      <c r="AN11" s="524">
        <f>IF(MONTH(C23)=MONTH(Assumptions!G34),1,2)</f>
        <v>1</v>
      </c>
    </row>
    <row r="12" spans="1:40">
      <c r="A12" s="389" t="s">
        <v>0</v>
      </c>
      <c r="B12" s="385">
        <v>1.5</v>
      </c>
      <c r="C12" s="385">
        <v>1.5</v>
      </c>
      <c r="D12" s="385">
        <v>1.5</v>
      </c>
      <c r="E12" s="385">
        <v>1.5</v>
      </c>
      <c r="F12" s="385">
        <v>1.5</v>
      </c>
      <c r="G12" s="385">
        <v>1.5</v>
      </c>
      <c r="H12" s="385">
        <v>1.5</v>
      </c>
      <c r="I12" s="385">
        <v>1.5</v>
      </c>
      <c r="J12" s="385">
        <v>1.5</v>
      </c>
      <c r="K12" s="385">
        <v>1.5</v>
      </c>
      <c r="L12" s="385">
        <v>1.5</v>
      </c>
      <c r="M12" s="385">
        <v>1.5</v>
      </c>
      <c r="N12" s="385">
        <v>1.5</v>
      </c>
      <c r="O12" s="385">
        <v>1.5</v>
      </c>
      <c r="P12" s="385">
        <v>1.5</v>
      </c>
      <c r="Q12" s="385">
        <v>1.5</v>
      </c>
      <c r="R12" s="385">
        <v>1.5</v>
      </c>
      <c r="S12" s="385">
        <v>1.5</v>
      </c>
      <c r="T12" s="385">
        <v>1.5</v>
      </c>
      <c r="U12" s="385">
        <v>1.5</v>
      </c>
      <c r="V12" s="385">
        <v>1.5</v>
      </c>
      <c r="W12" s="385">
        <v>1.5</v>
      </c>
      <c r="X12" s="385">
        <v>1.5</v>
      </c>
      <c r="Y12" s="385">
        <v>1.5</v>
      </c>
      <c r="Z12" s="385">
        <v>1.5</v>
      </c>
      <c r="AA12" s="385">
        <v>1.5</v>
      </c>
      <c r="AB12" s="385">
        <v>1.5</v>
      </c>
      <c r="AC12" s="385">
        <v>1.5</v>
      </c>
      <c r="AD12" s="385">
        <v>1.5</v>
      </c>
      <c r="AE12" s="385">
        <v>1.5</v>
      </c>
      <c r="AF12" s="385">
        <v>1.5</v>
      </c>
      <c r="AG12"/>
      <c r="AN12" s="524">
        <f>IF(AN11=1,6,15)</f>
        <v>6</v>
      </c>
    </row>
    <row r="13" spans="1:40">
      <c r="A13" s="390" t="s">
        <v>326</v>
      </c>
      <c r="B13" s="307">
        <f>B11/B12</f>
        <v>5989.7680744945164</v>
      </c>
      <c r="C13" s="307">
        <f t="shared" ref="C13:AF13" si="2">C11/C12</f>
        <v>11616.190000143004</v>
      </c>
      <c r="D13" s="307">
        <f t="shared" si="2"/>
        <v>10981.554949108295</v>
      </c>
      <c r="E13" s="307">
        <f t="shared" si="2"/>
        <v>11277.667724061059</v>
      </c>
      <c r="F13" s="307">
        <f t="shared" si="2"/>
        <v>11243.924849165865</v>
      </c>
      <c r="G13" s="307">
        <f t="shared" si="2"/>
        <v>11107.009531226417</v>
      </c>
      <c r="H13" s="307">
        <f t="shared" si="2"/>
        <v>10807.138169436235</v>
      </c>
      <c r="I13" s="307">
        <f t="shared" si="2"/>
        <v>10677.823950021982</v>
      </c>
      <c r="J13" s="307">
        <f t="shared" si="2"/>
        <v>10475.28152548994</v>
      </c>
      <c r="K13" s="307">
        <f t="shared" si="2"/>
        <v>8459.5036101663572</v>
      </c>
      <c r="L13" s="307">
        <f t="shared" si="2"/>
        <v>944.03044661645845</v>
      </c>
      <c r="M13" s="307">
        <f t="shared" si="2"/>
        <v>-1357.2930886091642</v>
      </c>
      <c r="N13" s="307">
        <f t="shared" si="2"/>
        <v>-1384.4347182374852</v>
      </c>
      <c r="O13" s="307">
        <f t="shared" si="2"/>
        <v>-1415.3190722968936</v>
      </c>
      <c r="P13" s="391">
        <f t="shared" si="2"/>
        <v>-1446.2585430705428</v>
      </c>
      <c r="Q13" s="307">
        <f t="shared" si="2"/>
        <v>-1479.2224553812193</v>
      </c>
      <c r="R13" s="307">
        <f t="shared" si="2"/>
        <v>-1510.1901591274379</v>
      </c>
      <c r="S13" s="307">
        <f t="shared" si="2"/>
        <v>-1545.2659412845708</v>
      </c>
      <c r="T13" s="307">
        <f t="shared" si="2"/>
        <v>-1580.4308608146241</v>
      </c>
      <c r="U13" s="307">
        <f t="shared" si="2"/>
        <v>-1617.8364267904442</v>
      </c>
      <c r="V13" s="307">
        <f t="shared" si="2"/>
        <v>-1653.1268104323742</v>
      </c>
      <c r="W13" s="307">
        <f t="shared" si="2"/>
        <v>-1692.9735254592406</v>
      </c>
      <c r="X13" s="307">
        <f t="shared" si="2"/>
        <v>-1732.9531793819999</v>
      </c>
      <c r="Y13" s="307">
        <f t="shared" si="2"/>
        <v>-1775.4174111673967</v>
      </c>
      <c r="Z13" s="307">
        <f t="shared" si="2"/>
        <v>-1815.540178134009</v>
      </c>
      <c r="AA13" s="307">
        <f t="shared" si="2"/>
        <v>-1860.6527553209771</v>
      </c>
      <c r="AB13" s="307">
        <f t="shared" si="2"/>
        <v>-1905.9312544851673</v>
      </c>
      <c r="AC13" s="307">
        <f t="shared" si="2"/>
        <v>-1953.9691422629649</v>
      </c>
      <c r="AD13" s="307">
        <f t="shared" si="2"/>
        <v>-1999.4549083208392</v>
      </c>
      <c r="AE13" s="307">
        <f t="shared" si="2"/>
        <v>-2050.4592531888543</v>
      </c>
      <c r="AF13" s="391">
        <f t="shared" si="2"/>
        <v>-2632.1927562439041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3"/>
      <c r="C16" s="65"/>
      <c r="AG16"/>
    </row>
    <row r="17" spans="1:33">
      <c r="A17" s="53"/>
      <c r="B17" s="223"/>
      <c r="C17" s="526"/>
      <c r="AG17"/>
    </row>
    <row r="18" spans="1:33">
      <c r="A18" s="53"/>
      <c r="B18" s="223"/>
      <c r="AG18"/>
    </row>
    <row r="19" spans="1:33">
      <c r="A19" s="11" t="s">
        <v>350</v>
      </c>
      <c r="B19" s="397">
        <v>71136.033465204469</v>
      </c>
      <c r="S19" s="18"/>
      <c r="AF19" s="65"/>
      <c r="AG19"/>
    </row>
    <row r="20" spans="1:33">
      <c r="A20" s="11" t="s">
        <v>349</v>
      </c>
      <c r="B20" s="402">
        <f>HLOOKUP(Assumptions!G34,B23:AF39,AN12)</f>
        <v>0</v>
      </c>
      <c r="AF20" s="526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7">
        <v>47969</v>
      </c>
    </row>
    <row r="24" spans="1:33">
      <c r="A24" s="48" t="s">
        <v>55</v>
      </c>
      <c r="B24"/>
      <c r="C24" s="48">
        <f>B45</f>
        <v>67679.117177746186</v>
      </c>
      <c r="D24" s="48">
        <f t="shared" ref="D24:AF24" si="3">C45</f>
        <v>61689.352782619993</v>
      </c>
      <c r="E24" s="48">
        <f t="shared" si="3"/>
        <v>55828.820997348746</v>
      </c>
      <c r="F24" s="48">
        <f t="shared" si="3"/>
        <v>49161.163356918049</v>
      </c>
      <c r="G24" s="48">
        <f t="shared" si="3"/>
        <v>41942.178273317215</v>
      </c>
      <c r="H24" s="48">
        <f t="shared" si="3"/>
        <v>34239.340792677038</v>
      </c>
      <c r="I24" s="48">
        <f t="shared" si="3"/>
        <v>26174.110066909718</v>
      </c>
      <c r="J24" s="48">
        <f t="shared" si="3"/>
        <v>17543.038617251208</v>
      </c>
      <c r="K24" s="48">
        <f t="shared" si="3"/>
        <v>8366.3336069152574</v>
      </c>
      <c r="L24" s="48">
        <f t="shared" si="3"/>
        <v>452.8229729211489</v>
      </c>
      <c r="M24" s="48">
        <f t="shared" si="3"/>
        <v>0</v>
      </c>
      <c r="N24" s="48">
        <f t="shared" si="3"/>
        <v>1386.1355667421089</v>
      </c>
      <c r="O24" s="48">
        <f t="shared" si="3"/>
        <v>2920.3116561098109</v>
      </c>
      <c r="P24" s="48">
        <f t="shared" si="3"/>
        <v>4619.2899215110419</v>
      </c>
      <c r="Q24" s="48">
        <f t="shared" si="3"/>
        <v>6497.3488317268457</v>
      </c>
      <c r="R24" s="48">
        <f t="shared" si="3"/>
        <v>8572.4074432052912</v>
      </c>
      <c r="S24" s="48">
        <f t="shared" si="3"/>
        <v>10858.397988601419</v>
      </c>
      <c r="T24" s="48">
        <f t="shared" si="3"/>
        <v>13379.167458432363</v>
      </c>
      <c r="U24" s="48">
        <f t="shared" si="3"/>
        <v>16154.669660220281</v>
      </c>
      <c r="V24" s="48">
        <f t="shared" si="3"/>
        <v>19210.18652977248</v>
      </c>
      <c r="W24" s="48">
        <f t="shared" si="3"/>
        <v>22564.942830993758</v>
      </c>
      <c r="X24" s="48">
        <f t="shared" si="3"/>
        <v>26252.768370086091</v>
      </c>
      <c r="Y24" s="48">
        <f t="shared" si="3"/>
        <v>30301.551714033336</v>
      </c>
      <c r="Z24" s="48">
        <f t="shared" si="3"/>
        <v>34746.889875920613</v>
      </c>
      <c r="AA24" s="48">
        <f t="shared" si="3"/>
        <v>39615.26510001022</v>
      </c>
      <c r="AB24" s="48">
        <f t="shared" si="3"/>
        <v>44954.417121044207</v>
      </c>
      <c r="AC24" s="48">
        <f t="shared" si="3"/>
        <v>50803.284138164869</v>
      </c>
      <c r="AD24" s="48">
        <f t="shared" si="3"/>
        <v>57211.884287859793</v>
      </c>
      <c r="AE24" s="48">
        <f t="shared" si="3"/>
        <v>64216.838574374167</v>
      </c>
      <c r="AF24" s="48">
        <f t="shared" si="3"/>
        <v>71885.411535597596</v>
      </c>
      <c r="AG24"/>
    </row>
    <row r="25" spans="1:33">
      <c r="A25" s="48" t="s">
        <v>327</v>
      </c>
      <c r="B25"/>
      <c r="C25" s="383">
        <v>0</v>
      </c>
      <c r="D25" s="383">
        <v>0</v>
      </c>
      <c r="E25" s="383">
        <v>0</v>
      </c>
      <c r="F25" s="383">
        <v>0</v>
      </c>
      <c r="G25" s="383">
        <v>0</v>
      </c>
      <c r="H25" s="383">
        <v>0</v>
      </c>
      <c r="I25" s="383">
        <v>0</v>
      </c>
      <c r="J25" s="383">
        <v>0</v>
      </c>
      <c r="K25" s="383">
        <v>0</v>
      </c>
      <c r="L25" s="383">
        <v>0</v>
      </c>
      <c r="M25" s="383">
        <v>0</v>
      </c>
      <c r="N25" s="383">
        <v>0</v>
      </c>
      <c r="O25" s="383">
        <v>0</v>
      </c>
      <c r="P25" s="383">
        <v>0</v>
      </c>
      <c r="Q25" s="383">
        <v>0</v>
      </c>
      <c r="R25" s="383">
        <v>0</v>
      </c>
      <c r="S25" s="383">
        <v>0</v>
      </c>
      <c r="T25" s="383">
        <v>0</v>
      </c>
      <c r="U25" s="383">
        <v>0</v>
      </c>
      <c r="V25" s="383">
        <v>0</v>
      </c>
      <c r="W25" s="383">
        <v>0</v>
      </c>
      <c r="X25" s="383">
        <v>0</v>
      </c>
      <c r="Y25" s="383">
        <v>0</v>
      </c>
      <c r="Z25" s="383">
        <v>0</v>
      </c>
      <c r="AA25" s="383">
        <v>0</v>
      </c>
      <c r="AB25" s="383">
        <v>0</v>
      </c>
      <c r="AC25" s="383">
        <v>0</v>
      </c>
      <c r="AD25" s="383">
        <v>0</v>
      </c>
      <c r="AE25" s="383">
        <v>0</v>
      </c>
      <c r="AF25" s="383">
        <v>0</v>
      </c>
      <c r="AG25"/>
    </row>
    <row r="26" spans="1:33">
      <c r="A26" s="48" t="s">
        <v>56</v>
      </c>
      <c r="B26"/>
      <c r="C26" s="48">
        <f t="shared" ref="C26:AF26" si="4">C24-C28</f>
        <v>2940.5946496427714</v>
      </c>
      <c r="D26" s="48">
        <f t="shared" si="4"/>
        <v>2876.1629881236513</v>
      </c>
      <c r="E26" s="48">
        <f t="shared" si="4"/>
        <v>3262.8764228177388</v>
      </c>
      <c r="F26" s="48">
        <f t="shared" si="4"/>
        <v>3541.1837094727307</v>
      </c>
      <c r="G26" s="48">
        <f t="shared" si="4"/>
        <v>3775.8458672893321</v>
      </c>
      <c r="H26" s="48">
        <f t="shared" si="4"/>
        <v>3952.3838735873942</v>
      </c>
      <c r="I26" s="48">
        <f t="shared" si="4"/>
        <v>4224.9967889603686</v>
      </c>
      <c r="J26" s="48">
        <f t="shared" si="4"/>
        <v>4495.120064279934</v>
      </c>
      <c r="K26" s="48">
        <f t="shared" si="4"/>
        <v>3875.1567889215912</v>
      </c>
      <c r="L26" s="48">
        <f t="shared" si="4"/>
        <v>452.8229729211489</v>
      </c>
      <c r="M26" s="48">
        <f t="shared" si="4"/>
        <v>-678.64654430458211</v>
      </c>
      <c r="N26" s="48">
        <f t="shared" si="4"/>
        <v>-750.88646266688556</v>
      </c>
      <c r="O26" s="48">
        <f t="shared" si="4"/>
        <v>-831.43274524438857</v>
      </c>
      <c r="P26" s="48">
        <f t="shared" si="4"/>
        <v>-918.91123067438366</v>
      </c>
      <c r="Q26" s="48">
        <f t="shared" si="4"/>
        <v>-1016.1247562968301</v>
      </c>
      <c r="R26" s="48">
        <f t="shared" si="4"/>
        <v>-1117.9278875583586</v>
      </c>
      <c r="S26" s="48">
        <f t="shared" si="4"/>
        <v>-1232.8505511454732</v>
      </c>
      <c r="T26" s="48">
        <f t="shared" si="4"/>
        <v>-1357.2721991249782</v>
      </c>
      <c r="U26" s="48">
        <f t="shared" si="4"/>
        <v>-1496.4270461367978</v>
      </c>
      <c r="V26" s="48">
        <f t="shared" si="4"/>
        <v>-1639.6472404021661</v>
      </c>
      <c r="W26" s="48">
        <f t="shared" si="4"/>
        <v>-1802.8694081966678</v>
      </c>
      <c r="X26" s="48">
        <f t="shared" si="4"/>
        <v>-1979.1624162258813</v>
      </c>
      <c r="Y26" s="48">
        <f t="shared" si="4"/>
        <v>-2177.2791448030366</v>
      </c>
      <c r="Z26" s="48">
        <f t="shared" si="4"/>
        <v>-2378.4551569768009</v>
      </c>
      <c r="AA26" s="48">
        <f t="shared" si="4"/>
        <v>-2609.3624080636655</v>
      </c>
      <c r="AB26" s="48">
        <f t="shared" si="4"/>
        <v>-2858.2939364550621</v>
      </c>
      <c r="AC26" s="48">
        <f t="shared" si="4"/>
        <v>-3139.0657100157623</v>
      </c>
      <c r="AD26" s="48">
        <f t="shared" si="4"/>
        <v>-3421.2582510058564</v>
      </c>
      <c r="AE26" s="48">
        <f t="shared" si="4"/>
        <v>-3746.9679628836602</v>
      </c>
      <c r="AF26" s="48">
        <f t="shared" si="4"/>
        <v>-4362.8561492334265</v>
      </c>
      <c r="AG26"/>
    </row>
    <row r="27" spans="1:33">
      <c r="A27" s="48" t="s">
        <v>57</v>
      </c>
      <c r="B27"/>
      <c r="C27" s="386">
        <f t="shared" ref="C27:AF27" si="5">C24*(C23-B41)/(C41-B41)*$E$64</f>
        <v>1434.2410174516899</v>
      </c>
      <c r="D27" s="386">
        <f t="shared" si="5"/>
        <v>1307.3072432152485</v>
      </c>
      <c r="E27" s="386">
        <f t="shared" si="5"/>
        <v>1192.8453010908941</v>
      </c>
      <c r="F27" s="386">
        <f t="shared" si="5"/>
        <v>1041.8125988103045</v>
      </c>
      <c r="G27" s="386">
        <f t="shared" si="5"/>
        <v>888.82944916194162</v>
      </c>
      <c r="H27" s="386">
        <f t="shared" si="5"/>
        <v>725.5926055653614</v>
      </c>
      <c r="I27" s="386">
        <f t="shared" si="5"/>
        <v>559.23918230391803</v>
      </c>
      <c r="J27" s="386">
        <f t="shared" si="5"/>
        <v>371.76822932722769</v>
      </c>
      <c r="K27" s="386">
        <f t="shared" si="5"/>
        <v>177.29750808079322</v>
      </c>
      <c r="L27" s="386">
        <f t="shared" si="5"/>
        <v>9.5961251932742133</v>
      </c>
      <c r="M27" s="386">
        <f t="shared" si="5"/>
        <v>0</v>
      </c>
      <c r="N27" s="386">
        <f t="shared" si="5"/>
        <v>29.374681119863595</v>
      </c>
      <c r="O27" s="386">
        <f t="shared" si="5"/>
        <v>61.886604547970926</v>
      </c>
      <c r="P27" s="386">
        <f t="shared" si="5"/>
        <v>97.890979569555924</v>
      </c>
      <c r="Q27" s="386">
        <f t="shared" si="5"/>
        <v>138.82313624072114</v>
      </c>
      <c r="R27" s="386">
        <f t="shared" si="5"/>
        <v>181.66457965258337</v>
      </c>
      <c r="S27" s="386">
        <f t="shared" si="5"/>
        <v>230.10879025159446</v>
      </c>
      <c r="T27" s="386">
        <f t="shared" si="5"/>
        <v>283.52838435883382</v>
      </c>
      <c r="U27" s="386">
        <f t="shared" si="5"/>
        <v>345.1626140517011</v>
      </c>
      <c r="V27" s="386">
        <f t="shared" si="5"/>
        <v>407.09806248709629</v>
      </c>
      <c r="W27" s="386">
        <f t="shared" si="5"/>
        <v>478.19132273352534</v>
      </c>
      <c r="X27" s="386">
        <f t="shared" si="5"/>
        <v>556.34291326744096</v>
      </c>
      <c r="Y27" s="386">
        <f t="shared" si="5"/>
        <v>647.42659673153196</v>
      </c>
      <c r="Z27" s="386">
        <f t="shared" si="5"/>
        <v>736.3484744938246</v>
      </c>
      <c r="AA27" s="386">
        <f t="shared" si="5"/>
        <v>839.51801520158654</v>
      </c>
      <c r="AB27" s="386">
        <f t="shared" si="5"/>
        <v>952.66415460623818</v>
      </c>
      <c r="AC27" s="386">
        <f t="shared" si="5"/>
        <v>1085.4690763946701</v>
      </c>
      <c r="AD27" s="386">
        <f t="shared" si="5"/>
        <v>1212.4217122372479</v>
      </c>
      <c r="AE27" s="386">
        <f t="shared" si="5"/>
        <v>1360.8691681446144</v>
      </c>
      <c r="AF27" s="386">
        <f t="shared" si="5"/>
        <v>1523.3798855557463</v>
      </c>
      <c r="AG27"/>
    </row>
    <row r="28" spans="1:33">
      <c r="A28" s="48" t="s">
        <v>58</v>
      </c>
      <c r="B28"/>
      <c r="C28" s="162">
        <f t="shared" ref="C28:AF28" si="6">MAX(C24+C25+B44+C27-0.5*C13,0)</f>
        <v>64738.522528103415</v>
      </c>
      <c r="D28" s="162">
        <f t="shared" si="6"/>
        <v>58813.189794496342</v>
      </c>
      <c r="E28" s="162">
        <f t="shared" si="6"/>
        <v>52565.944574531008</v>
      </c>
      <c r="F28" s="162">
        <f t="shared" si="6"/>
        <v>45619.979647445318</v>
      </c>
      <c r="G28" s="162">
        <f t="shared" si="6"/>
        <v>38166.332406027883</v>
      </c>
      <c r="H28" s="162">
        <f t="shared" si="6"/>
        <v>30286.956919089644</v>
      </c>
      <c r="I28" s="162">
        <f t="shared" si="6"/>
        <v>21949.113277949349</v>
      </c>
      <c r="J28" s="162">
        <f t="shared" si="6"/>
        <v>13047.918552971274</v>
      </c>
      <c r="K28" s="162">
        <f t="shared" si="6"/>
        <v>4491.1768179936662</v>
      </c>
      <c r="L28" s="162">
        <f t="shared" si="6"/>
        <v>0</v>
      </c>
      <c r="M28" s="162">
        <f t="shared" si="6"/>
        <v>678.64654430458211</v>
      </c>
      <c r="N28" s="162">
        <f t="shared" si="6"/>
        <v>2137.0220294089945</v>
      </c>
      <c r="O28" s="162">
        <f t="shared" si="6"/>
        <v>3751.7444013541995</v>
      </c>
      <c r="P28" s="162">
        <f t="shared" si="6"/>
        <v>5538.2011521854256</v>
      </c>
      <c r="Q28" s="162">
        <f t="shared" si="6"/>
        <v>7513.4735880236758</v>
      </c>
      <c r="R28" s="162">
        <f t="shared" si="6"/>
        <v>9690.3353307636498</v>
      </c>
      <c r="S28" s="162">
        <f t="shared" si="6"/>
        <v>12091.248539746892</v>
      </c>
      <c r="T28" s="162">
        <f t="shared" si="6"/>
        <v>14736.439657557341</v>
      </c>
      <c r="U28" s="162">
        <f t="shared" si="6"/>
        <v>17651.096706357079</v>
      </c>
      <c r="V28" s="162">
        <f t="shared" si="6"/>
        <v>20849.833770174646</v>
      </c>
      <c r="W28" s="162">
        <f t="shared" si="6"/>
        <v>24367.812239190425</v>
      </c>
      <c r="X28" s="162">
        <f t="shared" si="6"/>
        <v>28231.930786311972</v>
      </c>
      <c r="Y28" s="162">
        <f t="shared" si="6"/>
        <v>32478.830858836372</v>
      </c>
      <c r="Z28" s="162">
        <f t="shared" si="6"/>
        <v>37125.345032897414</v>
      </c>
      <c r="AA28" s="162">
        <f t="shared" si="6"/>
        <v>42224.627508073885</v>
      </c>
      <c r="AB28" s="162">
        <f t="shared" si="6"/>
        <v>47812.711057499269</v>
      </c>
      <c r="AC28" s="162">
        <f t="shared" si="6"/>
        <v>53942.349848180631</v>
      </c>
      <c r="AD28" s="162">
        <f t="shared" si="6"/>
        <v>60633.14253886565</v>
      </c>
      <c r="AE28" s="162">
        <f t="shared" si="6"/>
        <v>67963.806537257828</v>
      </c>
      <c r="AF28" s="162">
        <f t="shared" si="6"/>
        <v>76248.267684831022</v>
      </c>
      <c r="AG28"/>
    </row>
    <row r="29" spans="1:33">
      <c r="A29" s="48" t="s">
        <v>329</v>
      </c>
      <c r="B29"/>
      <c r="C29" s="162">
        <f>(C23-B41)/(C41-B41)*IS!D30+(B41-B32)/(B41-Assumptions!H17)*IS!C30</f>
        <v>9355.9403576838504</v>
      </c>
      <c r="D29" s="162">
        <f>(D23-C41)/(D41-C41)*IS!E30+(C41-C32)/(C41-B41)*IS!D30</f>
        <v>8150.3708504509923</v>
      </c>
      <c r="E29" s="162">
        <f>(E23-D41)/(E41-D41)*IS!F30+(D41-D32)/(D41-C41)*IS!E30</f>
        <v>8413.1514512097019</v>
      </c>
      <c r="F29" s="162">
        <f>(F23-E41)/(F41-E41)*IS!G30+(E41-E32)/(E41-D41)*IS!F30</f>
        <v>8425.5496503116501</v>
      </c>
      <c r="G29" s="162">
        <f>(G23-F41)/(G41-F41)*IS!H30+(F41-F32)/(F41-E41)*IS!G30</f>
        <v>8336.4143238875404</v>
      </c>
      <c r="H29" s="162">
        <f>(H23-G41)/(H41-G41)*IS!I30+(G41-G32)/(G41-F41)*IS!H30</f>
        <v>8148.4213783455671</v>
      </c>
      <c r="I29" s="162">
        <f>(I23-H41)/(I41-H41)*IS!J30+(H41-H32)/(H41-G41)*IS!I30</f>
        <v>8026.2098901877562</v>
      </c>
      <c r="J29" s="162">
        <f>(J23-I41)/(J41-I41)*IS!K30+(I41-I32)/(I41-H41)*IS!J30</f>
        <v>7872.3131291981445</v>
      </c>
      <c r="K29" s="162">
        <f>(K23-J41)/(K41-J41)*IS!L30+(J41-J32)/(J41-I41)*IS!K30</f>
        <v>6818.3126870804863</v>
      </c>
      <c r="L29" s="162">
        <f>(L23-K41)/(L41-K41)*IS!M30+(K41-K32)/(K41-J41)*IS!L30</f>
        <v>2420.1311833085038</v>
      </c>
      <c r="M29" s="162">
        <f>(M23-L41)/(M41-L41)*IS!N30+(L41-L32)/(L41-K41)*IS!M30</f>
        <v>-1013.3753743490615</v>
      </c>
      <c r="N29" s="162">
        <f>(N23-M41)/(N41-M41)*IS!O30+(M41-M32)/(M41-L41)*IS!N30</f>
        <v>-1029.3017757985513</v>
      </c>
      <c r="O29" s="162">
        <f>(O23-N41)/(O41-N41)*IS!P30+(N41-N32)/(N41-M41)*IS!O30</f>
        <v>-1052.9194555119507</v>
      </c>
      <c r="P29" s="162">
        <f>(P23-O41)/(P41-O41)*IS!Q30+(O41-O32)/(O41-N41)*IS!P30</f>
        <v>-1075.874722795867</v>
      </c>
      <c r="Q29" s="162">
        <f>(Q23-P41)/(Q41-P41)*IS!R30+(P41-P32)/(P41-O41)*IS!Q30</f>
        <v>-1104.154146172049</v>
      </c>
      <c r="R29" s="162">
        <f>(R23-Q41)/(R41-Q41)*IS!S30+(Q41-Q32)/(Q41-P41)*IS!R30</f>
        <v>-1122.5430459079389</v>
      </c>
      <c r="S29" s="162">
        <f>(S23-R41)/(S41-R41)*IS!T30+(R41-R32)/(R41-Q41)*IS!S30</f>
        <v>-1149.3370092285281</v>
      </c>
      <c r="T29" s="162">
        <f>(T23-S41)/(T41-S41)*IS!U30+(S41-S32)/(S41-R41)*IS!T30</f>
        <v>-1175.4304585647592</v>
      </c>
      <c r="U29" s="162">
        <f>(U23-T41)/(U41-T41)*IS!V30+(T41-T32)/(T41-S41)*IS!U30</f>
        <v>-1207.3675187959432</v>
      </c>
      <c r="V29" s="162">
        <f>(V23-U41)/(V41-U41)*IS!W30+(U41-U32)/(U41-T41)*IS!V30</f>
        <v>-1228.525684928773</v>
      </c>
      <c r="W29" s="162">
        <f>(W23-V41)/(W41-V41)*IS!X30+(V41-V32)/(V41-U41)*IS!W30</f>
        <v>-1258.9301405864489</v>
      </c>
      <c r="X29" s="162">
        <f>(X23-W41)/(X41-W41)*IS!Y30+(W41-W32)/(W41-V41)*IS!X30</f>
        <v>-1288.5998263411038</v>
      </c>
      <c r="Y29" s="162">
        <f>(Y23-X41)/(Y41-X41)*IS!Z30+(X41-X32)/(X41-W41)*IS!Y30</f>
        <v>-1324.7022819261938</v>
      </c>
      <c r="Z29" s="162">
        <f>(Z23-Y41)/(Z41-Y41)*IS!AA30+(Y41-Y32)/(Y41-X41)*IS!Z30</f>
        <v>-1348.9700849794096</v>
      </c>
      <c r="AA29" s="162">
        <f>(AA23-Z41)/(AA41-Z41)*IS!AB30+(Z41-Z32)/(Z41-Y41)*IS!AA30</f>
        <v>-1383.3724732973697</v>
      </c>
      <c r="AB29" s="162">
        <f>(AB23-AA41)/(AB41-AA41)*IS!AC30+(AA41-AA32)/(AA41-Z41)*IS!AB30</f>
        <v>-1416.9774535345914</v>
      </c>
      <c r="AC29" s="162">
        <f>(AC23-AB41)/(AC41-AB41)*IS!AD30+(AB41-AB32)/(AB41-AA41)*IS!AC30</f>
        <v>-1457.681489446788</v>
      </c>
      <c r="AD29" s="162">
        <f>(AD23-AC41)/(AD41-AC41)*IS!AE30+(AC41-AC32)/(AC41-AB41)*IS!AD30</f>
        <v>-1485.3772531570494</v>
      </c>
      <c r="AE29" s="162">
        <f>(AE23-AD41)/(AE41-AD41)*IS!AF30+(AD41-AD32)/(AD41-AC41)*IS!AE30</f>
        <v>-1524.2480036816846</v>
      </c>
      <c r="AF29" s="162">
        <f>(AF23-AE41)/(AG23-AE41)*IS!AG30+(AE41-AE32)/(AE41-AD41)*IS!AF30</f>
        <v>-3160.6508849908305</v>
      </c>
      <c r="AG29"/>
    </row>
    <row r="30" spans="1:33">
      <c r="A30" s="405" t="s">
        <v>0</v>
      </c>
      <c r="B30" s="407"/>
      <c r="C30" s="406">
        <f>IF(C28&gt;0.1,C29/(C27+C26+B44)," ")</f>
        <v>1.6108449254994384</v>
      </c>
      <c r="D30" s="406">
        <f t="shared" ref="D30:AF30" si="7">IF(D28&gt;0.1,D29/(D27+D26+C44)," ")</f>
        <v>1.4843746424294499</v>
      </c>
      <c r="E30" s="406">
        <f t="shared" si="7"/>
        <v>1.4920020091140167</v>
      </c>
      <c r="F30" s="406">
        <f t="shared" si="7"/>
        <v>1.4986848032760922</v>
      </c>
      <c r="G30" s="406">
        <f t="shared" si="7"/>
        <v>1.5011087008524493</v>
      </c>
      <c r="H30" s="406">
        <f t="shared" si="7"/>
        <v>1.507970241629776</v>
      </c>
      <c r="I30" s="406">
        <f t="shared" si="7"/>
        <v>1.5033418658623297</v>
      </c>
      <c r="J30" s="406">
        <f t="shared" si="7"/>
        <v>1.5030265506549136</v>
      </c>
      <c r="K30" s="406">
        <f t="shared" si="7"/>
        <v>1.6119888355828493</v>
      </c>
      <c r="L30" s="406" t="str">
        <f t="shared" si="7"/>
        <v xml:space="preserve"> </v>
      </c>
      <c r="M30" s="406">
        <f t="shared" si="7"/>
        <v>1.493229992628166</v>
      </c>
      <c r="N30" s="406">
        <f t="shared" si="7"/>
        <v>1.4869632525670093</v>
      </c>
      <c r="O30" s="406">
        <f t="shared" si="7"/>
        <v>1.4878898703783996</v>
      </c>
      <c r="P30" s="406">
        <f t="shared" si="7"/>
        <v>1.4878041384103886</v>
      </c>
      <c r="Q30" s="406">
        <f t="shared" si="7"/>
        <v>1.4928845112583022</v>
      </c>
      <c r="R30" s="406">
        <f t="shared" si="7"/>
        <v>1.4866247659255394</v>
      </c>
      <c r="S30" s="406">
        <f t="shared" si="7"/>
        <v>1.4875588447553465</v>
      </c>
      <c r="T30" s="406">
        <f t="shared" si="7"/>
        <v>1.487481025217253</v>
      </c>
      <c r="U30" s="406">
        <f t="shared" si="7"/>
        <v>1.4925705699323211</v>
      </c>
      <c r="V30" s="406">
        <f t="shared" si="7"/>
        <v>1.4863054390938697</v>
      </c>
      <c r="W30" s="406">
        <f t="shared" si="7"/>
        <v>1.4872413793298427</v>
      </c>
      <c r="X30" s="406">
        <f t="shared" si="7"/>
        <v>1.4871721194459979</v>
      </c>
      <c r="Y30" s="406">
        <f t="shared" si="7"/>
        <v>1.4922713651379045</v>
      </c>
      <c r="Z30" s="406">
        <f t="shared" si="7"/>
        <v>1.4860261438729123</v>
      </c>
      <c r="AA30" s="406">
        <f t="shared" si="7"/>
        <v>1.4869754384221157</v>
      </c>
      <c r="AB30" s="406">
        <f t="shared" si="7"/>
        <v>1.4869134972209104</v>
      </c>
      <c r="AC30" s="406">
        <f t="shared" si="7"/>
        <v>1.4920209924692907</v>
      </c>
      <c r="AD30" s="406">
        <f t="shared" si="7"/>
        <v>1.4857821969133342</v>
      </c>
      <c r="AE30" s="406">
        <f t="shared" si="7"/>
        <v>1.4867381551827303</v>
      </c>
      <c r="AF30" s="406">
        <f t="shared" si="7"/>
        <v>2.4015345209756376</v>
      </c>
      <c r="AG30"/>
    </row>
    <row r="31" spans="1:33">
      <c r="A31" s="11"/>
      <c r="B31" s="382"/>
      <c r="C31" s="53"/>
      <c r="AG31"/>
    </row>
    <row r="32" spans="1:33">
      <c r="A32" s="404" t="s">
        <v>415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55</v>
      </c>
      <c r="B33" s="383">
        <f>B19</f>
        <v>71136.033465204469</v>
      </c>
      <c r="C33" s="48">
        <f>C28</f>
        <v>64738.522528103415</v>
      </c>
      <c r="D33" s="48">
        <f t="shared" ref="D33:AF33" si="8">D28</f>
        <v>58813.189794496342</v>
      </c>
      <c r="E33" s="48">
        <f t="shared" si="8"/>
        <v>52565.944574531008</v>
      </c>
      <c r="F33" s="48">
        <f t="shared" si="8"/>
        <v>45619.979647445318</v>
      </c>
      <c r="G33" s="48">
        <f t="shared" si="8"/>
        <v>38166.332406027883</v>
      </c>
      <c r="H33" s="48">
        <f t="shared" si="8"/>
        <v>30286.956919089644</v>
      </c>
      <c r="I33" s="48">
        <f t="shared" si="8"/>
        <v>21949.113277949349</v>
      </c>
      <c r="J33" s="48">
        <f t="shared" si="8"/>
        <v>13047.918552971274</v>
      </c>
      <c r="K33" s="48">
        <f t="shared" si="8"/>
        <v>4491.1768179936662</v>
      </c>
      <c r="L33" s="48">
        <f t="shared" si="8"/>
        <v>0</v>
      </c>
      <c r="M33" s="48">
        <f t="shared" si="8"/>
        <v>678.64654430458211</v>
      </c>
      <c r="N33" s="48">
        <f t="shared" si="8"/>
        <v>2137.0220294089945</v>
      </c>
      <c r="O33" s="48">
        <f t="shared" si="8"/>
        <v>3751.7444013541995</v>
      </c>
      <c r="P33" s="48">
        <f t="shared" si="8"/>
        <v>5538.2011521854256</v>
      </c>
      <c r="Q33" s="48">
        <f t="shared" si="8"/>
        <v>7513.4735880236758</v>
      </c>
      <c r="R33" s="48">
        <f t="shared" si="8"/>
        <v>9690.3353307636498</v>
      </c>
      <c r="S33" s="48">
        <f t="shared" si="8"/>
        <v>12091.248539746892</v>
      </c>
      <c r="T33" s="48">
        <f t="shared" si="8"/>
        <v>14736.439657557341</v>
      </c>
      <c r="U33" s="48">
        <f t="shared" si="8"/>
        <v>17651.096706357079</v>
      </c>
      <c r="V33" s="48">
        <f t="shared" si="8"/>
        <v>20849.833770174646</v>
      </c>
      <c r="W33" s="48">
        <f t="shared" si="8"/>
        <v>24367.812239190425</v>
      </c>
      <c r="X33" s="48">
        <f t="shared" si="8"/>
        <v>28231.930786311972</v>
      </c>
      <c r="Y33" s="48">
        <f t="shared" si="8"/>
        <v>32478.830858836372</v>
      </c>
      <c r="Z33" s="48">
        <f t="shared" si="8"/>
        <v>37125.345032897414</v>
      </c>
      <c r="AA33" s="48">
        <f t="shared" si="8"/>
        <v>42224.627508073885</v>
      </c>
      <c r="AB33" s="48">
        <f t="shared" si="8"/>
        <v>47812.711057499269</v>
      </c>
      <c r="AC33" s="48">
        <f t="shared" si="8"/>
        <v>53942.349848180631</v>
      </c>
      <c r="AD33" s="48">
        <f t="shared" si="8"/>
        <v>60633.14253886565</v>
      </c>
      <c r="AE33" s="48">
        <f t="shared" si="8"/>
        <v>67963.806537257828</v>
      </c>
      <c r="AF33" s="48">
        <f t="shared" si="8"/>
        <v>76248.267684831022</v>
      </c>
      <c r="AG33"/>
    </row>
    <row r="34" spans="1:39">
      <c r="A34" s="48" t="s">
        <v>327</v>
      </c>
      <c r="B34" s="383">
        <v>0</v>
      </c>
      <c r="C34" s="383">
        <v>0</v>
      </c>
      <c r="D34" s="383">
        <v>0</v>
      </c>
      <c r="E34" s="383">
        <v>0</v>
      </c>
      <c r="F34" s="383">
        <v>0</v>
      </c>
      <c r="G34" s="383">
        <v>0</v>
      </c>
      <c r="H34" s="383">
        <v>0</v>
      </c>
      <c r="I34" s="383">
        <v>0</v>
      </c>
      <c r="J34" s="383">
        <v>0</v>
      </c>
      <c r="K34" s="383">
        <v>0</v>
      </c>
      <c r="L34" s="383">
        <v>0</v>
      </c>
      <c r="M34" s="383">
        <v>0</v>
      </c>
      <c r="N34" s="383">
        <v>0</v>
      </c>
      <c r="O34" s="383">
        <v>0</v>
      </c>
      <c r="P34" s="383">
        <v>0</v>
      </c>
      <c r="Q34" s="383">
        <v>0</v>
      </c>
      <c r="R34" s="383">
        <v>0</v>
      </c>
      <c r="S34" s="383">
        <v>0</v>
      </c>
      <c r="T34" s="383">
        <v>0</v>
      </c>
      <c r="U34" s="383">
        <v>0</v>
      </c>
      <c r="V34" s="383">
        <v>0</v>
      </c>
      <c r="W34" s="383">
        <v>0</v>
      </c>
      <c r="X34" s="383">
        <v>0</v>
      </c>
      <c r="Y34" s="383">
        <v>0</v>
      </c>
      <c r="Z34" s="383">
        <v>0</v>
      </c>
      <c r="AA34" s="383">
        <v>0</v>
      </c>
      <c r="AB34" s="383">
        <v>0</v>
      </c>
      <c r="AC34" s="383">
        <v>0</v>
      </c>
      <c r="AD34" s="383">
        <v>0</v>
      </c>
      <c r="AE34" s="383">
        <v>0</v>
      </c>
      <c r="AF34" s="383">
        <v>0</v>
      </c>
      <c r="AG34"/>
    </row>
    <row r="35" spans="1:39">
      <c r="A35" s="48" t="s">
        <v>56</v>
      </c>
      <c r="B35" s="48">
        <f>B33-B37</f>
        <v>3456.9162874582835</v>
      </c>
      <c r="C35" s="48">
        <f>C33-C37</f>
        <v>3049.1697454834211</v>
      </c>
      <c r="D35" s="48">
        <f t="shared" ref="D35:AF35" si="9">D33-D37</f>
        <v>2984.3687971475956</v>
      </c>
      <c r="E35" s="48">
        <f t="shared" si="9"/>
        <v>3404.7812176129592</v>
      </c>
      <c r="F35" s="48">
        <f t="shared" si="9"/>
        <v>3677.8013741281029</v>
      </c>
      <c r="G35" s="48">
        <f t="shared" si="9"/>
        <v>3926.991613350845</v>
      </c>
      <c r="H35" s="48">
        <f t="shared" si="9"/>
        <v>4112.8468521799259</v>
      </c>
      <c r="I35" s="48">
        <f t="shared" si="9"/>
        <v>4406.0746606981411</v>
      </c>
      <c r="J35" s="48">
        <f t="shared" si="9"/>
        <v>4681.5849460560166</v>
      </c>
      <c r="K35" s="48">
        <f t="shared" si="9"/>
        <v>4038.3538450725173</v>
      </c>
      <c r="L35" s="48">
        <f t="shared" si="9"/>
        <v>0</v>
      </c>
      <c r="M35" s="48">
        <f t="shared" si="9"/>
        <v>-707.48902243752684</v>
      </c>
      <c r="N35" s="48">
        <f t="shared" si="9"/>
        <v>-783.28962670081637</v>
      </c>
      <c r="O35" s="48">
        <f t="shared" si="9"/>
        <v>-867.54552015684249</v>
      </c>
      <c r="P35" s="48">
        <f t="shared" si="9"/>
        <v>-959.14767954142008</v>
      </c>
      <c r="Q35" s="48">
        <f t="shared" si="9"/>
        <v>-1058.9338551816154</v>
      </c>
      <c r="R35" s="48">
        <f t="shared" si="9"/>
        <v>-1168.0626578377687</v>
      </c>
      <c r="S35" s="48">
        <f t="shared" si="9"/>
        <v>-1287.918918685471</v>
      </c>
      <c r="T35" s="48">
        <f t="shared" si="9"/>
        <v>-1418.23000266294</v>
      </c>
      <c r="U35" s="48">
        <f t="shared" si="9"/>
        <v>-1559.089823415401</v>
      </c>
      <c r="V35" s="48">
        <f t="shared" si="9"/>
        <v>-1715.1090608191116</v>
      </c>
      <c r="W35" s="48">
        <f t="shared" si="9"/>
        <v>-1884.9561308956654</v>
      </c>
      <c r="X35" s="48">
        <f t="shared" si="9"/>
        <v>-2069.6209277213638</v>
      </c>
      <c r="Y35" s="48">
        <f t="shared" si="9"/>
        <v>-2268.0590170842406</v>
      </c>
      <c r="Z35" s="48">
        <f t="shared" si="9"/>
        <v>-2489.9200671128056</v>
      </c>
      <c r="AA35" s="48">
        <f t="shared" si="9"/>
        <v>-2729.7896129703222</v>
      </c>
      <c r="AB35" s="48">
        <f t="shared" si="9"/>
        <v>-2990.5730806655993</v>
      </c>
      <c r="AC35" s="48">
        <f t="shared" si="9"/>
        <v>-3269.5344396791625</v>
      </c>
      <c r="AD35" s="48">
        <f t="shared" si="9"/>
        <v>-3583.6960355085175</v>
      </c>
      <c r="AE35" s="48">
        <f t="shared" si="9"/>
        <v>-3921.6049983397679</v>
      </c>
      <c r="AF35" s="48">
        <f t="shared" si="9"/>
        <v>-1848.7897550981579</v>
      </c>
      <c r="AG35"/>
    </row>
    <row r="36" spans="1:39">
      <c r="A36" s="48" t="s">
        <v>57</v>
      </c>
      <c r="B36" s="386">
        <f>B33*(B32-Assumptions!H17)/365.25*$E$64</f>
        <v>2532.8517870362334</v>
      </c>
      <c r="C36" s="386">
        <f t="shared" ref="C36:AF36" si="10">C33*(C32-C23)/(C41-B41)*$E$64</f>
        <v>2758.9252545880786</v>
      </c>
      <c r="D36" s="386">
        <f t="shared" si="10"/>
        <v>2506.4086774065499</v>
      </c>
      <c r="E36" s="386">
        <f t="shared" si="10"/>
        <v>2234.052644417568</v>
      </c>
      <c r="F36" s="386">
        <f t="shared" si="10"/>
        <v>1944.1610504548273</v>
      </c>
      <c r="G36" s="386">
        <f t="shared" si="10"/>
        <v>1626.5131522623665</v>
      </c>
      <c r="H36" s="386">
        <f t="shared" si="10"/>
        <v>1290.7222325381902</v>
      </c>
      <c r="I36" s="386">
        <f t="shared" si="10"/>
        <v>932.83731431284741</v>
      </c>
      <c r="J36" s="386">
        <f t="shared" si="10"/>
        <v>556.05581668895388</v>
      </c>
      <c r="K36" s="386">
        <f t="shared" si="10"/>
        <v>191.39796001066156</v>
      </c>
      <c r="L36" s="386">
        <f t="shared" si="10"/>
        <v>0</v>
      </c>
      <c r="M36" s="386">
        <f t="shared" si="10"/>
        <v>28.842478132944741</v>
      </c>
      <c r="N36" s="386">
        <f t="shared" si="10"/>
        <v>91.072267582073735</v>
      </c>
      <c r="O36" s="386">
        <f t="shared" si="10"/>
        <v>159.88598400839612</v>
      </c>
      <c r="P36" s="386">
        <f t="shared" si="10"/>
        <v>236.01840800614875</v>
      </c>
      <c r="Q36" s="386">
        <f t="shared" si="10"/>
        <v>319.32262749100624</v>
      </c>
      <c r="R36" s="386">
        <f t="shared" si="10"/>
        <v>412.96757827405094</v>
      </c>
      <c r="S36" s="386">
        <f t="shared" si="10"/>
        <v>515.28594804318607</v>
      </c>
      <c r="T36" s="386">
        <f t="shared" si="10"/>
        <v>628.01457225562865</v>
      </c>
      <c r="U36" s="386">
        <f t="shared" si="10"/>
        <v>750.17161002017588</v>
      </c>
      <c r="V36" s="386">
        <f t="shared" si="10"/>
        <v>888.54565560292224</v>
      </c>
      <c r="W36" s="386">
        <f t="shared" si="10"/>
        <v>1038.4693681660469</v>
      </c>
      <c r="X36" s="386">
        <f t="shared" si="10"/>
        <v>1203.1443380303638</v>
      </c>
      <c r="Y36" s="386">
        <f t="shared" si="10"/>
        <v>1380.350311500546</v>
      </c>
      <c r="Z36" s="386">
        <f t="shared" si="10"/>
        <v>1582.1499780458064</v>
      </c>
      <c r="AA36" s="386">
        <f t="shared" si="10"/>
        <v>1799.4632353098339</v>
      </c>
      <c r="AB36" s="386">
        <f t="shared" si="10"/>
        <v>2037.6074534230168</v>
      </c>
      <c r="AC36" s="386">
        <f t="shared" si="10"/>
        <v>2292.5498685476769</v>
      </c>
      <c r="AD36" s="386">
        <f t="shared" si="10"/>
        <v>2583.9685813480969</v>
      </c>
      <c r="AE36" s="386">
        <f t="shared" si="10"/>
        <v>2896.3753717453301</v>
      </c>
      <c r="AF36" s="386">
        <f t="shared" si="10"/>
        <v>532.69337697621677</v>
      </c>
      <c r="AG36"/>
    </row>
    <row r="37" spans="1:39">
      <c r="A37" s="48" t="s">
        <v>58</v>
      </c>
      <c r="B37" s="162">
        <f>MAX(B33+B34+B36-B13,0)</f>
        <v>67679.117177746186</v>
      </c>
      <c r="C37" s="162">
        <f>MAX(C33+C34+C36-0.5*C13,0)</f>
        <v>61689.352782619993</v>
      </c>
      <c r="D37" s="162">
        <f t="shared" ref="D37:AF37" si="11">MAX(D33+D34+D36-0.5*D13,0)</f>
        <v>55828.820997348746</v>
      </c>
      <c r="E37" s="162">
        <f t="shared" si="11"/>
        <v>49161.163356918049</v>
      </c>
      <c r="F37" s="162">
        <f t="shared" si="11"/>
        <v>41942.178273317215</v>
      </c>
      <c r="G37" s="162">
        <f t="shared" si="11"/>
        <v>34239.340792677038</v>
      </c>
      <c r="H37" s="162">
        <f t="shared" si="11"/>
        <v>26174.110066909718</v>
      </c>
      <c r="I37" s="162">
        <f t="shared" si="11"/>
        <v>17543.038617251208</v>
      </c>
      <c r="J37" s="162">
        <f t="shared" si="11"/>
        <v>8366.3336069152574</v>
      </c>
      <c r="K37" s="162">
        <f t="shared" si="11"/>
        <v>452.8229729211489</v>
      </c>
      <c r="L37" s="162">
        <f t="shared" si="11"/>
        <v>0</v>
      </c>
      <c r="M37" s="162">
        <f t="shared" si="11"/>
        <v>1386.1355667421089</v>
      </c>
      <c r="N37" s="162">
        <f t="shared" si="11"/>
        <v>2920.3116561098109</v>
      </c>
      <c r="O37" s="162">
        <f t="shared" si="11"/>
        <v>4619.2899215110419</v>
      </c>
      <c r="P37" s="162">
        <f t="shared" si="11"/>
        <v>6497.3488317268457</v>
      </c>
      <c r="Q37" s="162">
        <f t="shared" si="11"/>
        <v>8572.4074432052912</v>
      </c>
      <c r="R37" s="162">
        <f t="shared" si="11"/>
        <v>10858.397988601419</v>
      </c>
      <c r="S37" s="162">
        <f t="shared" si="11"/>
        <v>13379.167458432363</v>
      </c>
      <c r="T37" s="162">
        <f t="shared" si="11"/>
        <v>16154.669660220281</v>
      </c>
      <c r="U37" s="162">
        <f t="shared" si="11"/>
        <v>19210.18652977248</v>
      </c>
      <c r="V37" s="162">
        <f t="shared" si="11"/>
        <v>22564.942830993758</v>
      </c>
      <c r="W37" s="162">
        <f t="shared" si="11"/>
        <v>26252.768370086091</v>
      </c>
      <c r="X37" s="162">
        <f t="shared" si="11"/>
        <v>30301.551714033336</v>
      </c>
      <c r="Y37" s="162">
        <f t="shared" si="11"/>
        <v>34746.889875920613</v>
      </c>
      <c r="Z37" s="162">
        <f t="shared" si="11"/>
        <v>39615.26510001022</v>
      </c>
      <c r="AA37" s="162">
        <f t="shared" si="11"/>
        <v>44954.417121044207</v>
      </c>
      <c r="AB37" s="162">
        <f t="shared" si="11"/>
        <v>50803.284138164869</v>
      </c>
      <c r="AC37" s="162">
        <f t="shared" si="11"/>
        <v>57211.884287859793</v>
      </c>
      <c r="AD37" s="162">
        <f t="shared" si="11"/>
        <v>64216.838574374167</v>
      </c>
      <c r="AE37" s="162">
        <f t="shared" si="11"/>
        <v>71885.411535597596</v>
      </c>
      <c r="AF37" s="162">
        <f t="shared" si="11"/>
        <v>78097.05743992918</v>
      </c>
      <c r="AG37"/>
    </row>
    <row r="38" spans="1:39">
      <c r="A38" s="48" t="s">
        <v>329</v>
      </c>
      <c r="B38" s="162">
        <f>(B32-Assumptions!H17)/(Debt!B41-Assumptions!H17)*IS!C30</f>
        <v>8984.6521117417742</v>
      </c>
      <c r="C38" s="162">
        <f>(C32-C23)/(C41-B41)*IS!D30</f>
        <v>8068.3446425306574</v>
      </c>
      <c r="D38" s="162">
        <f>(D32-D23)/(D41-C41)*IS!E30</f>
        <v>8321.9615732114507</v>
      </c>
      <c r="E38" s="162">
        <f>(E32-E23)/(E41-D41)*IS!F30</f>
        <v>8503.3501348818845</v>
      </c>
      <c r="F38" s="162">
        <f>(F32-F23)/(F41-E41)*IS!G30</f>
        <v>8440.3376234371499</v>
      </c>
      <c r="G38" s="162">
        <f>(G32-G23)/(G41-F41)*IS!H30</f>
        <v>8324.0999729520827</v>
      </c>
      <c r="H38" s="162">
        <f>(H32-H23)/(H41-G41)*IS!I30</f>
        <v>8062.285875808785</v>
      </c>
      <c r="I38" s="162">
        <f>(I32-I23)/(I41-H41)*IS!J30</f>
        <v>7990.5260348452175</v>
      </c>
      <c r="J38" s="162">
        <f>(J32-J23)/(J41-I41)*IS!K30</f>
        <v>7840.609159036765</v>
      </c>
      <c r="K38" s="162">
        <f>(K32-K23)/(K41-J41)*IS!L30</f>
        <v>5870.9427281690496</v>
      </c>
      <c r="L38" s="162">
        <f>(L32-L23)/(L41-K41)*IS!M30</f>
        <v>-1004.0855133838161</v>
      </c>
      <c r="M38" s="162">
        <f>(M32-M23)/(M41-L41)*IS!N30</f>
        <v>-1022.5642585646848</v>
      </c>
      <c r="N38" s="162">
        <f>(N32-N23)/(N41-M41)*IS!O30</f>
        <v>-1047.3503015576764</v>
      </c>
      <c r="O38" s="162">
        <f>(O32-O23)/(O41-N41)*IS!P30</f>
        <v>-1070.0591529333897</v>
      </c>
      <c r="P38" s="162">
        <f>(P32-P23)/(P41-O41)*IS!Q30</f>
        <v>-1093.5130918099474</v>
      </c>
      <c r="Q38" s="162">
        <f>(Q32-Q23)/(Q41-P41)*IS!R30</f>
        <v>-1114.6795368997803</v>
      </c>
      <c r="R38" s="162">
        <f>(R32-R23)/(R41-Q41)*IS!S30</f>
        <v>-1142.7421927832179</v>
      </c>
      <c r="S38" s="162">
        <f>(S32-S23)/(S41-R41)*IS!T30</f>
        <v>-1168.5619026983279</v>
      </c>
      <c r="T38" s="162">
        <f>(T32-T23)/(T41-S41)*IS!U30</f>
        <v>-1195.2158326571771</v>
      </c>
      <c r="U38" s="162">
        <f>(U32-U23)/(U41-T41)*IS!V30</f>
        <v>-1219.3871213897228</v>
      </c>
      <c r="V38" s="162">
        <f>(V32-V23)/(V41-U41)*IS!W30</f>
        <v>-1251.164530719788</v>
      </c>
      <c r="W38" s="162">
        <f>(W32-W23)/(W41-V41)*IS!X30</f>
        <v>-1280.5301476024119</v>
      </c>
      <c r="X38" s="162">
        <f>(X32-X23)/(X41-W41)*IS!Y30</f>
        <v>-1310.8299427318964</v>
      </c>
      <c r="Y38" s="162">
        <f>(Y32-Y23)/(Y41-X41)*IS!Z30</f>
        <v>-1338.4238348249014</v>
      </c>
      <c r="Z38" s="162">
        <f>(Z32-Z23)/(Z41-Y41)*IS!AA30</f>
        <v>-1374.3401822216038</v>
      </c>
      <c r="AA38" s="162">
        <f>(AA32-AA23)/(AA41-Z41)*IS!AB30</f>
        <v>-1407.606659684096</v>
      </c>
      <c r="AB38" s="162">
        <f>(AB32-AB23)/(AB41-AA41)*IS!AC30</f>
        <v>-1441.9194281931595</v>
      </c>
      <c r="AC38" s="162">
        <f>(AC32-AC23)/(AC41-AB41)*IS!AD30</f>
        <v>-1473.2722239476593</v>
      </c>
      <c r="AD38" s="162">
        <f>(AD32-AD23)/(AD41-AC41)*IS!AE30</f>
        <v>-1513.8051093242093</v>
      </c>
      <c r="AE38" s="162">
        <f>(AE32-AE23)/(AE41-AD41)*IS!AF30</f>
        <v>-1551.4408761015966</v>
      </c>
      <c r="AF38" s="162">
        <f>(AF32-AF23)/(AG23-AE41)*IS!AG30</f>
        <v>-787.63824937502557</v>
      </c>
      <c r="AG38"/>
    </row>
    <row r="39" spans="1:39">
      <c r="A39" s="405" t="s">
        <v>0</v>
      </c>
      <c r="B39" s="406">
        <f t="shared" ref="B39:AF39" si="12">IF(B37&gt;0.1,B38/(B36+B35)," ")</f>
        <v>1.4999999999999998</v>
      </c>
      <c r="C39" s="406">
        <f t="shared" si="12"/>
        <v>1.3891550745005605</v>
      </c>
      <c r="D39" s="406">
        <f t="shared" si="12"/>
        <v>1.5156253575705505</v>
      </c>
      <c r="E39" s="406">
        <f t="shared" si="12"/>
        <v>1.5079979908859831</v>
      </c>
      <c r="F39" s="406">
        <f t="shared" si="12"/>
        <v>1.5013151967239098</v>
      </c>
      <c r="G39" s="406">
        <f t="shared" si="12"/>
        <v>1.4988912991475474</v>
      </c>
      <c r="H39" s="406">
        <f t="shared" si="12"/>
        <v>1.4920297583702244</v>
      </c>
      <c r="I39" s="406">
        <f t="shared" si="12"/>
        <v>1.4966581341376717</v>
      </c>
      <c r="J39" s="406">
        <f t="shared" si="12"/>
        <v>1.4969734493450859</v>
      </c>
      <c r="K39" s="406">
        <f t="shared" si="12"/>
        <v>1.3880111644171511</v>
      </c>
      <c r="L39" s="406" t="str">
        <f t="shared" si="12"/>
        <v xml:space="preserve"> </v>
      </c>
      <c r="M39" s="406">
        <f t="shared" si="12"/>
        <v>1.506770007371834</v>
      </c>
      <c r="N39" s="406">
        <f t="shared" si="12"/>
        <v>1.5130367474329902</v>
      </c>
      <c r="O39" s="406">
        <f t="shared" si="12"/>
        <v>1.5121101296216015</v>
      </c>
      <c r="P39" s="406">
        <f t="shared" si="12"/>
        <v>1.5121958615896109</v>
      </c>
      <c r="Q39" s="406">
        <f t="shared" si="12"/>
        <v>1.5071154887416987</v>
      </c>
      <c r="R39" s="406">
        <f t="shared" si="12"/>
        <v>1.5133752340744648</v>
      </c>
      <c r="S39" s="406">
        <f t="shared" si="12"/>
        <v>1.5124411552446562</v>
      </c>
      <c r="T39" s="406">
        <f t="shared" si="12"/>
        <v>1.5125189747827512</v>
      </c>
      <c r="U39" s="406">
        <f t="shared" si="12"/>
        <v>1.5074294300676707</v>
      </c>
      <c r="V39" s="406">
        <f t="shared" si="12"/>
        <v>1.513694560906121</v>
      </c>
      <c r="W39" s="406">
        <f t="shared" si="12"/>
        <v>1.5127586206701662</v>
      </c>
      <c r="X39" s="406">
        <f t="shared" si="12"/>
        <v>1.5128278805540032</v>
      </c>
      <c r="Y39" s="406">
        <f t="shared" si="12"/>
        <v>1.5077286348620951</v>
      </c>
      <c r="Z39" s="406">
        <f t="shared" si="12"/>
        <v>1.5139738561270979</v>
      </c>
      <c r="AA39" s="406">
        <f t="shared" si="12"/>
        <v>1.5130245615778783</v>
      </c>
      <c r="AB39" s="406">
        <f t="shared" si="12"/>
        <v>1.5130865027790883</v>
      </c>
      <c r="AC39" s="406">
        <f t="shared" si="12"/>
        <v>1.5079790075306949</v>
      </c>
      <c r="AD39" s="406">
        <f t="shared" si="12"/>
        <v>1.5142178030866575</v>
      </c>
      <c r="AE39" s="406">
        <f t="shared" si="12"/>
        <v>1.5132618448172472</v>
      </c>
      <c r="AF39" s="406">
        <f t="shared" si="12"/>
        <v>0.59846547902440017</v>
      </c>
    </row>
    <row r="40" spans="1:39">
      <c r="A40" s="4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55</v>
      </c>
      <c r="B42" s="48">
        <f>B37</f>
        <v>67679.117177746186</v>
      </c>
      <c r="C42" s="48">
        <f>C37</f>
        <v>61689.352782619993</v>
      </c>
      <c r="D42" s="48">
        <f t="shared" ref="D42:AF42" si="14">D37</f>
        <v>55828.820997348746</v>
      </c>
      <c r="E42" s="48">
        <f t="shared" si="14"/>
        <v>49161.163356918049</v>
      </c>
      <c r="F42" s="48">
        <f t="shared" si="14"/>
        <v>41942.178273317215</v>
      </c>
      <c r="G42" s="48">
        <f t="shared" si="14"/>
        <v>34239.340792677038</v>
      </c>
      <c r="H42" s="48">
        <f t="shared" si="14"/>
        <v>26174.110066909718</v>
      </c>
      <c r="I42" s="48">
        <f t="shared" si="14"/>
        <v>17543.038617251208</v>
      </c>
      <c r="J42" s="48">
        <f t="shared" si="14"/>
        <v>8366.3336069152574</v>
      </c>
      <c r="K42" s="48">
        <f t="shared" si="14"/>
        <v>452.8229729211489</v>
      </c>
      <c r="L42" s="48">
        <f t="shared" si="14"/>
        <v>0</v>
      </c>
      <c r="M42" s="48">
        <f t="shared" si="14"/>
        <v>1386.1355667421089</v>
      </c>
      <c r="N42" s="48">
        <f t="shared" si="14"/>
        <v>2920.3116561098109</v>
      </c>
      <c r="O42" s="48">
        <f t="shared" si="14"/>
        <v>4619.2899215110419</v>
      </c>
      <c r="P42" s="48">
        <f t="shared" si="14"/>
        <v>6497.3488317268457</v>
      </c>
      <c r="Q42" s="48">
        <f t="shared" si="14"/>
        <v>8572.4074432052912</v>
      </c>
      <c r="R42" s="48">
        <f t="shared" si="14"/>
        <v>10858.397988601419</v>
      </c>
      <c r="S42" s="48">
        <f t="shared" si="14"/>
        <v>13379.167458432363</v>
      </c>
      <c r="T42" s="48">
        <f t="shared" si="14"/>
        <v>16154.669660220281</v>
      </c>
      <c r="U42" s="48">
        <f t="shared" si="14"/>
        <v>19210.18652977248</v>
      </c>
      <c r="V42" s="48">
        <f t="shared" si="14"/>
        <v>22564.942830993758</v>
      </c>
      <c r="W42" s="48">
        <f t="shared" si="14"/>
        <v>26252.768370086091</v>
      </c>
      <c r="X42" s="48">
        <f t="shared" si="14"/>
        <v>30301.551714033336</v>
      </c>
      <c r="Y42" s="48">
        <f t="shared" si="14"/>
        <v>34746.889875920613</v>
      </c>
      <c r="Z42" s="48">
        <f t="shared" si="14"/>
        <v>39615.26510001022</v>
      </c>
      <c r="AA42" s="48">
        <f t="shared" si="14"/>
        <v>44954.417121044207</v>
      </c>
      <c r="AB42" s="48">
        <f t="shared" si="14"/>
        <v>50803.284138164869</v>
      </c>
      <c r="AC42" s="48">
        <f t="shared" si="14"/>
        <v>57211.884287859793</v>
      </c>
      <c r="AD42" s="48">
        <f t="shared" si="14"/>
        <v>64216.838574374167</v>
      </c>
      <c r="AE42" s="48">
        <f t="shared" si="14"/>
        <v>71885.411535597596</v>
      </c>
      <c r="AF42" s="48">
        <f t="shared" si="14"/>
        <v>78097.05743992918</v>
      </c>
    </row>
    <row r="43" spans="1:39">
      <c r="A43" s="48" t="s">
        <v>327</v>
      </c>
      <c r="B43" s="383">
        <v>0</v>
      </c>
      <c r="C43" s="383">
        <v>0</v>
      </c>
      <c r="D43" s="383">
        <v>0</v>
      </c>
      <c r="E43" s="383">
        <v>0</v>
      </c>
      <c r="F43" s="383">
        <v>0</v>
      </c>
      <c r="G43" s="383">
        <v>0</v>
      </c>
      <c r="H43" s="383">
        <v>0</v>
      </c>
      <c r="I43" s="383">
        <v>0</v>
      </c>
      <c r="J43" s="383">
        <v>0</v>
      </c>
      <c r="K43" s="383">
        <v>0</v>
      </c>
      <c r="L43" s="383">
        <v>0</v>
      </c>
      <c r="M43" s="383">
        <v>0</v>
      </c>
      <c r="N43" s="383">
        <v>0</v>
      </c>
      <c r="O43" s="383">
        <v>0</v>
      </c>
      <c r="P43" s="383">
        <v>0</v>
      </c>
      <c r="Q43" s="383">
        <v>0</v>
      </c>
      <c r="R43" s="383">
        <v>0</v>
      </c>
      <c r="S43" s="383">
        <v>0</v>
      </c>
      <c r="T43" s="383">
        <v>0</v>
      </c>
      <c r="U43" s="383">
        <v>0</v>
      </c>
      <c r="V43" s="383">
        <v>0</v>
      </c>
      <c r="W43" s="383">
        <v>0</v>
      </c>
      <c r="X43" s="383">
        <v>0</v>
      </c>
      <c r="Y43" s="383">
        <v>0</v>
      </c>
      <c r="Z43" s="383">
        <v>0</v>
      </c>
      <c r="AA43" s="383">
        <v>0</v>
      </c>
      <c r="AB43" s="383">
        <v>0</v>
      </c>
      <c r="AC43" s="383">
        <v>0</v>
      </c>
      <c r="AD43" s="383">
        <v>0</v>
      </c>
      <c r="AE43" s="383">
        <v>0</v>
      </c>
      <c r="AF43" s="383">
        <v>0</v>
      </c>
    </row>
    <row r="44" spans="1:39">
      <c r="A44" s="48" t="s">
        <v>57</v>
      </c>
      <c r="B44" s="386">
        <f>B42*(B41-B32)/365.25*$E$64</f>
        <v>1433.2593329770482</v>
      </c>
      <c r="C44" s="386">
        <f t="shared" ref="C44:AF44" si="15">C42*(C41-C32)/(C41-B41)*$E$64</f>
        <v>1307.3072432152485</v>
      </c>
      <c r="D44" s="386">
        <f t="shared" si="15"/>
        <v>1183.1121381218975</v>
      </c>
      <c r="E44" s="386">
        <f t="shared" si="15"/>
        <v>1038.9661162998939</v>
      </c>
      <c r="F44" s="386">
        <f t="shared" si="15"/>
        <v>888.82944916194162</v>
      </c>
      <c r="G44" s="386">
        <f t="shared" si="15"/>
        <v>725.5926055653614</v>
      </c>
      <c r="H44" s="386">
        <f t="shared" si="15"/>
        <v>554.67600374670326</v>
      </c>
      <c r="I44" s="386">
        <f t="shared" si="15"/>
        <v>370.75246913780904</v>
      </c>
      <c r="J44" s="386">
        <f t="shared" si="15"/>
        <v>177.29750808079322</v>
      </c>
      <c r="K44" s="386">
        <f t="shared" si="15"/>
        <v>9.5961251932742133</v>
      </c>
      <c r="L44" s="386">
        <f t="shared" si="15"/>
        <v>0</v>
      </c>
      <c r="M44" s="386">
        <f t="shared" si="15"/>
        <v>29.294422428279272</v>
      </c>
      <c r="N44" s="386">
        <f t="shared" si="15"/>
        <v>61.886604547970926</v>
      </c>
      <c r="O44" s="386">
        <f t="shared" si="15"/>
        <v>97.890979569555924</v>
      </c>
      <c r="P44" s="386">
        <f t="shared" si="15"/>
        <v>137.69039236549906</v>
      </c>
      <c r="Q44" s="386">
        <f t="shared" si="15"/>
        <v>181.16822834205718</v>
      </c>
      <c r="R44" s="386">
        <f t="shared" si="15"/>
        <v>230.10879025159446</v>
      </c>
      <c r="S44" s="386">
        <f t="shared" si="15"/>
        <v>283.52838435883382</v>
      </c>
      <c r="T44" s="386">
        <f t="shared" si="15"/>
        <v>342.34621868987364</v>
      </c>
      <c r="U44" s="386">
        <f t="shared" si="15"/>
        <v>405.98577269888011</v>
      </c>
      <c r="V44" s="386">
        <f t="shared" si="15"/>
        <v>478.19132273352534</v>
      </c>
      <c r="W44" s="386">
        <f t="shared" si="15"/>
        <v>556.34291326744096</v>
      </c>
      <c r="X44" s="386">
        <f t="shared" si="15"/>
        <v>642.14384248780232</v>
      </c>
      <c r="Y44" s="386">
        <f t="shared" si="15"/>
        <v>734.33659341597263</v>
      </c>
      <c r="Z44" s="386">
        <f t="shared" si="15"/>
        <v>839.51801520158654</v>
      </c>
      <c r="AA44" s="386">
        <f t="shared" si="15"/>
        <v>952.66415460623818</v>
      </c>
      <c r="AB44" s="386">
        <f t="shared" si="15"/>
        <v>1076.6120624896037</v>
      </c>
      <c r="AC44" s="386">
        <f t="shared" si="15"/>
        <v>1209.1090846081845</v>
      </c>
      <c r="AD44" s="386">
        <f t="shared" si="15"/>
        <v>1360.8691681446144</v>
      </c>
      <c r="AE44" s="386">
        <f t="shared" si="15"/>
        <v>1523.3798855557463</v>
      </c>
      <c r="AF44" s="386">
        <f t="shared" si="15"/>
        <v>4437.6245789154282</v>
      </c>
    </row>
    <row r="45" spans="1:39">
      <c r="A45" s="48" t="s">
        <v>58</v>
      </c>
      <c r="B45" s="48">
        <f>B42+B43</f>
        <v>67679.117177746186</v>
      </c>
      <c r="C45" s="48">
        <f t="shared" ref="C45:AF45" si="16">C42+C43</f>
        <v>61689.352782619993</v>
      </c>
      <c r="D45" s="48">
        <f t="shared" si="16"/>
        <v>55828.820997348746</v>
      </c>
      <c r="E45" s="48">
        <f t="shared" si="16"/>
        <v>49161.163356918049</v>
      </c>
      <c r="F45" s="48">
        <f t="shared" si="16"/>
        <v>41942.178273317215</v>
      </c>
      <c r="G45" s="48">
        <f t="shared" si="16"/>
        <v>34239.340792677038</v>
      </c>
      <c r="H45" s="48">
        <f t="shared" si="16"/>
        <v>26174.110066909718</v>
      </c>
      <c r="I45" s="48">
        <f t="shared" si="16"/>
        <v>17543.038617251208</v>
      </c>
      <c r="J45" s="48">
        <f t="shared" si="16"/>
        <v>8366.3336069152574</v>
      </c>
      <c r="K45" s="48">
        <f t="shared" si="16"/>
        <v>452.8229729211489</v>
      </c>
      <c r="L45" s="48">
        <f t="shared" si="16"/>
        <v>0</v>
      </c>
      <c r="M45" s="48">
        <f t="shared" si="16"/>
        <v>1386.1355667421089</v>
      </c>
      <c r="N45" s="48">
        <f t="shared" si="16"/>
        <v>2920.3116561098109</v>
      </c>
      <c r="O45" s="48">
        <f t="shared" si="16"/>
        <v>4619.2899215110419</v>
      </c>
      <c r="P45" s="48">
        <f t="shared" si="16"/>
        <v>6497.3488317268457</v>
      </c>
      <c r="Q45" s="48">
        <f t="shared" si="16"/>
        <v>8572.4074432052912</v>
      </c>
      <c r="R45" s="48">
        <f t="shared" si="16"/>
        <v>10858.397988601419</v>
      </c>
      <c r="S45" s="48">
        <f t="shared" si="16"/>
        <v>13379.167458432363</v>
      </c>
      <c r="T45" s="48">
        <f t="shared" si="16"/>
        <v>16154.669660220281</v>
      </c>
      <c r="U45" s="48">
        <f t="shared" si="16"/>
        <v>19210.18652977248</v>
      </c>
      <c r="V45" s="48">
        <f t="shared" si="16"/>
        <v>22564.942830993758</v>
      </c>
      <c r="W45" s="48">
        <f t="shared" si="16"/>
        <v>26252.768370086091</v>
      </c>
      <c r="X45" s="48">
        <f t="shared" si="16"/>
        <v>30301.551714033336</v>
      </c>
      <c r="Y45" s="48">
        <f t="shared" si="16"/>
        <v>34746.889875920613</v>
      </c>
      <c r="Z45" s="48">
        <f t="shared" si="16"/>
        <v>39615.26510001022</v>
      </c>
      <c r="AA45" s="48">
        <f t="shared" si="16"/>
        <v>44954.417121044207</v>
      </c>
      <c r="AB45" s="48">
        <f t="shared" si="16"/>
        <v>50803.284138164869</v>
      </c>
      <c r="AC45" s="48">
        <f t="shared" si="16"/>
        <v>57211.884287859793</v>
      </c>
      <c r="AD45" s="48">
        <f t="shared" si="16"/>
        <v>64216.838574374167</v>
      </c>
      <c r="AE45" s="48">
        <f t="shared" si="16"/>
        <v>71885.411535597596</v>
      </c>
      <c r="AF45" s="48">
        <f t="shared" si="16"/>
        <v>78097.05743992918</v>
      </c>
    </row>
    <row r="46" spans="1:39">
      <c r="A46" s="48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</row>
    <row r="47" spans="1:39">
      <c r="A47" s="396" t="s">
        <v>387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49"/>
      <c r="AH47" s="49"/>
      <c r="AI47" s="49"/>
      <c r="AJ47" s="49"/>
      <c r="AK47" s="49"/>
      <c r="AL47" s="49"/>
      <c r="AM47" s="49"/>
    </row>
    <row r="48" spans="1:39">
      <c r="A48" s="48" t="s">
        <v>135</v>
      </c>
      <c r="B48" s="162">
        <f>SUM(B35,B26)</f>
        <v>3456.9162874582835</v>
      </c>
      <c r="C48" s="162">
        <f t="shared" ref="C48:AF48" si="17">SUM(C35,C26)</f>
        <v>5989.7643951261925</v>
      </c>
      <c r="D48" s="162">
        <f t="shared" si="17"/>
        <v>5860.5317852712469</v>
      </c>
      <c r="E48" s="162">
        <f t="shared" si="17"/>
        <v>6667.6576404306979</v>
      </c>
      <c r="F48" s="162">
        <f t="shared" si="17"/>
        <v>7218.9850836008336</v>
      </c>
      <c r="G48" s="162">
        <f t="shared" si="17"/>
        <v>7702.8374806401771</v>
      </c>
      <c r="H48" s="162">
        <f t="shared" si="17"/>
        <v>8065.2307257673201</v>
      </c>
      <c r="I48" s="162">
        <f t="shared" si="17"/>
        <v>8631.0714496585097</v>
      </c>
      <c r="J48" s="162">
        <f t="shared" si="17"/>
        <v>9176.7050103359506</v>
      </c>
      <c r="K48" s="162">
        <f t="shared" si="17"/>
        <v>7913.5106339941085</v>
      </c>
      <c r="L48" s="162">
        <f t="shared" si="17"/>
        <v>452.8229729211489</v>
      </c>
      <c r="M48" s="162">
        <f t="shared" si="17"/>
        <v>-1386.1355667421089</v>
      </c>
      <c r="N48" s="162">
        <f t="shared" si="17"/>
        <v>-1534.1760893677019</v>
      </c>
      <c r="O48" s="162">
        <f t="shared" si="17"/>
        <v>-1698.9782654012311</v>
      </c>
      <c r="P48" s="162">
        <f t="shared" si="17"/>
        <v>-1878.0589102158037</v>
      </c>
      <c r="Q48" s="162">
        <f t="shared" si="17"/>
        <v>-2075.0586114784455</v>
      </c>
      <c r="R48" s="162">
        <f t="shared" si="17"/>
        <v>-2285.9905453961273</v>
      </c>
      <c r="S48" s="162">
        <f t="shared" si="17"/>
        <v>-2520.7694698309442</v>
      </c>
      <c r="T48" s="162">
        <f t="shared" si="17"/>
        <v>-2775.5022017879182</v>
      </c>
      <c r="U48" s="162">
        <f t="shared" si="17"/>
        <v>-3055.5168695521988</v>
      </c>
      <c r="V48" s="162">
        <f t="shared" si="17"/>
        <v>-3354.7563012212777</v>
      </c>
      <c r="W48" s="162">
        <f t="shared" si="17"/>
        <v>-3687.8255390923332</v>
      </c>
      <c r="X48" s="162">
        <f t="shared" si="17"/>
        <v>-4048.7833439472452</v>
      </c>
      <c r="Y48" s="162">
        <f t="shared" si="17"/>
        <v>-4445.3381618872772</v>
      </c>
      <c r="Z48" s="162">
        <f t="shared" si="17"/>
        <v>-4868.3752240896065</v>
      </c>
      <c r="AA48" s="162">
        <f t="shared" si="17"/>
        <v>-5339.1520210339877</v>
      </c>
      <c r="AB48" s="162">
        <f t="shared" si="17"/>
        <v>-5848.8670171206613</v>
      </c>
      <c r="AC48" s="162">
        <f t="shared" si="17"/>
        <v>-6408.6001496949248</v>
      </c>
      <c r="AD48" s="162">
        <f t="shared" si="17"/>
        <v>-7004.954286514374</v>
      </c>
      <c r="AE48" s="162">
        <f t="shared" si="17"/>
        <v>-7668.5729612234281</v>
      </c>
      <c r="AF48" s="162">
        <f t="shared" si="17"/>
        <v>-6211.6459043315845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134</v>
      </c>
      <c r="B49" s="386">
        <f>B36</f>
        <v>2532.8517870362334</v>
      </c>
      <c r="C49" s="386">
        <f t="shared" ref="C49:AF49" si="18">C27+C36+B44</f>
        <v>5626.4256050168169</v>
      </c>
      <c r="D49" s="386">
        <f t="shared" si="18"/>
        <v>5121.0231638370469</v>
      </c>
      <c r="E49" s="386">
        <f t="shared" si="18"/>
        <v>4610.0100836303591</v>
      </c>
      <c r="F49" s="386">
        <f t="shared" si="18"/>
        <v>4024.9397655650255</v>
      </c>
      <c r="G49" s="386">
        <f t="shared" si="18"/>
        <v>3404.17205058625</v>
      </c>
      <c r="H49" s="386">
        <f t="shared" si="18"/>
        <v>2741.9074436689129</v>
      </c>
      <c r="I49" s="386">
        <f t="shared" si="18"/>
        <v>2046.7525003634687</v>
      </c>
      <c r="J49" s="386">
        <f t="shared" si="18"/>
        <v>1298.5765151539906</v>
      </c>
      <c r="K49" s="386">
        <f t="shared" si="18"/>
        <v>545.99297617224806</v>
      </c>
      <c r="L49" s="386">
        <f t="shared" si="18"/>
        <v>19.192250386548427</v>
      </c>
      <c r="M49" s="386">
        <f t="shared" si="18"/>
        <v>28.842478132944741</v>
      </c>
      <c r="N49" s="386">
        <f t="shared" si="18"/>
        <v>149.74137113021661</v>
      </c>
      <c r="O49" s="386">
        <f t="shared" si="18"/>
        <v>283.65919310433799</v>
      </c>
      <c r="P49" s="386">
        <f t="shared" si="18"/>
        <v>431.80036714526057</v>
      </c>
      <c r="Q49" s="386">
        <f t="shared" si="18"/>
        <v>595.83615609722642</v>
      </c>
      <c r="R49" s="386">
        <f t="shared" si="18"/>
        <v>775.80038626869157</v>
      </c>
      <c r="S49" s="386">
        <f t="shared" si="18"/>
        <v>975.50352854637492</v>
      </c>
      <c r="T49" s="386">
        <f t="shared" si="18"/>
        <v>1195.0713409732962</v>
      </c>
      <c r="U49" s="386">
        <f t="shared" si="18"/>
        <v>1437.6804427617508</v>
      </c>
      <c r="V49" s="386">
        <f t="shared" si="18"/>
        <v>1701.6294907888985</v>
      </c>
      <c r="W49" s="386">
        <f t="shared" si="18"/>
        <v>1994.8520136330976</v>
      </c>
      <c r="X49" s="386">
        <f t="shared" si="18"/>
        <v>2315.8301645652455</v>
      </c>
      <c r="Y49" s="386">
        <f t="shared" si="18"/>
        <v>2669.9207507198803</v>
      </c>
      <c r="Z49" s="386">
        <f t="shared" si="18"/>
        <v>3052.8350459556041</v>
      </c>
      <c r="AA49" s="386">
        <f t="shared" si="18"/>
        <v>3478.4992657130069</v>
      </c>
      <c r="AB49" s="386">
        <f t="shared" si="18"/>
        <v>3942.9357626354931</v>
      </c>
      <c r="AC49" s="386">
        <f t="shared" si="18"/>
        <v>4454.6310074319508</v>
      </c>
      <c r="AD49" s="386">
        <f t="shared" si="18"/>
        <v>5005.4993781935291</v>
      </c>
      <c r="AE49" s="386">
        <f t="shared" si="18"/>
        <v>5618.1137080345588</v>
      </c>
      <c r="AF49" s="386">
        <f t="shared" si="18"/>
        <v>3579.4531480877095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5989.7680744945174</v>
      </c>
      <c r="C50" s="49">
        <f t="shared" si="19"/>
        <v>11616.190000143009</v>
      </c>
      <c r="D50" s="49">
        <f t="shared" si="19"/>
        <v>10981.554949108293</v>
      </c>
      <c r="E50" s="49">
        <f t="shared" si="19"/>
        <v>11277.667724061057</v>
      </c>
      <c r="F50" s="49">
        <f t="shared" si="19"/>
        <v>11243.924849165858</v>
      </c>
      <c r="G50" s="49">
        <f t="shared" si="19"/>
        <v>11107.009531226427</v>
      </c>
      <c r="H50" s="49">
        <f t="shared" si="19"/>
        <v>10807.138169436234</v>
      </c>
      <c r="I50" s="49">
        <f t="shared" si="19"/>
        <v>10677.823950021979</v>
      </c>
      <c r="J50" s="49">
        <f t="shared" si="19"/>
        <v>10475.281525489941</v>
      </c>
      <c r="K50" s="49">
        <f t="shared" si="19"/>
        <v>8459.5036101663572</v>
      </c>
      <c r="L50" s="49">
        <f t="shared" si="19"/>
        <v>472.01522330769734</v>
      </c>
      <c r="M50" s="49">
        <f t="shared" si="19"/>
        <v>-1357.2930886091642</v>
      </c>
      <c r="N50" s="49">
        <f t="shared" si="19"/>
        <v>-1384.4347182374854</v>
      </c>
      <c r="O50" s="49">
        <f t="shared" si="19"/>
        <v>-1415.319072296893</v>
      </c>
      <c r="P50" s="49">
        <f t="shared" si="19"/>
        <v>-1446.2585430705431</v>
      </c>
      <c r="Q50" s="49">
        <f t="shared" si="19"/>
        <v>-1479.2224553812191</v>
      </c>
      <c r="R50" s="49">
        <f t="shared" si="19"/>
        <v>-1510.1901591274359</v>
      </c>
      <c r="S50" s="49">
        <f t="shared" si="19"/>
        <v>-1545.2659412845692</v>
      </c>
      <c r="T50" s="49">
        <f t="shared" si="19"/>
        <v>-1580.4308608146221</v>
      </c>
      <c r="U50" s="49">
        <f t="shared" si="19"/>
        <v>-1617.8364267904481</v>
      </c>
      <c r="V50" s="49">
        <f t="shared" si="19"/>
        <v>-1653.1268104323792</v>
      </c>
      <c r="W50" s="49">
        <f t="shared" si="19"/>
        <v>-1692.9735254592356</v>
      </c>
      <c r="X50" s="49">
        <f t="shared" si="19"/>
        <v>-1732.9531793819997</v>
      </c>
      <c r="Y50" s="49">
        <f t="shared" si="19"/>
        <v>-1775.4174111673969</v>
      </c>
      <c r="Z50" s="49">
        <f t="shared" si="19"/>
        <v>-1815.5401781340024</v>
      </c>
      <c r="AA50" s="49">
        <f t="shared" si="19"/>
        <v>-1860.6527553209808</v>
      </c>
      <c r="AB50" s="49">
        <f t="shared" si="19"/>
        <v>-1905.9312544851682</v>
      </c>
      <c r="AC50" s="49">
        <f t="shared" si="19"/>
        <v>-1953.9691422629739</v>
      </c>
      <c r="AD50" s="49">
        <f t="shared" si="19"/>
        <v>-1999.4549083208449</v>
      </c>
      <c r="AE50" s="49">
        <f t="shared" si="19"/>
        <v>-2050.4592531888693</v>
      </c>
      <c r="AF50" s="49">
        <f t="shared" si="19"/>
        <v>-2632.192756243875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402</v>
      </c>
      <c r="B52" s="403">
        <f>IF(B33&gt;0.1,(B38+B29)/B50," ")</f>
        <v>1.4999999999999998</v>
      </c>
      <c r="C52" s="403">
        <f t="shared" ref="C52:AF52" si="20">IF(C33&gt;0.1,(C38+C29)/C50," ")</f>
        <v>1.4999999999999993</v>
      </c>
      <c r="D52" s="403">
        <f t="shared" si="20"/>
        <v>1.5000000000000002</v>
      </c>
      <c r="E52" s="403">
        <f t="shared" si="20"/>
        <v>1.5000000000000002</v>
      </c>
      <c r="F52" s="403">
        <f t="shared" si="20"/>
        <v>1.5000000000000009</v>
      </c>
      <c r="G52" s="403">
        <f t="shared" si="20"/>
        <v>1.4999999999999984</v>
      </c>
      <c r="H52" s="403">
        <f t="shared" si="20"/>
        <v>1.5000000000000002</v>
      </c>
      <c r="I52" s="403">
        <f t="shared" si="20"/>
        <v>1.5000000000000004</v>
      </c>
      <c r="J52" s="403">
        <f t="shared" si="20"/>
        <v>1.4999999999999998</v>
      </c>
      <c r="K52" s="403">
        <f t="shared" si="20"/>
        <v>1.5</v>
      </c>
      <c r="L52" s="403" t="str">
        <f t="shared" si="20"/>
        <v xml:space="preserve"> </v>
      </c>
      <c r="M52" s="403">
        <f t="shared" si="20"/>
        <v>1.5</v>
      </c>
      <c r="N52" s="403">
        <f t="shared" si="20"/>
        <v>1.4999999999999998</v>
      </c>
      <c r="O52" s="403">
        <f t="shared" si="20"/>
        <v>1.5000000000000007</v>
      </c>
      <c r="P52" s="465">
        <f t="shared" si="20"/>
        <v>1.4999999999999998</v>
      </c>
      <c r="Q52" s="403">
        <f t="shared" si="20"/>
        <v>1.5000000000000002</v>
      </c>
      <c r="R52" s="403">
        <f t="shared" si="20"/>
        <v>1.500000000000002</v>
      </c>
      <c r="S52" s="403">
        <f t="shared" si="20"/>
        <v>1.5000000000000016</v>
      </c>
      <c r="T52" s="403">
        <f t="shared" si="20"/>
        <v>1.500000000000002</v>
      </c>
      <c r="U52" s="403">
        <f t="shared" si="20"/>
        <v>1.4999999999999964</v>
      </c>
      <c r="V52" s="403">
        <f t="shared" si="20"/>
        <v>1.4999999999999953</v>
      </c>
      <c r="W52" s="403">
        <f t="shared" si="20"/>
        <v>1.5000000000000044</v>
      </c>
      <c r="X52" s="403">
        <f t="shared" si="20"/>
        <v>1.5000000000000002</v>
      </c>
      <c r="Y52" s="403">
        <f t="shared" si="20"/>
        <v>1.4999999999999998</v>
      </c>
      <c r="Z52" s="403">
        <f t="shared" si="20"/>
        <v>1.5000000000000056</v>
      </c>
      <c r="AA52" s="403">
        <f t="shared" si="20"/>
        <v>1.4999999999999971</v>
      </c>
      <c r="AB52" s="403">
        <f t="shared" si="20"/>
        <v>1.4999999999999993</v>
      </c>
      <c r="AC52" s="403">
        <f t="shared" si="20"/>
        <v>1.4999999999999931</v>
      </c>
      <c r="AD52" s="403">
        <f t="shared" si="20"/>
        <v>1.4999999999999958</v>
      </c>
      <c r="AE52" s="403">
        <f t="shared" si="20"/>
        <v>1.4999999999999889</v>
      </c>
      <c r="AF52" s="465">
        <f t="shared" si="20"/>
        <v>1.5000000000000167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386</v>
      </c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</row>
    <row r="56" spans="1:39">
      <c r="A56" s="48" t="s">
        <v>135</v>
      </c>
      <c r="B56" s="162">
        <f t="shared" ref="B56:AF56" si="21">B35+B26</f>
        <v>3456.9162874582835</v>
      </c>
      <c r="C56" s="162">
        <f t="shared" si="21"/>
        <v>5989.7643951261925</v>
      </c>
      <c r="D56" s="162">
        <f t="shared" si="21"/>
        <v>5860.5317852712469</v>
      </c>
      <c r="E56" s="162">
        <f t="shared" si="21"/>
        <v>6667.6576404306979</v>
      </c>
      <c r="F56" s="162">
        <f t="shared" si="21"/>
        <v>7218.9850836008336</v>
      </c>
      <c r="G56" s="162">
        <f t="shared" si="21"/>
        <v>7702.8374806401771</v>
      </c>
      <c r="H56" s="162">
        <f t="shared" si="21"/>
        <v>8065.2307257673201</v>
      </c>
      <c r="I56" s="162">
        <f t="shared" si="21"/>
        <v>8631.0714496585097</v>
      </c>
      <c r="J56" s="162">
        <f t="shared" si="21"/>
        <v>9176.7050103359506</v>
      </c>
      <c r="K56" s="162">
        <f t="shared" si="21"/>
        <v>7913.5106339941085</v>
      </c>
      <c r="L56" s="162">
        <f t="shared" si="21"/>
        <v>452.8229729211489</v>
      </c>
      <c r="M56" s="162">
        <f t="shared" si="21"/>
        <v>-1386.1355667421089</v>
      </c>
      <c r="N56" s="162">
        <f t="shared" si="21"/>
        <v>-1534.1760893677019</v>
      </c>
      <c r="O56" s="162">
        <f t="shared" si="21"/>
        <v>-1698.9782654012311</v>
      </c>
      <c r="P56" s="162">
        <f t="shared" si="21"/>
        <v>-1878.0589102158037</v>
      </c>
      <c r="Q56" s="162">
        <f t="shared" si="21"/>
        <v>-2075.0586114784455</v>
      </c>
      <c r="R56" s="162">
        <f t="shared" si="21"/>
        <v>-2285.9905453961273</v>
      </c>
      <c r="S56" s="162">
        <f t="shared" si="21"/>
        <v>-2520.7694698309442</v>
      </c>
      <c r="T56" s="162">
        <f t="shared" si="21"/>
        <v>-2775.5022017879182</v>
      </c>
      <c r="U56" s="162">
        <f t="shared" si="21"/>
        <v>-3055.5168695521988</v>
      </c>
      <c r="V56" s="162">
        <f t="shared" si="21"/>
        <v>-3354.7563012212777</v>
      </c>
      <c r="W56" s="162">
        <f t="shared" si="21"/>
        <v>-3687.8255390923332</v>
      </c>
      <c r="X56" s="162">
        <f t="shared" si="21"/>
        <v>-4048.7833439472452</v>
      </c>
      <c r="Y56" s="162">
        <f t="shared" si="21"/>
        <v>-4445.3381618872772</v>
      </c>
      <c r="Z56" s="162">
        <f t="shared" si="21"/>
        <v>-4868.3752240896065</v>
      </c>
      <c r="AA56" s="162">
        <f t="shared" si="21"/>
        <v>-5339.1520210339877</v>
      </c>
      <c r="AB56" s="162">
        <f t="shared" si="21"/>
        <v>-5848.8670171206613</v>
      </c>
      <c r="AC56" s="162">
        <f t="shared" si="21"/>
        <v>-6408.6001496949248</v>
      </c>
      <c r="AD56" s="162">
        <f t="shared" si="21"/>
        <v>-7004.954286514374</v>
      </c>
      <c r="AE56" s="162">
        <f t="shared" si="21"/>
        <v>-7668.5729612234281</v>
      </c>
      <c r="AF56" s="162">
        <f t="shared" si="21"/>
        <v>-6211.6459043315845</v>
      </c>
    </row>
    <row r="57" spans="1:39">
      <c r="A57" s="396" t="s">
        <v>134</v>
      </c>
      <c r="B57" s="386">
        <f t="shared" ref="B57:AF57" si="22">B36+B44+B27</f>
        <v>3966.1111200132818</v>
      </c>
      <c r="C57" s="386">
        <f t="shared" si="22"/>
        <v>5500.4735152550165</v>
      </c>
      <c r="D57" s="386">
        <f t="shared" si="22"/>
        <v>4996.8280587436957</v>
      </c>
      <c r="E57" s="386">
        <f t="shared" si="22"/>
        <v>4465.8640618083564</v>
      </c>
      <c r="F57" s="386">
        <f t="shared" si="22"/>
        <v>3874.8030984270736</v>
      </c>
      <c r="G57" s="386">
        <f t="shared" si="22"/>
        <v>3240.9352069896695</v>
      </c>
      <c r="H57" s="386">
        <f t="shared" si="22"/>
        <v>2570.9908418502546</v>
      </c>
      <c r="I57" s="386">
        <f t="shared" si="22"/>
        <v>1862.8289657545743</v>
      </c>
      <c r="J57" s="386">
        <f t="shared" si="22"/>
        <v>1105.1215540969747</v>
      </c>
      <c r="K57" s="386">
        <f t="shared" si="22"/>
        <v>378.291593284729</v>
      </c>
      <c r="L57" s="386">
        <f t="shared" si="22"/>
        <v>9.5961251932742133</v>
      </c>
      <c r="M57" s="386">
        <f t="shared" si="22"/>
        <v>58.13690056122401</v>
      </c>
      <c r="N57" s="386">
        <f t="shared" si="22"/>
        <v>182.33355324990825</v>
      </c>
      <c r="O57" s="386">
        <f t="shared" si="22"/>
        <v>319.66356812592301</v>
      </c>
      <c r="P57" s="386">
        <f t="shared" si="22"/>
        <v>471.59977994120379</v>
      </c>
      <c r="Q57" s="386">
        <f t="shared" si="22"/>
        <v>639.31399207378456</v>
      </c>
      <c r="R57" s="386">
        <f t="shared" si="22"/>
        <v>824.74094817822879</v>
      </c>
      <c r="S57" s="386">
        <f t="shared" si="22"/>
        <v>1028.9231226536144</v>
      </c>
      <c r="T57" s="386">
        <f t="shared" si="22"/>
        <v>1253.889175304336</v>
      </c>
      <c r="U57" s="386">
        <f t="shared" si="22"/>
        <v>1501.3199967707569</v>
      </c>
      <c r="V57" s="386">
        <f t="shared" si="22"/>
        <v>1773.8350408235437</v>
      </c>
      <c r="W57" s="386">
        <f t="shared" si="22"/>
        <v>2073.0036041670132</v>
      </c>
      <c r="X57" s="386">
        <f t="shared" si="22"/>
        <v>2401.6310937856069</v>
      </c>
      <c r="Y57" s="386">
        <f t="shared" si="22"/>
        <v>2762.1135016480507</v>
      </c>
      <c r="Z57" s="386">
        <f t="shared" si="22"/>
        <v>3158.0164677412176</v>
      </c>
      <c r="AA57" s="386">
        <f t="shared" si="22"/>
        <v>3591.6454051176584</v>
      </c>
      <c r="AB57" s="386">
        <f t="shared" si="22"/>
        <v>4066.8836705188587</v>
      </c>
      <c r="AC57" s="386">
        <f t="shared" si="22"/>
        <v>4587.1280295505312</v>
      </c>
      <c r="AD57" s="386">
        <f t="shared" si="22"/>
        <v>5157.2594617299592</v>
      </c>
      <c r="AE57" s="386">
        <f t="shared" si="22"/>
        <v>5780.6244254456906</v>
      </c>
      <c r="AF57" s="386">
        <f t="shared" si="22"/>
        <v>6493.6978414473915</v>
      </c>
    </row>
    <row r="58" spans="1:39">
      <c r="A58" s="49" t="s">
        <v>59</v>
      </c>
      <c r="B58" s="49">
        <f>SUM(B56:B57)</f>
        <v>7423.0274074715653</v>
      </c>
      <c r="C58" s="49">
        <f t="shared" ref="C58:AF58" si="23">SUM(C56:C57)</f>
        <v>11490.237910381209</v>
      </c>
      <c r="D58" s="49">
        <f t="shared" si="23"/>
        <v>10857.359844014944</v>
      </c>
      <c r="E58" s="49">
        <f t="shared" si="23"/>
        <v>11133.521702239053</v>
      </c>
      <c r="F58" s="49">
        <f t="shared" si="23"/>
        <v>11093.788182027907</v>
      </c>
      <c r="G58" s="49">
        <f t="shared" si="23"/>
        <v>10943.772687629847</v>
      </c>
      <c r="H58" s="49">
        <f t="shared" si="23"/>
        <v>10636.221567617575</v>
      </c>
      <c r="I58" s="49">
        <f t="shared" si="23"/>
        <v>10493.900415413083</v>
      </c>
      <c r="J58" s="49">
        <f t="shared" si="23"/>
        <v>10281.826564432926</v>
      </c>
      <c r="K58" s="49">
        <f t="shared" si="23"/>
        <v>8291.8022272788367</v>
      </c>
      <c r="L58" s="49">
        <f t="shared" si="23"/>
        <v>462.41909811442309</v>
      </c>
      <c r="M58" s="49">
        <f t="shared" si="23"/>
        <v>-1327.998666180885</v>
      </c>
      <c r="N58" s="49">
        <f t="shared" si="23"/>
        <v>-1351.8425361177938</v>
      </c>
      <c r="O58" s="49">
        <f t="shared" si="23"/>
        <v>-1379.3146972753079</v>
      </c>
      <c r="P58" s="49">
        <f t="shared" si="23"/>
        <v>-1406.4591302745998</v>
      </c>
      <c r="Q58" s="49">
        <f t="shared" si="23"/>
        <v>-1435.7446194046611</v>
      </c>
      <c r="R58" s="49">
        <f t="shared" si="23"/>
        <v>-1461.2495972178986</v>
      </c>
      <c r="S58" s="49">
        <f t="shared" si="23"/>
        <v>-1491.8463471773298</v>
      </c>
      <c r="T58" s="49">
        <f t="shared" si="23"/>
        <v>-1521.6130264835822</v>
      </c>
      <c r="U58" s="49">
        <f t="shared" si="23"/>
        <v>-1554.1968727814419</v>
      </c>
      <c r="V58" s="49">
        <f t="shared" si="23"/>
        <v>-1580.9212603977339</v>
      </c>
      <c r="W58" s="49">
        <f t="shared" si="23"/>
        <v>-1614.82193492532</v>
      </c>
      <c r="X58" s="49">
        <f t="shared" si="23"/>
        <v>-1647.1522501616382</v>
      </c>
      <c r="Y58" s="49">
        <f t="shared" si="23"/>
        <v>-1683.2246602392265</v>
      </c>
      <c r="Z58" s="49">
        <f t="shared" si="23"/>
        <v>-1710.3587563483889</v>
      </c>
      <c r="AA58" s="49">
        <f t="shared" si="23"/>
        <v>-1747.5066159163293</v>
      </c>
      <c r="AB58" s="49">
        <f t="shared" si="23"/>
        <v>-1781.9833466018026</v>
      </c>
      <c r="AC58" s="49">
        <f t="shared" si="23"/>
        <v>-1821.4721201443936</v>
      </c>
      <c r="AD58" s="49">
        <f t="shared" si="23"/>
        <v>-1847.6948247844148</v>
      </c>
      <c r="AE58" s="49">
        <f t="shared" si="23"/>
        <v>-1887.9485357777376</v>
      </c>
      <c r="AF58" s="49">
        <f t="shared" si="23"/>
        <v>282.05193711580705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567" t="s">
        <v>328</v>
      </c>
      <c r="C61" s="568"/>
      <c r="D61" s="568"/>
      <c r="E61" s="569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6" t="s">
        <v>390</v>
      </c>
      <c r="C62" s="57"/>
      <c r="D62" s="57"/>
      <c r="E62" s="457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0">
        <f>Assumptions!G38</f>
        <v>0.02</v>
      </c>
      <c r="AA63" s="12"/>
      <c r="AB63" s="12"/>
    </row>
    <row r="64" spans="1:39">
      <c r="A64" s="48"/>
      <c r="B64" s="334" t="s">
        <v>391</v>
      </c>
      <c r="C64" s="58"/>
      <c r="D64" s="58"/>
      <c r="E64" s="399">
        <f>E63+E62</f>
        <v>8.5000000000000006E-2</v>
      </c>
      <c r="AA64" s="12"/>
      <c r="AB64" s="12"/>
    </row>
    <row r="65" spans="1:43">
      <c r="B65" s="401" t="s">
        <v>389</v>
      </c>
      <c r="C65" s="57"/>
      <c r="D65" s="57"/>
      <c r="E65" s="400">
        <f>Assumptions!G33</f>
        <v>9</v>
      </c>
      <c r="AA65" s="12"/>
      <c r="AB65" s="12"/>
    </row>
    <row r="66" spans="1:43">
      <c r="B66" s="443" t="s">
        <v>388</v>
      </c>
      <c r="C66" s="13"/>
      <c r="D66" s="13"/>
      <c r="E66" s="458">
        <f>B77</f>
        <v>-20.41089076756402</v>
      </c>
      <c r="AA66" s="12"/>
      <c r="AB66" s="12"/>
    </row>
    <row r="67" spans="1:43">
      <c r="B67" s="334" t="s">
        <v>54</v>
      </c>
      <c r="C67" s="58"/>
      <c r="D67" s="58"/>
      <c r="E67" s="444">
        <f>B19</f>
        <v>71136.033465204469</v>
      </c>
      <c r="AA67" s="12"/>
      <c r="AB67" s="12"/>
    </row>
    <row r="68" spans="1:43">
      <c r="B68" s="331" t="s">
        <v>0</v>
      </c>
      <c r="C68" s="57"/>
      <c r="D68" s="57" t="s">
        <v>384</v>
      </c>
      <c r="E68" s="461">
        <f>AVERAGE(B52:AF52)</f>
        <v>1.5</v>
      </c>
      <c r="AA68" s="12"/>
      <c r="AB68" s="12"/>
    </row>
    <row r="69" spans="1:43">
      <c r="B69" s="459"/>
      <c r="C69" s="58"/>
      <c r="D69" s="58" t="s">
        <v>385</v>
      </c>
      <c r="E69" s="462">
        <f>MIN(B52:AF52)</f>
        <v>1.4999999999999889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0"/>
      <c r="AH74" s="180"/>
      <c r="AI74" s="180"/>
      <c r="AJ74" s="180"/>
      <c r="AK74" s="180"/>
      <c r="AL74" s="180"/>
      <c r="AM74" s="180"/>
      <c r="AN74" s="180"/>
      <c r="AO74" s="180"/>
      <c r="AP74" s="180"/>
      <c r="AQ74" s="180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3">
        <f>(SUMPRODUCT(B74:AF74,B35:AF35)+SUMPRODUCT(B75:AF75,B26:AF26))/E67</f>
        <v>-20.41089076756402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4"/>
      <c r="AB79" s="384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Notes</vt:lpstr>
      <vt:lpstr>Tracking Sheet</vt:lpstr>
      <vt:lpstr>Assumptions</vt:lpstr>
      <vt:lpstr>Price_Technical Assumption</vt:lpstr>
      <vt:lpstr>Options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2000-02-24T19:51:04Z</cp:lastPrinted>
  <dcterms:created xsi:type="dcterms:W3CDTF">1999-04-02T01:38:38Z</dcterms:created>
  <dcterms:modified xsi:type="dcterms:W3CDTF">2014-09-03T11:32:18Z</dcterms:modified>
</cp:coreProperties>
</file>