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095" windowWidth="15330" windowHeight="4155" tabRatio="918" firstSheet="2" activeTab="2"/>
  </bookViews>
  <sheets>
    <sheet name="Notes" sheetId="23" r:id="rId1"/>
    <sheet name="Tracking Sheet" sheetId="16" r:id="rId2"/>
    <sheet name="Assumptions" sheetId="2" r:id="rId3"/>
    <sheet name="IS" sheetId="4" r:id="rId4"/>
    <sheet name="Capital Budget" sheetId="29" r:id="rId5"/>
    <sheet name="Gas Curve" sheetId="26" r:id="rId6"/>
    <sheet name="Fixed and Variable Costs" sheetId="30" r:id="rId7"/>
    <sheet name="Returns Analysis" sheetId="25" r:id="rId8"/>
    <sheet name="Price_Technical Assumption" sheetId="3" r:id="rId9"/>
    <sheet name="Cash Flows" sheetId="33" r:id="rId10"/>
    <sheet name="Debt Structs" sheetId="32" r:id="rId11"/>
    <sheet name="Performance" sheetId="27" r:id="rId12"/>
    <sheet name="Perf." sheetId="28" r:id="rId13"/>
    <sheet name="BS" sheetId="19" state="hidden" r:id="rId14"/>
    <sheet name="Debt" sheetId="6" r:id="rId15"/>
    <sheet name="Depreciation" sheetId="7" r:id="rId16"/>
    <sheet name="Taxes" sheetId="8" r:id="rId17"/>
    <sheet name="IDC" sheetId="18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OpHours">[5]Assumptions!#REF!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Assumptions!$A$3:$P$80</definedName>
    <definedName name="_xlnm.Print_Area" localSheetId="13">BS!$A$2:$AH$9</definedName>
    <definedName name="_xlnm.Print_Area" localSheetId="9">'Cash Flows'!$A$1:$L$52</definedName>
    <definedName name="_xlnm.Print_Area" localSheetId="14">Debt!$A$2:$AF$69</definedName>
    <definedName name="_xlnm.Print_Area" localSheetId="10">'Debt Structs'!$A$2:$P$44</definedName>
    <definedName name="_xlnm.Print_Area" localSheetId="15">Depreciation!$A$2:$X$50</definedName>
    <definedName name="_xlnm.Print_Area" localSheetId="17">IDC!$A$2:$L$59</definedName>
    <definedName name="_xlnm.Print_Area" localSheetId="3">IS!$A$2:$W$45</definedName>
    <definedName name="_xlnm.Print_Area" localSheetId="7">'Returns Analysis'!$A$1:$W$60</definedName>
    <definedName name="_xlnm.Print_Area" localSheetId="16">Taxes!$A$2:$AF$41</definedName>
    <definedName name="_xlnm.Print_Titles" localSheetId="13">BS!$A:$A</definedName>
    <definedName name="_xlnm.Print_Titles" localSheetId="14">Debt!$A:$A</definedName>
    <definedName name="_xlnm.Print_Titles" localSheetId="15">Depreciation!$A:$A</definedName>
    <definedName name="_xlnm.Print_Titles" localSheetId="3">IS!$A:$A</definedName>
    <definedName name="_xlnm.Print_Titles" localSheetId="8">'Price_Technical Assumption'!$A:$B</definedName>
    <definedName name="_xlnm.Print_Titles" localSheetId="7">'Returns Analysis'!$A:$A</definedName>
    <definedName name="_xlnm.Print_Titles" localSheetId="16">Taxes!$A:$A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152511" fullCalcOnLoad="1"/>
</workbook>
</file>

<file path=xl/calcChain.xml><?xml version="1.0" encoding="utf-8"?>
<calcChain xmlns="http://schemas.openxmlformats.org/spreadsheetml/2006/main">
  <c r="C12" i="2" l="1"/>
  <c r="AA13" i="2"/>
  <c r="AA14" i="2" s="1"/>
  <c r="U14" i="2"/>
  <c r="V14" i="2"/>
  <c r="W14" i="2"/>
  <c r="X14" i="2"/>
  <c r="Y14" i="2"/>
  <c r="Z14" i="2"/>
  <c r="AB14" i="2"/>
  <c r="AC14" i="2"/>
  <c r="N17" i="2"/>
  <c r="P17" i="2"/>
  <c r="C20" i="2"/>
  <c r="D20" i="2"/>
  <c r="D25" i="2"/>
  <c r="N26" i="2"/>
  <c r="D27" i="2"/>
  <c r="D29" i="2"/>
  <c r="G32" i="2"/>
  <c r="D33" i="2"/>
  <c r="C34" i="2"/>
  <c r="D34" i="2"/>
  <c r="H35" i="2"/>
  <c r="H39" i="2"/>
  <c r="D42" i="2"/>
  <c r="D47" i="2"/>
  <c r="G48" i="2"/>
  <c r="D50" i="2"/>
  <c r="C53" i="2"/>
  <c r="H57" i="2"/>
  <c r="C59" i="2"/>
  <c r="H60" i="2"/>
  <c r="H62" i="2"/>
  <c r="H66" i="2"/>
  <c r="H68" i="2"/>
  <c r="A72" i="2"/>
  <c r="A73" i="2"/>
  <c r="A74" i="2"/>
  <c r="A2" i="19"/>
  <c r="D8" i="19"/>
  <c r="E8" i="19" s="1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C42" i="19"/>
  <c r="E7" i="29"/>
  <c r="F7" i="29"/>
  <c r="H7" i="29"/>
  <c r="C8" i="29"/>
  <c r="E8" i="29"/>
  <c r="I8" i="29"/>
  <c r="E9" i="29"/>
  <c r="F9" i="29"/>
  <c r="I9" i="29"/>
  <c r="E10" i="29"/>
  <c r="I10" i="29" s="1"/>
  <c r="F10" i="29"/>
  <c r="E11" i="29"/>
  <c r="F11" i="29"/>
  <c r="I11" i="29"/>
  <c r="E12" i="29"/>
  <c r="F12" i="29"/>
  <c r="I12" i="29"/>
  <c r="E13" i="29"/>
  <c r="I13" i="29" s="1"/>
  <c r="F13" i="29"/>
  <c r="E14" i="29"/>
  <c r="I14" i="29" s="1"/>
  <c r="F14" i="29"/>
  <c r="D15" i="29"/>
  <c r="E18" i="29"/>
  <c r="F18" i="29"/>
  <c r="E19" i="29"/>
  <c r="F19" i="29"/>
  <c r="C20" i="29"/>
  <c r="E20" i="29" s="1"/>
  <c r="D21" i="29"/>
  <c r="E21" i="29"/>
  <c r="E23" i="29"/>
  <c r="F23" i="29"/>
  <c r="E24" i="29"/>
  <c r="F24" i="29"/>
  <c r="E25" i="29"/>
  <c r="F25" i="29"/>
  <c r="E26" i="29"/>
  <c r="F26" i="29"/>
  <c r="C27" i="29"/>
  <c r="E27" i="29" s="1"/>
  <c r="F27" i="29"/>
  <c r="E28" i="29"/>
  <c r="F28" i="29"/>
  <c r="E29" i="29"/>
  <c r="F29" i="29"/>
  <c r="E30" i="29"/>
  <c r="F30" i="29"/>
  <c r="E31" i="29"/>
  <c r="F31" i="29"/>
  <c r="E32" i="29"/>
  <c r="F32" i="29"/>
  <c r="E33" i="29"/>
  <c r="F33" i="29"/>
  <c r="E34" i="29"/>
  <c r="F34" i="29"/>
  <c r="E35" i="29"/>
  <c r="F35" i="29"/>
  <c r="D36" i="29"/>
  <c r="F40" i="29"/>
  <c r="F41" i="29"/>
  <c r="F42" i="29"/>
  <c r="F43" i="29"/>
  <c r="F44" i="29"/>
  <c r="F45" i="29"/>
  <c r="F46" i="29"/>
  <c r="F47" i="29"/>
  <c r="F48" i="29"/>
  <c r="F49" i="29"/>
  <c r="F50" i="29"/>
  <c r="C51" i="29"/>
  <c r="F51" i="29" s="1"/>
  <c r="F52" i="29"/>
  <c r="F53" i="29"/>
  <c r="F54" i="29"/>
  <c r="F55" i="29"/>
  <c r="C56" i="29"/>
  <c r="F56" i="29" s="1"/>
  <c r="F57" i="29"/>
  <c r="F62" i="29"/>
  <c r="F63" i="29"/>
  <c r="C64" i="29"/>
  <c r="F64" i="29"/>
  <c r="C71" i="29"/>
  <c r="F71" i="29" s="1"/>
  <c r="C74" i="29"/>
  <c r="A2" i="33"/>
  <c r="B8" i="33"/>
  <c r="C8" i="33"/>
  <c r="H12" i="33"/>
  <c r="I12" i="33"/>
  <c r="J12" i="33"/>
  <c r="K12" i="33"/>
  <c r="L12" i="33"/>
  <c r="B13" i="33"/>
  <c r="C16" i="33"/>
  <c r="D16" i="33"/>
  <c r="E16" i="33"/>
  <c r="F16" i="33"/>
  <c r="G16" i="33"/>
  <c r="H16" i="33"/>
  <c r="I16" i="33"/>
  <c r="J16" i="33"/>
  <c r="K16" i="33"/>
  <c r="L16" i="33"/>
  <c r="B18" i="33"/>
  <c r="B22" i="33"/>
  <c r="B48" i="33" s="1"/>
  <c r="A2" i="6"/>
  <c r="B8" i="6"/>
  <c r="B41" i="6" s="1"/>
  <c r="C8" i="6"/>
  <c r="C41" i="6" s="1"/>
  <c r="D8" i="6"/>
  <c r="E8" i="6"/>
  <c r="F8" i="6"/>
  <c r="G8" i="6"/>
  <c r="G41" i="6" s="1"/>
  <c r="H8" i="6"/>
  <c r="I8" i="6"/>
  <c r="J8" i="6"/>
  <c r="J41" i="6" s="1"/>
  <c r="K8" i="6"/>
  <c r="K41" i="6" s="1"/>
  <c r="L8" i="6"/>
  <c r="M8" i="6"/>
  <c r="N8" i="6"/>
  <c r="O8" i="6"/>
  <c r="O41" i="6" s="1"/>
  <c r="P8" i="6"/>
  <c r="Q8" i="6"/>
  <c r="R8" i="6"/>
  <c r="R41" i="6" s="1"/>
  <c r="S8" i="6"/>
  <c r="S41" i="6" s="1"/>
  <c r="T8" i="6"/>
  <c r="U8" i="6"/>
  <c r="V8" i="6"/>
  <c r="W8" i="6"/>
  <c r="W41" i="6" s="1"/>
  <c r="X8" i="6"/>
  <c r="Y8" i="6"/>
  <c r="Z8" i="6"/>
  <c r="Z41" i="6" s="1"/>
  <c r="AA8" i="6"/>
  <c r="AB8" i="6"/>
  <c r="AC8" i="6"/>
  <c r="AD8" i="6"/>
  <c r="AE8" i="6"/>
  <c r="AF8" i="6"/>
  <c r="AN11" i="6"/>
  <c r="AN12" i="6" s="1"/>
  <c r="B33" i="6"/>
  <c r="D41" i="6"/>
  <c r="E41" i="6"/>
  <c r="F41" i="6"/>
  <c r="H41" i="6"/>
  <c r="I41" i="6"/>
  <c r="L41" i="6"/>
  <c r="M41" i="6"/>
  <c r="N41" i="6"/>
  <c r="P41" i="6"/>
  <c r="Q41" i="6"/>
  <c r="T41" i="6"/>
  <c r="U41" i="6"/>
  <c r="V41" i="6"/>
  <c r="X41" i="6"/>
  <c r="Y41" i="6"/>
  <c r="AA41" i="6"/>
  <c r="AB41" i="6"/>
  <c r="AC41" i="6"/>
  <c r="AD41" i="6"/>
  <c r="AE41" i="6"/>
  <c r="AF41" i="6"/>
  <c r="E62" i="6"/>
  <c r="E64" i="6" s="1"/>
  <c r="G39" i="2" s="1"/>
  <c r="E63" i="6"/>
  <c r="E65" i="6"/>
  <c r="E67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17" i="32"/>
  <c r="A18" i="32" s="1"/>
  <c r="A19" i="32" s="1"/>
  <c r="A20" i="32" s="1"/>
  <c r="A21" i="32" s="1"/>
  <c r="A22" i="32" s="1"/>
  <c r="A23" i="32" s="1"/>
  <c r="A24" i="32" s="1"/>
  <c r="A25" i="32" s="1"/>
  <c r="Q20" i="32"/>
  <c r="R20" i="32"/>
  <c r="A26" i="32"/>
  <c r="A27" i="32" s="1"/>
  <c r="A36" i="32"/>
  <c r="A37" i="32" s="1"/>
  <c r="A38" i="32" s="1"/>
  <c r="A39" i="32"/>
  <c r="A40" i="32" s="1"/>
  <c r="A41" i="32" s="1"/>
  <c r="A42" i="32" s="1"/>
  <c r="A43" i="32" s="1"/>
  <c r="A44" i="32"/>
  <c r="J51" i="32"/>
  <c r="M51" i="32"/>
  <c r="J52" i="32"/>
  <c r="M52" i="32"/>
  <c r="M58" i="32" s="1"/>
  <c r="M53" i="32"/>
  <c r="M59" i="32" s="1"/>
  <c r="J59" i="32"/>
  <c r="N59" i="32"/>
  <c r="O59" i="32" s="1"/>
  <c r="L60" i="32"/>
  <c r="A2" i="7"/>
  <c r="E6" i="7"/>
  <c r="D8" i="7"/>
  <c r="E8" i="7"/>
  <c r="C8" i="8" s="1"/>
  <c r="F8" i="7"/>
  <c r="G8" i="7"/>
  <c r="H8" i="7"/>
  <c r="I8" i="7"/>
  <c r="J8" i="7"/>
  <c r="K8" i="7"/>
  <c r="L8" i="7"/>
  <c r="M8" i="7"/>
  <c r="K8" i="8" s="1"/>
  <c r="N8" i="7"/>
  <c r="O8" i="7"/>
  <c r="P8" i="7"/>
  <c r="Q8" i="7"/>
  <c r="R8" i="7"/>
  <c r="S8" i="7"/>
  <c r="T8" i="7"/>
  <c r="U8" i="7"/>
  <c r="S8" i="8" s="1"/>
  <c r="V8" i="7"/>
  <c r="W8" i="7"/>
  <c r="X8" i="7"/>
  <c r="Y8" i="7"/>
  <c r="Z8" i="7"/>
  <c r="AA8" i="7"/>
  <c r="AB8" i="7"/>
  <c r="AC8" i="7"/>
  <c r="AA8" i="8" s="1"/>
  <c r="AD8" i="7"/>
  <c r="AE8" i="7"/>
  <c r="AF8" i="7"/>
  <c r="AG8" i="7"/>
  <c r="AH8" i="7"/>
  <c r="B12" i="7"/>
  <c r="B13" i="7"/>
  <c r="E13" i="7"/>
  <c r="E42" i="7" s="1"/>
  <c r="E46" i="7" s="1"/>
  <c r="F13" i="7"/>
  <c r="G13" i="7"/>
  <c r="H13" i="7"/>
  <c r="H27" i="7" s="1"/>
  <c r="H32" i="7" s="1"/>
  <c r="B14" i="7"/>
  <c r="B17" i="7"/>
  <c r="E17" i="7"/>
  <c r="G17" i="7"/>
  <c r="J17" i="7"/>
  <c r="K17" i="7"/>
  <c r="M17" i="7"/>
  <c r="O17" i="7"/>
  <c r="Q17" i="7"/>
  <c r="R17" i="7"/>
  <c r="S17" i="7"/>
  <c r="U17" i="7"/>
  <c r="W17" i="7"/>
  <c r="Y17" i="7"/>
  <c r="Z17" i="7"/>
  <c r="AA17" i="7"/>
  <c r="AC17" i="7"/>
  <c r="AE17" i="7"/>
  <c r="AG17" i="7"/>
  <c r="AH17" i="7"/>
  <c r="B18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E27" i="7"/>
  <c r="E32" i="7" s="1"/>
  <c r="F27" i="7"/>
  <c r="G27" i="7"/>
  <c r="G32" i="7" s="1"/>
  <c r="J27" i="7"/>
  <c r="K27" i="7"/>
  <c r="L27" i="7"/>
  <c r="M27" i="7"/>
  <c r="M32" i="7" s="1"/>
  <c r="N27" i="7"/>
  <c r="O27" i="7"/>
  <c r="O32" i="7" s="1"/>
  <c r="P27" i="7"/>
  <c r="Q27" i="7"/>
  <c r="R27" i="7"/>
  <c r="S27" i="7"/>
  <c r="T27" i="7"/>
  <c r="U27" i="7"/>
  <c r="V27" i="7"/>
  <c r="W27" i="7"/>
  <c r="W32" i="7" s="1"/>
  <c r="X27" i="7"/>
  <c r="Y27" i="7"/>
  <c r="Z27" i="7"/>
  <c r="AA27" i="7"/>
  <c r="AB27" i="7"/>
  <c r="AC27" i="7"/>
  <c r="AD27" i="7"/>
  <c r="AE27" i="7"/>
  <c r="AE32" i="7" s="1"/>
  <c r="AF27" i="7"/>
  <c r="AG27" i="7"/>
  <c r="AG32" i="7" s="1"/>
  <c r="AH27" i="7"/>
  <c r="B28" i="7"/>
  <c r="B32" i="7"/>
  <c r="L32" i="7" s="1"/>
  <c r="J32" i="7"/>
  <c r="K32" i="7"/>
  <c r="Q32" i="7"/>
  <c r="R32" i="7"/>
  <c r="S32" i="7"/>
  <c r="U32" i="7"/>
  <c r="Y32" i="7"/>
  <c r="Z32" i="7"/>
  <c r="AA32" i="7"/>
  <c r="AC32" i="7"/>
  <c r="AH32" i="7"/>
  <c r="B33" i="7"/>
  <c r="B41" i="7"/>
  <c r="C41" i="7"/>
  <c r="B42" i="7"/>
  <c r="F42" i="7"/>
  <c r="G42" i="7"/>
  <c r="H42" i="7"/>
  <c r="H46" i="7" s="1"/>
  <c r="J42" i="7"/>
  <c r="K42" i="7"/>
  <c r="L42" i="7"/>
  <c r="L46" i="7" s="1"/>
  <c r="M42" i="7"/>
  <c r="N42" i="7"/>
  <c r="O42" i="7"/>
  <c r="P42" i="7"/>
  <c r="P46" i="7" s="1"/>
  <c r="Q42" i="7"/>
  <c r="Q46" i="7" s="1"/>
  <c r="R42" i="7"/>
  <c r="S42" i="7"/>
  <c r="T42" i="7"/>
  <c r="T46" i="7" s="1"/>
  <c r="U42" i="7"/>
  <c r="V42" i="7"/>
  <c r="W42" i="7"/>
  <c r="X42" i="7"/>
  <c r="X46" i="7" s="1"/>
  <c r="Y42" i="7"/>
  <c r="Z42" i="7"/>
  <c r="AA42" i="7"/>
  <c r="AB42" i="7"/>
  <c r="AB46" i="7" s="1"/>
  <c r="AC42" i="7"/>
  <c r="AD42" i="7"/>
  <c r="AE42" i="7"/>
  <c r="AF42" i="7"/>
  <c r="AG42" i="7"/>
  <c r="AG46" i="7" s="1"/>
  <c r="AH42" i="7"/>
  <c r="B43" i="7"/>
  <c r="B46" i="7"/>
  <c r="M46" i="7" s="1"/>
  <c r="F46" i="7"/>
  <c r="J46" i="7"/>
  <c r="K46" i="7"/>
  <c r="N46" i="7"/>
  <c r="R46" i="7"/>
  <c r="S46" i="7"/>
  <c r="V46" i="7"/>
  <c r="Y46" i="7"/>
  <c r="Z46" i="7"/>
  <c r="AA46" i="7"/>
  <c r="AD46" i="7"/>
  <c r="AF46" i="7"/>
  <c r="AH46" i="7"/>
  <c r="B47" i="7"/>
  <c r="A1" i="30"/>
  <c r="B1" i="30"/>
  <c r="A2" i="30"/>
  <c r="C11" i="30"/>
  <c r="C23" i="30" s="1"/>
  <c r="C26" i="30"/>
  <c r="D26" i="30"/>
  <c r="E26" i="30"/>
  <c r="D27" i="30"/>
  <c r="C27" i="30" s="1"/>
  <c r="G6" i="26"/>
  <c r="H7" i="26" s="1"/>
  <c r="H11" i="26"/>
  <c r="G13" i="26"/>
  <c r="H13" i="26"/>
  <c r="D16" i="26"/>
  <c r="G5" i="26" s="1"/>
  <c r="G18" i="26"/>
  <c r="G19" i="26"/>
  <c r="H19" i="26"/>
  <c r="G21" i="26"/>
  <c r="H21" i="26" s="1"/>
  <c r="G23" i="26"/>
  <c r="H23" i="26"/>
  <c r="G25" i="26"/>
  <c r="D28" i="26"/>
  <c r="D40" i="26"/>
  <c r="G7" i="26" s="1"/>
  <c r="D52" i="26"/>
  <c r="G8" i="26" s="1"/>
  <c r="H9" i="26" s="1"/>
  <c r="D64" i="26"/>
  <c r="G9" i="26" s="1"/>
  <c r="H10" i="26" s="1"/>
  <c r="D76" i="26"/>
  <c r="G10" i="26" s="1"/>
  <c r="D88" i="26"/>
  <c r="G11" i="26" s="1"/>
  <c r="D100" i="26"/>
  <c r="G12" i="26" s="1"/>
  <c r="H12" i="26" s="1"/>
  <c r="D112" i="26"/>
  <c r="D124" i="26"/>
  <c r="G14" i="26" s="1"/>
  <c r="H14" i="26" s="1"/>
  <c r="D136" i="26"/>
  <c r="G15" i="26" s="1"/>
  <c r="D148" i="26"/>
  <c r="G16" i="26" s="1"/>
  <c r="D160" i="26"/>
  <c r="G17" i="26" s="1"/>
  <c r="D172" i="26"/>
  <c r="D184" i="26"/>
  <c r="D196" i="26"/>
  <c r="G20" i="26" s="1"/>
  <c r="H20" i="26" s="1"/>
  <c r="D208" i="26"/>
  <c r="D220" i="26"/>
  <c r="G22" i="26" s="1"/>
  <c r="D232" i="26"/>
  <c r="D244" i="26"/>
  <c r="G24" i="26" s="1"/>
  <c r="D256" i="26"/>
  <c r="A2" i="18"/>
  <c r="C6" i="18"/>
  <c r="C7" i="18"/>
  <c r="C8" i="18"/>
  <c r="D8" i="18"/>
  <c r="C15" i="18"/>
  <c r="D15" i="18"/>
  <c r="D34" i="18" s="1"/>
  <c r="E15" i="18"/>
  <c r="A16" i="18"/>
  <c r="C16" i="18"/>
  <c r="E16" i="18"/>
  <c r="F16" i="18" s="1"/>
  <c r="C17" i="18"/>
  <c r="E17" i="18" s="1"/>
  <c r="F17" i="18"/>
  <c r="C18" i="18"/>
  <c r="E18" i="18"/>
  <c r="F18" i="18" s="1"/>
  <c r="C19" i="18"/>
  <c r="E19" i="18" s="1"/>
  <c r="F19" i="18"/>
  <c r="C20" i="18"/>
  <c r="E20" i="18" s="1"/>
  <c r="F20" i="18" s="1"/>
  <c r="C21" i="18"/>
  <c r="C22" i="18"/>
  <c r="E22" i="18"/>
  <c r="F22" i="18" s="1"/>
  <c r="C23" i="18"/>
  <c r="E23" i="18" s="1"/>
  <c r="F23" i="18" s="1"/>
  <c r="C24" i="18"/>
  <c r="E24" i="18"/>
  <c r="F24" i="18" s="1"/>
  <c r="C25" i="18"/>
  <c r="E25" i="18" s="1"/>
  <c r="F25" i="18" s="1"/>
  <c r="C26" i="18"/>
  <c r="E26" i="18"/>
  <c r="F26" i="18" s="1"/>
  <c r="C27" i="18"/>
  <c r="E27" i="18" s="1"/>
  <c r="F27" i="18" s="1"/>
  <c r="C28" i="18"/>
  <c r="E28" i="18" s="1"/>
  <c r="F28" i="18" s="1"/>
  <c r="C29" i="18"/>
  <c r="E29" i="18" s="1"/>
  <c r="F29" i="18" s="1"/>
  <c r="E30" i="18"/>
  <c r="F30" i="18"/>
  <c r="E31" i="18"/>
  <c r="F31" i="18"/>
  <c r="E32" i="18"/>
  <c r="F32" i="18"/>
  <c r="E33" i="18"/>
  <c r="F33" i="18" s="1"/>
  <c r="H57" i="18"/>
  <c r="I57" i="18"/>
  <c r="J57" i="18"/>
  <c r="K57" i="18"/>
  <c r="L57" i="18"/>
  <c r="M57" i="18"/>
  <c r="D59" i="18"/>
  <c r="A2" i="4"/>
  <c r="L16" i="4"/>
  <c r="AB16" i="4"/>
  <c r="AF16" i="4"/>
  <c r="D17" i="4"/>
  <c r="E17" i="4" s="1"/>
  <c r="F17" i="4" s="1"/>
  <c r="G17" i="4" s="1"/>
  <c r="H17" i="4" s="1"/>
  <c r="I17" i="4" s="1"/>
  <c r="J17" i="4" s="1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C20" i="4"/>
  <c r="D20" i="4"/>
  <c r="E20" i="4" s="1"/>
  <c r="F20" i="4" s="1"/>
  <c r="G20" i="4" s="1"/>
  <c r="H20" i="4" s="1"/>
  <c r="I20" i="4" s="1"/>
  <c r="J20" i="4" s="1"/>
  <c r="K20" i="4" s="1"/>
  <c r="L20" i="4"/>
  <c r="M20" i="4" s="1"/>
  <c r="N20" i="4" s="1"/>
  <c r="O20" i="4" s="1"/>
  <c r="P20" i="4" s="1"/>
  <c r="Q20" i="4" s="1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AB20" i="4" s="1"/>
  <c r="AC20" i="4" s="1"/>
  <c r="AD20" i="4" s="1"/>
  <c r="AE20" i="4" s="1"/>
  <c r="AF20" i="4" s="1"/>
  <c r="AG20" i="4" s="1"/>
  <c r="C21" i="4"/>
  <c r="D21" i="4"/>
  <c r="E21" i="4"/>
  <c r="F21" i="4" s="1"/>
  <c r="G21" i="4" s="1"/>
  <c r="H21" i="4" s="1"/>
  <c r="I21" i="4" s="1"/>
  <c r="J21" i="4" s="1"/>
  <c r="K21" i="4" s="1"/>
  <c r="L21" i="4"/>
  <c r="M21" i="4" s="1"/>
  <c r="N21" i="4" s="1"/>
  <c r="O21" i="4" s="1"/>
  <c r="P21" i="4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AG21" i="4" s="1"/>
  <c r="C22" i="4"/>
  <c r="D22" i="4"/>
  <c r="E22" i="4"/>
  <c r="F22" i="4" s="1"/>
  <c r="G22" i="4" s="1"/>
  <c r="H22" i="4" s="1"/>
  <c r="I22" i="4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AD22" i="4" s="1"/>
  <c r="AE22" i="4" s="1"/>
  <c r="AF22" i="4" s="1"/>
  <c r="AG22" i="4" s="1"/>
  <c r="C23" i="4"/>
  <c r="D23" i="4" s="1"/>
  <c r="E23" i="4" s="1"/>
  <c r="F23" i="4" s="1"/>
  <c r="G23" i="4" s="1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AG23" i="4" s="1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8" i="4"/>
  <c r="D28" i="4"/>
  <c r="E28" i="4" s="1"/>
  <c r="F28" i="4"/>
  <c r="G28" i="4" s="1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C29" i="4"/>
  <c r="D29" i="4"/>
  <c r="E29" i="4" s="1"/>
  <c r="F29" i="4" s="1"/>
  <c r="G29" i="4"/>
  <c r="H29" i="4" s="1"/>
  <c r="I29" i="4" s="1"/>
  <c r="J29" i="4" s="1"/>
  <c r="K29" i="4"/>
  <c r="L29" i="4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B42" i="4"/>
  <c r="B43" i="4"/>
  <c r="B2" i="3"/>
  <c r="D7" i="3"/>
  <c r="E7" i="3"/>
  <c r="D8" i="3"/>
  <c r="E8" i="3" s="1"/>
  <c r="D7" i="4" s="1"/>
  <c r="C76" i="2" s="1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D25" i="3"/>
  <c r="D30" i="3" s="1"/>
  <c r="E25" i="3"/>
  <c r="E30" i="3" s="1"/>
  <c r="F25" i="3"/>
  <c r="H25" i="3"/>
  <c r="I25" i="3"/>
  <c r="I30" i="3" s="1"/>
  <c r="H16" i="4" s="1"/>
  <c r="J25" i="3"/>
  <c r="K25" i="3"/>
  <c r="K30" i="3" s="1"/>
  <c r="L25" i="3"/>
  <c r="M25" i="3"/>
  <c r="M30" i="3" s="1"/>
  <c r="M34" i="3" s="1"/>
  <c r="N25" i="3"/>
  <c r="Q25" i="3"/>
  <c r="Q30" i="3" s="1"/>
  <c r="R25" i="3"/>
  <c r="S25" i="3"/>
  <c r="S30" i="3" s="1"/>
  <c r="T25" i="3"/>
  <c r="U25" i="3"/>
  <c r="U30" i="3" s="1"/>
  <c r="T16" i="4" s="1"/>
  <c r="V25" i="3"/>
  <c r="D28" i="3"/>
  <c r="E28" i="3"/>
  <c r="F28" i="3"/>
  <c r="G28" i="3"/>
  <c r="H28" i="3"/>
  <c r="I28" i="3"/>
  <c r="J28" i="3"/>
  <c r="J30" i="3" s="1"/>
  <c r="I16" i="4" s="1"/>
  <c r="K28" i="3"/>
  <c r="L28" i="3"/>
  <c r="M28" i="3"/>
  <c r="N28" i="3"/>
  <c r="O28" i="3"/>
  <c r="P28" i="3"/>
  <c r="Q28" i="3"/>
  <c r="R28" i="3"/>
  <c r="R30" i="3" s="1"/>
  <c r="Q16" i="4" s="1"/>
  <c r="S28" i="3"/>
  <c r="T28" i="3"/>
  <c r="U28" i="3"/>
  <c r="V28" i="3"/>
  <c r="W28" i="3"/>
  <c r="X28" i="3"/>
  <c r="Y28" i="3"/>
  <c r="Z28" i="3"/>
  <c r="Z30" i="3" s="1"/>
  <c r="Y16" i="4" s="1"/>
  <c r="AA28" i="3"/>
  <c r="AB28" i="3"/>
  <c r="AB30" i="3" s="1"/>
  <c r="AA16" i="4" s="1"/>
  <c r="AC28" i="3"/>
  <c r="AD28" i="3"/>
  <c r="AE28" i="3"/>
  <c r="AF28" i="3"/>
  <c r="AG28" i="3"/>
  <c r="AH28" i="3"/>
  <c r="AH30" i="3" s="1"/>
  <c r="AG16" i="4" s="1"/>
  <c r="A30" i="3"/>
  <c r="F30" i="3"/>
  <c r="E16" i="4" s="1"/>
  <c r="H30" i="3"/>
  <c r="L30" i="3"/>
  <c r="K16" i="4" s="1"/>
  <c r="N30" i="3"/>
  <c r="M16" i="4" s="1"/>
  <c r="T30" i="3"/>
  <c r="S16" i="4" s="1"/>
  <c r="V30" i="3"/>
  <c r="Y30" i="3"/>
  <c r="AA30" i="3"/>
  <c r="AC30" i="3"/>
  <c r="AD30" i="3"/>
  <c r="AC16" i="4" s="1"/>
  <c r="AE30" i="3"/>
  <c r="AF30" i="3"/>
  <c r="AG30" i="3"/>
  <c r="H34" i="3"/>
  <c r="AC34" i="3"/>
  <c r="AF34" i="3"/>
  <c r="D35" i="3"/>
  <c r="A38" i="3"/>
  <c r="D42" i="3"/>
  <c r="E42" i="3"/>
  <c r="F42" i="3"/>
  <c r="F44" i="3" s="1"/>
  <c r="G42" i="3"/>
  <c r="H42" i="3"/>
  <c r="H44" i="3" s="1"/>
  <c r="I42" i="3"/>
  <c r="J42" i="3"/>
  <c r="J44" i="3" s="1"/>
  <c r="K42" i="3"/>
  <c r="K44" i="3" s="1"/>
  <c r="K34" i="3" s="1"/>
  <c r="L42" i="3"/>
  <c r="M42" i="3"/>
  <c r="N42" i="3"/>
  <c r="N44" i="3" s="1"/>
  <c r="O42" i="3"/>
  <c r="P42" i="3"/>
  <c r="P44" i="3" s="1"/>
  <c r="Q42" i="3"/>
  <c r="R42" i="3"/>
  <c r="R44" i="3" s="1"/>
  <c r="S42" i="3"/>
  <c r="S44" i="3" s="1"/>
  <c r="S34" i="3" s="1"/>
  <c r="T42" i="3"/>
  <c r="U42" i="3"/>
  <c r="V42" i="3"/>
  <c r="V44" i="3" s="1"/>
  <c r="V34" i="3" s="1"/>
  <c r="W42" i="3"/>
  <c r="X42" i="3"/>
  <c r="X44" i="3" s="1"/>
  <c r="Y42" i="3"/>
  <c r="Z42" i="3"/>
  <c r="Z44" i="3" s="1"/>
  <c r="AA42" i="3"/>
  <c r="AA44" i="3" s="1"/>
  <c r="AA34" i="3" s="1"/>
  <c r="AB42" i="3"/>
  <c r="AC42" i="3"/>
  <c r="AD42" i="3"/>
  <c r="AD44" i="3" s="1"/>
  <c r="AE42" i="3"/>
  <c r="AF42" i="3"/>
  <c r="AF44" i="3" s="1"/>
  <c r="AG42" i="3"/>
  <c r="AH42" i="3"/>
  <c r="AH44" i="3" s="1"/>
  <c r="D44" i="3"/>
  <c r="D34" i="3" s="1"/>
  <c r="E44" i="3"/>
  <c r="G44" i="3"/>
  <c r="I44" i="3"/>
  <c r="I34" i="3" s="1"/>
  <c r="L44" i="3"/>
  <c r="M44" i="3"/>
  <c r="O44" i="3"/>
  <c r="Q44" i="3"/>
  <c r="Q34" i="3" s="1"/>
  <c r="T44" i="3"/>
  <c r="U44" i="3"/>
  <c r="W44" i="3"/>
  <c r="Y44" i="3"/>
  <c r="Y34" i="3" s="1"/>
  <c r="AB44" i="3"/>
  <c r="AC44" i="3"/>
  <c r="AE44" i="3"/>
  <c r="AE34" i="3" s="1"/>
  <c r="AG44" i="3"/>
  <c r="AG34" i="3" s="1"/>
  <c r="A2" i="25"/>
  <c r="C6" i="25"/>
  <c r="C7" i="25"/>
  <c r="D7" i="25"/>
  <c r="B8" i="25"/>
  <c r="C8" i="25"/>
  <c r="D8" i="25"/>
  <c r="B13" i="25"/>
  <c r="B18" i="25"/>
  <c r="B21" i="25"/>
  <c r="B57" i="25" s="1"/>
  <c r="B27" i="25"/>
  <c r="B37" i="25"/>
  <c r="A41" i="25"/>
  <c r="B43" i="25"/>
  <c r="A48" i="25"/>
  <c r="B50" i="25"/>
  <c r="A55" i="25"/>
  <c r="AG58" i="25"/>
  <c r="W58" i="25" s="1"/>
  <c r="A2" i="8"/>
  <c r="B6" i="8"/>
  <c r="C6" i="8"/>
  <c r="B7" i="8"/>
  <c r="C7" i="8"/>
  <c r="B8" i="8"/>
  <c r="D8" i="8"/>
  <c r="E8" i="8"/>
  <c r="F8" i="8"/>
  <c r="G8" i="8"/>
  <c r="H8" i="8"/>
  <c r="I8" i="8"/>
  <c r="J8" i="8"/>
  <c r="L8" i="8"/>
  <c r="M8" i="8"/>
  <c r="N8" i="8"/>
  <c r="O8" i="8"/>
  <c r="P8" i="8"/>
  <c r="Q8" i="8"/>
  <c r="R8" i="8"/>
  <c r="T8" i="8"/>
  <c r="U8" i="8"/>
  <c r="V8" i="8"/>
  <c r="W8" i="8"/>
  <c r="X8" i="8"/>
  <c r="Y8" i="8"/>
  <c r="Z8" i="8"/>
  <c r="AB8" i="8"/>
  <c r="AC8" i="8"/>
  <c r="AD8" i="8"/>
  <c r="AE8" i="8"/>
  <c r="AF8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2" i="16"/>
  <c r="D36" i="3" l="1"/>
  <c r="D38" i="3" s="1"/>
  <c r="C11" i="4" s="1"/>
  <c r="AC17" i="4"/>
  <c r="AD17" i="4" s="1"/>
  <c r="AE17" i="4" s="1"/>
  <c r="AF17" i="4" s="1"/>
  <c r="P16" i="4"/>
  <c r="D16" i="4"/>
  <c r="E34" i="3"/>
  <c r="AH34" i="3"/>
  <c r="Z34" i="3"/>
  <c r="R34" i="3"/>
  <c r="J34" i="3"/>
  <c r="C16" i="4"/>
  <c r="H25" i="26"/>
  <c r="X25" i="3"/>
  <c r="X30" i="3" s="1"/>
  <c r="AB34" i="3"/>
  <c r="J16" i="4"/>
  <c r="U34" i="3"/>
  <c r="H17" i="26"/>
  <c r="P25" i="3"/>
  <c r="P30" i="3" s="1"/>
  <c r="H24" i="26"/>
  <c r="W25" i="3"/>
  <c r="W30" i="3" s="1"/>
  <c r="V16" i="4" s="1"/>
  <c r="H16" i="26"/>
  <c r="O25" i="3"/>
  <c r="O30" i="3" s="1"/>
  <c r="N16" i="4" s="1"/>
  <c r="H8" i="26"/>
  <c r="G25" i="3"/>
  <c r="G30" i="3" s="1"/>
  <c r="F16" i="4" s="1"/>
  <c r="D7" i="33"/>
  <c r="E7" i="19"/>
  <c r="E7" i="7"/>
  <c r="F8" i="3"/>
  <c r="AE16" i="4"/>
  <c r="G16" i="4"/>
  <c r="R16" i="4"/>
  <c r="D6" i="33"/>
  <c r="E6" i="19"/>
  <c r="F7" i="3"/>
  <c r="F21" i="3" s="1"/>
  <c r="D6" i="25"/>
  <c r="E35" i="3"/>
  <c r="L34" i="3"/>
  <c r="AD16" i="4"/>
  <c r="U16" i="4"/>
  <c r="C34" i="18"/>
  <c r="E21" i="18"/>
  <c r="F21" i="18" s="1"/>
  <c r="AD34" i="3"/>
  <c r="N34" i="3"/>
  <c r="F34" i="3"/>
  <c r="D6" i="4"/>
  <c r="D10" i="4" s="1"/>
  <c r="T34" i="3"/>
  <c r="X16" i="4"/>
  <c r="C6" i="33"/>
  <c r="D6" i="19"/>
  <c r="D6" i="7"/>
  <c r="E41" i="7" s="1"/>
  <c r="Z16" i="4"/>
  <c r="C6" i="4"/>
  <c r="F15" i="18"/>
  <c r="D7" i="19"/>
  <c r="C7" i="33"/>
  <c r="D7" i="7"/>
  <c r="C7" i="4"/>
  <c r="H22" i="26"/>
  <c r="H15" i="29"/>
  <c r="I7" i="29"/>
  <c r="I15" i="29" s="1"/>
  <c r="D8" i="33"/>
  <c r="F8" i="19"/>
  <c r="H18" i="26"/>
  <c r="H15" i="26"/>
  <c r="A17" i="18"/>
  <c r="B36" i="6"/>
  <c r="AE46" i="7"/>
  <c r="W46" i="7"/>
  <c r="O46" i="7"/>
  <c r="G46" i="7"/>
  <c r="AF32" i="7"/>
  <c r="X32" i="7"/>
  <c r="P32" i="7"/>
  <c r="AF17" i="7"/>
  <c r="X17" i="7"/>
  <c r="P17" i="7"/>
  <c r="H17" i="7"/>
  <c r="AC46" i="7"/>
  <c r="U46" i="7"/>
  <c r="AD32" i="7"/>
  <c r="V32" i="7"/>
  <c r="N32" i="7"/>
  <c r="F32" i="7"/>
  <c r="AD17" i="7"/>
  <c r="V17" i="7"/>
  <c r="N17" i="7"/>
  <c r="F17" i="7"/>
  <c r="AB32" i="7"/>
  <c r="T32" i="7"/>
  <c r="AB17" i="7"/>
  <c r="T17" i="7"/>
  <c r="L17" i="7"/>
  <c r="E36" i="29"/>
  <c r="B32" i="33"/>
  <c r="B40" i="33"/>
  <c r="F20" i="29"/>
  <c r="F21" i="29" s="1"/>
  <c r="F36" i="29" s="1"/>
  <c r="C21" i="29"/>
  <c r="C36" i="29" s="1"/>
  <c r="C68" i="29" s="1"/>
  <c r="F68" i="29" s="1"/>
  <c r="D59" i="2"/>
  <c r="O20" i="2"/>
  <c r="D23" i="2"/>
  <c r="O21" i="2"/>
  <c r="D24" i="2"/>
  <c r="D40" i="2"/>
  <c r="D44" i="2"/>
  <c r="D56" i="2"/>
  <c r="D12" i="2"/>
  <c r="O19" i="2"/>
  <c r="O24" i="2"/>
  <c r="D32" i="2"/>
  <c r="D48" i="2"/>
  <c r="D51" i="2"/>
  <c r="O23" i="2"/>
  <c r="D31" i="2"/>
  <c r="D52" i="2"/>
  <c r="D58" i="2"/>
  <c r="D28" i="2"/>
  <c r="D39" i="2"/>
  <c r="D43" i="2"/>
  <c r="D21" i="2"/>
  <c r="D36" i="2" s="1"/>
  <c r="O25" i="2"/>
  <c r="D35" i="2"/>
  <c r="D49" i="2"/>
  <c r="D22" i="2"/>
  <c r="D26" i="2"/>
  <c r="D30" i="2"/>
  <c r="D41" i="2"/>
  <c r="D46" i="2"/>
  <c r="D57" i="2"/>
  <c r="D53" i="2"/>
  <c r="F8" i="29"/>
  <c r="F15" i="29" s="1"/>
  <c r="F37" i="29" s="1"/>
  <c r="C15" i="29"/>
  <c r="D45" i="2"/>
  <c r="O30" i="2"/>
  <c r="O22" i="2"/>
  <c r="C36" i="2"/>
  <c r="B16" i="7" s="1"/>
  <c r="G27" i="4" l="1"/>
  <c r="O27" i="4"/>
  <c r="W27" i="4"/>
  <c r="AE27" i="4"/>
  <c r="H27" i="4"/>
  <c r="P27" i="4"/>
  <c r="X27" i="4"/>
  <c r="AF27" i="4"/>
  <c r="C27" i="4"/>
  <c r="K27" i="4"/>
  <c r="S27" i="4"/>
  <c r="AA27" i="4"/>
  <c r="D27" i="4"/>
  <c r="L27" i="4"/>
  <c r="T27" i="4"/>
  <c r="AB27" i="4"/>
  <c r="N27" i="4"/>
  <c r="AD27" i="4"/>
  <c r="Q27" i="4"/>
  <c r="AG27" i="4"/>
  <c r="E27" i="4"/>
  <c r="U27" i="4"/>
  <c r="I27" i="4"/>
  <c r="Y27" i="4"/>
  <c r="AC27" i="4"/>
  <c r="J27" i="4"/>
  <c r="M27" i="4"/>
  <c r="V27" i="4"/>
  <c r="Z27" i="4"/>
  <c r="F27" i="4"/>
  <c r="R27" i="4"/>
  <c r="O16" i="4"/>
  <c r="P34" i="3"/>
  <c r="E7" i="33"/>
  <c r="F7" i="19"/>
  <c r="F7" i="7"/>
  <c r="G8" i="3"/>
  <c r="E7" i="4"/>
  <c r="D76" i="2" s="1"/>
  <c r="E7" i="25"/>
  <c r="D7" i="8"/>
  <c r="W34" i="3"/>
  <c r="W16" i="4"/>
  <c r="X34" i="3"/>
  <c r="B49" i="6"/>
  <c r="C12" i="25"/>
  <c r="F6" i="19"/>
  <c r="E6" i="33"/>
  <c r="F6" i="7"/>
  <c r="E6" i="4"/>
  <c r="E10" i="4" s="1"/>
  <c r="E6" i="25"/>
  <c r="D6" i="8"/>
  <c r="F35" i="3"/>
  <c r="G7" i="3"/>
  <c r="K16" i="7"/>
  <c r="S16" i="7"/>
  <c r="AA16" i="7"/>
  <c r="B19" i="7"/>
  <c r="B31" i="7"/>
  <c r="D16" i="7"/>
  <c r="L16" i="7"/>
  <c r="T16" i="7"/>
  <c r="AB16" i="7"/>
  <c r="B45" i="7"/>
  <c r="B48" i="7" s="1"/>
  <c r="F16" i="7"/>
  <c r="N16" i="7"/>
  <c r="V16" i="7"/>
  <c r="AD16" i="7"/>
  <c r="H16" i="7"/>
  <c r="P16" i="7"/>
  <c r="X16" i="7"/>
  <c r="AF16" i="7"/>
  <c r="O16" i="7"/>
  <c r="AE16" i="7"/>
  <c r="Q16" i="7"/>
  <c r="AG16" i="7"/>
  <c r="G16" i="7"/>
  <c r="W16" i="7"/>
  <c r="I16" i="7"/>
  <c r="Y16" i="7"/>
  <c r="AH16" i="7"/>
  <c r="E16" i="7"/>
  <c r="M16" i="7"/>
  <c r="U16" i="7"/>
  <c r="J16" i="7"/>
  <c r="Z16" i="7"/>
  <c r="AC16" i="7"/>
  <c r="R16" i="7"/>
  <c r="G15" i="18"/>
  <c r="F34" i="18"/>
  <c r="E14" i="7"/>
  <c r="O34" i="3"/>
  <c r="O26" i="2"/>
  <c r="G8" i="19"/>
  <c r="E8" i="33"/>
  <c r="E8" i="25"/>
  <c r="E43" i="7"/>
  <c r="E47" i="7" s="1"/>
  <c r="E36" i="3"/>
  <c r="E38" i="3" s="1"/>
  <c r="D11" i="4" s="1"/>
  <c r="D13" i="4" s="1"/>
  <c r="C61" i="2"/>
  <c r="AG17" i="4"/>
  <c r="C69" i="29"/>
  <c r="F69" i="29" s="1"/>
  <c r="E15" i="29"/>
  <c r="E37" i="29" s="1"/>
  <c r="C58" i="29" s="1"/>
  <c r="C67" i="29"/>
  <c r="D14" i="7"/>
  <c r="D41" i="7"/>
  <c r="D43" i="7"/>
  <c r="D47" i="7" s="1"/>
  <c r="D13" i="7"/>
  <c r="N29" i="2"/>
  <c r="O29" i="2" s="1"/>
  <c r="A18" i="18"/>
  <c r="B76" i="2"/>
  <c r="B7" i="6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N32" i="2"/>
  <c r="O32" i="2" s="1"/>
  <c r="C18" i="4"/>
  <c r="D18" i="4" s="1"/>
  <c r="E18" i="4" s="1"/>
  <c r="C17" i="4"/>
  <c r="C26" i="4"/>
  <c r="N33" i="2" s="1"/>
  <c r="O33" i="2" s="1"/>
  <c r="S26" i="4"/>
  <c r="C10" i="4"/>
  <c r="C13" i="4" s="1"/>
  <c r="C19" i="4"/>
  <c r="D19" i="4" s="1"/>
  <c r="E19" i="4" s="1"/>
  <c r="F19" i="4" s="1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E34" i="18"/>
  <c r="F36" i="3"/>
  <c r="F38" i="3" s="1"/>
  <c r="E11" i="4" s="1"/>
  <c r="G34" i="3"/>
  <c r="A19" i="18" l="1"/>
  <c r="D19" i="7"/>
  <c r="F18" i="4"/>
  <c r="B21" i="7"/>
  <c r="D21" i="7"/>
  <c r="D28" i="7"/>
  <c r="D33" i="7" s="1"/>
  <c r="D18" i="7"/>
  <c r="F14" i="7"/>
  <c r="F41" i="7"/>
  <c r="F45" i="7" s="1"/>
  <c r="F43" i="7"/>
  <c r="F47" i="7" s="1"/>
  <c r="F67" i="29"/>
  <c r="F72" i="29" s="1"/>
  <c r="F75" i="29" s="1"/>
  <c r="F58" i="29"/>
  <c r="F59" i="29" s="1"/>
  <c r="C59" i="29"/>
  <c r="C70" i="29" s="1"/>
  <c r="F70" i="29" s="1"/>
  <c r="K31" i="7"/>
  <c r="S31" i="7"/>
  <c r="AA31" i="7"/>
  <c r="B34" i="7"/>
  <c r="D31" i="7"/>
  <c r="L31" i="7"/>
  <c r="T31" i="7"/>
  <c r="AB31" i="7"/>
  <c r="F31" i="7"/>
  <c r="N31" i="7"/>
  <c r="V31" i="7"/>
  <c r="AD31" i="7"/>
  <c r="H31" i="7"/>
  <c r="P31" i="7"/>
  <c r="X31" i="7"/>
  <c r="AF31" i="7"/>
  <c r="G31" i="7"/>
  <c r="W31" i="7"/>
  <c r="I31" i="7"/>
  <c r="Y31" i="7"/>
  <c r="O31" i="7"/>
  <c r="AE31" i="7"/>
  <c r="Q31" i="7"/>
  <c r="AG31" i="7"/>
  <c r="U31" i="7"/>
  <c r="Z31" i="7"/>
  <c r="AH31" i="7"/>
  <c r="J31" i="7"/>
  <c r="E31" i="7"/>
  <c r="M31" i="7"/>
  <c r="AC31" i="7"/>
  <c r="R31" i="7"/>
  <c r="H16" i="18"/>
  <c r="C11" i="2"/>
  <c r="B26" i="2"/>
  <c r="B32" i="2"/>
  <c r="B48" i="2"/>
  <c r="B51" i="2"/>
  <c r="B22" i="2"/>
  <c r="B27" i="2"/>
  <c r="B30" i="2"/>
  <c r="B41" i="2"/>
  <c r="B45" i="2"/>
  <c r="B57" i="2"/>
  <c r="B28" i="2"/>
  <c r="B39" i="2"/>
  <c r="B43" i="2"/>
  <c r="B24" i="2"/>
  <c r="B40" i="2"/>
  <c r="B46" i="2"/>
  <c r="B56" i="2"/>
  <c r="B50" i="2"/>
  <c r="C18" i="19"/>
  <c r="C20" i="19" s="1"/>
  <c r="C25" i="19" s="1"/>
  <c r="B35" i="2"/>
  <c r="B23" i="2"/>
  <c r="B31" i="2"/>
  <c r="B47" i="2"/>
  <c r="B33" i="2"/>
  <c r="B44" i="2"/>
  <c r="B58" i="2"/>
  <c r="B29" i="2"/>
  <c r="B49" i="2"/>
  <c r="D61" i="2"/>
  <c r="C65" i="2" s="1"/>
  <c r="B52" i="2"/>
  <c r="D3" i="32"/>
  <c r="E3" i="32"/>
  <c r="B42" i="2"/>
  <c r="AG51" i="25"/>
  <c r="W51" i="25" s="1"/>
  <c r="B21" i="2"/>
  <c r="B25" i="2"/>
  <c r="B34" i="2"/>
  <c r="B20" i="2"/>
  <c r="F6" i="33"/>
  <c r="G6" i="19"/>
  <c r="G6" i="7"/>
  <c r="F6" i="4"/>
  <c r="H7" i="3"/>
  <c r="H21" i="3"/>
  <c r="G35" i="3"/>
  <c r="G36" i="3" s="1"/>
  <c r="G38" i="3" s="1"/>
  <c r="F11" i="4" s="1"/>
  <c r="F6" i="25"/>
  <c r="E6" i="8"/>
  <c r="G7" i="19"/>
  <c r="F7" i="33"/>
  <c r="F7" i="4"/>
  <c r="G7" i="7"/>
  <c r="F7" i="25"/>
  <c r="H8" i="3"/>
  <c r="E7" i="8"/>
  <c r="D27" i="7"/>
  <c r="D32" i="7" s="1"/>
  <c r="I13" i="7"/>
  <c r="D42" i="7"/>
  <c r="D46" i="7" s="1"/>
  <c r="D17" i="7"/>
  <c r="G21" i="3"/>
  <c r="E18" i="7"/>
  <c r="E19" i="7" s="1"/>
  <c r="E28" i="7"/>
  <c r="E33" i="7" s="1"/>
  <c r="E18" i="19"/>
  <c r="F18" i="19"/>
  <c r="N18" i="19"/>
  <c r="V18" i="19"/>
  <c r="AD18" i="19"/>
  <c r="H18" i="19"/>
  <c r="Q18" i="19"/>
  <c r="Z18" i="19"/>
  <c r="I18" i="19"/>
  <c r="R18" i="19"/>
  <c r="AA18" i="19"/>
  <c r="L18" i="19"/>
  <c r="U18" i="19"/>
  <c r="AE18" i="19"/>
  <c r="M18" i="19"/>
  <c r="W18" i="19"/>
  <c r="AF18" i="19"/>
  <c r="T18" i="19"/>
  <c r="D18" i="19"/>
  <c r="X18" i="19"/>
  <c r="K18" i="19"/>
  <c r="AC18" i="19"/>
  <c r="P18" i="19"/>
  <c r="S18" i="19"/>
  <c r="AB18" i="19"/>
  <c r="AG18" i="19"/>
  <c r="G18" i="19"/>
  <c r="Y18" i="19"/>
  <c r="AH18" i="19"/>
  <c r="O18" i="19"/>
  <c r="B50" i="7"/>
  <c r="J18" i="19"/>
  <c r="D45" i="7"/>
  <c r="H8" i="19"/>
  <c r="F8" i="33"/>
  <c r="F8" i="25"/>
  <c r="E13" i="4"/>
  <c r="E45" i="7"/>
  <c r="E48" i="7" s="1"/>
  <c r="D34" i="4" s="1"/>
  <c r="C11" i="8" s="1"/>
  <c r="I16" i="18" l="1"/>
  <c r="G16" i="18"/>
  <c r="E21" i="7"/>
  <c r="F34" i="7"/>
  <c r="D12" i="8" s="1"/>
  <c r="H6" i="19"/>
  <c r="G6" i="33"/>
  <c r="G6" i="4"/>
  <c r="G10" i="4" s="1"/>
  <c r="G13" i="4" s="1"/>
  <c r="H6" i="7"/>
  <c r="I7" i="3"/>
  <c r="G6" i="25"/>
  <c r="F6" i="8"/>
  <c r="H35" i="3"/>
  <c r="H36" i="3" s="1"/>
  <c r="H38" i="3" s="1"/>
  <c r="G11" i="4" s="1"/>
  <c r="I21" i="3"/>
  <c r="F28" i="7"/>
  <c r="F33" i="7" s="1"/>
  <c r="F18" i="7"/>
  <c r="F19" i="7" s="1"/>
  <c r="H7" i="19"/>
  <c r="G7" i="33"/>
  <c r="H7" i="7"/>
  <c r="G7" i="4"/>
  <c r="F7" i="8"/>
  <c r="G7" i="25"/>
  <c r="I8" i="3"/>
  <c r="F48" i="7"/>
  <c r="E34" i="4" s="1"/>
  <c r="D11" i="8" s="1"/>
  <c r="A20" i="18"/>
  <c r="F10" i="4"/>
  <c r="F13" i="4" s="1"/>
  <c r="B53" i="2"/>
  <c r="B36" i="2"/>
  <c r="G41" i="7"/>
  <c r="G45" i="7" s="1"/>
  <c r="G48" i="7" s="1"/>
  <c r="F34" i="4" s="1"/>
  <c r="E11" i="8" s="1"/>
  <c r="G43" i="7"/>
  <c r="G47" i="7" s="1"/>
  <c r="G14" i="7"/>
  <c r="I27" i="7"/>
  <c r="I32" i="7" s="1"/>
  <c r="I42" i="7"/>
  <c r="I46" i="7" s="1"/>
  <c r="I17" i="7"/>
  <c r="E34" i="7"/>
  <c r="C12" i="8" s="1"/>
  <c r="D34" i="7"/>
  <c r="B12" i="8" s="1"/>
  <c r="E8" i="32"/>
  <c r="B31" i="33" s="1"/>
  <c r="B34" i="33" s="1"/>
  <c r="L16" i="32"/>
  <c r="B11" i="2"/>
  <c r="C14" i="2"/>
  <c r="I41" i="19"/>
  <c r="Q41" i="19"/>
  <c r="Y41" i="19"/>
  <c r="AG41" i="19"/>
  <c r="D11" i="2"/>
  <c r="H47" i="2"/>
  <c r="K41" i="19"/>
  <c r="T41" i="19"/>
  <c r="AC41" i="19"/>
  <c r="F41" i="19"/>
  <c r="O41" i="19"/>
  <c r="X41" i="19"/>
  <c r="AH41" i="19"/>
  <c r="G41" i="19"/>
  <c r="P41" i="19"/>
  <c r="Z41" i="19"/>
  <c r="J41" i="19"/>
  <c r="W41" i="19"/>
  <c r="L41" i="19"/>
  <c r="AA41" i="19"/>
  <c r="H48" i="2"/>
  <c r="C41" i="19"/>
  <c r="C43" i="19" s="1"/>
  <c r="C45" i="19" s="1"/>
  <c r="R41" i="19"/>
  <c r="AE41" i="19"/>
  <c r="V41" i="19"/>
  <c r="D41" i="19"/>
  <c r="AB41" i="19"/>
  <c r="H41" i="19"/>
  <c r="AF41" i="19"/>
  <c r="M41" i="19"/>
  <c r="AD41" i="19"/>
  <c r="E41" i="19"/>
  <c r="N41" i="19"/>
  <c r="S41" i="19"/>
  <c r="U41" i="19"/>
  <c r="B25" i="25"/>
  <c r="B49" i="25"/>
  <c r="B52" i="25" s="1"/>
  <c r="B56" i="25"/>
  <c r="B59" i="25" s="1"/>
  <c r="B42" i="25"/>
  <c r="B45" i="25" s="1"/>
  <c r="B36" i="25"/>
  <c r="B38" i="25" s="1"/>
  <c r="D8" i="32"/>
  <c r="G16" i="32" s="1"/>
  <c r="C41" i="32"/>
  <c r="B35" i="32"/>
  <c r="C47" i="19"/>
  <c r="I8" i="19"/>
  <c r="G8" i="33"/>
  <c r="G8" i="25"/>
  <c r="D48" i="7"/>
  <c r="B59" i="2"/>
  <c r="B36" i="7"/>
  <c r="D36" i="7"/>
  <c r="E36" i="7" s="1"/>
  <c r="F36" i="7" s="1"/>
  <c r="C72" i="29"/>
  <c r="C75" i="29" s="1"/>
  <c r="G18" i="4"/>
  <c r="I16" i="32" l="1"/>
  <c r="H8" i="33"/>
  <c r="J8" i="19"/>
  <c r="H8" i="25"/>
  <c r="C26" i="25"/>
  <c r="B29" i="25"/>
  <c r="C25" i="25" s="1"/>
  <c r="C40" i="32"/>
  <c r="G19" i="19"/>
  <c r="G20" i="19" s="1"/>
  <c r="G25" i="19" s="1"/>
  <c r="D19" i="19"/>
  <c r="D20" i="19" s="1"/>
  <c r="D25" i="19" s="1"/>
  <c r="E19" i="19"/>
  <c r="E20" i="19" s="1"/>
  <c r="E25" i="19" s="1"/>
  <c r="F19" i="19"/>
  <c r="F20" i="19" s="1"/>
  <c r="F25" i="19" s="1"/>
  <c r="C34" i="4"/>
  <c r="B11" i="8" s="1"/>
  <c r="D50" i="7"/>
  <c r="C37" i="32"/>
  <c r="C38" i="32"/>
  <c r="C42" i="32"/>
  <c r="C23" i="32"/>
  <c r="G28" i="7"/>
  <c r="G33" i="7" s="1"/>
  <c r="G34" i="7" s="1"/>
  <c r="E12" i="8" s="1"/>
  <c r="G18" i="7"/>
  <c r="G19" i="7" s="1"/>
  <c r="H7" i="33"/>
  <c r="I7" i="19"/>
  <c r="H7" i="4"/>
  <c r="H7" i="25"/>
  <c r="I7" i="7"/>
  <c r="J8" i="3"/>
  <c r="G7" i="8"/>
  <c r="F21" i="7"/>
  <c r="G21" i="7" s="1"/>
  <c r="G36" i="7"/>
  <c r="H14" i="7"/>
  <c r="H41" i="7"/>
  <c r="H45" i="7" s="1"/>
  <c r="H48" i="7" s="1"/>
  <c r="G34" i="4" s="1"/>
  <c r="F11" i="8" s="1"/>
  <c r="H43" i="7"/>
  <c r="H47" i="7" s="1"/>
  <c r="C25" i="32"/>
  <c r="C35" i="32"/>
  <c r="E35" i="32" s="1"/>
  <c r="B36" i="32" s="1"/>
  <c r="C20" i="32"/>
  <c r="C22" i="32"/>
  <c r="D14" i="2"/>
  <c r="B12" i="2"/>
  <c r="B14" i="2"/>
  <c r="G17" i="18"/>
  <c r="H17" i="18"/>
  <c r="D35" i="32"/>
  <c r="H18" i="4"/>
  <c r="N16" i="32"/>
  <c r="L17" i="32"/>
  <c r="A21" i="18"/>
  <c r="B39" i="33"/>
  <c r="B42" i="33" s="1"/>
  <c r="B47" i="33"/>
  <c r="B50" i="33" s="1"/>
  <c r="J58" i="32"/>
  <c r="N58" i="32" s="1"/>
  <c r="O58" i="32" s="1"/>
  <c r="C26" i="32"/>
  <c r="C43" i="32"/>
  <c r="B61" i="2"/>
  <c r="C16" i="32"/>
  <c r="C18" i="32"/>
  <c r="B16" i="32"/>
  <c r="C21" i="32"/>
  <c r="C39" i="32"/>
  <c r="C36" i="32"/>
  <c r="C19" i="32"/>
  <c r="C44" i="32"/>
  <c r="C24" i="32"/>
  <c r="C27" i="32"/>
  <c r="C17" i="32"/>
  <c r="I6" i="19"/>
  <c r="H6" i="33"/>
  <c r="I6" i="7"/>
  <c r="H6" i="4"/>
  <c r="H10" i="4" s="1"/>
  <c r="J21" i="3"/>
  <c r="I35" i="3"/>
  <c r="I36" i="3" s="1"/>
  <c r="I38" i="3" s="1"/>
  <c r="H11" i="4" s="1"/>
  <c r="H6" i="25"/>
  <c r="J7" i="3"/>
  <c r="G6" i="8"/>
  <c r="D36" i="32" l="1"/>
  <c r="D16" i="32"/>
  <c r="E16" i="32" s="1"/>
  <c r="A22" i="18"/>
  <c r="I18" i="4"/>
  <c r="G18" i="18"/>
  <c r="H18" i="18"/>
  <c r="I19" i="19"/>
  <c r="I20" i="19" s="1"/>
  <c r="I25" i="19" s="1"/>
  <c r="H28" i="7"/>
  <c r="H33" i="7" s="1"/>
  <c r="H34" i="7" s="1"/>
  <c r="F12" i="8" s="1"/>
  <c r="H18" i="7"/>
  <c r="H19" i="7" s="1"/>
  <c r="J6" i="19"/>
  <c r="I6" i="33"/>
  <c r="J6" i="7"/>
  <c r="J35" i="3"/>
  <c r="J36" i="3" s="1"/>
  <c r="J38" i="3" s="1"/>
  <c r="I11" i="4" s="1"/>
  <c r="K7" i="3"/>
  <c r="I6" i="4"/>
  <c r="I10" i="4" s="1"/>
  <c r="I6" i="25"/>
  <c r="H6" i="8"/>
  <c r="N17" i="32"/>
  <c r="L18" i="32"/>
  <c r="H19" i="19"/>
  <c r="H20" i="19" s="1"/>
  <c r="H25" i="19" s="1"/>
  <c r="K8" i="19"/>
  <c r="I8" i="33"/>
  <c r="I8" i="25"/>
  <c r="H21" i="7"/>
  <c r="E50" i="7"/>
  <c r="C24" i="4"/>
  <c r="E36" i="32"/>
  <c r="B37" i="32" s="1"/>
  <c r="I7" i="33"/>
  <c r="J7" i="19"/>
  <c r="I7" i="4"/>
  <c r="J7" i="7"/>
  <c r="I7" i="25"/>
  <c r="K8" i="3"/>
  <c r="H7" i="8"/>
  <c r="C12" i="33"/>
  <c r="M16" i="32"/>
  <c r="M57" i="32" s="1"/>
  <c r="H13" i="4"/>
  <c r="I14" i="7"/>
  <c r="I41" i="7"/>
  <c r="I45" i="7" s="1"/>
  <c r="I48" i="7" s="1"/>
  <c r="I43" i="7"/>
  <c r="I47" i="7" s="1"/>
  <c r="I17" i="18"/>
  <c r="D37" i="32" l="1"/>
  <c r="E37" i="32" s="1"/>
  <c r="B38" i="32" s="1"/>
  <c r="J16" i="32"/>
  <c r="B17" i="32"/>
  <c r="I28" i="7"/>
  <c r="I33" i="7" s="1"/>
  <c r="I34" i="7" s="1"/>
  <c r="G12" i="8" s="1"/>
  <c r="I18" i="7"/>
  <c r="I19" i="7" s="1"/>
  <c r="I21" i="7" s="1"/>
  <c r="N18" i="32"/>
  <c r="L19" i="32"/>
  <c r="K6" i="19"/>
  <c r="J6" i="33"/>
  <c r="K6" i="7"/>
  <c r="K35" i="3"/>
  <c r="K36" i="3" s="1"/>
  <c r="K38" i="3" s="1"/>
  <c r="J11" i="4" s="1"/>
  <c r="I6" i="8"/>
  <c r="L7" i="3"/>
  <c r="J6" i="25"/>
  <c r="J6" i="4"/>
  <c r="J41" i="7"/>
  <c r="J45" i="7" s="1"/>
  <c r="J48" i="7" s="1"/>
  <c r="J43" i="7"/>
  <c r="J47" i="7" s="1"/>
  <c r="J14" i="7"/>
  <c r="M17" i="32"/>
  <c r="D12" i="33"/>
  <c r="I18" i="18"/>
  <c r="H19" i="18"/>
  <c r="H36" i="7"/>
  <c r="N31" i="2"/>
  <c r="O31" i="2" s="1"/>
  <c r="C30" i="4"/>
  <c r="C32" i="4" s="1"/>
  <c r="J18" i="4"/>
  <c r="K21" i="3"/>
  <c r="H34" i="4"/>
  <c r="G11" i="8" s="1"/>
  <c r="K7" i="19"/>
  <c r="J7" i="33"/>
  <c r="K7" i="7"/>
  <c r="J7" i="4"/>
  <c r="J7" i="25"/>
  <c r="I7" i="8"/>
  <c r="L8" i="3"/>
  <c r="J19" i="19"/>
  <c r="J20" i="19" s="1"/>
  <c r="J25" i="19" s="1"/>
  <c r="F50" i="7"/>
  <c r="D24" i="4"/>
  <c r="D30" i="4" s="1"/>
  <c r="D32" i="4" s="1"/>
  <c r="L8" i="19"/>
  <c r="J8" i="33"/>
  <c r="J8" i="25"/>
  <c r="I13" i="4"/>
  <c r="A23" i="18"/>
  <c r="D38" i="32" l="1"/>
  <c r="E38" i="32" s="1"/>
  <c r="B39" i="32"/>
  <c r="M8" i="19"/>
  <c r="K8" i="33"/>
  <c r="K8" i="25"/>
  <c r="I19" i="18"/>
  <c r="E12" i="33"/>
  <c r="M18" i="32"/>
  <c r="G50" i="7"/>
  <c r="E24" i="4"/>
  <c r="E30" i="4" s="1"/>
  <c r="E32" i="4" s="1"/>
  <c r="K41" i="7"/>
  <c r="K45" i="7" s="1"/>
  <c r="K43" i="7"/>
  <c r="K47" i="7" s="1"/>
  <c r="K14" i="7"/>
  <c r="G17" i="32"/>
  <c r="H16" i="32"/>
  <c r="L6" i="19"/>
  <c r="K6" i="33"/>
  <c r="L6" i="7"/>
  <c r="K6" i="4"/>
  <c r="M7" i="3"/>
  <c r="M21" i="3" s="1"/>
  <c r="J6" i="8"/>
  <c r="L35" i="3"/>
  <c r="L36" i="3" s="1"/>
  <c r="L38" i="3" s="1"/>
  <c r="K11" i="4" s="1"/>
  <c r="K6" i="25"/>
  <c r="K18" i="4"/>
  <c r="L21" i="3"/>
  <c r="D17" i="32"/>
  <c r="E17" i="32" s="1"/>
  <c r="J17" i="32" s="1"/>
  <c r="B18" i="32"/>
  <c r="I34" i="4"/>
  <c r="H11" i="8" s="1"/>
  <c r="J10" i="4"/>
  <c r="J13" i="4" s="1"/>
  <c r="C77" i="2"/>
  <c r="D11" i="33"/>
  <c r="D13" i="33" s="1"/>
  <c r="D36" i="4"/>
  <c r="D11" i="25"/>
  <c r="C29" i="6"/>
  <c r="C38" i="6"/>
  <c r="G19" i="18"/>
  <c r="A24" i="18"/>
  <c r="H23" i="18"/>
  <c r="J28" i="7"/>
  <c r="J33" i="7" s="1"/>
  <c r="J34" i="7" s="1"/>
  <c r="H12" i="8" s="1"/>
  <c r="J18" i="7"/>
  <c r="J19" i="7" s="1"/>
  <c r="J21" i="7" s="1"/>
  <c r="L7" i="19"/>
  <c r="K7" i="33"/>
  <c r="L7" i="7"/>
  <c r="M8" i="3"/>
  <c r="K7" i="4"/>
  <c r="J7" i="8"/>
  <c r="K7" i="25"/>
  <c r="C11" i="33"/>
  <c r="C13" i="33" s="1"/>
  <c r="B77" i="2"/>
  <c r="C11" i="25"/>
  <c r="C13" i="25" s="1"/>
  <c r="C36" i="4"/>
  <c r="B38" i="6"/>
  <c r="I36" i="7"/>
  <c r="N19" i="32"/>
  <c r="L20" i="32"/>
  <c r="C11" i="6" l="1"/>
  <c r="C13" i="6" s="1"/>
  <c r="K10" i="4"/>
  <c r="K13" i="4" s="1"/>
  <c r="K48" i="7"/>
  <c r="M6" i="19"/>
  <c r="L6" i="33"/>
  <c r="L6" i="4"/>
  <c r="L10" i="4" s="1"/>
  <c r="N7" i="3"/>
  <c r="L6" i="25"/>
  <c r="M35" i="3"/>
  <c r="M36" i="3" s="1"/>
  <c r="M38" i="3" s="1"/>
  <c r="L11" i="4" s="1"/>
  <c r="M6" i="7"/>
  <c r="N21" i="3"/>
  <c r="K6" i="8"/>
  <c r="L7" i="33"/>
  <c r="M7" i="19"/>
  <c r="M7" i="7"/>
  <c r="L7" i="4"/>
  <c r="N8" i="3"/>
  <c r="K7" i="8"/>
  <c r="L7" i="25"/>
  <c r="L18" i="4"/>
  <c r="D77" i="2"/>
  <c r="E11" i="33"/>
  <c r="E13" i="33" s="1"/>
  <c r="E36" i="4"/>
  <c r="E11" i="25"/>
  <c r="D29" i="6"/>
  <c r="D11" i="6" s="1"/>
  <c r="D13" i="6" s="1"/>
  <c r="D38" i="6"/>
  <c r="L8" i="33"/>
  <c r="N8" i="19"/>
  <c r="L8" i="25"/>
  <c r="K18" i="7"/>
  <c r="K19" i="7" s="1"/>
  <c r="K21" i="7" s="1"/>
  <c r="K28" i="7"/>
  <c r="K33" i="7" s="1"/>
  <c r="K34" i="7" s="1"/>
  <c r="I12" i="8" s="1"/>
  <c r="B11" i="6"/>
  <c r="B13" i="6" s="1"/>
  <c r="B37" i="6" s="1"/>
  <c r="L14" i="7"/>
  <c r="L41" i="7"/>
  <c r="L45" i="7" s="1"/>
  <c r="L48" i="7" s="1"/>
  <c r="K34" i="4" s="1"/>
  <c r="J11" i="8" s="1"/>
  <c r="L43" i="7"/>
  <c r="L47" i="7" s="1"/>
  <c r="G33" i="33"/>
  <c r="N20" i="32"/>
  <c r="M54" i="32"/>
  <c r="M60" i="32" s="1"/>
  <c r="B79" i="2"/>
  <c r="A25" i="18"/>
  <c r="H24" i="18"/>
  <c r="H50" i="7"/>
  <c r="F24" i="4"/>
  <c r="F30" i="4" s="1"/>
  <c r="F32" i="4" s="1"/>
  <c r="D39" i="32"/>
  <c r="E39" i="32" s="1"/>
  <c r="B40" i="32" s="1"/>
  <c r="F12" i="33"/>
  <c r="M19" i="32"/>
  <c r="Q16" i="32"/>
  <c r="R16" i="32" s="1"/>
  <c r="R22" i="32" s="1"/>
  <c r="J57" i="32"/>
  <c r="N57" i="32" s="1"/>
  <c r="O57" i="32" s="1"/>
  <c r="J36" i="7"/>
  <c r="K36" i="7" s="1"/>
  <c r="H20" i="18"/>
  <c r="G20" i="18" s="1"/>
  <c r="I17" i="32"/>
  <c r="H17" i="32" s="1"/>
  <c r="G18" i="32"/>
  <c r="D18" i="32"/>
  <c r="E18" i="32" s="1"/>
  <c r="J18" i="32" s="1"/>
  <c r="H21" i="18" l="1"/>
  <c r="I21" i="18" s="1"/>
  <c r="D40" i="32"/>
  <c r="E40" i="32" s="1"/>
  <c r="B41" i="32" s="1"/>
  <c r="M8" i="33"/>
  <c r="O8" i="19"/>
  <c r="M8" i="25"/>
  <c r="L13" i="4"/>
  <c r="I18" i="32"/>
  <c r="H18" i="32" s="1"/>
  <c r="G19" i="32"/>
  <c r="H25" i="18"/>
  <c r="A26" i="18"/>
  <c r="L28" i="7"/>
  <c r="L33" i="7" s="1"/>
  <c r="L34" i="7" s="1"/>
  <c r="J12" i="8" s="1"/>
  <c r="L18" i="7"/>
  <c r="L19" i="7" s="1"/>
  <c r="L21" i="7" s="1"/>
  <c r="M18" i="4"/>
  <c r="J34" i="4"/>
  <c r="I11" i="8" s="1"/>
  <c r="L19" i="19"/>
  <c r="L20" i="19" s="1"/>
  <c r="L25" i="19" s="1"/>
  <c r="K19" i="19"/>
  <c r="K20" i="19" s="1"/>
  <c r="K25" i="19" s="1"/>
  <c r="B39" i="6"/>
  <c r="B42" i="6"/>
  <c r="B35" i="6"/>
  <c r="M7" i="33"/>
  <c r="N7" i="19"/>
  <c r="N7" i="7"/>
  <c r="M7" i="4"/>
  <c r="O8" i="3"/>
  <c r="M7" i="25"/>
  <c r="L7" i="8"/>
  <c r="M41" i="7"/>
  <c r="M45" i="7" s="1"/>
  <c r="M43" i="7"/>
  <c r="M47" i="7" s="1"/>
  <c r="M14" i="7"/>
  <c r="I20" i="18"/>
  <c r="F11" i="33"/>
  <c r="F13" i="33" s="1"/>
  <c r="F36" i="4"/>
  <c r="F11" i="25"/>
  <c r="E29" i="6"/>
  <c r="E38" i="6"/>
  <c r="G12" i="33"/>
  <c r="M20" i="32"/>
  <c r="G24" i="4"/>
  <c r="G30" i="4" s="1"/>
  <c r="G32" i="4" s="1"/>
  <c r="I50" i="7"/>
  <c r="L36" i="7"/>
  <c r="B19" i="32"/>
  <c r="N6" i="19"/>
  <c r="M6" i="33"/>
  <c r="M6" i="4"/>
  <c r="M10" i="4" s="1"/>
  <c r="N6" i="7"/>
  <c r="M6" i="25"/>
  <c r="O7" i="3"/>
  <c r="N35" i="3"/>
  <c r="N36" i="3" s="1"/>
  <c r="N38" i="3" s="1"/>
  <c r="M11" i="4" s="1"/>
  <c r="L6" i="8"/>
  <c r="D41" i="32" l="1"/>
  <c r="E41" i="32" s="1"/>
  <c r="B42" i="32"/>
  <c r="O6" i="19"/>
  <c r="N6" i="33"/>
  <c r="O6" i="7"/>
  <c r="O35" i="3"/>
  <c r="O36" i="3" s="1"/>
  <c r="O38" i="3" s="1"/>
  <c r="N11" i="4" s="1"/>
  <c r="P7" i="3"/>
  <c r="N6" i="4"/>
  <c r="P21" i="3"/>
  <c r="M6" i="8"/>
  <c r="N6" i="25"/>
  <c r="P8" i="19"/>
  <c r="N8" i="33"/>
  <c r="N8" i="25"/>
  <c r="O21" i="3"/>
  <c r="J50" i="7"/>
  <c r="H24" i="4"/>
  <c r="H30" i="4" s="1"/>
  <c r="H32" i="4" s="1"/>
  <c r="M48" i="7"/>
  <c r="H26" i="18"/>
  <c r="A27" i="18"/>
  <c r="M18" i="7"/>
  <c r="M19" i="7" s="1"/>
  <c r="M21" i="7" s="1"/>
  <c r="M28" i="7"/>
  <c r="M33" i="7" s="1"/>
  <c r="M34" i="7" s="1"/>
  <c r="K12" i="8" s="1"/>
  <c r="E11" i="6"/>
  <c r="E13" i="6" s="1"/>
  <c r="G11" i="33"/>
  <c r="G13" i="33" s="1"/>
  <c r="F38" i="6"/>
  <c r="G36" i="4"/>
  <c r="G11" i="25"/>
  <c r="F29" i="6"/>
  <c r="F11" i="6" s="1"/>
  <c r="F13" i="6" s="1"/>
  <c r="B48" i="6"/>
  <c r="B56" i="6"/>
  <c r="N14" i="7"/>
  <c r="N41" i="7"/>
  <c r="N45" i="7" s="1"/>
  <c r="N48" i="7" s="1"/>
  <c r="M34" i="4" s="1"/>
  <c r="L11" i="8" s="1"/>
  <c r="N43" i="7"/>
  <c r="N47" i="7" s="1"/>
  <c r="B44" i="6"/>
  <c r="B45" i="6"/>
  <c r="C24" i="6" s="1"/>
  <c r="I19" i="32"/>
  <c r="H19" i="32" s="1"/>
  <c r="G20" i="32"/>
  <c r="G21" i="18"/>
  <c r="D19" i="32"/>
  <c r="E19" i="32" s="1"/>
  <c r="J19" i="32" s="1"/>
  <c r="B20" i="32"/>
  <c r="M13" i="4"/>
  <c r="N7" i="33"/>
  <c r="O7" i="19"/>
  <c r="O7" i="7"/>
  <c r="N7" i="4"/>
  <c r="N7" i="25"/>
  <c r="P8" i="3"/>
  <c r="M7" i="8"/>
  <c r="N18" i="4"/>
  <c r="G21" i="32" l="1"/>
  <c r="I20" i="32"/>
  <c r="H20" i="32" s="1"/>
  <c r="B50" i="6"/>
  <c r="B52" i="6" s="1"/>
  <c r="C16" i="25"/>
  <c r="B43" i="32"/>
  <c r="D42" i="32"/>
  <c r="E42" i="32" s="1"/>
  <c r="N10" i="4"/>
  <c r="N13" i="4" s="1"/>
  <c r="D20" i="32"/>
  <c r="E20" i="32" s="1"/>
  <c r="J20" i="32" s="1"/>
  <c r="B21" i="32"/>
  <c r="A28" i="18"/>
  <c r="H27" i="18"/>
  <c r="P7" i="19"/>
  <c r="P7" i="7"/>
  <c r="O7" i="4"/>
  <c r="Q8" i="3"/>
  <c r="O7" i="33"/>
  <c r="N7" i="8"/>
  <c r="O7" i="25"/>
  <c r="Q8" i="19"/>
  <c r="O8" i="33"/>
  <c r="O8" i="25"/>
  <c r="O41" i="7"/>
  <c r="O45" i="7" s="1"/>
  <c r="O43" i="7"/>
  <c r="O47" i="7" s="1"/>
  <c r="O14" i="7"/>
  <c r="B58" i="6"/>
  <c r="C28" i="6"/>
  <c r="C26" i="6" s="1"/>
  <c r="C27" i="6"/>
  <c r="K50" i="7"/>
  <c r="I24" i="4"/>
  <c r="I30" i="4" s="1"/>
  <c r="I32" i="4" s="1"/>
  <c r="B57" i="6"/>
  <c r="C38" i="4" s="1"/>
  <c r="C40" i="4" s="1"/>
  <c r="N28" i="7"/>
  <c r="N33" i="7" s="1"/>
  <c r="N34" i="7" s="1"/>
  <c r="L12" i="8" s="1"/>
  <c r="N18" i="7"/>
  <c r="N19" i="7" s="1"/>
  <c r="N21" i="7" s="1"/>
  <c r="H22" i="18"/>
  <c r="L34" i="4"/>
  <c r="K11" i="8" s="1"/>
  <c r="N19" i="19"/>
  <c r="N20" i="19" s="1"/>
  <c r="N25" i="19" s="1"/>
  <c r="M19" i="19"/>
  <c r="M20" i="19" s="1"/>
  <c r="M25" i="19" s="1"/>
  <c r="M36" i="7"/>
  <c r="H11" i="33"/>
  <c r="H13" i="33" s="1"/>
  <c r="H36" i="4"/>
  <c r="H11" i="25"/>
  <c r="G29" i="6"/>
  <c r="G11" i="6" s="1"/>
  <c r="G13" i="6" s="1"/>
  <c r="G38" i="6"/>
  <c r="O18" i="4"/>
  <c r="P6" i="19"/>
  <c r="O6" i="33"/>
  <c r="P6" i="7"/>
  <c r="O6" i="4"/>
  <c r="O10" i="4" s="1"/>
  <c r="Q7" i="3"/>
  <c r="O6" i="25"/>
  <c r="Q21" i="3"/>
  <c r="N6" i="8"/>
  <c r="P35" i="3"/>
  <c r="P36" i="3" s="1"/>
  <c r="P38" i="3" s="1"/>
  <c r="O11" i="4" s="1"/>
  <c r="O13" i="4" l="1"/>
  <c r="I22" i="18"/>
  <c r="I23" i="18" s="1"/>
  <c r="I24" i="18" s="1"/>
  <c r="I25" i="18" s="1"/>
  <c r="I26" i="18" s="1"/>
  <c r="I27" i="18" s="1"/>
  <c r="P41" i="7"/>
  <c r="P45" i="7" s="1"/>
  <c r="P48" i="7" s="1"/>
  <c r="P43" i="7"/>
  <c r="P47" i="7" s="1"/>
  <c r="P14" i="7"/>
  <c r="G22" i="18"/>
  <c r="G23" i="18" s="1"/>
  <c r="G24" i="18" s="1"/>
  <c r="G25" i="18" s="1"/>
  <c r="G26" i="18" s="1"/>
  <c r="G27" i="18" s="1"/>
  <c r="P8" i="33"/>
  <c r="R8" i="19"/>
  <c r="P8" i="25"/>
  <c r="D43" i="32"/>
  <c r="E43" i="32" s="1"/>
  <c r="B44" i="32" s="1"/>
  <c r="C42" i="4"/>
  <c r="C43" i="4"/>
  <c r="C45" i="4" s="1"/>
  <c r="B10" i="8"/>
  <c r="B13" i="8" s="1"/>
  <c r="O28" i="7"/>
  <c r="O33" i="7" s="1"/>
  <c r="O34" i="7" s="1"/>
  <c r="M12" i="8" s="1"/>
  <c r="O18" i="7"/>
  <c r="O19" i="7" s="1"/>
  <c r="O21" i="7" s="1"/>
  <c r="C30" i="6"/>
  <c r="C33" i="6"/>
  <c r="H28" i="18"/>
  <c r="A29" i="18"/>
  <c r="I28" i="18"/>
  <c r="N36" i="7"/>
  <c r="O36" i="7" s="1"/>
  <c r="P18" i="4"/>
  <c r="I11" i="33"/>
  <c r="I13" i="33" s="1"/>
  <c r="I36" i="4"/>
  <c r="I11" i="25"/>
  <c r="H29" i="6"/>
  <c r="H11" i="6" s="1"/>
  <c r="H13" i="6" s="1"/>
  <c r="H38" i="6"/>
  <c r="O48" i="7"/>
  <c r="Q7" i="19"/>
  <c r="P7" i="33"/>
  <c r="Q7" i="7"/>
  <c r="P7" i="4"/>
  <c r="P7" i="25"/>
  <c r="O7" i="8"/>
  <c r="R8" i="3"/>
  <c r="D21" i="32"/>
  <c r="E21" i="32" s="1"/>
  <c r="J21" i="32" s="1"/>
  <c r="B22" i="32"/>
  <c r="I21" i="32"/>
  <c r="H21" i="32" s="1"/>
  <c r="G22" i="32"/>
  <c r="J54" i="32"/>
  <c r="J60" i="32" s="1"/>
  <c r="N60" i="32" s="1"/>
  <c r="O60" i="32" s="1"/>
  <c r="O62" i="32" s="1"/>
  <c r="Q6" i="19"/>
  <c r="P6" i="33"/>
  <c r="Q6" i="7"/>
  <c r="P6" i="4"/>
  <c r="P10" i="4" s="1"/>
  <c r="R7" i="3"/>
  <c r="P6" i="25"/>
  <c r="R21" i="3"/>
  <c r="Q35" i="3"/>
  <c r="Q36" i="3" s="1"/>
  <c r="Q38" i="3" s="1"/>
  <c r="P11" i="4" s="1"/>
  <c r="O6" i="8"/>
  <c r="J24" i="4"/>
  <c r="J30" i="4" s="1"/>
  <c r="J32" i="4" s="1"/>
  <c r="L50" i="7"/>
  <c r="B78" i="2" l="1"/>
  <c r="D42" i="19"/>
  <c r="D43" i="19" s="1"/>
  <c r="L49" i="33"/>
  <c r="D44" i="32"/>
  <c r="E44" i="32" s="1"/>
  <c r="J11" i="33"/>
  <c r="J13" i="33" s="1"/>
  <c r="J36" i="4"/>
  <c r="J11" i="25"/>
  <c r="I29" i="6"/>
  <c r="I38" i="6"/>
  <c r="O34" i="4"/>
  <c r="N11" i="8" s="1"/>
  <c r="P19" i="19"/>
  <c r="P20" i="19" s="1"/>
  <c r="P25" i="19" s="1"/>
  <c r="I29" i="18"/>
  <c r="A30" i="18"/>
  <c r="H29" i="18"/>
  <c r="G28" i="18"/>
  <c r="B16" i="8"/>
  <c r="B24" i="8"/>
  <c r="B28" i="8"/>
  <c r="Q8" i="33"/>
  <c r="S8" i="19"/>
  <c r="Q8" i="25"/>
  <c r="I41" i="33"/>
  <c r="I22" i="32"/>
  <c r="C36" i="6"/>
  <c r="R6" i="19"/>
  <c r="Q6" i="33"/>
  <c r="R6" i="7"/>
  <c r="Q6" i="4"/>
  <c r="Q10" i="4" s="1"/>
  <c r="R35" i="3"/>
  <c r="R36" i="3" s="1"/>
  <c r="R38" i="3" s="1"/>
  <c r="Q11" i="4" s="1"/>
  <c r="Q6" i="25"/>
  <c r="S7" i="3"/>
  <c r="P6" i="8"/>
  <c r="D22" i="32"/>
  <c r="E22" i="32" s="1"/>
  <c r="J22" i="32" s="1"/>
  <c r="Q18" i="4"/>
  <c r="P13" i="4"/>
  <c r="N34" i="4"/>
  <c r="M11" i="8" s="1"/>
  <c r="O19" i="19"/>
  <c r="O20" i="19" s="1"/>
  <c r="O25" i="19" s="1"/>
  <c r="P28" i="7"/>
  <c r="P33" i="7" s="1"/>
  <c r="P34" i="7" s="1"/>
  <c r="N12" i="8" s="1"/>
  <c r="P18" i="7"/>
  <c r="P19" i="7" s="1"/>
  <c r="P21" i="7" s="1"/>
  <c r="M50" i="7"/>
  <c r="K24" i="4"/>
  <c r="K30" i="4" s="1"/>
  <c r="K32" i="4" s="1"/>
  <c r="Q14" i="7"/>
  <c r="Q41" i="7"/>
  <c r="Q45" i="7" s="1"/>
  <c r="Q48" i="7" s="1"/>
  <c r="Q43" i="7"/>
  <c r="Q47" i="7" s="1"/>
  <c r="R7" i="19"/>
  <c r="Q7" i="33"/>
  <c r="S8" i="3"/>
  <c r="Q7" i="25"/>
  <c r="Q7" i="4"/>
  <c r="P7" i="8"/>
  <c r="R7" i="7"/>
  <c r="P36" i="7" l="1"/>
  <c r="T8" i="19"/>
  <c r="R8" i="33"/>
  <c r="R8" i="25"/>
  <c r="I30" i="18"/>
  <c r="H30" i="18"/>
  <c r="A31" i="18"/>
  <c r="P34" i="4"/>
  <c r="O11" i="8" s="1"/>
  <c r="Q19" i="19"/>
  <c r="Q20" i="19" s="1"/>
  <c r="Q25" i="19" s="1"/>
  <c r="Q28" i="7"/>
  <c r="Q33" i="7" s="1"/>
  <c r="Q34" i="7" s="1"/>
  <c r="O12" i="8" s="1"/>
  <c r="Q18" i="7"/>
  <c r="Q19" i="7" s="1"/>
  <c r="Q21" i="7" s="1"/>
  <c r="D12" i="25"/>
  <c r="D13" i="25" s="1"/>
  <c r="C49" i="6"/>
  <c r="K11" i="33"/>
  <c r="K13" i="33" s="1"/>
  <c r="K11" i="25"/>
  <c r="K36" i="4"/>
  <c r="J38" i="6"/>
  <c r="J29" i="6"/>
  <c r="B29" i="8"/>
  <c r="B30" i="8" s="1"/>
  <c r="S6" i="19"/>
  <c r="R6" i="33"/>
  <c r="S6" i="7"/>
  <c r="R6" i="4"/>
  <c r="R10" i="4" s="1"/>
  <c r="S35" i="3"/>
  <c r="S36" i="3" s="1"/>
  <c r="S38" i="3" s="1"/>
  <c r="R11" i="4" s="1"/>
  <c r="T7" i="3"/>
  <c r="R6" i="25"/>
  <c r="Q6" i="8"/>
  <c r="S21" i="3"/>
  <c r="N50" i="7"/>
  <c r="L24" i="4"/>
  <c r="L30" i="4" s="1"/>
  <c r="L32" i="4" s="1"/>
  <c r="C37" i="6"/>
  <c r="B19" i="8"/>
  <c r="B21" i="8"/>
  <c r="S7" i="19"/>
  <c r="R7" i="33"/>
  <c r="S7" i="7"/>
  <c r="R7" i="4"/>
  <c r="R7" i="25"/>
  <c r="T8" i="3"/>
  <c r="Q7" i="8"/>
  <c r="R18" i="4"/>
  <c r="Q13" i="4"/>
  <c r="H22" i="32"/>
  <c r="B23" i="32"/>
  <c r="R41" i="7"/>
  <c r="R45" i="7" s="1"/>
  <c r="R43" i="7"/>
  <c r="R47" i="7" s="1"/>
  <c r="R14" i="7"/>
  <c r="G29" i="18"/>
  <c r="G30" i="18" s="1"/>
  <c r="I11" i="6"/>
  <c r="I13" i="6" s="1"/>
  <c r="B33" i="8" l="1"/>
  <c r="B41" i="8"/>
  <c r="R21" i="7"/>
  <c r="R48" i="7"/>
  <c r="O50" i="7"/>
  <c r="M24" i="4"/>
  <c r="M30" i="4" s="1"/>
  <c r="M32" i="4" s="1"/>
  <c r="C79" i="2"/>
  <c r="S41" i="7"/>
  <c r="S45" i="7" s="1"/>
  <c r="S43" i="7"/>
  <c r="S47" i="7" s="1"/>
  <c r="S14" i="7"/>
  <c r="S18" i="4"/>
  <c r="R18" i="7"/>
  <c r="R19" i="7" s="1"/>
  <c r="R28" i="7"/>
  <c r="R33" i="7" s="1"/>
  <c r="R34" i="7" s="1"/>
  <c r="P12" i="8" s="1"/>
  <c r="T7" i="19"/>
  <c r="S7" i="33"/>
  <c r="S7" i="4"/>
  <c r="T7" i="7"/>
  <c r="S7" i="25"/>
  <c r="R7" i="8"/>
  <c r="U8" i="3"/>
  <c r="S6" i="33"/>
  <c r="T6" i="19"/>
  <c r="T6" i="7"/>
  <c r="S6" i="4"/>
  <c r="S10" i="4" s="1"/>
  <c r="S13" i="4" s="1"/>
  <c r="U21" i="3"/>
  <c r="R6" i="8"/>
  <c r="U7" i="3"/>
  <c r="T35" i="3"/>
  <c r="T36" i="3" s="1"/>
  <c r="T38" i="3" s="1"/>
  <c r="S11" i="4" s="1"/>
  <c r="S6" i="25"/>
  <c r="Q36" i="7"/>
  <c r="R36" i="7" s="1"/>
  <c r="C42" i="6"/>
  <c r="C39" i="6"/>
  <c r="C35" i="6"/>
  <c r="R13" i="4"/>
  <c r="J11" i="6"/>
  <c r="J13" i="6" s="1"/>
  <c r="U8" i="19"/>
  <c r="S8" i="33"/>
  <c r="S8" i="25"/>
  <c r="B22" i="8"/>
  <c r="C18" i="8" s="1"/>
  <c r="D23" i="32"/>
  <c r="E23" i="32" s="1"/>
  <c r="B24" i="32" s="1"/>
  <c r="L11" i="33"/>
  <c r="L13" i="33" s="1"/>
  <c r="L36" i="4"/>
  <c r="L11" i="25"/>
  <c r="K38" i="6"/>
  <c r="K29" i="6"/>
  <c r="T21" i="3"/>
  <c r="H31" i="18"/>
  <c r="G31" i="18" s="1"/>
  <c r="I31" i="18"/>
  <c r="A32" i="18"/>
  <c r="D24" i="32" l="1"/>
  <c r="E24" i="32" s="1"/>
  <c r="B25" i="32" s="1"/>
  <c r="G32" i="18"/>
  <c r="Q34" i="4"/>
  <c r="P11" i="8" s="1"/>
  <c r="R19" i="19"/>
  <c r="R20" i="19" s="1"/>
  <c r="R25" i="19" s="1"/>
  <c r="C45" i="6"/>
  <c r="D24" i="6" s="1"/>
  <c r="C44" i="6"/>
  <c r="T8" i="33"/>
  <c r="V8" i="19"/>
  <c r="T8" i="25"/>
  <c r="T14" i="7"/>
  <c r="T41" i="7"/>
  <c r="T45" i="7" s="1"/>
  <c r="T48" i="7" s="1"/>
  <c r="T43" i="7"/>
  <c r="T47" i="7" s="1"/>
  <c r="T7" i="33"/>
  <c r="U7" i="19"/>
  <c r="U7" i="7"/>
  <c r="V8" i="3"/>
  <c r="T7" i="4"/>
  <c r="S7" i="8"/>
  <c r="T7" i="25"/>
  <c r="M11" i="33"/>
  <c r="M36" i="4"/>
  <c r="M11" i="25"/>
  <c r="L29" i="6"/>
  <c r="L38" i="6"/>
  <c r="S18" i="7"/>
  <c r="S19" i="7" s="1"/>
  <c r="S28" i="7"/>
  <c r="S33" i="7" s="1"/>
  <c r="S34" i="7" s="1"/>
  <c r="Q12" i="8" s="1"/>
  <c r="S48" i="7"/>
  <c r="T6" i="33"/>
  <c r="U6" i="19"/>
  <c r="U6" i="7"/>
  <c r="V7" i="3"/>
  <c r="T6" i="25"/>
  <c r="U35" i="3"/>
  <c r="U36" i="3" s="1"/>
  <c r="U38" i="3" s="1"/>
  <c r="T11" i="4" s="1"/>
  <c r="S6" i="8"/>
  <c r="T6" i="4"/>
  <c r="T10" i="4" s="1"/>
  <c r="K11" i="6"/>
  <c r="K13" i="6" s="1"/>
  <c r="C48" i="6"/>
  <c r="C56" i="6"/>
  <c r="T18" i="4"/>
  <c r="N24" i="4"/>
  <c r="N30" i="4" s="1"/>
  <c r="N32" i="4" s="1"/>
  <c r="P50" i="7"/>
  <c r="S21" i="7"/>
  <c r="I32" i="18"/>
  <c r="H32" i="18"/>
  <c r="A33" i="18"/>
  <c r="C15" i="25"/>
  <c r="C15" i="33"/>
  <c r="C18" i="33" s="1"/>
  <c r="C22" i="33" s="1"/>
  <c r="B38" i="8"/>
  <c r="B36" i="8"/>
  <c r="D25" i="32" l="1"/>
  <c r="E25" i="32" s="1"/>
  <c r="B26" i="32"/>
  <c r="T21" i="7"/>
  <c r="S36" i="7"/>
  <c r="V6" i="19"/>
  <c r="U6" i="33"/>
  <c r="U6" i="4"/>
  <c r="V6" i="7"/>
  <c r="U6" i="25"/>
  <c r="W7" i="3"/>
  <c r="T6" i="8"/>
  <c r="V35" i="3"/>
  <c r="V36" i="3" s="1"/>
  <c r="V38" i="3" s="1"/>
  <c r="U11" i="4" s="1"/>
  <c r="N11" i="33"/>
  <c r="N36" i="4"/>
  <c r="N11" i="25"/>
  <c r="M29" i="6"/>
  <c r="M38" i="6"/>
  <c r="T13" i="4"/>
  <c r="C57" i="6"/>
  <c r="D38" i="4" s="1"/>
  <c r="D40" i="4" s="1"/>
  <c r="C58" i="6"/>
  <c r="B39" i="8"/>
  <c r="C35" i="8" s="1"/>
  <c r="C50" i="6"/>
  <c r="C52" i="6" s="1"/>
  <c r="D16" i="25"/>
  <c r="G33" i="18"/>
  <c r="D32" i="19"/>
  <c r="C18" i="25"/>
  <c r="C21" i="25" s="1"/>
  <c r="V21" i="3"/>
  <c r="I33" i="18"/>
  <c r="H33" i="18"/>
  <c r="H34" i="18" s="1"/>
  <c r="U18" i="4"/>
  <c r="R34" i="4"/>
  <c r="Q11" i="8" s="1"/>
  <c r="S19" i="19"/>
  <c r="S20" i="19" s="1"/>
  <c r="S25" i="19" s="1"/>
  <c r="D28" i="6"/>
  <c r="D27" i="6"/>
  <c r="S34" i="4"/>
  <c r="R11" i="8" s="1"/>
  <c r="T19" i="19"/>
  <c r="T20" i="19" s="1"/>
  <c r="T25" i="19" s="1"/>
  <c r="T28" i="7"/>
  <c r="T33" i="7" s="1"/>
  <c r="T34" i="7" s="1"/>
  <c r="R12" i="8" s="1"/>
  <c r="T18" i="7"/>
  <c r="T19" i="7" s="1"/>
  <c r="U14" i="7"/>
  <c r="U41" i="7"/>
  <c r="U45" i="7" s="1"/>
  <c r="U48" i="7" s="1"/>
  <c r="U43" i="7"/>
  <c r="U47" i="7" s="1"/>
  <c r="V7" i="19"/>
  <c r="U7" i="33"/>
  <c r="V7" i="7"/>
  <c r="W8" i="3"/>
  <c r="U7" i="25"/>
  <c r="U7" i="4"/>
  <c r="T7" i="8"/>
  <c r="W8" i="19"/>
  <c r="U8" i="33"/>
  <c r="U8" i="25"/>
  <c r="C40" i="33"/>
  <c r="C42" i="33" s="1"/>
  <c r="C32" i="33"/>
  <c r="C34" i="33" s="1"/>
  <c r="C48" i="33"/>
  <c r="C50" i="33" s="1"/>
  <c r="O24" i="4"/>
  <c r="O30" i="4" s="1"/>
  <c r="O32" i="4" s="1"/>
  <c r="Q50" i="7"/>
  <c r="L11" i="6"/>
  <c r="L13" i="6" s="1"/>
  <c r="V7" i="33" l="1"/>
  <c r="W7" i="19"/>
  <c r="W7" i="7"/>
  <c r="V7" i="4"/>
  <c r="X8" i="3"/>
  <c r="V7" i="25"/>
  <c r="U7" i="8"/>
  <c r="T34" i="4"/>
  <c r="S11" i="8" s="1"/>
  <c r="U19" i="19"/>
  <c r="U20" i="19" s="1"/>
  <c r="U25" i="19" s="1"/>
  <c r="D33" i="6"/>
  <c r="V14" i="7"/>
  <c r="V41" i="7"/>
  <c r="V45" i="7" s="1"/>
  <c r="V43" i="7"/>
  <c r="V47" i="7" s="1"/>
  <c r="O11" i="33"/>
  <c r="N38" i="6"/>
  <c r="O11" i="25"/>
  <c r="O36" i="4"/>
  <c r="N29" i="6"/>
  <c r="N11" i="6" s="1"/>
  <c r="N13" i="6" s="1"/>
  <c r="U18" i="7"/>
  <c r="U19" i="7" s="1"/>
  <c r="U28" i="7"/>
  <c r="U33" i="7" s="1"/>
  <c r="U34" i="7" s="1"/>
  <c r="S12" i="8" s="1"/>
  <c r="B80" i="2"/>
  <c r="C27" i="25"/>
  <c r="C28" i="25" s="1"/>
  <c r="C29" i="25" s="1"/>
  <c r="D25" i="25" s="1"/>
  <c r="C50" i="25"/>
  <c r="C52" i="25" s="1"/>
  <c r="C37" i="25"/>
  <c r="C38" i="25" s="1"/>
  <c r="C57" i="25"/>
  <c r="C59" i="25" s="1"/>
  <c r="C43" i="25"/>
  <c r="C45" i="25" s="1"/>
  <c r="U10" i="4"/>
  <c r="U13" i="4" s="1"/>
  <c r="V18" i="4"/>
  <c r="R50" i="7"/>
  <c r="P24" i="4"/>
  <c r="P30" i="4" s="1"/>
  <c r="P32" i="4" s="1"/>
  <c r="D37" i="19"/>
  <c r="D45" i="19" s="1"/>
  <c r="D47" i="19" s="1"/>
  <c r="D42" i="4"/>
  <c r="D43" i="4"/>
  <c r="C10" i="8"/>
  <c r="C13" i="8" s="1"/>
  <c r="D45" i="4"/>
  <c r="T36" i="7"/>
  <c r="U36" i="7" s="1"/>
  <c r="W6" i="19"/>
  <c r="V6" i="33"/>
  <c r="V6" i="4"/>
  <c r="V10" i="4" s="1"/>
  <c r="V13" i="4" s="1"/>
  <c r="W35" i="3"/>
  <c r="W36" i="3" s="1"/>
  <c r="W38" i="3" s="1"/>
  <c r="V11" i="4" s="1"/>
  <c r="W6" i="7"/>
  <c r="V6" i="25"/>
  <c r="U6" i="8"/>
  <c r="X7" i="3"/>
  <c r="X21" i="3" s="1"/>
  <c r="U21" i="7"/>
  <c r="W21" i="3"/>
  <c r="D26" i="32"/>
  <c r="E26" i="32" s="1"/>
  <c r="B27" i="32" s="1"/>
  <c r="D27" i="32" s="1"/>
  <c r="E27" i="32" s="1"/>
  <c r="X8" i="19"/>
  <c r="V8" i="33"/>
  <c r="V8" i="25"/>
  <c r="D26" i="6"/>
  <c r="D30" i="6" s="1"/>
  <c r="M11" i="6"/>
  <c r="M13" i="6" s="1"/>
  <c r="P11" i="33" l="1"/>
  <c r="P11" i="25"/>
  <c r="P36" i="4"/>
  <c r="O38" i="6"/>
  <c r="O29" i="6"/>
  <c r="O11" i="6" s="1"/>
  <c r="O13" i="6" s="1"/>
  <c r="V48" i="7"/>
  <c r="W6" i="33"/>
  <c r="X6" i="19"/>
  <c r="X6" i="7"/>
  <c r="W6" i="4"/>
  <c r="W10" i="4" s="1"/>
  <c r="W6" i="25"/>
  <c r="V6" i="8"/>
  <c r="X35" i="3"/>
  <c r="X36" i="3" s="1"/>
  <c r="X38" i="3" s="1"/>
  <c r="W11" i="4" s="1"/>
  <c r="Y7" i="3"/>
  <c r="W14" i="7"/>
  <c r="W41" i="7"/>
  <c r="W45" i="7" s="1"/>
  <c r="W48" i="7" s="1"/>
  <c r="W43" i="7"/>
  <c r="W47" i="7" s="1"/>
  <c r="V28" i="7"/>
  <c r="V33" i="7" s="1"/>
  <c r="V34" i="7" s="1"/>
  <c r="T12" i="8" s="1"/>
  <c r="V18" i="7"/>
  <c r="V19" i="7" s="1"/>
  <c r="X7" i="19"/>
  <c r="W7" i="33"/>
  <c r="X7" i="7"/>
  <c r="W7" i="4"/>
  <c r="Y8" i="3"/>
  <c r="W7" i="25"/>
  <c r="V7" i="8"/>
  <c r="V21" i="7"/>
  <c r="C78" i="2"/>
  <c r="E42" i="19"/>
  <c r="E43" i="19" s="1"/>
  <c r="S50" i="7"/>
  <c r="Q24" i="4"/>
  <c r="Q30" i="4" s="1"/>
  <c r="Q32" i="4" s="1"/>
  <c r="C16" i="8"/>
  <c r="C28" i="8"/>
  <c r="C24" i="8"/>
  <c r="D36" i="6"/>
  <c r="W18" i="4"/>
  <c r="D26" i="25"/>
  <c r="W8" i="33"/>
  <c r="Y8" i="19"/>
  <c r="W8" i="25"/>
  <c r="V34" i="4" l="1"/>
  <c r="U11" i="8" s="1"/>
  <c r="W19" i="19"/>
  <c r="W20" i="19" s="1"/>
  <c r="W25" i="19" s="1"/>
  <c r="W28" i="7"/>
  <c r="W33" i="7" s="1"/>
  <c r="W34" i="7" s="1"/>
  <c r="U12" i="8" s="1"/>
  <c r="W18" i="7"/>
  <c r="W19" i="7" s="1"/>
  <c r="W21" i="7" s="1"/>
  <c r="X41" i="7"/>
  <c r="X45" i="7" s="1"/>
  <c r="X48" i="7" s="1"/>
  <c r="X43" i="7"/>
  <c r="X47" i="7" s="1"/>
  <c r="X14" i="7"/>
  <c r="V36" i="7"/>
  <c r="Y6" i="7"/>
  <c r="X6" i="4"/>
  <c r="X10" i="4" s="1"/>
  <c r="Z7" i="3"/>
  <c r="Z21" i="3" s="1"/>
  <c r="Y35" i="3"/>
  <c r="Y36" i="3" s="1"/>
  <c r="Y38" i="3" s="1"/>
  <c r="X11" i="4" s="1"/>
  <c r="X6" i="25"/>
  <c r="W6" i="8"/>
  <c r="Y6" i="19"/>
  <c r="Y7" i="19"/>
  <c r="X7" i="4"/>
  <c r="Y7" i="7"/>
  <c r="Z8" i="3"/>
  <c r="X7" i="25"/>
  <c r="W7" i="8"/>
  <c r="Y21" i="3"/>
  <c r="E12" i="25"/>
  <c r="E13" i="25" s="1"/>
  <c r="D49" i="6"/>
  <c r="R24" i="4"/>
  <c r="R30" i="4" s="1"/>
  <c r="R32" i="4" s="1"/>
  <c r="T50" i="7"/>
  <c r="W13" i="4"/>
  <c r="U34" i="4"/>
  <c r="T11" i="8" s="1"/>
  <c r="V19" i="19"/>
  <c r="V20" i="19" s="1"/>
  <c r="V25" i="19" s="1"/>
  <c r="Z8" i="19"/>
  <c r="X8" i="25"/>
  <c r="D37" i="6"/>
  <c r="C29" i="8"/>
  <c r="C30" i="8" s="1"/>
  <c r="C19" i="8"/>
  <c r="C21" i="8"/>
  <c r="X18" i="4"/>
  <c r="Q36" i="4"/>
  <c r="Q11" i="33"/>
  <c r="Q11" i="25"/>
  <c r="P29" i="6"/>
  <c r="P38" i="6"/>
  <c r="C41" i="8" l="1"/>
  <c r="C33" i="8"/>
  <c r="W34" i="4"/>
  <c r="V11" i="8" s="1"/>
  <c r="X19" i="19"/>
  <c r="X20" i="19" s="1"/>
  <c r="X25" i="19" s="1"/>
  <c r="U50" i="7"/>
  <c r="S24" i="4"/>
  <c r="S30" i="4" s="1"/>
  <c r="S32" i="4" s="1"/>
  <c r="Z7" i="19"/>
  <c r="Z7" i="7"/>
  <c r="X7" i="8"/>
  <c r="Y7" i="4"/>
  <c r="AA8" i="3"/>
  <c r="Y7" i="25"/>
  <c r="D39" i="6"/>
  <c r="D42" i="6"/>
  <c r="D35" i="6"/>
  <c r="X13" i="4"/>
  <c r="D79" i="2"/>
  <c r="Y41" i="7"/>
  <c r="Y45" i="7" s="1"/>
  <c r="Y48" i="7" s="1"/>
  <c r="Y43" i="7"/>
  <c r="Y47" i="7" s="1"/>
  <c r="Y14" i="7"/>
  <c r="R11" i="33"/>
  <c r="R36" i="4"/>
  <c r="R11" i="25"/>
  <c r="Q38" i="6"/>
  <c r="Q29" i="6"/>
  <c r="Q11" i="6" s="1"/>
  <c r="Q13" i="6" s="1"/>
  <c r="Z6" i="19"/>
  <c r="Z6" i="7"/>
  <c r="Z35" i="3"/>
  <c r="Z36" i="3" s="1"/>
  <c r="Z38" i="3" s="1"/>
  <c r="Y11" i="4" s="1"/>
  <c r="AA7" i="3"/>
  <c r="Y6" i="4"/>
  <c r="Y10" i="4" s="1"/>
  <c r="Y13" i="4" s="1"/>
  <c r="Y6" i="25"/>
  <c r="X6" i="8"/>
  <c r="AA21" i="3"/>
  <c r="Y18" i="4"/>
  <c r="AA8" i="19"/>
  <c r="Y8" i="25"/>
  <c r="W36" i="7"/>
  <c r="X36" i="7" s="1"/>
  <c r="P11" i="6"/>
  <c r="P13" i="6" s="1"/>
  <c r="C22" i="8"/>
  <c r="D18" i="8" s="1"/>
  <c r="X28" i="7"/>
  <c r="X33" i="7" s="1"/>
  <c r="X34" i="7" s="1"/>
  <c r="V12" i="8" s="1"/>
  <c r="X18" i="7"/>
  <c r="X19" i="7" s="1"/>
  <c r="X21" i="7" s="1"/>
  <c r="Z14" i="7" l="1"/>
  <c r="Z41" i="7"/>
  <c r="Z45" i="7" s="1"/>
  <c r="Z48" i="7" s="1"/>
  <c r="Z43" i="7"/>
  <c r="Z47" i="7" s="1"/>
  <c r="Y28" i="7"/>
  <c r="Y33" i="7" s="1"/>
  <c r="Y34" i="7" s="1"/>
  <c r="W12" i="8" s="1"/>
  <c r="Y18" i="7"/>
  <c r="Y19" i="7" s="1"/>
  <c r="Y21" i="7" s="1"/>
  <c r="V50" i="7"/>
  <c r="T24" i="4"/>
  <c r="T30" i="4" s="1"/>
  <c r="T32" i="4" s="1"/>
  <c r="Z18" i="4"/>
  <c r="X34" i="4"/>
  <c r="W11" i="8" s="1"/>
  <c r="Y19" i="19"/>
  <c r="Y20" i="19" s="1"/>
  <c r="Y25" i="19" s="1"/>
  <c r="AA7" i="19"/>
  <c r="AA7" i="7"/>
  <c r="Z7" i="4"/>
  <c r="AB8" i="3"/>
  <c r="Z7" i="25"/>
  <c r="Y7" i="8"/>
  <c r="C36" i="8"/>
  <c r="C38" i="8"/>
  <c r="AB8" i="19"/>
  <c r="Z8" i="25"/>
  <c r="AA6" i="19"/>
  <c r="AA6" i="7"/>
  <c r="AA35" i="3"/>
  <c r="AA36" i="3" s="1"/>
  <c r="AA38" i="3" s="1"/>
  <c r="Z11" i="4" s="1"/>
  <c r="Y6" i="8"/>
  <c r="AB7" i="3"/>
  <c r="AB21" i="3" s="1"/>
  <c r="Z6" i="4"/>
  <c r="Z10" i="4" s="1"/>
  <c r="Z13" i="4" s="1"/>
  <c r="Z6" i="25"/>
  <c r="D56" i="6"/>
  <c r="D48" i="6"/>
  <c r="D15" i="33"/>
  <c r="D18" i="33" s="1"/>
  <c r="D22" i="33" s="1"/>
  <c r="D15" i="25"/>
  <c r="D44" i="6"/>
  <c r="D45" i="6"/>
  <c r="E24" i="6" s="1"/>
  <c r="S11" i="33"/>
  <c r="S36" i="4"/>
  <c r="S11" i="25"/>
  <c r="R29" i="6"/>
  <c r="R11" i="6" s="1"/>
  <c r="R13" i="6" s="1"/>
  <c r="R38" i="6"/>
  <c r="T11" i="33" l="1"/>
  <c r="T36" i="4"/>
  <c r="T11" i="25"/>
  <c r="S29" i="6"/>
  <c r="S11" i="6" s="1"/>
  <c r="S13" i="6" s="1"/>
  <c r="S38" i="6"/>
  <c r="D50" i="6"/>
  <c r="D52" i="6" s="1"/>
  <c r="E16" i="25"/>
  <c r="AA14" i="7"/>
  <c r="AA41" i="7"/>
  <c r="AA45" i="7" s="1"/>
  <c r="AA43" i="7"/>
  <c r="AA47" i="7" s="1"/>
  <c r="W50" i="7"/>
  <c r="U24" i="4"/>
  <c r="U30" i="4" s="1"/>
  <c r="U32" i="4" s="1"/>
  <c r="E28" i="6"/>
  <c r="E27" i="6"/>
  <c r="AC8" i="19"/>
  <c r="AA8" i="25"/>
  <c r="Y36" i="7"/>
  <c r="D58" i="6"/>
  <c r="D57" i="6"/>
  <c r="E38" i="4" s="1"/>
  <c r="E40" i="4" s="1"/>
  <c r="AB6" i="19"/>
  <c r="AB6" i="7"/>
  <c r="AA6" i="4"/>
  <c r="AA10" i="4" s="1"/>
  <c r="AA13" i="4" s="1"/>
  <c r="AC7" i="3"/>
  <c r="AA6" i="25"/>
  <c r="Z6" i="8"/>
  <c r="AB35" i="3"/>
  <c r="AB36" i="3" s="1"/>
  <c r="AB38" i="3" s="1"/>
  <c r="AA11" i="4" s="1"/>
  <c r="Y34" i="4"/>
  <c r="X11" i="8" s="1"/>
  <c r="Z19" i="19"/>
  <c r="Z20" i="19" s="1"/>
  <c r="Z25" i="19" s="1"/>
  <c r="D18" i="25"/>
  <c r="D21" i="25" s="1"/>
  <c r="E32" i="19"/>
  <c r="C39" i="8"/>
  <c r="D35" i="8" s="1"/>
  <c r="AA18" i="4"/>
  <c r="Z28" i="7"/>
  <c r="Z33" i="7" s="1"/>
  <c r="Z34" i="7" s="1"/>
  <c r="X12" i="8" s="1"/>
  <c r="Z18" i="7"/>
  <c r="Z19" i="7" s="1"/>
  <c r="Z21" i="7" s="1"/>
  <c r="D48" i="33"/>
  <c r="D50" i="33" s="1"/>
  <c r="D32" i="33"/>
  <c r="D34" i="33" s="1"/>
  <c r="D40" i="33"/>
  <c r="D42" i="33" s="1"/>
  <c r="AB7" i="19"/>
  <c r="AA7" i="4"/>
  <c r="AB7" i="7"/>
  <c r="AA7" i="25"/>
  <c r="Z7" i="8"/>
  <c r="AC8" i="3"/>
  <c r="AD8" i="19" l="1"/>
  <c r="AB8" i="25"/>
  <c r="E37" i="19"/>
  <c r="E45" i="19" s="1"/>
  <c r="E47" i="19" s="1"/>
  <c r="AC6" i="19"/>
  <c r="AB6" i="4"/>
  <c r="AB10" i="4" s="1"/>
  <c r="AC6" i="7"/>
  <c r="AD7" i="3"/>
  <c r="AD21" i="3" s="1"/>
  <c r="AB6" i="25"/>
  <c r="AC35" i="3"/>
  <c r="AC36" i="3" s="1"/>
  <c r="AC38" i="3" s="1"/>
  <c r="AB11" i="4" s="1"/>
  <c r="AA6" i="8"/>
  <c r="AB14" i="7"/>
  <c r="AB41" i="7"/>
  <c r="AB45" i="7" s="1"/>
  <c r="AB43" i="7"/>
  <c r="AB47" i="7" s="1"/>
  <c r="AA48" i="7"/>
  <c r="AB18" i="4"/>
  <c r="E33" i="6"/>
  <c r="E30" i="6"/>
  <c r="AC7" i="19"/>
  <c r="AB7" i="4"/>
  <c r="AA7" i="8"/>
  <c r="AB7" i="25"/>
  <c r="AC7" i="7"/>
  <c r="AD8" i="3"/>
  <c r="C80" i="2"/>
  <c r="D43" i="25"/>
  <c r="D45" i="25" s="1"/>
  <c r="D57" i="25"/>
  <c r="D59" i="25" s="1"/>
  <c r="D27" i="25"/>
  <c r="D28" i="25" s="1"/>
  <c r="D29" i="25" s="1"/>
  <c r="E25" i="25" s="1"/>
  <c r="D50" i="25"/>
  <c r="D52" i="25" s="1"/>
  <c r="D37" i="25"/>
  <c r="D38" i="25" s="1"/>
  <c r="AC21" i="3"/>
  <c r="Z36" i="7"/>
  <c r="AA36" i="7" s="1"/>
  <c r="U11" i="33"/>
  <c r="U36" i="4"/>
  <c r="U11" i="25"/>
  <c r="T29" i="6"/>
  <c r="T38" i="6"/>
  <c r="X50" i="7"/>
  <c r="V24" i="4"/>
  <c r="V30" i="4" s="1"/>
  <c r="V32" i="4" s="1"/>
  <c r="E42" i="4"/>
  <c r="D10" i="8"/>
  <c r="D13" i="8" s="1"/>
  <c r="E26" i="6"/>
  <c r="AA18" i="7"/>
  <c r="AA19" i="7" s="1"/>
  <c r="AA21" i="7" s="1"/>
  <c r="AA28" i="7"/>
  <c r="AA33" i="7" s="1"/>
  <c r="AA34" i="7" s="1"/>
  <c r="Y12" i="8" s="1"/>
  <c r="V11" i="33" l="1"/>
  <c r="V36" i="4"/>
  <c r="V11" i="25"/>
  <c r="U38" i="6"/>
  <c r="U29" i="6"/>
  <c r="U11" i="6" s="1"/>
  <c r="U13" i="6" s="1"/>
  <c r="AD7" i="19"/>
  <c r="AD7" i="7"/>
  <c r="AE8" i="3"/>
  <c r="AC7" i="25"/>
  <c r="AC7" i="4"/>
  <c r="AB7" i="8"/>
  <c r="AC41" i="7"/>
  <c r="AC45" i="7" s="1"/>
  <c r="AC43" i="7"/>
  <c r="AC47" i="7" s="1"/>
  <c r="AC14" i="7"/>
  <c r="E43" i="4"/>
  <c r="E45" i="4" s="1"/>
  <c r="E26" i="25"/>
  <c r="AC18" i="4"/>
  <c r="Z34" i="4"/>
  <c r="Y11" i="8" s="1"/>
  <c r="AA19" i="19"/>
  <c r="AA20" i="19" s="1"/>
  <c r="AA25" i="19" s="1"/>
  <c r="AD6" i="19"/>
  <c r="AC6" i="4"/>
  <c r="AC10" i="4" s="1"/>
  <c r="AC13" i="4" s="1"/>
  <c r="AD6" i="7"/>
  <c r="AC6" i="25"/>
  <c r="AB6" i="8"/>
  <c r="AD35" i="3"/>
  <c r="AD36" i="3" s="1"/>
  <c r="AD38" i="3" s="1"/>
  <c r="AC11" i="4" s="1"/>
  <c r="AE7" i="3"/>
  <c r="AB48" i="7"/>
  <c r="T11" i="6"/>
  <c r="T13" i="6" s="1"/>
  <c r="D28" i="8"/>
  <c r="D16" i="8"/>
  <c r="D24" i="8"/>
  <c r="AB36" i="7"/>
  <c r="W24" i="4"/>
  <c r="W30" i="4" s="1"/>
  <c r="W32" i="4" s="1"/>
  <c r="Y50" i="7"/>
  <c r="AE8" i="19"/>
  <c r="AC8" i="25"/>
  <c r="E36" i="6"/>
  <c r="E37" i="6"/>
  <c r="AB28" i="7"/>
  <c r="AB33" i="7" s="1"/>
  <c r="AB34" i="7" s="1"/>
  <c r="Z12" i="8" s="1"/>
  <c r="AB18" i="7"/>
  <c r="AB19" i="7" s="1"/>
  <c r="AB21" i="7" s="1"/>
  <c r="AB13" i="4"/>
  <c r="F42" i="19" l="1"/>
  <c r="F43" i="19" s="1"/>
  <c r="D78" i="2"/>
  <c r="E39" i="6"/>
  <c r="E42" i="6"/>
  <c r="AD14" i="7"/>
  <c r="AD41" i="7"/>
  <c r="AD45" i="7" s="1"/>
  <c r="AD43" i="7"/>
  <c r="AD47" i="7" s="1"/>
  <c r="E35" i="6"/>
  <c r="D29" i="8"/>
  <c r="AC48" i="7"/>
  <c r="AE6" i="19"/>
  <c r="AE6" i="7"/>
  <c r="AD6" i="4"/>
  <c r="AD10" i="4" s="1"/>
  <c r="AF7" i="3"/>
  <c r="AE35" i="3"/>
  <c r="AE36" i="3" s="1"/>
  <c r="AE38" i="3" s="1"/>
  <c r="AD11" i="4" s="1"/>
  <c r="AD6" i="25"/>
  <c r="AC6" i="8"/>
  <c r="AC18" i="7"/>
  <c r="AC19" i="7" s="1"/>
  <c r="AC21" i="7" s="1"/>
  <c r="AC28" i="7"/>
  <c r="AC33" i="7" s="1"/>
  <c r="AC34" i="7" s="1"/>
  <c r="AA12" i="8" s="1"/>
  <c r="AF8" i="19"/>
  <c r="AD8" i="25"/>
  <c r="D19" i="8"/>
  <c r="D21" i="8"/>
  <c r="AE21" i="3"/>
  <c r="Z50" i="7"/>
  <c r="X24" i="4"/>
  <c r="X30" i="4" s="1"/>
  <c r="X32" i="4" s="1"/>
  <c r="D30" i="8"/>
  <c r="AD18" i="4"/>
  <c r="W11" i="33"/>
  <c r="W11" i="25"/>
  <c r="W36" i="4"/>
  <c r="W44" i="25"/>
  <c r="V38" i="6"/>
  <c r="V29" i="6"/>
  <c r="V11" i="6" s="1"/>
  <c r="V13" i="6" s="1"/>
  <c r="AE7" i="19"/>
  <c r="AE7" i="7"/>
  <c r="AF8" i="3"/>
  <c r="AD7" i="25"/>
  <c r="AD7" i="4"/>
  <c r="AC7" i="8"/>
  <c r="F12" i="25"/>
  <c r="F13" i="25" s="1"/>
  <c r="E49" i="6"/>
  <c r="AA34" i="4"/>
  <c r="Z11" i="8" s="1"/>
  <c r="AB19" i="19"/>
  <c r="AB20" i="19" s="1"/>
  <c r="AB25" i="19" s="1"/>
  <c r="D22" i="8" l="1"/>
  <c r="E18" i="8" s="1"/>
  <c r="AE18" i="4"/>
  <c r="AF6" i="19"/>
  <c r="AE6" i="4"/>
  <c r="AE10" i="4" s="1"/>
  <c r="AE6" i="25"/>
  <c r="AD6" i="8"/>
  <c r="AG7" i="3"/>
  <c r="AF35" i="3"/>
  <c r="AF36" i="3" s="1"/>
  <c r="AF38" i="3" s="1"/>
  <c r="AE11" i="4" s="1"/>
  <c r="AF6" i="7"/>
  <c r="D33" i="8"/>
  <c r="D41" i="8"/>
  <c r="AF7" i="19"/>
  <c r="AF7" i="7"/>
  <c r="AE7" i="4"/>
  <c r="AG8" i="3"/>
  <c r="AE7" i="25"/>
  <c r="AD7" i="8"/>
  <c r="AD48" i="7"/>
  <c r="AG8" i="19"/>
  <c r="AE8" i="25"/>
  <c r="AB34" i="4"/>
  <c r="AA11" i="8" s="1"/>
  <c r="AC19" i="19"/>
  <c r="AC20" i="19" s="1"/>
  <c r="AC25" i="19" s="1"/>
  <c r="AF21" i="3"/>
  <c r="AD28" i="7"/>
  <c r="AD33" i="7" s="1"/>
  <c r="AD34" i="7" s="1"/>
  <c r="AB12" i="8" s="1"/>
  <c r="AD18" i="7"/>
  <c r="AD19" i="7" s="1"/>
  <c r="AD21" i="7" s="1"/>
  <c r="E45" i="6"/>
  <c r="F24" i="6" s="1"/>
  <c r="E44" i="6"/>
  <c r="AD13" i="4"/>
  <c r="X36" i="4"/>
  <c r="X11" i="25"/>
  <c r="W38" i="6"/>
  <c r="W29" i="6"/>
  <c r="AE41" i="7"/>
  <c r="AE45" i="7" s="1"/>
  <c r="AE43" i="7"/>
  <c r="AE47" i="7" s="1"/>
  <c r="AE14" i="7"/>
  <c r="E56" i="6"/>
  <c r="E48" i="6"/>
  <c r="AA50" i="7"/>
  <c r="Y24" i="4"/>
  <c r="Y30" i="4" s="1"/>
  <c r="Y32" i="4" s="1"/>
  <c r="AC36" i="7"/>
  <c r="AD36" i="7" s="1"/>
  <c r="AH8" i="19" l="1"/>
  <c r="AG8" i="25" s="1"/>
  <c r="AF8" i="25"/>
  <c r="E15" i="25"/>
  <c r="E15" i="33"/>
  <c r="E18" i="33" s="1"/>
  <c r="E22" i="33" s="1"/>
  <c r="AE13" i="4"/>
  <c r="D36" i="8"/>
  <c r="D38" i="8"/>
  <c r="E58" i="6"/>
  <c r="AE28" i="7"/>
  <c r="AE33" i="7" s="1"/>
  <c r="AE34" i="7" s="1"/>
  <c r="AC12" i="8" s="1"/>
  <c r="AE18" i="7"/>
  <c r="AE19" i="7" s="1"/>
  <c r="AE21" i="7" s="1"/>
  <c r="E57" i="6"/>
  <c r="F38" i="4" s="1"/>
  <c r="F40" i="4" s="1"/>
  <c r="AF18" i="4"/>
  <c r="E50" i="6"/>
  <c r="E52" i="6" s="1"/>
  <c r="F16" i="25"/>
  <c r="AC34" i="4"/>
  <c r="AB11" i="8" s="1"/>
  <c r="AD19" i="19"/>
  <c r="AD20" i="19" s="1"/>
  <c r="AD25" i="19" s="1"/>
  <c r="AF14" i="7"/>
  <c r="AF41" i="7"/>
  <c r="AF45" i="7" s="1"/>
  <c r="AF43" i="7"/>
  <c r="AF47" i="7" s="1"/>
  <c r="Y11" i="25"/>
  <c r="Y36" i="4"/>
  <c r="X38" i="6"/>
  <c r="X29" i="6"/>
  <c r="F27" i="6"/>
  <c r="AG7" i="19"/>
  <c r="AG7" i="7"/>
  <c r="AF7" i="4"/>
  <c r="AF7" i="25"/>
  <c r="AE7" i="8"/>
  <c r="AH8" i="3"/>
  <c r="AG6" i="19"/>
  <c r="AG6" i="7"/>
  <c r="AF6" i="25"/>
  <c r="AH7" i="3"/>
  <c r="AE6" i="8"/>
  <c r="AF6" i="4"/>
  <c r="AF10" i="4" s="1"/>
  <c r="AH21" i="3"/>
  <c r="AG35" i="3"/>
  <c r="AG36" i="3" s="1"/>
  <c r="AG38" i="3" s="1"/>
  <c r="AF11" i="4" s="1"/>
  <c r="Z24" i="4"/>
  <c r="Z30" i="4" s="1"/>
  <c r="Z32" i="4" s="1"/>
  <c r="AB50" i="7"/>
  <c r="AE48" i="7"/>
  <c r="W11" i="6"/>
  <c r="W13" i="6" s="1"/>
  <c r="AG21" i="3"/>
  <c r="X11" i="6" l="1"/>
  <c r="X13" i="6" s="1"/>
  <c r="AE36" i="7"/>
  <c r="F32" i="19"/>
  <c r="E18" i="25"/>
  <c r="E21" i="25" s="1"/>
  <c r="AD34" i="4"/>
  <c r="AC11" i="8" s="1"/>
  <c r="AE19" i="19"/>
  <c r="AE20" i="19" s="1"/>
  <c r="AE25" i="19" s="1"/>
  <c r="AH6" i="19"/>
  <c r="AH6" i="7"/>
  <c r="AG6" i="4"/>
  <c r="AG10" i="4" s="1"/>
  <c r="AG13" i="4" s="1"/>
  <c r="AH35" i="3"/>
  <c r="AH36" i="3" s="1"/>
  <c r="AH38" i="3" s="1"/>
  <c r="AG11" i="4" s="1"/>
  <c r="AG6" i="25"/>
  <c r="AF6" i="8"/>
  <c r="AH7" i="19"/>
  <c r="AH7" i="7"/>
  <c r="AG7" i="4"/>
  <c r="AG7" i="25"/>
  <c r="AF7" i="8"/>
  <c r="AF13" i="4"/>
  <c r="E40" i="33"/>
  <c r="E42" i="33" s="1"/>
  <c r="E48" i="33"/>
  <c r="E50" i="33" s="1"/>
  <c r="E32" i="33"/>
  <c r="E34" i="33" s="1"/>
  <c r="AC50" i="7"/>
  <c r="AA24" i="4"/>
  <c r="AA30" i="4" s="1"/>
  <c r="AA32" i="4" s="1"/>
  <c r="Z36" i="4"/>
  <c r="Z11" i="25"/>
  <c r="Y38" i="6"/>
  <c r="Y29" i="6"/>
  <c r="Y11" i="6" s="1"/>
  <c r="Y13" i="6" s="1"/>
  <c r="AG14" i="7"/>
  <c r="AG41" i="7"/>
  <c r="AG45" i="7" s="1"/>
  <c r="AG43" i="7"/>
  <c r="AG47" i="7" s="1"/>
  <c r="AF48" i="7"/>
  <c r="AG18" i="4"/>
  <c r="F28" i="6"/>
  <c r="AF28" i="7"/>
  <c r="AF33" i="7" s="1"/>
  <c r="AF34" i="7" s="1"/>
  <c r="AD12" i="8" s="1"/>
  <c r="AF18" i="7"/>
  <c r="AF19" i="7" s="1"/>
  <c r="AF21" i="7" s="1"/>
  <c r="F42" i="4"/>
  <c r="F43" i="4" s="1"/>
  <c r="E10" i="8"/>
  <c r="E13" i="8" s="1"/>
  <c r="D39" i="8"/>
  <c r="E35" i="8" s="1"/>
  <c r="AG48" i="7" l="1"/>
  <c r="AH41" i="7"/>
  <c r="AH45" i="7" s="1"/>
  <c r="AH48" i="7" s="1"/>
  <c r="AH43" i="7"/>
  <c r="AH47" i="7" s="1"/>
  <c r="AH14" i="7"/>
  <c r="AD50" i="7"/>
  <c r="AB24" i="4"/>
  <c r="AB30" i="4" s="1"/>
  <c r="AB32" i="4" s="1"/>
  <c r="AG28" i="7"/>
  <c r="AG33" i="7" s="1"/>
  <c r="AG34" i="7" s="1"/>
  <c r="AE12" i="8" s="1"/>
  <c r="AG18" i="7"/>
  <c r="AG19" i="7" s="1"/>
  <c r="AG21" i="7" s="1"/>
  <c r="E28" i="8"/>
  <c r="E24" i="8"/>
  <c r="E16" i="8"/>
  <c r="F33" i="6"/>
  <c r="F26" i="6"/>
  <c r="F30" i="6" s="1"/>
  <c r="D80" i="2"/>
  <c r="E43" i="25"/>
  <c r="E45" i="25" s="1"/>
  <c r="E57" i="25"/>
  <c r="E59" i="25" s="1"/>
  <c r="E27" i="25"/>
  <c r="E28" i="25" s="1"/>
  <c r="E29" i="25" s="1"/>
  <c r="F25" i="25" s="1"/>
  <c r="E50" i="25"/>
  <c r="E52" i="25" s="1"/>
  <c r="E37" i="25"/>
  <c r="E38" i="25" s="1"/>
  <c r="F45" i="4"/>
  <c r="G42" i="19" s="1"/>
  <c r="G43" i="19" s="1"/>
  <c r="F37" i="19"/>
  <c r="F45" i="19" s="1"/>
  <c r="F47" i="19" s="1"/>
  <c r="AE34" i="4"/>
  <c r="AD11" i="8" s="1"/>
  <c r="AF19" i="19"/>
  <c r="AF20" i="19" s="1"/>
  <c r="AF25" i="19" s="1"/>
  <c r="AA11" i="25"/>
  <c r="AA36" i="4"/>
  <c r="Z38" i="6"/>
  <c r="Z29" i="6"/>
  <c r="AF36" i="7"/>
  <c r="E21" i="8" l="1"/>
  <c r="E19" i="8"/>
  <c r="AH28" i="7"/>
  <c r="AH33" i="7" s="1"/>
  <c r="AH34" i="7" s="1"/>
  <c r="AF12" i="8" s="1"/>
  <c r="AH18" i="7"/>
  <c r="AH19" i="7" s="1"/>
  <c r="AH21" i="7" s="1"/>
  <c r="F36" i="6"/>
  <c r="F37" i="6"/>
  <c r="AF34" i="4"/>
  <c r="AE11" i="8" s="1"/>
  <c r="AG19" i="19"/>
  <c r="AG20" i="19" s="1"/>
  <c r="AG25" i="19" s="1"/>
  <c r="AE50" i="7"/>
  <c r="AC24" i="4"/>
  <c r="AC30" i="4" s="1"/>
  <c r="AC32" i="4" s="1"/>
  <c r="AG36" i="7"/>
  <c r="Z11" i="6"/>
  <c r="Z13" i="6" s="1"/>
  <c r="E29" i="8"/>
  <c r="E30" i="8" s="1"/>
  <c r="AG34" i="4"/>
  <c r="AF11" i="8" s="1"/>
  <c r="AH19" i="19"/>
  <c r="AH20" i="19" s="1"/>
  <c r="AH25" i="19" s="1"/>
  <c r="F26" i="25"/>
  <c r="AB36" i="4"/>
  <c r="AB11" i="25"/>
  <c r="AA38" i="6"/>
  <c r="AA29" i="6"/>
  <c r="AA11" i="6" s="1"/>
  <c r="AA13" i="6" s="1"/>
  <c r="E33" i="8" l="1"/>
  <c r="E41" i="8"/>
  <c r="AD24" i="4"/>
  <c r="AD30" i="4" s="1"/>
  <c r="AD32" i="4" s="1"/>
  <c r="AF50" i="7"/>
  <c r="E22" i="8"/>
  <c r="F18" i="8" s="1"/>
  <c r="AC36" i="4"/>
  <c r="AC11" i="25"/>
  <c r="AB29" i="6"/>
  <c r="AB38" i="6"/>
  <c r="F42" i="6"/>
  <c r="F35" i="6"/>
  <c r="AH36" i="7"/>
  <c r="F49" i="6"/>
  <c r="G12" i="25"/>
  <c r="G13" i="25" s="1"/>
  <c r="AG50" i="7" l="1"/>
  <c r="AE24" i="4"/>
  <c r="AE30" i="4" s="1"/>
  <c r="AE32" i="4" s="1"/>
  <c r="AD36" i="4"/>
  <c r="AD11" i="25"/>
  <c r="AC38" i="6"/>
  <c r="AC29" i="6"/>
  <c r="AC11" i="6" s="1"/>
  <c r="AC13" i="6" s="1"/>
  <c r="F48" i="6"/>
  <c r="F56" i="6"/>
  <c r="F45" i="6"/>
  <c r="G24" i="6" s="1"/>
  <c r="F44" i="6"/>
  <c r="F15" i="33"/>
  <c r="F18" i="33" s="1"/>
  <c r="F22" i="33" s="1"/>
  <c r="F15" i="25"/>
  <c r="AB11" i="6"/>
  <c r="AB13" i="6" s="1"/>
  <c r="F39" i="6"/>
  <c r="E38" i="8"/>
  <c r="E36" i="8"/>
  <c r="E39" i="8" l="1"/>
  <c r="F35" i="8" s="1"/>
  <c r="G27" i="6"/>
  <c r="F18" i="25"/>
  <c r="F21" i="25" s="1"/>
  <c r="G32" i="19"/>
  <c r="F50" i="6"/>
  <c r="F52" i="6" s="1"/>
  <c r="G16" i="25"/>
  <c r="F32" i="33"/>
  <c r="F34" i="33" s="1"/>
  <c r="F40" i="33"/>
  <c r="F42" i="33" s="1"/>
  <c r="F48" i="33"/>
  <c r="F50" i="33" s="1"/>
  <c r="AH50" i="7"/>
  <c r="AG24" i="4" s="1"/>
  <c r="AG30" i="4" s="1"/>
  <c r="AG32" i="4" s="1"/>
  <c r="AF24" i="4"/>
  <c r="AF30" i="4" s="1"/>
  <c r="AF32" i="4" s="1"/>
  <c r="F57" i="6"/>
  <c r="G38" i="4" s="1"/>
  <c r="G40" i="4" s="1"/>
  <c r="AD38" i="6"/>
  <c r="AE36" i="4"/>
  <c r="AE11" i="25"/>
  <c r="AD29" i="6"/>
  <c r="G42" i="4" l="1"/>
  <c r="G45" i="4" s="1"/>
  <c r="H42" i="19" s="1"/>
  <c r="H43" i="19" s="1"/>
  <c r="G43" i="4"/>
  <c r="F10" i="8"/>
  <c r="F13" i="8" s="1"/>
  <c r="F58" i="6"/>
  <c r="F43" i="25"/>
  <c r="F45" i="25" s="1"/>
  <c r="F27" i="25"/>
  <c r="F28" i="25" s="1"/>
  <c r="F29" i="25" s="1"/>
  <c r="G25" i="25" s="1"/>
  <c r="F57" i="25"/>
  <c r="F59" i="25" s="1"/>
  <c r="F50" i="25"/>
  <c r="F52" i="25" s="1"/>
  <c r="F37" i="25"/>
  <c r="F38" i="25" s="1"/>
  <c r="G37" i="19"/>
  <c r="G45" i="19" s="1"/>
  <c r="G47" i="19" s="1"/>
  <c r="AF36" i="4"/>
  <c r="AF11" i="25"/>
  <c r="AG44" i="25"/>
  <c r="AE38" i="6"/>
  <c r="AE29" i="6"/>
  <c r="AD11" i="6"/>
  <c r="AD13" i="6" s="1"/>
  <c r="AG11" i="25"/>
  <c r="AG36" i="4"/>
  <c r="AF29" i="6"/>
  <c r="AF11" i="6" s="1"/>
  <c r="AF13" i="6" s="1"/>
  <c r="AF38" i="6"/>
  <c r="G28" i="6"/>
  <c r="F16" i="8" l="1"/>
  <c r="F28" i="8"/>
  <c r="G33" i="6"/>
  <c r="G26" i="6"/>
  <c r="G30" i="6" s="1"/>
  <c r="G26" i="25"/>
  <c r="AE11" i="6"/>
  <c r="AE13" i="6" s="1"/>
  <c r="G36" i="6" l="1"/>
  <c r="F21" i="8"/>
  <c r="F19" i="8"/>
  <c r="F24" i="8" l="1"/>
  <c r="F22" i="8"/>
  <c r="G18" i="8" s="1"/>
  <c r="G49" i="6"/>
  <c r="H12" i="25"/>
  <c r="H13" i="25" s="1"/>
  <c r="G37" i="6"/>
  <c r="G42" i="6" l="1"/>
  <c r="G35" i="6"/>
  <c r="G39" i="6" s="1"/>
  <c r="F29" i="8"/>
  <c r="F30" i="8" s="1"/>
  <c r="F33" i="8" l="1"/>
  <c r="G48" i="6"/>
  <c r="G56" i="6"/>
  <c r="G44" i="6"/>
  <c r="G45" i="6"/>
  <c r="H24" i="6" s="1"/>
  <c r="G57" i="6" l="1"/>
  <c r="H38" i="4" s="1"/>
  <c r="H40" i="4" s="1"/>
  <c r="G50" i="6"/>
  <c r="G52" i="6" s="1"/>
  <c r="H16" i="25"/>
  <c r="H27" i="6"/>
  <c r="G58" i="6"/>
  <c r="F36" i="8"/>
  <c r="F38" i="8"/>
  <c r="H28" i="6" l="1"/>
  <c r="F41" i="8"/>
  <c r="H42" i="4"/>
  <c r="H43" i="4" s="1"/>
  <c r="G10" i="8"/>
  <c r="G13" i="8" s="1"/>
  <c r="F39" i="8"/>
  <c r="G35" i="8" s="1"/>
  <c r="G15" i="25" l="1"/>
  <c r="G15" i="33"/>
  <c r="G18" i="33" s="1"/>
  <c r="G22" i="33" s="1"/>
  <c r="H33" i="6"/>
  <c r="H26" i="6"/>
  <c r="H30" i="6" s="1"/>
  <c r="G16" i="8"/>
  <c r="G28" i="8"/>
  <c r="H45" i="4"/>
  <c r="I42" i="19" s="1"/>
  <c r="I43" i="19" s="1"/>
  <c r="G19" i="8" l="1"/>
  <c r="G21" i="8"/>
  <c r="H36" i="6"/>
  <c r="G32" i="33"/>
  <c r="G34" i="33" s="1"/>
  <c r="C35" i="33" s="1"/>
  <c r="G40" i="33"/>
  <c r="G42" i="33" s="1"/>
  <c r="G48" i="33"/>
  <c r="G50" i="33" s="1"/>
  <c r="G18" i="25"/>
  <c r="G21" i="25" s="1"/>
  <c r="H32" i="19"/>
  <c r="H49" i="6" l="1"/>
  <c r="I12" i="25"/>
  <c r="I13" i="25" s="1"/>
  <c r="G27" i="25"/>
  <c r="G28" i="25" s="1"/>
  <c r="G29" i="25" s="1"/>
  <c r="H25" i="25" s="1"/>
  <c r="G37" i="25"/>
  <c r="G38" i="25" s="1"/>
  <c r="G50" i="25"/>
  <c r="G52" i="25" s="1"/>
  <c r="G57" i="25"/>
  <c r="G59" i="25" s="1"/>
  <c r="G43" i="25"/>
  <c r="G45" i="25" s="1"/>
  <c r="H37" i="6"/>
  <c r="G22" i="8"/>
  <c r="H18" i="8" s="1"/>
  <c r="H37" i="19"/>
  <c r="H45" i="19" s="1"/>
  <c r="H47" i="19" s="1"/>
  <c r="G24" i="8"/>
  <c r="H26" i="25" l="1"/>
  <c r="G29" i="8"/>
  <c r="G30" i="8" s="1"/>
  <c r="H42" i="6"/>
  <c r="H35" i="6"/>
  <c r="H44" i="6" l="1"/>
  <c r="H45" i="6"/>
  <c r="I24" i="6" s="1"/>
  <c r="G33" i="8"/>
  <c r="H56" i="6"/>
  <c r="H48" i="6"/>
  <c r="H39" i="6"/>
  <c r="H50" i="6" l="1"/>
  <c r="H52" i="6" s="1"/>
  <c r="I16" i="25"/>
  <c r="G36" i="8"/>
  <c r="G38" i="8"/>
  <c r="I27" i="6"/>
  <c r="I28" i="6"/>
  <c r="H58" i="6"/>
  <c r="H57" i="6"/>
  <c r="I38" i="4" s="1"/>
  <c r="I40" i="4" s="1"/>
  <c r="I33" i="6" l="1"/>
  <c r="I26" i="6"/>
  <c r="I30" i="6" s="1"/>
  <c r="G41" i="8"/>
  <c r="G39" i="8"/>
  <c r="H35" i="8" s="1"/>
  <c r="I42" i="4"/>
  <c r="I43" i="4" s="1"/>
  <c r="I45" i="4" s="1"/>
  <c r="J42" i="19" s="1"/>
  <c r="J43" i="19" s="1"/>
  <c r="H10" i="8"/>
  <c r="H13" i="8" s="1"/>
  <c r="H15" i="33" l="1"/>
  <c r="H18" i="33" s="1"/>
  <c r="H22" i="33" s="1"/>
  <c r="H15" i="25"/>
  <c r="I36" i="6"/>
  <c r="I37" i="6" s="1"/>
  <c r="H28" i="8"/>
  <c r="H16" i="8"/>
  <c r="I42" i="6" l="1"/>
  <c r="I35" i="6"/>
  <c r="J12" i="25"/>
  <c r="J13" i="25" s="1"/>
  <c r="I49" i="6"/>
  <c r="H18" i="25"/>
  <c r="H21" i="25" s="1"/>
  <c r="I32" i="19"/>
  <c r="H21" i="8"/>
  <c r="H19" i="8"/>
  <c r="H48" i="33"/>
  <c r="H50" i="33" s="1"/>
  <c r="H40" i="33"/>
  <c r="H42" i="33" s="1"/>
  <c r="I37" i="19" l="1"/>
  <c r="I45" i="19" s="1"/>
  <c r="I47" i="19" s="1"/>
  <c r="H37" i="25"/>
  <c r="H38" i="25" s="1"/>
  <c r="H43" i="25"/>
  <c r="H45" i="25" s="1"/>
  <c r="H27" i="25"/>
  <c r="H28" i="25" s="1"/>
  <c r="H29" i="25" s="1"/>
  <c r="I25" i="25" s="1"/>
  <c r="H57" i="25"/>
  <c r="H59" i="25" s="1"/>
  <c r="H50" i="25"/>
  <c r="H52" i="25" s="1"/>
  <c r="H22" i="8"/>
  <c r="I18" i="8" s="1"/>
  <c r="I45" i="6"/>
  <c r="J24" i="6" s="1"/>
  <c r="I44" i="6"/>
  <c r="I56" i="6"/>
  <c r="I48" i="6"/>
  <c r="H24" i="8"/>
  <c r="I39" i="6"/>
  <c r="I50" i="6" l="1"/>
  <c r="I52" i="6" s="1"/>
  <c r="J16" i="25"/>
  <c r="I26" i="25"/>
  <c r="I57" i="6"/>
  <c r="J38" i="4" s="1"/>
  <c r="J40" i="4" s="1"/>
  <c r="H29" i="8"/>
  <c r="H30" i="8" s="1"/>
  <c r="J27" i="6"/>
  <c r="I10" i="8" l="1"/>
  <c r="I13" i="8" s="1"/>
  <c r="J42" i="4"/>
  <c r="J43" i="4" s="1"/>
  <c r="J28" i="6"/>
  <c r="H33" i="8"/>
  <c r="I58" i="6"/>
  <c r="J45" i="4" l="1"/>
  <c r="K42" i="19" s="1"/>
  <c r="K43" i="19" s="1"/>
  <c r="J30" i="6"/>
  <c r="J33" i="6"/>
  <c r="J26" i="6"/>
  <c r="I16" i="8"/>
  <c r="I28" i="8"/>
  <c r="H36" i="8"/>
  <c r="H38" i="8"/>
  <c r="H39" i="8" l="1"/>
  <c r="I35" i="8" s="1"/>
  <c r="I21" i="8"/>
  <c r="I19" i="8"/>
  <c r="J36" i="6"/>
  <c r="J37" i="6" s="1"/>
  <c r="H41" i="8"/>
  <c r="J42" i="6" l="1"/>
  <c r="J35" i="6"/>
  <c r="I15" i="25"/>
  <c r="I15" i="33"/>
  <c r="I18" i="33" s="1"/>
  <c r="I22" i="33" s="1"/>
  <c r="K12" i="25"/>
  <c r="K13" i="25" s="1"/>
  <c r="J49" i="6"/>
  <c r="I22" i="8"/>
  <c r="J18" i="8" s="1"/>
  <c r="J20" i="8"/>
  <c r="I24" i="8"/>
  <c r="I29" i="8" l="1"/>
  <c r="I30" i="8" s="1"/>
  <c r="I40" i="33"/>
  <c r="I42" i="33" s="1"/>
  <c r="C43" i="33" s="1"/>
  <c r="I48" i="33"/>
  <c r="I50" i="33" s="1"/>
  <c r="I18" i="25"/>
  <c r="I21" i="25" s="1"/>
  <c r="J32" i="19"/>
  <c r="J48" i="6"/>
  <c r="J56" i="6"/>
  <c r="J45" i="6"/>
  <c r="K24" i="6" s="1"/>
  <c r="J44" i="6"/>
  <c r="J39" i="6"/>
  <c r="J50" i="6" l="1"/>
  <c r="J52" i="6" s="1"/>
  <c r="K16" i="25"/>
  <c r="J37" i="19"/>
  <c r="J45" i="19" s="1"/>
  <c r="J47" i="19" s="1"/>
  <c r="J57" i="6"/>
  <c r="K38" i="4" s="1"/>
  <c r="K40" i="4" s="1"/>
  <c r="I50" i="25"/>
  <c r="I52" i="25" s="1"/>
  <c r="I37" i="25"/>
  <c r="I38" i="25" s="1"/>
  <c r="I43" i="25"/>
  <c r="I45" i="25" s="1"/>
  <c r="I57" i="25"/>
  <c r="I59" i="25" s="1"/>
  <c r="I27" i="25"/>
  <c r="I28" i="25" s="1"/>
  <c r="I29" i="25" s="1"/>
  <c r="J25" i="25" s="1"/>
  <c r="K27" i="6"/>
  <c r="I33" i="8"/>
  <c r="I38" i="8" l="1"/>
  <c r="I36" i="8"/>
  <c r="K42" i="4"/>
  <c r="J10" i="8"/>
  <c r="J13" i="8" s="1"/>
  <c r="K28" i="6"/>
  <c r="J26" i="25"/>
  <c r="J58" i="6"/>
  <c r="K43" i="4" l="1"/>
  <c r="K45" i="4" s="1"/>
  <c r="L42" i="19" s="1"/>
  <c r="L43" i="19" s="1"/>
  <c r="I39" i="8"/>
  <c r="J35" i="8" s="1"/>
  <c r="J16" i="8"/>
  <c r="J28" i="8"/>
  <c r="K30" i="6"/>
  <c r="K33" i="6"/>
  <c r="K26" i="6"/>
  <c r="I41" i="8"/>
  <c r="J15" i="33" l="1"/>
  <c r="J18" i="33" s="1"/>
  <c r="J22" i="33" s="1"/>
  <c r="J48" i="33" s="1"/>
  <c r="J50" i="33" s="1"/>
  <c r="J15" i="25"/>
  <c r="J19" i="8"/>
  <c r="J21" i="8"/>
  <c r="K37" i="6"/>
  <c r="K36" i="6"/>
  <c r="J22" i="8" l="1"/>
  <c r="K18" i="8" s="1"/>
  <c r="K20" i="8"/>
  <c r="J24" i="8"/>
  <c r="J18" i="25"/>
  <c r="J21" i="25" s="1"/>
  <c r="K32" i="19"/>
  <c r="K42" i="6"/>
  <c r="K35" i="6"/>
  <c r="K49" i="6"/>
  <c r="L12" i="25"/>
  <c r="L13" i="25" s="1"/>
  <c r="J29" i="8" l="1"/>
  <c r="J30" i="8" s="1"/>
  <c r="K48" i="6"/>
  <c r="K56" i="6"/>
  <c r="K39" i="6"/>
  <c r="K45" i="6"/>
  <c r="L24" i="6" s="1"/>
  <c r="K44" i="6"/>
  <c r="K37" i="19"/>
  <c r="K45" i="19" s="1"/>
  <c r="K47" i="19" s="1"/>
  <c r="J57" i="25"/>
  <c r="J59" i="25" s="1"/>
  <c r="J50" i="25"/>
  <c r="J52" i="25" s="1"/>
  <c r="J37" i="25"/>
  <c r="J38" i="25" s="1"/>
  <c r="J27" i="25"/>
  <c r="J28" i="25" s="1"/>
  <c r="J29" i="25" s="1"/>
  <c r="K25" i="25" s="1"/>
  <c r="J43" i="25"/>
  <c r="J45" i="25" s="1"/>
  <c r="K26" i="25" l="1"/>
  <c r="K57" i="6"/>
  <c r="L38" i="4" s="1"/>
  <c r="L40" i="4" s="1"/>
  <c r="K58" i="6"/>
  <c r="K50" i="6"/>
  <c r="K52" i="6" s="1"/>
  <c r="L16" i="25"/>
  <c r="J33" i="8"/>
  <c r="L27" i="6"/>
  <c r="L28" i="6" l="1"/>
  <c r="L42" i="4"/>
  <c r="L43" i="4"/>
  <c r="L45" i="4"/>
  <c r="M42" i="19" s="1"/>
  <c r="M43" i="19" s="1"/>
  <c r="K10" i="8"/>
  <c r="K13" i="8" s="1"/>
  <c r="J36" i="8"/>
  <c r="J38" i="8"/>
  <c r="L33" i="6" l="1"/>
  <c r="L26" i="6"/>
  <c r="L30" i="6" s="1"/>
  <c r="K16" i="8"/>
  <c r="K28" i="8"/>
  <c r="J41" i="8"/>
  <c r="J39" i="8"/>
  <c r="K35" i="8" s="1"/>
  <c r="K19" i="8" l="1"/>
  <c r="K21" i="8"/>
  <c r="L36" i="6"/>
  <c r="K15" i="33"/>
  <c r="K18" i="33" s="1"/>
  <c r="K22" i="33" s="1"/>
  <c r="K48" i="33" s="1"/>
  <c r="K50" i="33" s="1"/>
  <c r="K15" i="25"/>
  <c r="L20" i="8" l="1"/>
  <c r="K24" i="8"/>
  <c r="K22" i="8"/>
  <c r="L18" i="8" s="1"/>
  <c r="K18" i="25"/>
  <c r="K21" i="25" s="1"/>
  <c r="L32" i="19"/>
  <c r="M12" i="25"/>
  <c r="M13" i="25" s="1"/>
  <c r="L49" i="6"/>
  <c r="L37" i="6"/>
  <c r="K29" i="8" l="1"/>
  <c r="K30" i="8" s="1"/>
  <c r="L39" i="6"/>
  <c r="L42" i="6"/>
  <c r="L35" i="6"/>
  <c r="L37" i="19"/>
  <c r="L45" i="19" s="1"/>
  <c r="L47" i="19" s="1"/>
  <c r="K37" i="25"/>
  <c r="K38" i="25" s="1"/>
  <c r="K57" i="25"/>
  <c r="K59" i="25" s="1"/>
  <c r="K27" i="25"/>
  <c r="K28" i="25" s="1"/>
  <c r="K29" i="25" s="1"/>
  <c r="L25" i="25" s="1"/>
  <c r="K50" i="25"/>
  <c r="K52" i="25" s="1"/>
  <c r="K43" i="25"/>
  <c r="K45" i="25" s="1"/>
  <c r="L44" i="6" l="1"/>
  <c r="L45" i="6"/>
  <c r="M24" i="6" s="1"/>
  <c r="L56" i="6"/>
  <c r="L48" i="6"/>
  <c r="L26" i="25"/>
  <c r="K33" i="8"/>
  <c r="K38" i="8" l="1"/>
  <c r="K36" i="8"/>
  <c r="M16" i="25"/>
  <c r="L50" i="6"/>
  <c r="L52" i="6" s="1"/>
  <c r="M27" i="6"/>
  <c r="M28" i="6" s="1"/>
  <c r="L58" i="6"/>
  <c r="L57" i="6"/>
  <c r="M38" i="4" s="1"/>
  <c r="M40" i="4" s="1"/>
  <c r="M33" i="6" l="1"/>
  <c r="M30" i="6"/>
  <c r="M26" i="6"/>
  <c r="K39" i="8"/>
  <c r="L35" i="8" s="1"/>
  <c r="M45" i="4"/>
  <c r="N42" i="19" s="1"/>
  <c r="N43" i="19" s="1"/>
  <c r="M42" i="4"/>
  <c r="L10" i="8"/>
  <c r="L13" i="8" s="1"/>
  <c r="M43" i="4"/>
  <c r="K41" i="8"/>
  <c r="L28" i="8" l="1"/>
  <c r="L16" i="8"/>
  <c r="L15" i="33"/>
  <c r="L18" i="33" s="1"/>
  <c r="L22" i="33" s="1"/>
  <c r="L48" i="33" s="1"/>
  <c r="L50" i="33" s="1"/>
  <c r="C51" i="33" s="1"/>
  <c r="L15" i="25"/>
  <c r="M36" i="6"/>
  <c r="M37" i="6" s="1"/>
  <c r="M52" i="6"/>
  <c r="M39" i="6" l="1"/>
  <c r="M42" i="6"/>
  <c r="M35" i="6"/>
  <c r="L18" i="25"/>
  <c r="L21" i="25" s="1"/>
  <c r="M32" i="19"/>
  <c r="L19" i="8"/>
  <c r="L21" i="8"/>
  <c r="M49" i="6"/>
  <c r="N12" i="25"/>
  <c r="N13" i="25" s="1"/>
  <c r="L22" i="8" l="1"/>
  <c r="M18" i="8" s="1"/>
  <c r="M37" i="19"/>
  <c r="M45" i="19" s="1"/>
  <c r="M47" i="19" s="1"/>
  <c r="L43" i="25"/>
  <c r="L45" i="25" s="1"/>
  <c r="L27" i="25"/>
  <c r="L28" i="25" s="1"/>
  <c r="L29" i="25" s="1"/>
  <c r="M25" i="25" s="1"/>
  <c r="L50" i="25"/>
  <c r="L52" i="25" s="1"/>
  <c r="L37" i="25"/>
  <c r="L38" i="25" s="1"/>
  <c r="L57" i="25"/>
  <c r="L59" i="25" s="1"/>
  <c r="M56" i="6"/>
  <c r="M48" i="6"/>
  <c r="M45" i="6"/>
  <c r="N24" i="6" s="1"/>
  <c r="M44" i="6"/>
  <c r="M20" i="8"/>
  <c r="L24" i="8"/>
  <c r="M57" i="6" l="1"/>
  <c r="N38" i="4" s="1"/>
  <c r="N40" i="4" s="1"/>
  <c r="M26" i="25"/>
  <c r="L29" i="8"/>
  <c r="L30" i="8" s="1"/>
  <c r="N28" i="6"/>
  <c r="N27" i="6"/>
  <c r="M50" i="6"/>
  <c r="N16" i="25"/>
  <c r="M58" i="6"/>
  <c r="N33" i="6" l="1"/>
  <c r="N30" i="6"/>
  <c r="L33" i="8"/>
  <c r="N26" i="6"/>
  <c r="N42" i="4"/>
  <c r="N45" i="4" s="1"/>
  <c r="O42" i="19" s="1"/>
  <c r="O43" i="19" s="1"/>
  <c r="N43" i="4"/>
  <c r="M10" i="8"/>
  <c r="M13" i="8" s="1"/>
  <c r="L36" i="8" l="1"/>
  <c r="L38" i="8"/>
  <c r="M28" i="8"/>
  <c r="M16" i="8"/>
  <c r="N36" i="6"/>
  <c r="N52" i="6"/>
  <c r="L41" i="8" l="1"/>
  <c r="M15" i="25" s="1"/>
  <c r="N49" i="6"/>
  <c r="O12" i="25"/>
  <c r="O13" i="25" s="1"/>
  <c r="M21" i="8"/>
  <c r="M19" i="8"/>
  <c r="L39" i="8"/>
  <c r="M35" i="8" s="1"/>
  <c r="N37" i="6"/>
  <c r="M18" i="25" l="1"/>
  <c r="M21" i="25" s="1"/>
  <c r="N32" i="19"/>
  <c r="N39" i="6"/>
  <c r="N42" i="6"/>
  <c r="N35" i="6"/>
  <c r="M22" i="8"/>
  <c r="N18" i="8" s="1"/>
  <c r="N20" i="8"/>
  <c r="M24" i="8"/>
  <c r="N45" i="6" l="1"/>
  <c r="O24" i="6" s="1"/>
  <c r="N44" i="6"/>
  <c r="M29" i="8"/>
  <c r="M30" i="8" s="1"/>
  <c r="N48" i="6"/>
  <c r="N56" i="6"/>
  <c r="N37" i="19"/>
  <c r="N45" i="19" s="1"/>
  <c r="N47" i="19" s="1"/>
  <c r="M57" i="25"/>
  <c r="M59" i="25" s="1"/>
  <c r="M27" i="25"/>
  <c r="M28" i="25" s="1"/>
  <c r="M29" i="25" s="1"/>
  <c r="N25" i="25" s="1"/>
  <c r="M50" i="25"/>
  <c r="M52" i="25" s="1"/>
  <c r="M43" i="25"/>
  <c r="M45" i="25" s="1"/>
  <c r="M37" i="25"/>
  <c r="M38" i="25" s="1"/>
  <c r="N50" i="6" l="1"/>
  <c r="O16" i="25"/>
  <c r="M33" i="8"/>
  <c r="N58" i="6"/>
  <c r="N26" i="25"/>
  <c r="N57" i="6"/>
  <c r="O38" i="4" s="1"/>
  <c r="O40" i="4" s="1"/>
  <c r="O27" i="6"/>
  <c r="O28" i="6" l="1"/>
  <c r="M36" i="8"/>
  <c r="M38" i="8"/>
  <c r="O42" i="4"/>
  <c r="O45" i="4" s="1"/>
  <c r="P42" i="19" s="1"/>
  <c r="P43" i="19" s="1"/>
  <c r="O43" i="4"/>
  <c r="N10" i="8"/>
  <c r="N13" i="8" s="1"/>
  <c r="M39" i="8" l="1"/>
  <c r="N35" i="8" s="1"/>
  <c r="M41" i="8"/>
  <c r="N15" i="25" s="1"/>
  <c r="O30" i="6"/>
  <c r="O33" i="6"/>
  <c r="O26" i="6"/>
  <c r="N28" i="8"/>
  <c r="N16" i="8"/>
  <c r="N18" i="25" l="1"/>
  <c r="N21" i="25" s="1"/>
  <c r="O32" i="19"/>
  <c r="N21" i="8"/>
  <c r="N19" i="8"/>
  <c r="O36" i="6"/>
  <c r="O52" i="6"/>
  <c r="O20" i="8" l="1"/>
  <c r="N24" i="8"/>
  <c r="O49" i="6"/>
  <c r="P12" i="25"/>
  <c r="P13" i="25" s="1"/>
  <c r="O37" i="6"/>
  <c r="N22" i="8"/>
  <c r="O18" i="8" s="1"/>
  <c r="O37" i="19"/>
  <c r="O45" i="19" s="1"/>
  <c r="O47" i="19" s="1"/>
  <c r="N43" i="25"/>
  <c r="N45" i="25" s="1"/>
  <c r="N57" i="25"/>
  <c r="N59" i="25" s="1"/>
  <c r="N37" i="25"/>
  <c r="N38" i="25" s="1"/>
  <c r="N27" i="25"/>
  <c r="N28" i="25" s="1"/>
  <c r="N29" i="25" s="1"/>
  <c r="O25" i="25" s="1"/>
  <c r="N50" i="25"/>
  <c r="N52" i="25" s="1"/>
  <c r="O26" i="25" l="1"/>
  <c r="N29" i="8"/>
  <c r="N30" i="8" s="1"/>
  <c r="O42" i="6"/>
  <c r="O39" i="6"/>
  <c r="O35" i="6"/>
  <c r="N33" i="8" l="1"/>
  <c r="O48" i="6"/>
  <c r="O56" i="6"/>
  <c r="O45" i="6"/>
  <c r="P24" i="6" s="1"/>
  <c r="O44" i="6"/>
  <c r="O57" i="6" l="1"/>
  <c r="P38" i="4" s="1"/>
  <c r="P40" i="4" s="1"/>
  <c r="P27" i="6"/>
  <c r="P28" i="6" s="1"/>
  <c r="O50" i="6"/>
  <c r="P16" i="25"/>
  <c r="N38" i="8"/>
  <c r="N36" i="8"/>
  <c r="O58" i="6"/>
  <c r="P33" i="6" l="1"/>
  <c r="P30" i="6"/>
  <c r="P26" i="6"/>
  <c r="N41" i="8"/>
  <c r="O15" i="25" s="1"/>
  <c r="P42" i="4"/>
  <c r="P43" i="4"/>
  <c r="O10" i="8"/>
  <c r="O13" i="8" s="1"/>
  <c r="P45" i="4"/>
  <c r="Q42" i="19" s="1"/>
  <c r="Q43" i="19" s="1"/>
  <c r="N39" i="8"/>
  <c r="O35" i="8" s="1"/>
  <c r="O18" i="25" l="1"/>
  <c r="O21" i="25" s="1"/>
  <c r="P32" i="19"/>
  <c r="O16" i="8"/>
  <c r="O28" i="8"/>
  <c r="P37" i="6"/>
  <c r="P36" i="6"/>
  <c r="P52" i="6"/>
  <c r="P39" i="6" l="1"/>
  <c r="P42" i="6"/>
  <c r="Q12" i="25"/>
  <c r="Q13" i="25" s="1"/>
  <c r="P49" i="6"/>
  <c r="P37" i="19"/>
  <c r="P45" i="19" s="1"/>
  <c r="P47" i="19" s="1"/>
  <c r="O19" i="8"/>
  <c r="O21" i="8"/>
  <c r="P35" i="6"/>
  <c r="O27" i="25"/>
  <c r="O28" i="25" s="1"/>
  <c r="O29" i="25" s="1"/>
  <c r="P25" i="25" s="1"/>
  <c r="O37" i="25"/>
  <c r="O38" i="25" s="1"/>
  <c r="O50" i="25"/>
  <c r="O52" i="25" s="1"/>
  <c r="O43" i="25"/>
  <c r="O45" i="25" s="1"/>
  <c r="O57" i="25"/>
  <c r="O59" i="25" s="1"/>
  <c r="P26" i="25" l="1"/>
  <c r="P44" i="6"/>
  <c r="P45" i="6"/>
  <c r="Q24" i="6" s="1"/>
  <c r="P48" i="6"/>
  <c r="P56" i="6"/>
  <c r="P20" i="8"/>
  <c r="O24" i="8"/>
  <c r="O22" i="8"/>
  <c r="P18" i="8" s="1"/>
  <c r="Q27" i="6" l="1"/>
  <c r="Q28" i="6"/>
  <c r="Q26" i="6" s="1"/>
  <c r="O29" i="8"/>
  <c r="O30" i="8" s="1"/>
  <c r="P57" i="6"/>
  <c r="Q38" i="4" s="1"/>
  <c r="Q40" i="4" s="1"/>
  <c r="P50" i="6"/>
  <c r="Q16" i="25"/>
  <c r="O33" i="8" l="1"/>
  <c r="Q42" i="4"/>
  <c r="Q45" i="4" s="1"/>
  <c r="R42" i="19" s="1"/>
  <c r="R43" i="19" s="1"/>
  <c r="P10" i="8"/>
  <c r="P13" i="8" s="1"/>
  <c r="Q43" i="4"/>
  <c r="Q30" i="6"/>
  <c r="Q33" i="6"/>
  <c r="P58" i="6"/>
  <c r="P28" i="8" l="1"/>
  <c r="P16" i="8"/>
  <c r="Q36" i="6"/>
  <c r="Q37" i="6"/>
  <c r="Q52" i="6"/>
  <c r="O36" i="8"/>
  <c r="O38" i="8"/>
  <c r="Q39" i="6" l="1"/>
  <c r="Q42" i="6"/>
  <c r="R12" i="25"/>
  <c r="R13" i="25" s="1"/>
  <c r="Q49" i="6"/>
  <c r="P21" i="8"/>
  <c r="P19" i="8"/>
  <c r="O41" i="8"/>
  <c r="P15" i="25" s="1"/>
  <c r="Q35" i="6"/>
  <c r="O39" i="8"/>
  <c r="P35" i="8" s="1"/>
  <c r="Q48" i="6" l="1"/>
  <c r="Q56" i="6"/>
  <c r="P22" i="8"/>
  <c r="Q18" i="8" s="1"/>
  <c r="P18" i="25"/>
  <c r="P21" i="25" s="1"/>
  <c r="Q32" i="19"/>
  <c r="Q45" i="6"/>
  <c r="R24" i="6" s="1"/>
  <c r="Q44" i="6"/>
  <c r="Q20" i="8"/>
  <c r="P24" i="8"/>
  <c r="Q37" i="19" l="1"/>
  <c r="Q45" i="19" s="1"/>
  <c r="Q47" i="19" s="1"/>
  <c r="P27" i="25"/>
  <c r="P28" i="25" s="1"/>
  <c r="P29" i="25" s="1"/>
  <c r="Q25" i="25" s="1"/>
  <c r="P57" i="25"/>
  <c r="P59" i="25" s="1"/>
  <c r="P50" i="25"/>
  <c r="P52" i="25" s="1"/>
  <c r="P43" i="25"/>
  <c r="P45" i="25" s="1"/>
  <c r="P37" i="25"/>
  <c r="P38" i="25" s="1"/>
  <c r="P29" i="8"/>
  <c r="P30" i="8" s="1"/>
  <c r="R27" i="6"/>
  <c r="R28" i="6"/>
  <c r="Q57" i="6"/>
  <c r="R38" i="4" s="1"/>
  <c r="R40" i="4" s="1"/>
  <c r="Q50" i="6"/>
  <c r="R16" i="25"/>
  <c r="R30" i="6" l="1"/>
  <c r="R33" i="6"/>
  <c r="B20" i="6"/>
  <c r="R26" i="6"/>
  <c r="Q26" i="25"/>
  <c r="P33" i="8"/>
  <c r="R42" i="4"/>
  <c r="R43" i="4" s="1"/>
  <c r="Q10" i="8"/>
  <c r="Q13" i="8" s="1"/>
  <c r="Q58" i="6"/>
  <c r="R45" i="4" l="1"/>
  <c r="S42" i="19" s="1"/>
  <c r="S43" i="19" s="1"/>
  <c r="Q16" i="8"/>
  <c r="Q28" i="8"/>
  <c r="P36" i="8"/>
  <c r="P38" i="8"/>
  <c r="R36" i="6"/>
  <c r="R37" i="6" s="1"/>
  <c r="R52" i="6"/>
  <c r="R39" i="6" l="1"/>
  <c r="R42" i="6"/>
  <c r="R35" i="6"/>
  <c r="P39" i="8"/>
  <c r="Q35" i="8" s="1"/>
  <c r="Q37" i="8"/>
  <c r="P41" i="8"/>
  <c r="Q15" i="25" s="1"/>
  <c r="S12" i="25"/>
  <c r="S13" i="25" s="1"/>
  <c r="R49" i="6"/>
  <c r="Q21" i="8"/>
  <c r="Q19" i="8"/>
  <c r="Q18" i="25" l="1"/>
  <c r="Q21" i="25" s="1"/>
  <c r="R32" i="19"/>
  <c r="R20" i="8"/>
  <c r="Q24" i="8"/>
  <c r="R48" i="6"/>
  <c r="R56" i="6"/>
  <c r="R44" i="6"/>
  <c r="R45" i="6"/>
  <c r="S24" i="6" s="1"/>
  <c r="Q22" i="8"/>
  <c r="R18" i="8" s="1"/>
  <c r="R57" i="6" l="1"/>
  <c r="S38" i="4" s="1"/>
  <c r="S40" i="4" s="1"/>
  <c r="R37" i="19"/>
  <c r="R45" i="19" s="1"/>
  <c r="R47" i="19" s="1"/>
  <c r="S28" i="6"/>
  <c r="S26" i="6"/>
  <c r="S27" i="6"/>
  <c r="R50" i="6"/>
  <c r="S16" i="25"/>
  <c r="Q37" i="25"/>
  <c r="Q38" i="25" s="1"/>
  <c r="Q43" i="25"/>
  <c r="Q45" i="25" s="1"/>
  <c r="Q27" i="25"/>
  <c r="Q28" i="25" s="1"/>
  <c r="Q29" i="25" s="1"/>
  <c r="R25" i="25" s="1"/>
  <c r="Q57" i="25"/>
  <c r="Q59" i="25" s="1"/>
  <c r="Q50" i="25"/>
  <c r="Q52" i="25" s="1"/>
  <c r="Q29" i="8"/>
  <c r="Q30" i="8" s="1"/>
  <c r="S33" i="6" l="1"/>
  <c r="S30" i="6"/>
  <c r="R58" i="6"/>
  <c r="R10" i="8"/>
  <c r="R13" i="8" s="1"/>
  <c r="S42" i="4"/>
  <c r="R26" i="25"/>
  <c r="Q33" i="8"/>
  <c r="R28" i="8" l="1"/>
  <c r="R16" i="8"/>
  <c r="Q38" i="8"/>
  <c r="Q36" i="8"/>
  <c r="S43" i="4"/>
  <c r="S45" i="4" s="1"/>
  <c r="T42" i="19" s="1"/>
  <c r="T43" i="19" s="1"/>
  <c r="S37" i="6"/>
  <c r="S52" i="6"/>
  <c r="S36" i="6"/>
  <c r="S42" i="6" l="1"/>
  <c r="S39" i="6"/>
  <c r="R37" i="8"/>
  <c r="Q41" i="8"/>
  <c r="R15" i="25" s="1"/>
  <c r="R19" i="8"/>
  <c r="R21" i="8"/>
  <c r="S35" i="6"/>
  <c r="T12" i="25"/>
  <c r="T13" i="25" s="1"/>
  <c r="S49" i="6"/>
  <c r="Q39" i="8"/>
  <c r="R35" i="8" s="1"/>
  <c r="S48" i="6" l="1"/>
  <c r="S56" i="6"/>
  <c r="S20" i="8"/>
  <c r="R24" i="8"/>
  <c r="R22" i="8"/>
  <c r="S18" i="8" s="1"/>
  <c r="S45" i="6"/>
  <c r="T24" i="6" s="1"/>
  <c r="S44" i="6"/>
  <c r="R18" i="25"/>
  <c r="R21" i="25" s="1"/>
  <c r="S32" i="19"/>
  <c r="S57" i="6" l="1"/>
  <c r="T38" i="4" s="1"/>
  <c r="T40" i="4" s="1"/>
  <c r="R57" i="25"/>
  <c r="R59" i="25" s="1"/>
  <c r="R50" i="25"/>
  <c r="R52" i="25" s="1"/>
  <c r="R37" i="25"/>
  <c r="R38" i="25" s="1"/>
  <c r="R43" i="25"/>
  <c r="R45" i="25" s="1"/>
  <c r="R27" i="25"/>
  <c r="R28" i="25" s="1"/>
  <c r="R29" i="25" s="1"/>
  <c r="S25" i="25" s="1"/>
  <c r="T27" i="6"/>
  <c r="S37" i="19"/>
  <c r="S45" i="19" s="1"/>
  <c r="S47" i="19" s="1"/>
  <c r="S50" i="6"/>
  <c r="T16" i="25"/>
  <c r="S58" i="6"/>
  <c r="R29" i="8"/>
  <c r="R30" i="8" s="1"/>
  <c r="S26" i="25" l="1"/>
  <c r="T28" i="6"/>
  <c r="T42" i="4"/>
  <c r="T43" i="4"/>
  <c r="T45" i="4"/>
  <c r="U42" i="19" s="1"/>
  <c r="U43" i="19" s="1"/>
  <c r="S10" i="8"/>
  <c r="S13" i="8" s="1"/>
  <c r="R33" i="8"/>
  <c r="T33" i="6" l="1"/>
  <c r="T30" i="6"/>
  <c r="T26" i="6"/>
  <c r="R36" i="8"/>
  <c r="R38" i="8"/>
  <c r="S16" i="8"/>
  <c r="S28" i="8"/>
  <c r="S37" i="8" l="1"/>
  <c r="R41" i="8"/>
  <c r="S15" i="25" s="1"/>
  <c r="R39" i="8"/>
  <c r="S35" i="8" s="1"/>
  <c r="S19" i="8"/>
  <c r="S21" i="8"/>
  <c r="T52" i="6"/>
  <c r="T36" i="6"/>
  <c r="T49" i="6" l="1"/>
  <c r="U12" i="25"/>
  <c r="U13" i="25" s="1"/>
  <c r="T37" i="6"/>
  <c r="S22" i="8"/>
  <c r="S18" i="25"/>
  <c r="S21" i="25" s="1"/>
  <c r="T32" i="19"/>
  <c r="T20" i="8"/>
  <c r="S24" i="8"/>
  <c r="S29" i="8" l="1"/>
  <c r="S30" i="8" s="1"/>
  <c r="T39" i="6"/>
  <c r="T42" i="6"/>
  <c r="T35" i="6"/>
  <c r="S50" i="25"/>
  <c r="S52" i="25" s="1"/>
  <c r="S43" i="25"/>
  <c r="S45" i="25" s="1"/>
  <c r="S27" i="25"/>
  <c r="S28" i="25" s="1"/>
  <c r="S29" i="25" s="1"/>
  <c r="T25" i="25" s="1"/>
  <c r="S37" i="25"/>
  <c r="S38" i="25" s="1"/>
  <c r="S57" i="25"/>
  <c r="S59" i="25" s="1"/>
  <c r="T37" i="19"/>
  <c r="T45" i="19" s="1"/>
  <c r="T47" i="19" s="1"/>
  <c r="T48" i="6" l="1"/>
  <c r="T56" i="6"/>
  <c r="T26" i="25"/>
  <c r="T44" i="6"/>
  <c r="T45" i="6"/>
  <c r="U24" i="6" s="1"/>
  <c r="S33" i="8"/>
  <c r="S36" i="8" l="1"/>
  <c r="S39" i="8" s="1"/>
  <c r="S38" i="8"/>
  <c r="U27" i="6"/>
  <c r="T57" i="6"/>
  <c r="U38" i="4" s="1"/>
  <c r="U40" i="4" s="1"/>
  <c r="T50" i="6"/>
  <c r="U16" i="25"/>
  <c r="U43" i="4" l="1"/>
  <c r="U42" i="4"/>
  <c r="U45" i="4" s="1"/>
  <c r="V42" i="19" s="1"/>
  <c r="V43" i="19" s="1"/>
  <c r="T10" i="8"/>
  <c r="T13" i="8" s="1"/>
  <c r="U28" i="6"/>
  <c r="T58" i="6"/>
  <c r="T37" i="8"/>
  <c r="S41" i="8"/>
  <c r="T15" i="25" s="1"/>
  <c r="T16" i="8" l="1"/>
  <c r="T28" i="8"/>
  <c r="T18" i="25"/>
  <c r="T21" i="25" s="1"/>
  <c r="U32" i="19"/>
  <c r="U33" i="6"/>
  <c r="U30" i="6"/>
  <c r="U26" i="6"/>
  <c r="U36" i="6" l="1"/>
  <c r="U52" i="6"/>
  <c r="U37" i="6"/>
  <c r="U37" i="19"/>
  <c r="U45" i="19" s="1"/>
  <c r="U47" i="19" s="1"/>
  <c r="T19" i="8"/>
  <c r="T21" i="8"/>
  <c r="T43" i="25"/>
  <c r="T45" i="25" s="1"/>
  <c r="T37" i="25"/>
  <c r="T38" i="25" s="1"/>
  <c r="T57" i="25"/>
  <c r="T59" i="25" s="1"/>
  <c r="T50" i="25"/>
  <c r="T52" i="25" s="1"/>
  <c r="T27" i="25"/>
  <c r="T28" i="25" s="1"/>
  <c r="T29" i="25" s="1"/>
  <c r="U25" i="25" s="1"/>
  <c r="U39" i="6" l="1"/>
  <c r="U42" i="6"/>
  <c r="T22" i="8"/>
  <c r="U18" i="8" s="1"/>
  <c r="U26" i="25"/>
  <c r="V12" i="25"/>
  <c r="V13" i="25" s="1"/>
  <c r="U49" i="6"/>
  <c r="U20" i="8"/>
  <c r="T24" i="8"/>
  <c r="U35" i="6"/>
  <c r="T29" i="8" l="1"/>
  <c r="T30" i="8" s="1"/>
  <c r="U48" i="6"/>
  <c r="U56" i="6"/>
  <c r="U45" i="6"/>
  <c r="V24" i="6" s="1"/>
  <c r="U44" i="6"/>
  <c r="V27" i="6" l="1"/>
  <c r="U57" i="6"/>
  <c r="V38" i="4" s="1"/>
  <c r="V40" i="4" s="1"/>
  <c r="U50" i="6"/>
  <c r="V16" i="25"/>
  <c r="U58" i="6"/>
  <c r="T33" i="8"/>
  <c r="U10" i="8" l="1"/>
  <c r="U13" i="8" s="1"/>
  <c r="V42" i="4"/>
  <c r="T38" i="8"/>
  <c r="T36" i="8"/>
  <c r="V28" i="6"/>
  <c r="U28" i="8" l="1"/>
  <c r="U16" i="8"/>
  <c r="V43" i="4"/>
  <c r="V45" i="4" s="1"/>
  <c r="W42" i="19" s="1"/>
  <c r="W43" i="19" s="1"/>
  <c r="U37" i="8"/>
  <c r="T41" i="8"/>
  <c r="U15" i="25" s="1"/>
  <c r="V33" i="6"/>
  <c r="V30" i="6"/>
  <c r="V26" i="6"/>
  <c r="T39" i="8"/>
  <c r="U35" i="8" s="1"/>
  <c r="U21" i="8" l="1"/>
  <c r="U19" i="8"/>
  <c r="V36" i="6"/>
  <c r="V37" i="6"/>
  <c r="V52" i="6"/>
  <c r="U18" i="25"/>
  <c r="U21" i="25" s="1"/>
  <c r="V32" i="19"/>
  <c r="W12" i="25" l="1"/>
  <c r="W13" i="25" s="1"/>
  <c r="V49" i="6"/>
  <c r="U22" i="8"/>
  <c r="V18" i="8" s="1"/>
  <c r="V42" i="6"/>
  <c r="V39" i="6"/>
  <c r="V35" i="6"/>
  <c r="U27" i="25"/>
  <c r="U28" i="25" s="1"/>
  <c r="U29" i="25" s="1"/>
  <c r="V25" i="25" s="1"/>
  <c r="U50" i="25"/>
  <c r="U52" i="25" s="1"/>
  <c r="U37" i="25"/>
  <c r="U38" i="25" s="1"/>
  <c r="U57" i="25"/>
  <c r="U59" i="25" s="1"/>
  <c r="U43" i="25"/>
  <c r="U45" i="25" s="1"/>
  <c r="V37" i="19"/>
  <c r="V45" i="19" s="1"/>
  <c r="V47" i="19" s="1"/>
  <c r="V20" i="8"/>
  <c r="U24" i="8"/>
  <c r="U29" i="8" l="1"/>
  <c r="U30" i="8" s="1"/>
  <c r="V48" i="6"/>
  <c r="V56" i="6"/>
  <c r="V44" i="6"/>
  <c r="V45" i="6"/>
  <c r="W24" i="6" s="1"/>
  <c r="V26" i="25"/>
  <c r="V57" i="6" l="1"/>
  <c r="W38" i="4" s="1"/>
  <c r="W40" i="4" s="1"/>
  <c r="W27" i="6"/>
  <c r="V50" i="6"/>
  <c r="W16" i="25"/>
  <c r="U33" i="8"/>
  <c r="W28" i="6" l="1"/>
  <c r="W42" i="4"/>
  <c r="W43" i="4"/>
  <c r="W45" i="4" s="1"/>
  <c r="X42" i="19" s="1"/>
  <c r="X43" i="19" s="1"/>
  <c r="V10" i="8"/>
  <c r="V13" i="8" s="1"/>
  <c r="U36" i="8"/>
  <c r="U38" i="8"/>
  <c r="V58" i="6"/>
  <c r="W30" i="6" l="1"/>
  <c r="W33" i="6"/>
  <c r="W26" i="6"/>
  <c r="V28" i="8"/>
  <c r="V16" i="8"/>
  <c r="V37" i="8"/>
  <c r="U41" i="8"/>
  <c r="V15" i="25" s="1"/>
  <c r="U39" i="8"/>
  <c r="V35" i="8" s="1"/>
  <c r="V18" i="25" l="1"/>
  <c r="V21" i="25" s="1"/>
  <c r="W32" i="19"/>
  <c r="W36" i="6"/>
  <c r="V21" i="8"/>
  <c r="V19" i="8"/>
  <c r="V22" i="8" l="1"/>
  <c r="W18" i="8" s="1"/>
  <c r="W37" i="19"/>
  <c r="W45" i="19" s="1"/>
  <c r="W47" i="19" s="1"/>
  <c r="W20" i="8"/>
  <c r="V24" i="8"/>
  <c r="W49" i="6"/>
  <c r="X12" i="25"/>
  <c r="X13" i="25" s="1"/>
  <c r="W37" i="6"/>
  <c r="V57" i="25"/>
  <c r="V59" i="25" s="1"/>
  <c r="V27" i="25"/>
  <c r="V28" i="25" s="1"/>
  <c r="V29" i="25" s="1"/>
  <c r="W25" i="25" s="1"/>
  <c r="V50" i="25"/>
  <c r="V52" i="25" s="1"/>
  <c r="V43" i="25"/>
  <c r="V45" i="25" s="1"/>
  <c r="V37" i="25"/>
  <c r="V38" i="25" s="1"/>
  <c r="W42" i="6" l="1"/>
  <c r="W35" i="6"/>
  <c r="W39" i="6" s="1"/>
  <c r="W26" i="25"/>
  <c r="V29" i="8"/>
  <c r="V30" i="8" s="1"/>
  <c r="V33" i="8" l="1"/>
  <c r="W56" i="6"/>
  <c r="W48" i="6"/>
  <c r="W44" i="6"/>
  <c r="W45" i="6"/>
  <c r="X24" i="6" s="1"/>
  <c r="W50" i="6" l="1"/>
  <c r="W52" i="6" s="1"/>
  <c r="X16" i="25"/>
  <c r="W57" i="6"/>
  <c r="X38" i="4" s="1"/>
  <c r="X40" i="4" s="1"/>
  <c r="X27" i="6"/>
  <c r="W58" i="6"/>
  <c r="V36" i="8"/>
  <c r="V38" i="8"/>
  <c r="W37" i="8" l="1"/>
  <c r="V41" i="8"/>
  <c r="W15" i="25" s="1"/>
  <c r="V39" i="8"/>
  <c r="W35" i="8" s="1"/>
  <c r="X28" i="6"/>
  <c r="X42" i="4"/>
  <c r="X45" i="4" s="1"/>
  <c r="Y42" i="19" s="1"/>
  <c r="Y43" i="19" s="1"/>
  <c r="X43" i="4"/>
  <c r="W10" i="8"/>
  <c r="W13" i="8" s="1"/>
  <c r="X33" i="6" l="1"/>
  <c r="X26" i="6"/>
  <c r="X30" i="6" s="1"/>
  <c r="W18" i="25"/>
  <c r="W21" i="25" s="1"/>
  <c r="X32" i="19"/>
  <c r="W16" i="8"/>
  <c r="W24" i="8"/>
  <c r="W28" i="8"/>
  <c r="W19" i="8" l="1"/>
  <c r="W21" i="8"/>
  <c r="W27" i="25"/>
  <c r="W28" i="25" s="1"/>
  <c r="W29" i="25" s="1"/>
  <c r="X25" i="25" s="1"/>
  <c r="W37" i="25"/>
  <c r="W38" i="25" s="1"/>
  <c r="C39" i="25" s="1"/>
  <c r="W50" i="25"/>
  <c r="W52" i="25" s="1"/>
  <c r="C53" i="25" s="1"/>
  <c r="C73" i="2" s="1"/>
  <c r="W43" i="25"/>
  <c r="W45" i="25" s="1"/>
  <c r="C46" i="25" s="1"/>
  <c r="C72" i="2" s="1"/>
  <c r="W57" i="25"/>
  <c r="W59" i="25" s="1"/>
  <c r="C60" i="25" s="1"/>
  <c r="C74" i="2" s="1"/>
  <c r="X36" i="6"/>
  <c r="X37" i="19"/>
  <c r="X45" i="19" s="1"/>
  <c r="X47" i="19" s="1"/>
  <c r="W29" i="8"/>
  <c r="W30" i="8" s="1"/>
  <c r="W33" i="8" l="1"/>
  <c r="W41" i="8"/>
  <c r="X15" i="25" s="1"/>
  <c r="Y12" i="25"/>
  <c r="Y13" i="25" s="1"/>
  <c r="X49" i="6"/>
  <c r="C71" i="2"/>
  <c r="B9" i="16"/>
  <c r="B12" i="16" s="1"/>
  <c r="X20" i="8"/>
  <c r="X26" i="25"/>
  <c r="X37" i="6"/>
  <c r="W22" i="8"/>
  <c r="X18" i="8" s="1"/>
  <c r="X42" i="6" l="1"/>
  <c r="X35" i="6"/>
  <c r="X18" i="25"/>
  <c r="X21" i="25" s="1"/>
  <c r="Y32" i="19"/>
  <c r="W38" i="8"/>
  <c r="X37" i="8" s="1"/>
  <c r="W36" i="8"/>
  <c r="X43" i="25" l="1"/>
  <c r="X45" i="25" s="1"/>
  <c r="X57" i="25"/>
  <c r="X59" i="25" s="1"/>
  <c r="X27" i="25"/>
  <c r="X28" i="25" s="1"/>
  <c r="X29" i="25" s="1"/>
  <c r="Y25" i="25" s="1"/>
  <c r="X50" i="25"/>
  <c r="X52" i="25" s="1"/>
  <c r="X37" i="25"/>
  <c r="X38" i="25" s="1"/>
  <c r="X56" i="6"/>
  <c r="X48" i="6"/>
  <c r="X44" i="6"/>
  <c r="X45" i="6"/>
  <c r="Y24" i="6" s="1"/>
  <c r="Y37" i="19"/>
  <c r="Y45" i="19" s="1"/>
  <c r="Y47" i="19" s="1"/>
  <c r="W39" i="8"/>
  <c r="X35" i="8" s="1"/>
  <c r="X39" i="6"/>
  <c r="Y26" i="25" l="1"/>
  <c r="X50" i="6"/>
  <c r="X52" i="6" s="1"/>
  <c r="Y16" i="25"/>
  <c r="X57" i="6"/>
  <c r="Y38" i="4" s="1"/>
  <c r="Y40" i="4" s="1"/>
  <c r="X58" i="6"/>
  <c r="Y27" i="6"/>
  <c r="Y28" i="6" s="1"/>
  <c r="Y33" i="6" l="1"/>
  <c r="Y26" i="6"/>
  <c r="Y30" i="6" s="1"/>
  <c r="X10" i="8"/>
  <c r="X13" i="8" s="1"/>
  <c r="Y42" i="4"/>
  <c r="Y43" i="4" s="1"/>
  <c r="Y45" i="4" s="1"/>
  <c r="Z42" i="19" s="1"/>
  <c r="Z43" i="19" s="1"/>
  <c r="X28" i="8" l="1"/>
  <c r="X16" i="8"/>
  <c r="X24" i="8"/>
  <c r="Y36" i="6"/>
  <c r="Y37" i="6"/>
  <c r="Y42" i="6" l="1"/>
  <c r="Z12" i="25"/>
  <c r="Z13" i="25" s="1"/>
  <c r="Y49" i="6"/>
  <c r="Y35" i="6"/>
  <c r="X29" i="8"/>
  <c r="X30" i="8" s="1"/>
  <c r="X19" i="8"/>
  <c r="X21" i="8"/>
  <c r="X33" i="8" l="1"/>
  <c r="X41" i="8"/>
  <c r="Y15" i="25" s="1"/>
  <c r="Y48" i="6"/>
  <c r="Y56" i="6"/>
  <c r="Y20" i="8"/>
  <c r="Y44" i="6"/>
  <c r="Y45" i="6"/>
  <c r="Z24" i="6" s="1"/>
  <c r="X22" i="8"/>
  <c r="Y18" i="8" s="1"/>
  <c r="Y39" i="6"/>
  <c r="Z27" i="6" l="1"/>
  <c r="Z28" i="6" s="1"/>
  <c r="Y50" i="6"/>
  <c r="Y52" i="6" s="1"/>
  <c r="Z16" i="25"/>
  <c r="Z32" i="19"/>
  <c r="Y18" i="25"/>
  <c r="Y21" i="25" s="1"/>
  <c r="Y57" i="6"/>
  <c r="Z38" i="4" s="1"/>
  <c r="Z40" i="4" s="1"/>
  <c r="X36" i="8"/>
  <c r="X38" i="8"/>
  <c r="Y37" i="8" s="1"/>
  <c r="Z33" i="6" l="1"/>
  <c r="Z26" i="6"/>
  <c r="Z30" i="6" s="1"/>
  <c r="X39" i="8"/>
  <c r="Y35" i="8" s="1"/>
  <c r="Z37" i="19"/>
  <c r="Z45" i="19" s="1"/>
  <c r="Z47" i="19" s="1"/>
  <c r="Y58" i="6"/>
  <c r="Z42" i="4"/>
  <c r="Y10" i="8"/>
  <c r="Y13" i="8" s="1"/>
  <c r="Y27" i="25"/>
  <c r="Y28" i="25" s="1"/>
  <c r="Y29" i="25" s="1"/>
  <c r="Z25" i="25" s="1"/>
  <c r="Y57" i="25"/>
  <c r="Y59" i="25" s="1"/>
  <c r="Y50" i="25"/>
  <c r="Y52" i="25" s="1"/>
  <c r="Y43" i="25"/>
  <c r="Y45" i="25" s="1"/>
  <c r="Y37" i="25"/>
  <c r="Y38" i="25" s="1"/>
  <c r="Z26" i="25" l="1"/>
  <c r="Z43" i="4"/>
  <c r="Z45" i="4" s="1"/>
  <c r="AA42" i="19" s="1"/>
  <c r="AA43" i="19" s="1"/>
  <c r="Y24" i="8"/>
  <c r="Y16" i="8"/>
  <c r="Y28" i="8"/>
  <c r="Z36" i="6"/>
  <c r="Y21" i="8" l="1"/>
  <c r="Y19" i="8"/>
  <c r="Y22" i="8" s="1"/>
  <c r="Z18" i="8" s="1"/>
  <c r="Z49" i="6"/>
  <c r="AA12" i="25"/>
  <c r="AA13" i="25" s="1"/>
  <c r="Y29" i="8"/>
  <c r="Y30" i="8" s="1"/>
  <c r="Z37" i="6"/>
  <c r="Y41" i="8" l="1"/>
  <c r="Z15" i="25" s="1"/>
  <c r="Y33" i="8"/>
  <c r="Z42" i="6"/>
  <c r="Z35" i="6"/>
  <c r="Z20" i="8"/>
  <c r="Z45" i="6" l="1"/>
  <c r="AA24" i="6" s="1"/>
  <c r="Z44" i="6"/>
  <c r="Y38" i="8"/>
  <c r="Z37" i="8" s="1"/>
  <c r="Y36" i="8"/>
  <c r="Y39" i="8" s="1"/>
  <c r="Z35" i="8" s="1"/>
  <c r="Z48" i="6"/>
  <c r="Z56" i="6"/>
  <c r="Z39" i="6"/>
  <c r="Z18" i="25"/>
  <c r="Z21" i="25" s="1"/>
  <c r="AA32" i="19"/>
  <c r="Z57" i="25" l="1"/>
  <c r="Z59" i="25" s="1"/>
  <c r="Z37" i="25"/>
  <c r="Z38" i="25" s="1"/>
  <c r="Z43" i="25"/>
  <c r="Z45" i="25" s="1"/>
  <c r="Z27" i="25"/>
  <c r="Z28" i="25" s="1"/>
  <c r="Z29" i="25" s="1"/>
  <c r="AA25" i="25" s="1"/>
  <c r="Z50" i="25"/>
  <c r="Z52" i="25" s="1"/>
  <c r="Z58" i="6"/>
  <c r="Z50" i="6"/>
  <c r="Z52" i="6" s="1"/>
  <c r="AA16" i="25"/>
  <c r="Z57" i="6"/>
  <c r="AA38" i="4" s="1"/>
  <c r="AA40" i="4" s="1"/>
  <c r="AA37" i="19"/>
  <c r="AA45" i="19" s="1"/>
  <c r="AA47" i="19" s="1"/>
  <c r="AA27" i="6"/>
  <c r="AA28" i="6" l="1"/>
  <c r="AA42" i="4"/>
  <c r="AA43" i="4"/>
  <c r="AA45" i="4" s="1"/>
  <c r="AB42" i="19" s="1"/>
  <c r="AB43" i="19" s="1"/>
  <c r="Z10" i="8"/>
  <c r="Z13" i="8" s="1"/>
  <c r="AA26" i="25"/>
  <c r="Z24" i="8" l="1"/>
  <c r="Z16" i="8"/>
  <c r="Z28" i="8"/>
  <c r="AA33" i="6"/>
  <c r="AA26" i="6"/>
  <c r="AA30" i="6" s="1"/>
  <c r="AA36" i="6" l="1"/>
  <c r="Z19" i="8"/>
  <c r="Z21" i="8"/>
  <c r="Z29" i="8"/>
  <c r="Z30" i="8" s="1"/>
  <c r="Z41" i="8" l="1"/>
  <c r="AA15" i="25" s="1"/>
  <c r="Z33" i="8"/>
  <c r="AA20" i="8"/>
  <c r="AB12" i="25"/>
  <c r="AB13" i="25" s="1"/>
  <c r="AA49" i="6"/>
  <c r="AA37" i="6"/>
  <c r="Z22" i="8"/>
  <c r="AA18" i="8" s="1"/>
  <c r="Z36" i="8" l="1"/>
  <c r="Z38" i="8"/>
  <c r="AA37" i="8" s="1"/>
  <c r="AA42" i="6"/>
  <c r="AA35" i="6"/>
  <c r="AB32" i="19"/>
  <c r="AA18" i="25"/>
  <c r="AA21" i="25" s="1"/>
  <c r="AA50" i="25" l="1"/>
  <c r="AA52" i="25" s="1"/>
  <c r="AA37" i="25"/>
  <c r="AA38" i="25" s="1"/>
  <c r="AA43" i="25"/>
  <c r="AA45" i="25" s="1"/>
  <c r="AA57" i="25"/>
  <c r="AA59" i="25" s="1"/>
  <c r="AA27" i="25"/>
  <c r="AA28" i="25" s="1"/>
  <c r="AA29" i="25" s="1"/>
  <c r="AB25" i="25" s="1"/>
  <c r="Z39" i="8"/>
  <c r="AA35" i="8" s="1"/>
  <c r="AA56" i="6"/>
  <c r="AA48" i="6"/>
  <c r="AB37" i="19"/>
  <c r="AB45" i="19" s="1"/>
  <c r="AB47" i="19" s="1"/>
  <c r="AA39" i="6"/>
  <c r="AA45" i="6"/>
  <c r="AB24" i="6" s="1"/>
  <c r="AA44" i="6"/>
  <c r="AA50" i="6" l="1"/>
  <c r="AA52" i="6" s="1"/>
  <c r="AB16" i="25"/>
  <c r="AA57" i="6"/>
  <c r="AB38" i="4" s="1"/>
  <c r="AB40" i="4" s="1"/>
  <c r="AB26" i="25"/>
  <c r="AB27" i="6"/>
  <c r="AB28" i="6"/>
  <c r="AB42" i="4" l="1"/>
  <c r="AB43" i="4"/>
  <c r="AB45" i="4"/>
  <c r="AC42" i="19" s="1"/>
  <c r="AC43" i="19" s="1"/>
  <c r="AA10" i="8"/>
  <c r="AA13" i="8" s="1"/>
  <c r="AA58" i="6"/>
  <c r="AB33" i="6"/>
  <c r="AB26" i="6"/>
  <c r="AB30" i="6" s="1"/>
  <c r="AB36" i="6" l="1"/>
  <c r="AB37" i="6" s="1"/>
  <c r="AA16" i="8"/>
  <c r="AA24" i="8"/>
  <c r="AA28" i="8"/>
  <c r="AB42" i="6" l="1"/>
  <c r="AB35" i="6"/>
  <c r="AA29" i="8"/>
  <c r="AA30" i="8" s="1"/>
  <c r="AC12" i="25"/>
  <c r="AC13" i="25" s="1"/>
  <c r="AB49" i="6"/>
  <c r="AA19" i="8"/>
  <c r="AA21" i="8"/>
  <c r="AA41" i="8" l="1"/>
  <c r="AB15" i="25" s="1"/>
  <c r="AA33" i="8"/>
  <c r="AB56" i="6"/>
  <c r="AB48" i="6"/>
  <c r="AB39" i="6"/>
  <c r="AB20" i="8"/>
  <c r="AA22" i="8"/>
  <c r="AB18" i="8" s="1"/>
  <c r="AB44" i="6"/>
  <c r="AB45" i="6"/>
  <c r="AC24" i="6" s="1"/>
  <c r="AC27" i="6" l="1"/>
  <c r="AC28" i="6"/>
  <c r="AC16" i="25"/>
  <c r="AB50" i="6"/>
  <c r="AB52" i="6" s="1"/>
  <c r="AB57" i="6"/>
  <c r="AC38" i="4" s="1"/>
  <c r="AC40" i="4" s="1"/>
  <c r="AA36" i="8"/>
  <c r="AA38" i="8"/>
  <c r="AB37" i="8" s="1"/>
  <c r="AC32" i="19"/>
  <c r="AB18" i="25"/>
  <c r="AB21" i="25" s="1"/>
  <c r="AC37" i="19" l="1"/>
  <c r="AC45" i="19" s="1"/>
  <c r="AC47" i="19" s="1"/>
  <c r="AB43" i="25"/>
  <c r="AB45" i="25" s="1"/>
  <c r="AB50" i="25"/>
  <c r="AB52" i="25" s="1"/>
  <c r="AB37" i="25"/>
  <c r="AB38" i="25" s="1"/>
  <c r="AB57" i="25"/>
  <c r="AB59" i="25" s="1"/>
  <c r="AB27" i="25"/>
  <c r="AB28" i="25" s="1"/>
  <c r="AB29" i="25" s="1"/>
  <c r="AC25" i="25" s="1"/>
  <c r="AC33" i="6"/>
  <c r="AC30" i="6"/>
  <c r="AC26" i="6"/>
  <c r="AA39" i="8"/>
  <c r="AB35" i="8" s="1"/>
  <c r="AC42" i="4"/>
  <c r="AB10" i="8"/>
  <c r="AB13" i="8" s="1"/>
  <c r="AB58" i="6"/>
  <c r="AC43" i="4" l="1"/>
  <c r="AC45" i="4" s="1"/>
  <c r="AD42" i="19" s="1"/>
  <c r="AD43" i="19" s="1"/>
  <c r="AC36" i="6"/>
  <c r="AC37" i="6" s="1"/>
  <c r="AB24" i="8"/>
  <c r="AB16" i="8"/>
  <c r="AB28" i="8"/>
  <c r="AC26" i="25"/>
  <c r="AC42" i="6" l="1"/>
  <c r="AC35" i="6"/>
  <c r="AB19" i="8"/>
  <c r="AB21" i="8"/>
  <c r="AB29" i="8"/>
  <c r="AB30" i="8" s="1"/>
  <c r="AD12" i="25"/>
  <c r="AD13" i="25" s="1"/>
  <c r="AC49" i="6"/>
  <c r="AB33" i="8" l="1"/>
  <c r="AB41" i="8"/>
  <c r="AC15" i="25" s="1"/>
  <c r="AB22" i="8"/>
  <c r="AC18" i="8" s="1"/>
  <c r="AC45" i="6"/>
  <c r="AD24" i="6" s="1"/>
  <c r="AC44" i="6"/>
  <c r="AC20" i="8"/>
  <c r="AC48" i="6"/>
  <c r="AC56" i="6"/>
  <c r="AC39" i="6"/>
  <c r="AD27" i="6" l="1"/>
  <c r="AD28" i="6" s="1"/>
  <c r="AC57" i="6"/>
  <c r="AD38" i="4" s="1"/>
  <c r="AD40" i="4" s="1"/>
  <c r="AC58" i="6"/>
  <c r="AD32" i="19"/>
  <c r="AC18" i="25"/>
  <c r="AC21" i="25" s="1"/>
  <c r="AC50" i="6"/>
  <c r="AC52" i="6" s="1"/>
  <c r="AD16" i="25"/>
  <c r="AB36" i="8"/>
  <c r="AB38" i="8"/>
  <c r="AC37" i="8" s="1"/>
  <c r="AD33" i="6" l="1"/>
  <c r="AD26" i="6"/>
  <c r="AD30" i="6" s="1"/>
  <c r="AC37" i="25"/>
  <c r="AC38" i="25" s="1"/>
  <c r="AC57" i="25"/>
  <c r="AC59" i="25" s="1"/>
  <c r="AC27" i="25"/>
  <c r="AC28" i="25" s="1"/>
  <c r="AC29" i="25" s="1"/>
  <c r="AD25" i="25" s="1"/>
  <c r="AC43" i="25"/>
  <c r="AC45" i="25" s="1"/>
  <c r="AC50" i="25"/>
  <c r="AC52" i="25" s="1"/>
  <c r="AB39" i="8"/>
  <c r="AC35" i="8" s="1"/>
  <c r="AD37" i="19"/>
  <c r="AD45" i="19" s="1"/>
  <c r="AD47" i="19" s="1"/>
  <c r="AD42" i="4"/>
  <c r="AD45" i="4" s="1"/>
  <c r="AE42" i="19" s="1"/>
  <c r="AE43" i="19" s="1"/>
  <c r="AD43" i="4"/>
  <c r="AC10" i="8"/>
  <c r="AC13" i="8" s="1"/>
  <c r="AD26" i="25" l="1"/>
  <c r="AD36" i="6"/>
  <c r="AD37" i="6"/>
  <c r="AD35" i="6" s="1"/>
  <c r="AC16" i="8"/>
  <c r="AC24" i="8"/>
  <c r="AC28" i="8"/>
  <c r="AD48" i="6" l="1"/>
  <c r="AD56" i="6"/>
  <c r="AC21" i="8"/>
  <c r="AD20" i="8" s="1"/>
  <c r="AC19" i="8"/>
  <c r="AC22" i="8" s="1"/>
  <c r="AD18" i="8" s="1"/>
  <c r="AE12" i="25"/>
  <c r="AE13" i="25" s="1"/>
  <c r="AD49" i="6"/>
  <c r="AC30" i="8"/>
  <c r="AD39" i="6"/>
  <c r="AD42" i="6"/>
  <c r="AC29" i="8"/>
  <c r="AD44" i="6" l="1"/>
  <c r="AD45" i="6"/>
  <c r="AE24" i="6" s="1"/>
  <c r="AC41" i="8"/>
  <c r="AD15" i="25" s="1"/>
  <c r="AC33" i="8"/>
  <c r="AD50" i="6"/>
  <c r="AD52" i="6" s="1"/>
  <c r="AE16" i="25"/>
  <c r="AE27" i="6" l="1"/>
  <c r="AC38" i="8"/>
  <c r="AD37" i="8" s="1"/>
  <c r="AC36" i="8"/>
  <c r="AC39" i="8" s="1"/>
  <c r="AD35" i="8" s="1"/>
  <c r="AD57" i="6"/>
  <c r="AD18" i="25"/>
  <c r="AD21" i="25" s="1"/>
  <c r="AE32" i="19"/>
  <c r="AE38" i="4" l="1"/>
  <c r="AE40" i="4" s="1"/>
  <c r="AD58" i="6"/>
  <c r="AE37" i="19"/>
  <c r="AE45" i="19" s="1"/>
  <c r="AE47" i="19" s="1"/>
  <c r="AE28" i="6"/>
  <c r="AD27" i="25"/>
  <c r="AD28" i="25" s="1"/>
  <c r="AD29" i="25" s="1"/>
  <c r="AE25" i="25" s="1"/>
  <c r="AD50" i="25"/>
  <c r="AD52" i="25" s="1"/>
  <c r="AD37" i="25"/>
  <c r="AD38" i="25" s="1"/>
  <c r="AD57" i="25"/>
  <c r="AD59" i="25" s="1"/>
  <c r="AD43" i="25"/>
  <c r="AD45" i="25" s="1"/>
  <c r="AE26" i="25" l="1"/>
  <c r="AE33" i="6"/>
  <c r="AE26" i="6"/>
  <c r="AE30" i="6" s="1"/>
  <c r="AE42" i="4"/>
  <c r="AE43" i="4"/>
  <c r="AE45" i="4" s="1"/>
  <c r="AF42" i="19" s="1"/>
  <c r="AF43" i="19" s="1"/>
  <c r="AD10" i="8"/>
  <c r="AD13" i="8" s="1"/>
  <c r="AE36" i="6" l="1"/>
  <c r="AE37" i="6" s="1"/>
  <c r="AD28" i="8"/>
  <c r="AD24" i="8"/>
  <c r="AD16" i="8"/>
  <c r="AE42" i="6" l="1"/>
  <c r="AE35" i="6"/>
  <c r="AD19" i="8"/>
  <c r="AD22" i="8" s="1"/>
  <c r="AE18" i="8" s="1"/>
  <c r="AD21" i="8"/>
  <c r="AE20" i="8" s="1"/>
  <c r="AD29" i="8"/>
  <c r="AD30" i="8" s="1"/>
  <c r="AF12" i="25"/>
  <c r="AF13" i="25" s="1"/>
  <c r="AE49" i="6"/>
  <c r="AD33" i="8" l="1"/>
  <c r="AD41" i="8"/>
  <c r="AE15" i="25" s="1"/>
  <c r="AE48" i="6"/>
  <c r="AE56" i="6"/>
  <c r="AE39" i="6"/>
  <c r="AE45" i="6"/>
  <c r="AF24" i="6" s="1"/>
  <c r="AE44" i="6"/>
  <c r="AF27" i="6" l="1"/>
  <c r="AE58" i="6"/>
  <c r="AE18" i="25"/>
  <c r="AE21" i="25" s="1"/>
  <c r="AF32" i="19"/>
  <c r="AE50" i="6"/>
  <c r="AE52" i="6" s="1"/>
  <c r="AF16" i="25"/>
  <c r="AE57" i="6"/>
  <c r="AF38" i="4" s="1"/>
  <c r="AF40" i="4" s="1"/>
  <c r="AD36" i="8"/>
  <c r="AD38" i="8"/>
  <c r="AE37" i="8" s="1"/>
  <c r="AE27" i="25" l="1"/>
  <c r="AE28" i="25" s="1"/>
  <c r="AE29" i="25" s="1"/>
  <c r="AF25" i="25" s="1"/>
  <c r="AE37" i="25"/>
  <c r="AE38" i="25" s="1"/>
  <c r="AE50" i="25"/>
  <c r="AE52" i="25" s="1"/>
  <c r="AE57" i="25"/>
  <c r="AE59" i="25" s="1"/>
  <c r="AE43" i="25"/>
  <c r="AE45" i="25" s="1"/>
  <c r="AF42" i="4"/>
  <c r="AF45" i="4" s="1"/>
  <c r="AG42" i="19" s="1"/>
  <c r="AG43" i="19" s="1"/>
  <c r="AF43" i="4"/>
  <c r="AE10" i="8"/>
  <c r="AE13" i="8" s="1"/>
  <c r="AF37" i="19"/>
  <c r="AF45" i="19" s="1"/>
  <c r="AF47" i="19" s="1"/>
  <c r="AD39" i="8"/>
  <c r="AE35" i="8" s="1"/>
  <c r="AF28" i="6"/>
  <c r="AF33" i="6" l="1"/>
  <c r="AF26" i="6"/>
  <c r="AF30" i="6" s="1"/>
  <c r="AF26" i="25"/>
  <c r="AE16" i="8"/>
  <c r="AE24" i="8"/>
  <c r="AE28" i="8"/>
  <c r="AE19" i="8" l="1"/>
  <c r="AE21" i="8"/>
  <c r="AF20" i="8" s="1"/>
  <c r="AE30" i="8"/>
  <c r="AF36" i="6"/>
  <c r="AE29" i="8"/>
  <c r="AF49" i="6" l="1"/>
  <c r="AG12" i="25"/>
  <c r="AG13" i="25" s="1"/>
  <c r="AF37" i="6"/>
  <c r="AE33" i="8"/>
  <c r="AE41" i="8"/>
  <c r="AF15" i="25" s="1"/>
  <c r="AE22" i="8"/>
  <c r="AF18" i="8" s="1"/>
  <c r="AF18" i="25" l="1"/>
  <c r="AF21" i="25" s="1"/>
  <c r="AG32" i="19"/>
  <c r="AE36" i="8"/>
  <c r="AE39" i="8" s="1"/>
  <c r="AF35" i="8" s="1"/>
  <c r="AE38" i="8"/>
  <c r="AF37" i="8" s="1"/>
  <c r="AF39" i="6"/>
  <c r="AF42" i="6"/>
  <c r="AF35" i="6"/>
  <c r="AG37" i="19" l="1"/>
  <c r="AG45" i="19" s="1"/>
  <c r="AG47" i="19" s="1"/>
  <c r="AF44" i="6"/>
  <c r="AF57" i="6" s="1"/>
  <c r="AG38" i="4" s="1"/>
  <c r="AG40" i="4" s="1"/>
  <c r="AF45" i="6"/>
  <c r="AF56" i="6"/>
  <c r="AF58" i="6" s="1"/>
  <c r="AF48" i="6"/>
  <c r="B77" i="6"/>
  <c r="E66" i="6" s="1"/>
  <c r="G35" i="2" s="1"/>
  <c r="AF43" i="25"/>
  <c r="AF45" i="25" s="1"/>
  <c r="AF27" i="25"/>
  <c r="AF28" i="25" s="1"/>
  <c r="AF29" i="25" s="1"/>
  <c r="AG25" i="25" s="1"/>
  <c r="AF57" i="25"/>
  <c r="AF59" i="25" s="1"/>
  <c r="AF50" i="25"/>
  <c r="AF52" i="25" s="1"/>
  <c r="AF37" i="25"/>
  <c r="AF38" i="25" s="1"/>
  <c r="AF50" i="6" l="1"/>
  <c r="AF52" i="6" s="1"/>
  <c r="AG16" i="25"/>
  <c r="AG42" i="4"/>
  <c r="AG43" i="4" s="1"/>
  <c r="AF10" i="8"/>
  <c r="AF13" i="8" s="1"/>
  <c r="AG26" i="25"/>
  <c r="AG45" i="4" l="1"/>
  <c r="AH42" i="19" s="1"/>
  <c r="AH43" i="19" s="1"/>
  <c r="AF28" i="8"/>
  <c r="AF16" i="8"/>
  <c r="AF24" i="8"/>
  <c r="E68" i="6"/>
  <c r="E69" i="6"/>
  <c r="D68" i="2" l="1"/>
  <c r="C9" i="16"/>
  <c r="C12" i="16" s="1"/>
  <c r="AF21" i="8"/>
  <c r="AF19" i="8"/>
  <c r="AF22" i="8" s="1"/>
  <c r="AF29" i="8"/>
  <c r="AF30" i="8"/>
  <c r="C68" i="2"/>
  <c r="D9" i="16"/>
  <c r="D12" i="16" s="1"/>
  <c r="AF33" i="8" l="1"/>
  <c r="AF41" i="8"/>
  <c r="AG15" i="25" s="1"/>
  <c r="AH32" i="19" l="1"/>
  <c r="AH37" i="19" s="1"/>
  <c r="AH45" i="19" s="1"/>
  <c r="AH47" i="19" s="1"/>
  <c r="AG18" i="25"/>
  <c r="AG21" i="25" s="1"/>
  <c r="AF36" i="8"/>
  <c r="AF38" i="8"/>
  <c r="AF39" i="8" l="1"/>
  <c r="AG43" i="25"/>
  <c r="AG45" i="25" s="1"/>
  <c r="AG37" i="25"/>
  <c r="AG38" i="25" s="1"/>
  <c r="AG57" i="25"/>
  <c r="AG59" i="25" s="1"/>
  <c r="AG50" i="25"/>
  <c r="AG52" i="25" s="1"/>
  <c r="AG27" i="25"/>
  <c r="AG28" i="25" s="1"/>
  <c r="AG29" i="25" s="1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2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C41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Make sure that ENA is not operating the facility, thus there will be no mobilization costs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N5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Need to check with Patrick Maloy the states tax rate
</t>
        </r>
      </text>
    </comment>
    <comment ref="C58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  <comment ref="H72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estimates
</t>
        </r>
      </text>
    </comment>
  </commentList>
</comments>
</file>

<file path=xl/sharedStrings.xml><?xml version="1.0" encoding="utf-8"?>
<sst xmlns="http://schemas.openxmlformats.org/spreadsheetml/2006/main" count="861" uniqueCount="669">
  <si>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</si>
  <si>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</si>
  <si>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</si>
  <si>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</si>
  <si>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</si>
  <si>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</si>
  <si>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</si>
  <si>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</si>
  <si>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</si>
  <si>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</si>
  <si>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</si>
  <si>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</si>
  <si>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</si>
  <si>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</si>
  <si>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</si>
  <si>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</si>
  <si>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</si>
  <si>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</si>
  <si>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</si>
  <si>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</si>
  <si>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</si>
  <si>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</si>
  <si>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</si>
  <si>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</si>
  <si>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</si>
  <si>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</si>
  <si>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</si>
  <si>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</si>
  <si>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</si>
  <si>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</si>
  <si>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</si>
  <si>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</si>
  <si>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</si>
  <si>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</si>
  <si>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</si>
  <si>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</si>
  <si>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</si>
  <si>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</si>
  <si>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</si>
  <si>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</si>
  <si>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</si>
  <si>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</si>
  <si>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</si>
  <si>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</si>
  <si>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</si>
  <si>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</si>
  <si>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</si>
  <si>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</si>
  <si>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</si>
  <si>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</si>
  <si>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</si>
  <si>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</si>
  <si>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</si>
  <si>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</si>
  <si>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</si>
  <si>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</si>
  <si>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</si>
  <si>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</si>
  <si>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</si>
  <si>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</si>
  <si>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</si>
  <si>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</si>
  <si>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</si>
  <si>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</si>
  <si>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</si>
  <si>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</si>
  <si>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</si>
  <si>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</si>
  <si>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</si>
  <si>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</si>
  <si>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</si>
  <si>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</si>
  <si>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</si>
  <si>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</si>
  <si>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</si>
  <si>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</si>
  <si>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</si>
  <si>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</si>
  <si>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</si>
  <si>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</si>
  <si>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</si>
  <si>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</si>
  <si>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</si>
  <si>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</si>
  <si>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</si>
  <si>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</si>
  <si>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</si>
  <si>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</si>
  <si>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</si>
  <si>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</si>
  <si>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</si>
  <si>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</si>
  <si>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</si>
  <si>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</si>
  <si>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</si>
  <si>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</si>
  <si>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</si>
  <si>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</si>
  <si>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</si>
  <si>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</si>
  <si>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</si>
  <si>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</si>
  <si>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</si>
  <si>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</si>
  <si>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</si>
  <si>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</si>
  <si>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</si>
  <si>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</si>
  <si>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Dual Fuel </t>
  </si>
  <si>
    <t xml:space="preserve">  Black Start</t>
  </si>
  <si>
    <t xml:space="preserve">  Demineralized Water Facility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</si>
  <si>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</si>
  <si>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</si>
  <si>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</si>
  <si>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</si>
  <si>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</si>
  <si>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</si>
  <si>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</si>
  <si>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</si>
  <si>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</si>
  <si>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</si>
  <si>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</si>
  <si>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</si>
  <si>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</si>
  <si>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</si>
  <si>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</si>
  <si>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</si>
  <si>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</si>
  <si>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</si>
  <si>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</si>
  <si>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</si>
  <si>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</si>
  <si>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</si>
  <si>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</si>
  <si>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</si>
  <si>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</si>
  <si>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</si>
  <si>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</si>
  <si>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</si>
  <si>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</si>
  <si>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</si>
  <si>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</si>
  <si>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</si>
  <si>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</si>
  <si>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</si>
  <si>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</si>
  <si>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</si>
  <si>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</si>
  <si>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</si>
  <si>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</si>
  <si>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</si>
  <si>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</si>
  <si>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</si>
  <si>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</si>
  <si>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</si>
  <si>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</si>
  <si>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</si>
  <si>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</si>
  <si>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</si>
  <si>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</si>
  <si>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</si>
  <si>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</si>
  <si>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</si>
  <si>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</si>
  <si>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</si>
  <si>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</si>
  <si>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</si>
  <si>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</si>
  <si>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</si>
  <si>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</si>
  <si>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</si>
  <si>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</si>
  <si>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</si>
  <si>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</si>
  <si>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</si>
  <si>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</si>
  <si>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</si>
  <si>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</si>
  <si>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</si>
  <si>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</si>
  <si>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</si>
  <si>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</si>
  <si>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</si>
  <si>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</si>
  <si>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</si>
  <si>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</si>
  <si>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</si>
  <si>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</si>
  <si>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</si>
  <si>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</si>
  <si>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</si>
  <si>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</si>
  <si>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</si>
  <si>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</si>
  <si>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</si>
  <si>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</si>
  <si>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</si>
  <si>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</si>
  <si>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</si>
  <si>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</si>
  <si>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</si>
  <si>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</si>
  <si>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</si>
  <si>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</si>
  <si>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</si>
  <si>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</si>
  <si>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</si>
  <si>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</si>
  <si>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</si>
  <si>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</si>
  <si>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</si>
  <si>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</si>
  <si>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</si>
  <si>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</si>
  <si>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</si>
  <si>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</si>
  <si>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</si>
  <si>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</si>
  <si>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</si>
  <si>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</si>
  <si>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</si>
  <si>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</si>
  <si>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</si>
  <si>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</si>
  <si>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</si>
  <si>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</si>
  <si>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</si>
  <si>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</si>
  <si>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</si>
  <si>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</si>
  <si>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</si>
  <si>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</si>
  <si>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</si>
  <si>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</si>
  <si>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</si>
  <si>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</si>
  <si>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</si>
  <si>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</si>
  <si>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</si>
  <si>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</si>
  <si>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</si>
  <si>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</si>
  <si>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</si>
  <si>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</si>
  <si>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</si>
  <si>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</si>
  <si>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</si>
  <si>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</si>
  <si>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</si>
  <si>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</si>
  <si>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</si>
  <si>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</si>
  <si>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EBITDA Exit Multiple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</si>
  <si>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</si>
  <si>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</si>
  <si>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</si>
  <si>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</si>
  <si>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</si>
  <si>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</si>
  <si>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</si>
  <si>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</si>
  <si>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</si>
  <si>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</si>
  <si>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</si>
  <si>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</si>
  <si>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</si>
  <si>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</si>
  <si>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</si>
  <si>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</si>
  <si>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</si>
  <si>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</si>
  <si>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</si>
  <si>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</si>
  <si>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</si>
  <si>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</si>
  <si>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</si>
  <si>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</si>
  <si>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</si>
  <si>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</si>
  <si>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</si>
  <si>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</si>
  <si>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</si>
  <si>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</si>
  <si>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</si>
  <si>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</si>
  <si>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</si>
  <si>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</si>
  <si>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</si>
  <si>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</si>
  <si>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</si>
  <si>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</si>
  <si>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</si>
  <si>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</si>
  <si>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</si>
  <si>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</si>
  <si>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</si>
  <si>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</si>
  <si>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</si>
  <si>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</si>
  <si>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</si>
  <si>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</si>
  <si>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</si>
  <si>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</si>
  <si>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</si>
  <si>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</si>
  <si>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</si>
  <si>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</si>
  <si>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</si>
  <si>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</si>
  <si>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</si>
  <si>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</si>
  <si>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</si>
  <si>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</si>
  <si>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</si>
  <si>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</si>
  <si>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</si>
  <si>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</si>
  <si>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</si>
  <si>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</si>
  <si>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</si>
  <si>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</si>
  <si>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</si>
  <si>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</si>
  <si>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</si>
  <si>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</si>
  <si>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</si>
  <si>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</si>
  <si>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</si>
  <si>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</si>
  <si>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</si>
  <si>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</si>
  <si>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</si>
  <si>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</si>
  <si>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</si>
  <si>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</si>
  <si>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</si>
  <si>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</si>
  <si>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</si>
  <si>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</si>
  <si>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</si>
  <si>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</si>
  <si>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</si>
  <si>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</si>
  <si>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</si>
  <si>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</si>
  <si>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</si>
  <si>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</si>
  <si>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</si>
  <si>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</si>
  <si>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</si>
  <si>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</si>
  <si>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</si>
  <si>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</si>
  <si>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</si>
  <si>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</si>
  <si>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</si>
  <si>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</si>
  <si>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</si>
  <si>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</si>
  <si>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</si>
  <si>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</si>
  <si>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</si>
  <si>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</si>
  <si>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</si>
  <si>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</si>
  <si>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</si>
  <si>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</si>
  <si>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</si>
  <si>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</si>
  <si>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</si>
  <si>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</si>
  <si>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</si>
  <si>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</si>
  <si>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</si>
  <si>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</si>
  <si>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</si>
  <si>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</si>
  <si>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</si>
  <si>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</si>
  <si>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</si>
  <si>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</si>
  <si>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</si>
  <si>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</si>
  <si>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</si>
  <si>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</si>
  <si>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</si>
  <si>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</si>
  <si>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</si>
  <si>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</si>
  <si>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</si>
  <si>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</si>
  <si>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</si>
  <si>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</si>
  <si>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</si>
  <si>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</si>
  <si>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</si>
  <si>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</si>
  <si>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</si>
  <si>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</si>
  <si>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</si>
  <si>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</si>
  <si>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</si>
  <si>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</si>
  <si>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</si>
  <si>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</si>
  <si>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</si>
  <si>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</si>
  <si>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</si>
  <si>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</si>
  <si>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</si>
  <si>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</si>
  <si>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</si>
  <si>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</si>
  <si>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</si>
  <si>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</si>
  <si>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</si>
  <si>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</si>
  <si>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</si>
  <si>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</si>
  <si>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</si>
  <si>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</si>
  <si>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</si>
  <si>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</si>
  <si>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>PROJECT NAME: UAE-Lowell</t>
  </si>
  <si>
    <t>MA</t>
  </si>
  <si>
    <t>Net Generation (MWh)</t>
  </si>
  <si>
    <t>ESC.</t>
  </si>
  <si>
    <t>Residual Value (at year 20)</t>
  </si>
  <si>
    <t xml:space="preserve">  Financing Fee (All-in Fees)</t>
  </si>
  <si>
    <t xml:space="preserve">  Insurance</t>
  </si>
  <si>
    <t xml:space="preserve">Total Price to </t>
  </si>
  <si>
    <t>Tenn Zone 6</t>
  </si>
  <si>
    <t>Price</t>
  </si>
  <si>
    <t>Index (Tenn Zone 6)</t>
  </si>
  <si>
    <t>Target</t>
  </si>
  <si>
    <t>20 Yrs After-Tax Cashflow with Zero Residual Value</t>
  </si>
  <si>
    <t xml:space="preserve">  Sprint Package Adder</t>
  </si>
  <si>
    <t>UAE Lowell Power Expansion</t>
  </si>
  <si>
    <t>Single LM6000 Unit</t>
  </si>
  <si>
    <t>Equipment Performance</t>
  </si>
  <si>
    <t xml:space="preserve">Ambient vs. Front End Simple Cycle Technology </t>
  </si>
  <si>
    <t>5 - GE/S&amp;S LM6000 Units</t>
  </si>
  <si>
    <t>DLE</t>
  </si>
  <si>
    <t>Spr. w/ WI</t>
  </si>
  <si>
    <t>Spr. w/ SI</t>
  </si>
  <si>
    <t>General Plant Performance Data</t>
  </si>
  <si>
    <t>Generator Power, MW</t>
  </si>
  <si>
    <t>S</t>
  </si>
  <si>
    <t>Gross Heat Rate, Btu/kWh (LHV)</t>
  </si>
  <si>
    <t>&amp;</t>
  </si>
  <si>
    <t>Gross Heat Rate Adjusted for Steam Use, Btu/kWh (HHV)</t>
  </si>
  <si>
    <t>na</t>
  </si>
  <si>
    <t>Fuel Flow, mmBtu/hr (LHV)</t>
  </si>
  <si>
    <t>Fuel Flow, mmBtu/hr (HHV)</t>
  </si>
  <si>
    <t>Chilling Requirements, tons</t>
  </si>
  <si>
    <t>R</t>
  </si>
  <si>
    <t>Water Injection Flow, pph</t>
  </si>
  <si>
    <t>u</t>
  </si>
  <si>
    <t>Steam Injection Flow, pph</t>
  </si>
  <si>
    <t>n</t>
  </si>
  <si>
    <t xml:space="preserve">Sprint Water Injection Flow, pph </t>
  </si>
  <si>
    <t>s</t>
  </si>
  <si>
    <t>Chiller Aux. Load (kW)</t>
  </si>
  <si>
    <t>Net Power Output, MW</t>
  </si>
  <si>
    <t>@</t>
  </si>
  <si>
    <r>
      <t>NOx</t>
    </r>
    <r>
      <rPr>
        <sz val="10"/>
        <rFont val="Arial"/>
      </rPr>
      <t>, ppm</t>
    </r>
  </si>
  <si>
    <r>
      <t>NOx</t>
    </r>
    <r>
      <rPr>
        <sz val="10"/>
        <rFont val="Arial"/>
      </rPr>
      <t>, pph</t>
    </r>
  </si>
  <si>
    <r>
      <t>CO</t>
    </r>
    <r>
      <rPr>
        <sz val="10"/>
        <rFont val="Arial"/>
      </rPr>
      <t>, ppm</t>
    </r>
  </si>
  <si>
    <r>
      <t>o</t>
    </r>
    <r>
      <rPr>
        <sz val="10"/>
        <rFont val="Arial"/>
      </rPr>
      <t>F</t>
    </r>
  </si>
  <si>
    <r>
      <t>CO</t>
    </r>
    <r>
      <rPr>
        <sz val="10"/>
        <rFont val="Arial"/>
      </rPr>
      <t>, pph</t>
    </r>
  </si>
  <si>
    <t>Expected DEP NOx Emission Rate, ppm</t>
  </si>
  <si>
    <t>Reduction Required</t>
  </si>
  <si>
    <t>Expected DEP NOx Emission Rate, lb/mmBtu</t>
  </si>
  <si>
    <t>Expected DEP NOx Emission Rate, lb/hr</t>
  </si>
  <si>
    <t>Expected DEP CO Reduction Rate, %</t>
  </si>
  <si>
    <t>Expected DEP CO Emission Rate, ppm</t>
  </si>
  <si>
    <t>Notes:</t>
  </si>
  <si>
    <t>Spray Intercooling (Sprint) is not currently available with DLE combustors.</t>
  </si>
  <si>
    <t xml:space="preserve">Auxiliary load includes fuel compression, misc. GT auxiliaries, and transformer losses </t>
  </si>
  <si>
    <t>Gross heat rate as a function of the HHV of the fuel plus degradation</t>
  </si>
  <si>
    <r>
      <t xml:space="preserve">0 </t>
    </r>
    <r>
      <rPr>
        <b/>
        <vertAlign val="superscript"/>
        <sz val="16"/>
        <rFont val="Arial"/>
        <family val="2"/>
      </rPr>
      <t>o</t>
    </r>
    <r>
      <rPr>
        <b/>
        <sz val="16"/>
        <rFont val="Arial"/>
        <family val="2"/>
      </rPr>
      <t>F</t>
    </r>
  </si>
  <si>
    <r>
      <t xml:space="preserve">60 </t>
    </r>
    <r>
      <rPr>
        <b/>
        <vertAlign val="superscript"/>
        <sz val="16"/>
        <rFont val="Arial"/>
        <family val="2"/>
      </rPr>
      <t>o</t>
    </r>
    <r>
      <rPr>
        <b/>
        <sz val="16"/>
        <rFont val="Arial"/>
        <family val="2"/>
      </rPr>
      <t>F</t>
    </r>
  </si>
  <si>
    <r>
      <t xml:space="preserve">90 </t>
    </r>
    <r>
      <rPr>
        <b/>
        <vertAlign val="superscript"/>
        <sz val="16"/>
        <rFont val="Arial"/>
        <family val="2"/>
      </rPr>
      <t>o</t>
    </r>
    <r>
      <rPr>
        <b/>
        <sz val="16"/>
        <rFont val="Arial"/>
        <family val="2"/>
      </rPr>
      <t>F</t>
    </r>
  </si>
  <si>
    <r>
      <t xml:space="preserve">Gross Heat Rate, Btu/kWh (HHV) </t>
    </r>
    <r>
      <rPr>
        <vertAlign val="superscript"/>
        <sz val="10"/>
        <rFont val="Arial"/>
        <family val="2"/>
      </rPr>
      <t>(3)</t>
    </r>
  </si>
  <si>
    <r>
      <t>Aux Load (kW)</t>
    </r>
    <r>
      <rPr>
        <vertAlign val="superscript"/>
        <sz val="10"/>
        <rFont val="Arial"/>
        <family val="2"/>
      </rPr>
      <t xml:space="preserve"> (2)</t>
    </r>
  </si>
  <si>
    <t>Technology Comparison</t>
  </si>
  <si>
    <t>Yearly Revenue/Cost Variances per Unit</t>
  </si>
  <si>
    <t>DLE Combustor</t>
  </si>
  <si>
    <t>Sprint w/ Water Injection</t>
  </si>
  <si>
    <t>w/ Inlet Chilling</t>
  </si>
  <si>
    <t>Water Treatment Capital Recovery ($200,000 over 15 yr. @ 11%)</t>
  </si>
  <si>
    <t>Water Treatment Variable Cost ($0.0025/gal for chemical, 2500 hrs.)</t>
  </si>
  <si>
    <t>Fuel Cost ($3/mmBtu &amp; 2500 hrs.)</t>
  </si>
  <si>
    <t>Capacity Payment ($6/kw-mo w/ DLE Unit as datum)</t>
  </si>
  <si>
    <t>Total First Year Cost</t>
  </si>
  <si>
    <t>Operating Hours</t>
  </si>
  <si>
    <t>(1) Price differential between machines equipped with a DLE Combustor and those with the Sprint Technology is $1.1 m ($1.4 m for DLE, $0.3 for Sprint)</t>
  </si>
  <si>
    <t>(2) General assumption of 2500 hrs. operating</t>
  </si>
  <si>
    <t>(3) Steam injection rates of over 30,000 lbs/hr can not be handled by existing systems</t>
  </si>
  <si>
    <r>
      <t xml:space="preserve">Sprint w/ Steam Injection </t>
    </r>
    <r>
      <rPr>
        <vertAlign val="superscript"/>
        <sz val="10"/>
        <rFont val="Arial"/>
        <family val="2"/>
      </rPr>
      <t>(3)</t>
    </r>
  </si>
  <si>
    <r>
      <t xml:space="preserve">DLE Capital Recovery ($1.1m over 15 yr. @ 11%) </t>
    </r>
    <r>
      <rPr>
        <vertAlign val="superscript"/>
        <sz val="10"/>
        <rFont val="Arial"/>
        <family val="2"/>
      </rPr>
      <t>(1)</t>
    </r>
  </si>
  <si>
    <r>
      <t xml:space="preserve">Chiller Cost (90 </t>
    </r>
    <r>
      <rPr>
        <vertAlign val="superscript"/>
        <sz val="10"/>
        <rFont val="Arial"/>
        <family val="2"/>
      </rPr>
      <t>o</t>
    </r>
    <r>
      <rPr>
        <sz val="10"/>
        <rFont val="Arial"/>
      </rPr>
      <t>F, electric @ $0.03/kw-hr, 2500 hrs)</t>
    </r>
  </si>
  <si>
    <r>
      <t>Sprint Water Injection (@100</t>
    </r>
    <r>
      <rPr>
        <vertAlign val="superscript"/>
        <sz val="10"/>
        <rFont val="Arial"/>
        <family val="2"/>
      </rPr>
      <t xml:space="preserve"> o</t>
    </r>
    <r>
      <rPr>
        <sz val="10"/>
        <rFont val="Arial"/>
      </rPr>
      <t>F &amp; $1.40/100 cu. ft.)</t>
    </r>
  </si>
  <si>
    <r>
      <t>Water Injection (@100</t>
    </r>
    <r>
      <rPr>
        <vertAlign val="superscript"/>
        <sz val="10"/>
        <rFont val="Arial"/>
        <family val="2"/>
      </rPr>
      <t xml:space="preserve"> o</t>
    </r>
    <r>
      <rPr>
        <sz val="10"/>
        <rFont val="Arial"/>
      </rPr>
      <t>F &amp; $1.40/100 cu. ft.)</t>
    </r>
  </si>
  <si>
    <r>
      <t xml:space="preserve">Steam Injection (550 psig, 75 </t>
    </r>
    <r>
      <rPr>
        <vertAlign val="superscript"/>
        <sz val="10"/>
        <rFont val="Arial"/>
        <family val="2"/>
      </rPr>
      <t>o</t>
    </r>
    <r>
      <rPr>
        <sz val="10"/>
        <rFont val="Arial"/>
      </rPr>
      <t>F sprht, 1263 Btu/lb)</t>
    </r>
  </si>
  <si>
    <t>PRELIMINARY DATA; ENGINEERING STUDY UNDERWAY TO CONFIRM ASSUMPTIONS</t>
  </si>
  <si>
    <t>Capital Cost  Breakdown ($ = 000's)</t>
  </si>
  <si>
    <t>5x GE LM 6000 Base Package - Simple Cycle</t>
  </si>
  <si>
    <t>(1=yes, 0=no)</t>
  </si>
  <si>
    <t>Feb 23 Meeting with Enron Capital and Trade</t>
  </si>
  <si>
    <t>Lowell Expansion</t>
  </si>
  <si>
    <t>GT Pro</t>
  </si>
  <si>
    <t>Gas Turbine Package</t>
  </si>
  <si>
    <t>Equipment</t>
  </si>
  <si>
    <t>Installation</t>
  </si>
  <si>
    <t>Total</t>
  </si>
  <si>
    <t>Per Unit</t>
  </si>
  <si>
    <t>Gas Turbine Generator</t>
  </si>
  <si>
    <t>Sprint Package Adder (unavail w/DLE)</t>
  </si>
  <si>
    <t>Inlet Air Chiller</t>
  </si>
  <si>
    <t>Switchgear/MCC/Relays/Breaker Set</t>
  </si>
  <si>
    <t>Stack(s)/Noise Attenuation/Buildings</t>
  </si>
  <si>
    <t>Water Tube Oil Cooler</t>
  </si>
  <si>
    <t>Freight</t>
  </si>
  <si>
    <t>Spare Parts Inventory</t>
  </si>
  <si>
    <t>Total Base Package</t>
  </si>
  <si>
    <t>Emissions Controls</t>
  </si>
  <si>
    <t>Vanadium-Titanium SCR (to 2 ppm NOX)</t>
  </si>
  <si>
    <t>CO Oxidation Catalyst (to 10ppm CO)</t>
  </si>
  <si>
    <t xml:space="preserve">Dry Low Emissions (DLE) Combustor Adder </t>
  </si>
  <si>
    <t>Balance Of Plant</t>
  </si>
  <si>
    <t>Pads and Grading</t>
  </si>
  <si>
    <t>Fuel Gas Compressors</t>
  </si>
  <si>
    <t>Control Room (upgrade to existing unit)</t>
  </si>
  <si>
    <t>Controls For Remote Operation</t>
  </si>
  <si>
    <t>Demin Water Treatment (for Sprint/Water Inj)</t>
  </si>
  <si>
    <t>Fire Protection</t>
  </si>
  <si>
    <t>Cooling Tower for Chiller</t>
  </si>
  <si>
    <t>Ammonia System (Tanks, Unldg./Fwdg. Pumps)</t>
  </si>
  <si>
    <t>Step-Up Transformer(s)</t>
  </si>
  <si>
    <t>Piping</t>
  </si>
  <si>
    <t>Wiring</t>
  </si>
  <si>
    <t>Continuous Emissions Monitoring</t>
  </si>
  <si>
    <t>Other</t>
  </si>
  <si>
    <t>Total Emissions and BOP</t>
  </si>
  <si>
    <t>Total EPC</t>
  </si>
  <si>
    <t>Owner's Cost</t>
  </si>
  <si>
    <t>Air Permitting</t>
  </si>
  <si>
    <t>Air Permit Fees</t>
  </si>
  <si>
    <t>Boston Gas Upgrades</t>
  </si>
  <si>
    <t>Utility Connection Cost (NEP)</t>
  </si>
  <si>
    <t>Interconnect Study (NEP)</t>
  </si>
  <si>
    <t>Property Purchase</t>
  </si>
  <si>
    <t>Water/Sewer Connect</t>
  </si>
  <si>
    <t>Phase I/Phase II Environmental Review</t>
  </si>
  <si>
    <t>Engineering Plant Specification</t>
  </si>
  <si>
    <t>Engineering (Studies/Services/Conceptual)</t>
  </si>
  <si>
    <t>Development/Construction Management</t>
  </si>
  <si>
    <t xml:space="preserve">Interest During Construction </t>
  </si>
  <si>
    <t>Misc. Permits/Fees</t>
  </si>
  <si>
    <t>Legal Fees</t>
  </si>
  <si>
    <t>Bank Fees</t>
  </si>
  <si>
    <t>Emissions Offsets</t>
  </si>
  <si>
    <t>Working Capital</t>
  </si>
  <si>
    <t>Miscellaneous Consultants</t>
  </si>
  <si>
    <t>Owner's Contingency (3% of EPC)</t>
  </si>
  <si>
    <t>Total Owner's</t>
  </si>
  <si>
    <t>Commissioning</t>
  </si>
  <si>
    <t>Site Infrastructure (roads, landscape, neighbors)</t>
  </si>
  <si>
    <t xml:space="preserve">Start Up </t>
  </si>
  <si>
    <t>Total Commissioning</t>
  </si>
  <si>
    <t>Base Package</t>
  </si>
  <si>
    <t>BOP</t>
  </si>
  <si>
    <t>Sales Tax (5.0%)</t>
  </si>
  <si>
    <t>Other Costs</t>
  </si>
  <si>
    <t>Total Capital Cost</t>
  </si>
  <si>
    <t>ISO Output (MW)</t>
  </si>
  <si>
    <t>DLE Estimated Output at 90 deg F</t>
  </si>
  <si>
    <t>Sprint/Water Inj Estimated Output at 90 deg F</t>
  </si>
  <si>
    <t>Operations Summary</t>
  </si>
  <si>
    <t>FIXED COSTS</t>
  </si>
  <si>
    <t>Labor</t>
  </si>
  <si>
    <t>add one+ maintenance</t>
  </si>
  <si>
    <t>Annual Inspection of Gas Turbines</t>
  </si>
  <si>
    <t>Fixed - maint &amp; consum</t>
  </si>
  <si>
    <t>per S&amp;S</t>
  </si>
  <si>
    <t>Operator Fee</t>
  </si>
  <si>
    <t>G&amp;A</t>
  </si>
  <si>
    <t>Property &amp; BI Insurance</t>
  </si>
  <si>
    <t>Replacement Power Insurance</t>
  </si>
  <si>
    <t>discuss</t>
  </si>
  <si>
    <t>Real Property Taxes</t>
  </si>
  <si>
    <t>same as existing PILOT</t>
  </si>
  <si>
    <t>Water Supply/Discharge</t>
  </si>
  <si>
    <t>cooling tower</t>
  </si>
  <si>
    <t>Interconnect and NEPOOL Fees</t>
  </si>
  <si>
    <t>Audit/Miscellaneous</t>
  </si>
  <si>
    <t>NOx Budget</t>
  </si>
  <si>
    <t>Asset Mgt. Cost</t>
  </si>
  <si>
    <t>VARIABLE COSTS</t>
  </si>
  <si>
    <t>$/mwhr</t>
  </si>
  <si>
    <t>Cost</t>
  </si>
  <si>
    <t>Energy</t>
  </si>
  <si>
    <t>hrs/yr</t>
  </si>
  <si>
    <t>Consumables</t>
  </si>
  <si>
    <t>Water / Supply Discharge</t>
  </si>
  <si>
    <t>Asset Mhmt. Cost</t>
  </si>
  <si>
    <t>Nox Budget/Audit Costs</t>
  </si>
  <si>
    <t>Labor, Ann. Inspection, Fixed (Maint), Op. Fee</t>
  </si>
  <si>
    <t>Water Supply Discharge</t>
  </si>
  <si>
    <t>Interconnect &amp; Nepool Fees</t>
  </si>
  <si>
    <t xml:space="preserve">  Switchgear/MCC/Relays</t>
  </si>
  <si>
    <t xml:space="preserve">  SCR, CO oxidation Catalyst, DLE Combuster Turbine</t>
  </si>
  <si>
    <t xml:space="preserve">  Stacks, Noise Mitigation, Buildings</t>
  </si>
  <si>
    <t xml:space="preserve">  Freight</t>
  </si>
  <si>
    <t xml:space="preserve">  LMP Cost Adder</t>
  </si>
  <si>
    <t>ENA Turbines with UAE Costs</t>
  </si>
  <si>
    <t xml:space="preserve">  Spare Parts Inventory</t>
  </si>
  <si>
    <t xml:space="preserve">  Owners Cost</t>
  </si>
  <si>
    <t xml:space="preserve">  Others Costs</t>
  </si>
  <si>
    <t>UAE Cost Sceanrio</t>
  </si>
  <si>
    <t>Lease</t>
  </si>
  <si>
    <t>Plant Turnkey Price</t>
  </si>
  <si>
    <t>Debt Term (yrs)</t>
  </si>
  <si>
    <t>Rate (%)</t>
  </si>
  <si>
    <t>Princ Amort Sched (yrs)</t>
  </si>
  <si>
    <t>Equity (%)</t>
  </si>
  <si>
    <t>Equity ($)</t>
  </si>
  <si>
    <t>Posted LC</t>
  </si>
  <si>
    <t>Turbines (#)</t>
  </si>
  <si>
    <t>Capacity (MW)</t>
  </si>
  <si>
    <t>Capacity Pmt ($/kw-mo)</t>
  </si>
  <si>
    <t>Total $</t>
  </si>
  <si>
    <t>$/kw/mo</t>
  </si>
  <si>
    <t>12 yr Amort</t>
  </si>
  <si>
    <t>100% Lease</t>
  </si>
  <si>
    <t>Pmt Diff</t>
  </si>
  <si>
    <t>Prin Bal</t>
  </si>
  <si>
    <t>Pmt</t>
  </si>
  <si>
    <t>Int Pmt</t>
  </si>
  <si>
    <t>Prin Pmt</t>
  </si>
  <si>
    <t>Equity</t>
  </si>
  <si>
    <t>10 yr Amort</t>
  </si>
  <si>
    <t>7 Yr Debt</t>
  </si>
  <si>
    <t>Total Price:</t>
  </si>
  <si>
    <t>LC</t>
  </si>
  <si>
    <t>Yr 5 Bal</t>
  </si>
  <si>
    <t>Diff</t>
  </si>
  <si>
    <t>Diff $/kw-mo</t>
  </si>
  <si>
    <t>Annual Debt Pmt</t>
  </si>
  <si>
    <t>Req'd Eq Ret</t>
  </si>
  <si>
    <t>LC Annual Cost</t>
  </si>
  <si>
    <t>Balance Amort Diff</t>
  </si>
  <si>
    <t>Difference</t>
  </si>
  <si>
    <t>Debt Options</t>
  </si>
  <si>
    <t>New Debt</t>
  </si>
  <si>
    <t>10-Yr. Debt</t>
  </si>
  <si>
    <t>7-Yr. Debt</t>
  </si>
  <si>
    <t>Debt Structures</t>
  </si>
  <si>
    <t>Versions</t>
  </si>
  <si>
    <t>Optimal Debt</t>
  </si>
  <si>
    <t>With 20% of Initial Project Costs</t>
  </si>
  <si>
    <t>Lease Option</t>
  </si>
  <si>
    <t>10-Yr. Debt Option</t>
  </si>
  <si>
    <t>Residuel Value</t>
  </si>
  <si>
    <t>Debt Repayment - Bullet</t>
  </si>
  <si>
    <t>Debt Versions</t>
  </si>
  <si>
    <t>7-Yr. Debt Option</t>
  </si>
  <si>
    <t>7 yr Term with 12 yr. Amort.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</si>
</sst>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89" formatCode="0.000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17" formatCode="&quot;$&quot;#,##0"/>
    <numFmt numFmtId="218" formatCode="&quot;$&quot;#,##0.0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7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u/>
      <sz val="10"/>
      <name val="Arial"/>
      <family val="2"/>
    </font>
    <font>
      <b/>
      <vertAlign val="superscript"/>
      <sz val="16"/>
      <name val="Arial"/>
      <family val="2"/>
    </font>
    <font>
      <b/>
      <sz val="16"/>
      <name val="Arial"/>
      <family val="2"/>
    </font>
    <font>
      <vertAlign val="superscript"/>
      <sz val="10"/>
      <name val="Arial"/>
      <family val="2"/>
    </font>
    <font>
      <b/>
      <u/>
      <sz val="10"/>
      <name val="Arial"/>
      <family val="2"/>
    </font>
    <font>
      <u/>
      <sz val="12"/>
      <color indexed="1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</fills>
  <borders count="3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3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0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700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1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9" fontId="22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Continuous"/>
    </xf>
    <xf numFmtId="10" fontId="22" fillId="0" borderId="0" xfId="21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1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1" applyNumberFormat="1" applyFont="1" applyBorder="1" applyAlignment="1">
      <alignment horizontal="center"/>
    </xf>
    <xf numFmtId="164" fontId="30" fillId="0" borderId="0" xfId="21" applyNumberFormat="1" applyFont="1" applyBorder="1" applyAlignment="1">
      <alignment horizontal="center"/>
    </xf>
    <xf numFmtId="0" fontId="5" fillId="0" borderId="8" xfId="0" applyFont="1" applyFill="1" applyBorder="1"/>
    <xf numFmtId="0" fontId="33" fillId="0" borderId="10" xfId="0" applyFont="1" applyBorder="1" applyAlignment="1" applyProtection="1">
      <alignment horizontal="left"/>
    </xf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1" applyFont="1" applyBorder="1" applyAlignment="1">
      <alignment horizontal="center"/>
    </xf>
    <xf numFmtId="9" fontId="22" fillId="0" borderId="9" xfId="21" applyFont="1" applyFill="1" applyBorder="1" applyAlignment="1">
      <alignment horizontal="center"/>
    </xf>
    <xf numFmtId="9" fontId="22" fillId="0" borderId="13" xfId="21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0" fontId="30" fillId="0" borderId="0" xfId="0" quotePrefix="1" applyFont="1" applyBorder="1" applyAlignment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1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1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1" applyNumberFormat="1" applyFont="1" applyFill="1" applyBorder="1" applyAlignment="1">
      <alignment horizontal="center"/>
    </xf>
    <xf numFmtId="9" fontId="30" fillId="0" borderId="9" xfId="21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1" applyNumberFormat="1" applyFont="1" applyFill="1" applyBorder="1" applyAlignment="1">
      <alignment horizontal="center"/>
    </xf>
    <xf numFmtId="9" fontId="22" fillId="0" borderId="0" xfId="21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1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1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1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1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1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1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179" fontId="16" fillId="8" borderId="21" xfId="0" applyNumberFormat="1" applyFont="1" applyFill="1" applyBorder="1" applyAlignment="1">
      <alignment horizontal="right"/>
    </xf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1" applyFont="1" applyBorder="1"/>
    <xf numFmtId="9" fontId="0" fillId="0" borderId="8" xfId="21" applyFont="1" applyBorder="1"/>
    <xf numFmtId="9" fontId="0" fillId="0" borderId="0" xfId="21" applyFont="1" applyBorder="1"/>
    <xf numFmtId="9" fontId="0" fillId="0" borderId="9" xfId="21" applyFont="1" applyBorder="1"/>
    <xf numFmtId="0" fontId="0" fillId="0" borderId="6" xfId="0" applyBorder="1"/>
    <xf numFmtId="9" fontId="0" fillId="0" borderId="6" xfId="21" applyFont="1" applyBorder="1"/>
    <xf numFmtId="9" fontId="0" fillId="0" borderId="13" xfId="21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1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1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1" applyNumberFormat="1" applyFont="1" applyFill="1" applyBorder="1" applyAlignment="1">
      <alignment horizontal="center"/>
    </xf>
    <xf numFmtId="9" fontId="3" fillId="8" borderId="3" xfId="21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1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1" applyNumberFormat="1" applyFont="1" applyBorder="1"/>
    <xf numFmtId="9" fontId="0" fillId="0" borderId="0" xfId="21" applyNumberFormat="1" applyFont="1" applyBorder="1"/>
    <xf numFmtId="166" fontId="28" fillId="0" borderId="0" xfId="3" applyNumberFormat="1" applyFont="1"/>
    <xf numFmtId="10" fontId="2" fillId="0" borderId="0" xfId="21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9" fontId="109" fillId="0" borderId="9" xfId="21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0" fillId="0" borderId="0" xfId="0" applyNumberFormat="1" applyFont="1" applyFill="1" applyBorder="1"/>
    <xf numFmtId="0" fontId="102" fillId="0" borderId="0" xfId="0" applyFont="1" applyAlignment="1">
      <alignment horizontal="center"/>
    </xf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111" fillId="0" borderId="0" xfId="0" applyFont="1" applyAlignment="1">
      <alignment horizontal="center"/>
    </xf>
    <xf numFmtId="190" fontId="0" fillId="0" borderId="0" xfId="0" applyNumberFormat="1"/>
    <xf numFmtId="10" fontId="22" fillId="0" borderId="9" xfId="21" applyNumberFormat="1" applyFont="1" applyBorder="1" applyAlignment="1">
      <alignment horizontal="center"/>
    </xf>
    <xf numFmtId="38" fontId="110" fillId="0" borderId="0" xfId="0" applyNumberFormat="1" applyFont="1" applyFill="1" applyBorder="1" applyAlignment="1">
      <alignment horizontal="right"/>
    </xf>
    <xf numFmtId="0" fontId="102" fillId="0" borderId="0" xfId="20" applyFont="1"/>
    <xf numFmtId="0" fontId="1" fillId="0" borderId="0" xfId="20"/>
    <xf numFmtId="0" fontId="102" fillId="0" borderId="0" xfId="20" applyFont="1" applyAlignment="1">
      <alignment horizontal="centerContinuous"/>
    </xf>
    <xf numFmtId="0" fontId="1" fillId="0" borderId="0" xfId="20" applyAlignment="1">
      <alignment horizontal="centerContinuous"/>
    </xf>
    <xf numFmtId="0" fontId="1" fillId="0" borderId="0" xfId="20" applyAlignment="1">
      <alignment horizontal="left"/>
    </xf>
    <xf numFmtId="0" fontId="113" fillId="4" borderId="4" xfId="20" applyFont="1" applyFill="1" applyBorder="1" applyAlignment="1">
      <alignment horizontal="centerContinuous"/>
    </xf>
    <xf numFmtId="0" fontId="113" fillId="4" borderId="0" xfId="20" applyFont="1" applyFill="1" applyAlignment="1">
      <alignment horizontal="centerContinuous"/>
    </xf>
    <xf numFmtId="0" fontId="113" fillId="0" borderId="0" xfId="20" applyFont="1" applyAlignment="1">
      <alignment horizontal="centerContinuous"/>
    </xf>
    <xf numFmtId="0" fontId="1" fillId="4" borderId="0" xfId="20" applyFill="1" applyAlignment="1">
      <alignment horizontal="centerContinuous"/>
    </xf>
    <xf numFmtId="0" fontId="1" fillId="0" borderId="31" xfId="20" applyBorder="1" applyAlignment="1">
      <alignment horizontal="center"/>
    </xf>
    <xf numFmtId="0" fontId="1" fillId="0" borderId="3" xfId="20" applyBorder="1" applyAlignment="1">
      <alignment horizontal="center"/>
    </xf>
    <xf numFmtId="0" fontId="1" fillId="0" borderId="16" xfId="20" applyBorder="1" applyAlignment="1">
      <alignment horizontal="center"/>
    </xf>
    <xf numFmtId="0" fontId="1" fillId="0" borderId="32" xfId="20" applyBorder="1" applyAlignment="1">
      <alignment horizontal="center"/>
    </xf>
    <xf numFmtId="0" fontId="1" fillId="0" borderId="18" xfId="20" applyBorder="1" applyAlignment="1">
      <alignment horizontal="center"/>
    </xf>
    <xf numFmtId="0" fontId="1" fillId="0" borderId="0" xfId="20" applyBorder="1" applyAlignment="1">
      <alignment horizontal="center"/>
    </xf>
    <xf numFmtId="0" fontId="1" fillId="0" borderId="0" xfId="20" applyAlignment="1">
      <alignment horizontal="center"/>
    </xf>
    <xf numFmtId="0" fontId="1" fillId="0" borderId="0" xfId="20" applyBorder="1" applyAlignment="1">
      <alignment horizontal="centerContinuous"/>
    </xf>
    <xf numFmtId="2" fontId="1" fillId="0" borderId="3" xfId="20" applyNumberFormat="1" applyBorder="1" applyAlignment="1">
      <alignment horizontal="center"/>
    </xf>
    <xf numFmtId="1" fontId="1" fillId="0" borderId="3" xfId="20" applyNumberFormat="1" applyBorder="1" applyAlignment="1">
      <alignment horizontal="center"/>
    </xf>
    <xf numFmtId="2" fontId="1" fillId="0" borderId="32" xfId="20" applyNumberFormat="1" applyBorder="1" applyAlignment="1">
      <alignment horizontal="center"/>
    </xf>
    <xf numFmtId="2" fontId="1" fillId="0" borderId="0" xfId="20" applyNumberFormat="1" applyBorder="1" applyAlignment="1">
      <alignment horizontal="center"/>
    </xf>
    <xf numFmtId="3" fontId="1" fillId="0" borderId="32" xfId="20" applyNumberFormat="1" applyBorder="1" applyAlignment="1">
      <alignment horizontal="center"/>
    </xf>
    <xf numFmtId="1" fontId="1" fillId="0" borderId="32" xfId="20" applyNumberFormat="1" applyBorder="1" applyAlignment="1">
      <alignment horizontal="center"/>
    </xf>
    <xf numFmtId="1" fontId="1" fillId="0" borderId="0" xfId="20" applyNumberFormat="1" applyBorder="1" applyAlignment="1">
      <alignment horizontal="center"/>
    </xf>
    <xf numFmtId="0" fontId="114" fillId="0" borderId="3" xfId="20" applyFont="1" applyBorder="1" applyAlignment="1">
      <alignment horizontal="center"/>
    </xf>
    <xf numFmtId="9" fontId="1" fillId="0" borderId="0" xfId="21" applyAlignment="1">
      <alignment horizontal="center"/>
    </xf>
    <xf numFmtId="189" fontId="1" fillId="0" borderId="0" xfId="21" applyNumberFormat="1" applyAlignment="1">
      <alignment horizontal="center"/>
    </xf>
    <xf numFmtId="187" fontId="1" fillId="0" borderId="0" xfId="21" applyNumberFormat="1" applyAlignment="1">
      <alignment horizontal="center"/>
    </xf>
    <xf numFmtId="0" fontId="1" fillId="0" borderId="0" xfId="21" applyNumberFormat="1" applyAlignment="1">
      <alignment horizontal="center"/>
    </xf>
    <xf numFmtId="0" fontId="1" fillId="0" borderId="3" xfId="20" applyBorder="1"/>
    <xf numFmtId="0" fontId="1" fillId="0" borderId="3" xfId="20" applyBorder="1" applyAlignment="1">
      <alignment horizontal="centerContinuous"/>
    </xf>
    <xf numFmtId="0" fontId="1" fillId="0" borderId="3" xfId="20" applyFont="1" applyBorder="1" applyAlignment="1">
      <alignment horizontal="center"/>
    </xf>
    <xf numFmtId="6" fontId="1" fillId="0" borderId="3" xfId="20" applyNumberFormat="1" applyBorder="1" applyAlignment="1">
      <alignment horizontal="center"/>
    </xf>
    <xf numFmtId="5" fontId="1" fillId="0" borderId="3" xfId="4" applyNumberFormat="1" applyBorder="1" applyAlignment="1">
      <alignment horizontal="center"/>
    </xf>
    <xf numFmtId="217" fontId="1" fillId="0" borderId="3" xfId="20" applyNumberFormat="1" applyBorder="1" applyAlignment="1">
      <alignment horizontal="center"/>
    </xf>
    <xf numFmtId="217" fontId="21" fillId="0" borderId="3" xfId="20" applyNumberFormat="1" applyFont="1" applyBorder="1" applyAlignment="1">
      <alignment horizontal="center"/>
    </xf>
    <xf numFmtId="0" fontId="1" fillId="0" borderId="3" xfId="20" applyFont="1" applyBorder="1"/>
    <xf numFmtId="5" fontId="21" fillId="0" borderId="3" xfId="4" applyNumberFormat="1" applyFont="1" applyBorder="1" applyAlignment="1">
      <alignment horizontal="center"/>
    </xf>
    <xf numFmtId="0" fontId="102" fillId="0" borderId="3" xfId="20" applyFont="1" applyBorder="1"/>
    <xf numFmtId="6" fontId="102" fillId="0" borderId="3" xfId="20" applyNumberFormat="1" applyFont="1" applyBorder="1" applyAlignment="1">
      <alignment horizontal="center"/>
    </xf>
    <xf numFmtId="0" fontId="1" fillId="0" borderId="0" xfId="20" applyFont="1"/>
    <xf numFmtId="0" fontId="48" fillId="0" borderId="0" xfId="20" applyFont="1"/>
    <xf numFmtId="0" fontId="48" fillId="0" borderId="0" xfId="20" applyFont="1" applyAlignment="1">
      <alignment horizontal="center"/>
    </xf>
    <xf numFmtId="0" fontId="48" fillId="0" borderId="0" xfId="20" applyFont="1" applyAlignment="1">
      <alignment horizontal="left"/>
    </xf>
    <xf numFmtId="0" fontId="115" fillId="0" borderId="3" xfId="20" applyFont="1" applyBorder="1" applyAlignment="1">
      <alignment horizontal="centerContinuous"/>
    </xf>
    <xf numFmtId="0" fontId="111" fillId="0" borderId="3" xfId="20" applyFont="1" applyBorder="1" applyAlignment="1">
      <alignment horizontal="centerContinuous"/>
    </xf>
    <xf numFmtId="0" fontId="115" fillId="0" borderId="3" xfId="20" applyFont="1" applyBorder="1" applyAlignment="1">
      <alignment horizontal="center"/>
    </xf>
    <xf numFmtId="0" fontId="102" fillId="0" borderId="4" xfId="20" applyFont="1" applyBorder="1"/>
    <xf numFmtId="0" fontId="1" fillId="0" borderId="4" xfId="20" applyBorder="1"/>
    <xf numFmtId="0" fontId="1" fillId="0" borderId="3" xfId="20" applyBorder="1" applyAlignment="1">
      <alignment horizontal="right"/>
    </xf>
    <xf numFmtId="0" fontId="1" fillId="0" borderId="3" xfId="20" applyFont="1" applyBorder="1" applyAlignment="1">
      <alignment horizontal="right"/>
    </xf>
    <xf numFmtId="217" fontId="1" fillId="0" borderId="3" xfId="20" applyNumberFormat="1" applyBorder="1"/>
    <xf numFmtId="6" fontId="1" fillId="0" borderId="3" xfId="20" applyNumberFormat="1" applyBorder="1"/>
    <xf numFmtId="217" fontId="34" fillId="0" borderId="3" xfId="20" applyNumberFormat="1" applyFont="1" applyBorder="1"/>
    <xf numFmtId="6" fontId="1" fillId="0" borderId="0" xfId="20" applyNumberFormat="1"/>
    <xf numFmtId="6" fontId="1" fillId="0" borderId="3" xfId="20" applyNumberFormat="1" applyFont="1" applyBorder="1" applyAlignment="1">
      <alignment horizontal="right"/>
    </xf>
    <xf numFmtId="217" fontId="1" fillId="0" borderId="3" xfId="20" applyNumberFormat="1" applyFont="1" applyBorder="1" applyAlignment="1">
      <alignment horizontal="right"/>
    </xf>
    <xf numFmtId="217" fontId="1" fillId="0" borderId="3" xfId="20" applyNumberFormat="1" applyBorder="1" applyAlignment="1">
      <alignment horizontal="right"/>
    </xf>
    <xf numFmtId="6" fontId="1" fillId="0" borderId="3" xfId="20" applyNumberFormat="1" applyBorder="1" applyAlignment="1">
      <alignment horizontal="right"/>
    </xf>
    <xf numFmtId="6" fontId="102" fillId="0" borderId="3" xfId="20" applyNumberFormat="1" applyFont="1" applyBorder="1"/>
    <xf numFmtId="217" fontId="102" fillId="0" borderId="3" xfId="20" applyNumberFormat="1" applyFont="1" applyBorder="1"/>
    <xf numFmtId="6" fontId="102" fillId="0" borderId="3" xfId="20" applyNumberFormat="1" applyFont="1" applyBorder="1" applyAlignment="1">
      <alignment horizontal="right"/>
    </xf>
    <xf numFmtId="0" fontId="102" fillId="0" borderId="16" xfId="20" applyFont="1" applyBorder="1"/>
    <xf numFmtId="6" fontId="102" fillId="0" borderId="0" xfId="20" applyNumberFormat="1" applyFont="1" applyBorder="1"/>
    <xf numFmtId="0" fontId="1" fillId="0" borderId="16" xfId="20" applyBorder="1"/>
    <xf numFmtId="217" fontId="1" fillId="0" borderId="0" xfId="20" applyNumberFormat="1" applyBorder="1"/>
    <xf numFmtId="6" fontId="1" fillId="0" borderId="0" xfId="20" applyNumberFormat="1" applyBorder="1"/>
    <xf numFmtId="217" fontId="34" fillId="0" borderId="0" xfId="20" applyNumberFormat="1" applyFont="1" applyBorder="1" applyAlignment="1">
      <alignment horizontal="right"/>
    </xf>
    <xf numFmtId="0" fontId="1" fillId="0" borderId="0" xfId="20" applyBorder="1"/>
    <xf numFmtId="6" fontId="102" fillId="0" borderId="16" xfId="20" applyNumberFormat="1" applyFont="1" applyBorder="1"/>
    <xf numFmtId="217" fontId="1" fillId="0" borderId="3" xfId="20" applyNumberFormat="1" applyFont="1" applyBorder="1"/>
    <xf numFmtId="218" fontId="1" fillId="0" borderId="0" xfId="20" applyNumberFormat="1" applyFont="1" applyBorder="1"/>
    <xf numFmtId="217" fontId="1" fillId="0" borderId="3" xfId="20" quotePrefix="1" applyNumberFormat="1" applyBorder="1" applyAlignment="1">
      <alignment horizontal="right"/>
    </xf>
    <xf numFmtId="217" fontId="102" fillId="0" borderId="0" xfId="20" applyNumberFormat="1" applyFont="1" applyBorder="1"/>
    <xf numFmtId="0" fontId="102" fillId="0" borderId="3" xfId="20" applyNumberFormat="1" applyFont="1" applyBorder="1"/>
    <xf numFmtId="0" fontId="102" fillId="0" borderId="0" xfId="20" applyFont="1" applyBorder="1"/>
    <xf numFmtId="0" fontId="54" fillId="0" borderId="0" xfId="0" applyFont="1"/>
    <xf numFmtId="0" fontId="21" fillId="0" borderId="0" xfId="0" applyFont="1"/>
    <xf numFmtId="9" fontId="21" fillId="0" borderId="0" xfId="21" applyFont="1"/>
    <xf numFmtId="3" fontId="21" fillId="0" borderId="0" xfId="0" applyNumberFormat="1" applyFont="1"/>
    <xf numFmtId="170" fontId="21" fillId="0" borderId="0" xfId="0" applyNumberFormat="1" applyFont="1" applyProtection="1"/>
    <xf numFmtId="3" fontId="21" fillId="0" borderId="0" xfId="4" applyNumberFormat="1" applyFont="1"/>
    <xf numFmtId="3" fontId="21" fillId="0" borderId="0" xfId="0" applyNumberFormat="1" applyFont="1" applyProtection="1"/>
    <xf numFmtId="3" fontId="21" fillId="0" borderId="0" xfId="4" applyNumberFormat="1" applyFont="1" applyProtection="1"/>
    <xf numFmtId="3" fontId="21" fillId="0" borderId="0" xfId="0" applyNumberFormat="1" applyFont="1" applyAlignment="1">
      <alignment horizontal="right"/>
    </xf>
    <xf numFmtId="7" fontId="21" fillId="0" borderId="0" xfId="0" applyNumberFormat="1" applyFont="1" applyProtection="1"/>
    <xf numFmtId="3" fontId="111" fillId="0" borderId="0" xfId="0" applyNumberFormat="1" applyFont="1"/>
    <xf numFmtId="0" fontId="21" fillId="0" borderId="0" xfId="0" applyFont="1" applyAlignment="1">
      <alignment horizontal="right"/>
    </xf>
    <xf numFmtId="44" fontId="21" fillId="0" borderId="0" xfId="4" applyFont="1"/>
    <xf numFmtId="0" fontId="0" fillId="0" borderId="0" xfId="0" applyAlignment="1">
      <alignment horizontal="right"/>
    </xf>
    <xf numFmtId="0" fontId="11" fillId="0" borderId="0" xfId="0" applyFont="1" applyBorder="1" applyAlignment="1">
      <alignment horizontal="center"/>
    </xf>
    <xf numFmtId="0" fontId="7" fillId="8" borderId="23" xfId="0" applyFont="1" applyFill="1" applyBorder="1"/>
    <xf numFmtId="0" fontId="7" fillId="8" borderId="24" xfId="0" applyFont="1" applyFill="1" applyBorder="1"/>
    <xf numFmtId="187" fontId="102" fillId="0" borderId="0" xfId="0" applyNumberFormat="1" applyFont="1" applyBorder="1"/>
    <xf numFmtId="187" fontId="102" fillId="0" borderId="9" xfId="0" applyNumberFormat="1" applyFont="1" applyBorder="1"/>
    <xf numFmtId="38" fontId="109" fillId="0" borderId="0" xfId="3" applyNumberFormat="1" applyFont="1" applyFill="1" applyBorder="1" applyAlignment="1">
      <alignment horizontal="center"/>
    </xf>
    <xf numFmtId="166" fontId="109" fillId="8" borderId="0" xfId="3" applyNumberFormat="1" applyFont="1" applyFill="1" applyBorder="1"/>
    <xf numFmtId="43" fontId="109" fillId="8" borderId="9" xfId="3" applyNumberFormat="1" applyFont="1" applyFill="1" applyBorder="1"/>
    <xf numFmtId="43" fontId="116" fillId="8" borderId="9" xfId="3" applyNumberFormat="1" applyFont="1" applyFill="1" applyBorder="1"/>
    <xf numFmtId="6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111" fillId="0" borderId="0" xfId="0" applyFont="1"/>
    <xf numFmtId="6" fontId="0" fillId="0" borderId="0" xfId="0" applyNumberFormat="1"/>
    <xf numFmtId="8" fontId="0" fillId="0" borderId="0" xfId="0" applyNumberFormat="1"/>
    <xf numFmtId="0" fontId="0" fillId="0" borderId="14" xfId="0" applyBorder="1"/>
    <xf numFmtId="0" fontId="0" fillId="0" borderId="8" xfId="0" applyBorder="1"/>
    <xf numFmtId="0" fontId="115" fillId="0" borderId="0" xfId="0" applyFont="1" applyBorder="1" applyAlignment="1">
      <alignment horizontal="center"/>
    </xf>
    <xf numFmtId="6" fontId="0" fillId="0" borderId="10" xfId="0" applyNumberFormat="1" applyBorder="1"/>
    <xf numFmtId="6" fontId="0" fillId="0" borderId="0" xfId="0" applyNumberFormat="1" applyBorder="1" applyAlignment="1">
      <alignment horizontal="center"/>
    </xf>
    <xf numFmtId="9" fontId="1" fillId="0" borderId="0" xfId="21" applyBorder="1" applyAlignment="1">
      <alignment horizontal="center"/>
    </xf>
    <xf numFmtId="9" fontId="1" fillId="0" borderId="0" xfId="21" applyBorder="1" applyAlignment="1">
      <alignment horizontal="right"/>
    </xf>
    <xf numFmtId="6" fontId="0" fillId="0" borderId="0" xfId="0" applyNumberFormat="1" applyBorder="1"/>
    <xf numFmtId="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102" fillId="0" borderId="0" xfId="0" applyFont="1" applyBorder="1" applyAlignment="1">
      <alignment horizontal="center"/>
    </xf>
    <xf numFmtId="8" fontId="0" fillId="0" borderId="0" xfId="0" applyNumberFormat="1" applyBorder="1" applyAlignment="1">
      <alignment horizontal="center"/>
    </xf>
    <xf numFmtId="164" fontId="1" fillId="0" borderId="0" xfId="21" applyNumberFormat="1" applyBorder="1" applyAlignment="1">
      <alignment horizontal="center"/>
    </xf>
    <xf numFmtId="164" fontId="1" fillId="0" borderId="0" xfId="21" applyNumberFormat="1" applyBorder="1" applyAlignment="1">
      <alignment horizontal="right"/>
    </xf>
    <xf numFmtId="164" fontId="0" fillId="0" borderId="0" xfId="0" applyNumberFormat="1" applyBorder="1"/>
    <xf numFmtId="8" fontId="0" fillId="0" borderId="0" xfId="0" applyNumberFormat="1" applyBorder="1"/>
    <xf numFmtId="0" fontId="0" fillId="0" borderId="15" xfId="0" applyBorder="1"/>
    <xf numFmtId="6" fontId="0" fillId="0" borderId="6" xfId="0" applyNumberFormat="1" applyBorder="1" applyAlignment="1">
      <alignment horizontal="center"/>
    </xf>
    <xf numFmtId="0" fontId="0" fillId="0" borderId="13" xfId="0" applyBorder="1"/>
    <xf numFmtId="14" fontId="24" fillId="0" borderId="0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2" xfId="0" applyFont="1" applyBorder="1"/>
    <xf numFmtId="0" fontId="3" fillId="0" borderId="31" xfId="0" applyFont="1" applyBorder="1"/>
    <xf numFmtId="0" fontId="3" fillId="0" borderId="33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11" fillId="0" borderId="0" xfId="0" applyFont="1" applyAlignment="1">
      <alignment horizontal="center"/>
    </xf>
    <xf numFmtId="44" fontId="3" fillId="0" borderId="0" xfId="4" applyFont="1"/>
    <xf numFmtId="38" fontId="3" fillId="0" borderId="0" xfId="0" applyNumberFormat="1" applyFont="1" applyBorder="1"/>
    <xf numFmtId="165" fontId="3" fillId="0" borderId="4" xfId="4" applyNumberFormat="1" applyFont="1" applyBorder="1"/>
    <xf numFmtId="6" fontId="3" fillId="0" borderId="4" xfId="0" applyNumberFormat="1" applyFont="1" applyBorder="1"/>
    <xf numFmtId="165" fontId="3" fillId="0" borderId="0" xfId="4" applyNumberFormat="1" applyFont="1"/>
    <xf numFmtId="165" fontId="3" fillId="8" borderId="4" xfId="4" applyNumberFormat="1" applyFont="1" applyFill="1" applyBorder="1"/>
    <xf numFmtId="9" fontId="3" fillId="8" borderId="34" xfId="21" applyFont="1" applyFill="1" applyBorder="1"/>
    <xf numFmtId="44" fontId="14" fillId="0" borderId="0" xfId="4" applyFont="1"/>
    <xf numFmtId="165" fontId="14" fillId="0" borderId="0" xfId="4" applyNumberFormat="1" applyFont="1"/>
    <xf numFmtId="44" fontId="12" fillId="0" borderId="0" xfId="4" applyFont="1"/>
    <xf numFmtId="165" fontId="12" fillId="0" borderId="0" xfId="4" applyNumberFormat="1" applyFont="1"/>
    <xf numFmtId="165" fontId="3" fillId="0" borderId="0" xfId="4" applyNumberFormat="1" applyFont="1" applyBorder="1"/>
    <xf numFmtId="0" fontId="115" fillId="0" borderId="7" xfId="0" applyFont="1" applyBorder="1" applyAlignment="1">
      <alignment horizontal="center"/>
    </xf>
    <xf numFmtId="0" fontId="115" fillId="0" borderId="8" xfId="0" applyFont="1" applyBorder="1" applyAlignment="1">
      <alignment horizontal="center"/>
    </xf>
    <xf numFmtId="6" fontId="0" fillId="0" borderId="9" xfId="0" applyNumberFormat="1" applyBorder="1" applyAlignment="1">
      <alignment horizontal="center"/>
    </xf>
    <xf numFmtId="37" fontId="50" fillId="0" borderId="0" xfId="0" applyNumberFormat="1" applyFont="1" applyBorder="1" applyAlignment="1">
      <alignment horizontal="center"/>
    </xf>
    <xf numFmtId="37" fontId="50" fillId="0" borderId="9" xfId="0" applyNumberFormat="1" applyFont="1" applyBorder="1" applyAlignment="1">
      <alignment horizontal="center"/>
    </xf>
    <xf numFmtId="10" fontId="50" fillId="0" borderId="0" xfId="21" applyNumberFormat="1" applyFont="1" applyBorder="1" applyAlignment="1">
      <alignment horizontal="center"/>
    </xf>
    <xf numFmtId="10" fontId="50" fillId="0" borderId="9" xfId="21" applyNumberFormat="1" applyFont="1" applyBorder="1" applyAlignment="1">
      <alignment horizontal="center"/>
    </xf>
    <xf numFmtId="164" fontId="50" fillId="0" borderId="0" xfId="21" applyNumberFormat="1" applyFont="1" applyBorder="1" applyAlignment="1">
      <alignment horizontal="center"/>
    </xf>
    <xf numFmtId="164" fontId="50" fillId="0" borderId="9" xfId="21" applyNumberFormat="1" applyFont="1" applyBorder="1" applyAlignment="1">
      <alignment horizontal="center"/>
    </xf>
    <xf numFmtId="6" fontId="50" fillId="0" borderId="0" xfId="0" applyNumberFormat="1" applyFont="1" applyBorder="1" applyAlignment="1">
      <alignment horizontal="center"/>
    </xf>
    <xf numFmtId="6" fontId="50" fillId="0" borderId="9" xfId="0" applyNumberFormat="1" applyFont="1" applyBorder="1" applyAlignment="1">
      <alignment horizontal="center"/>
    </xf>
    <xf numFmtId="0" fontId="0" fillId="0" borderId="6" xfId="0" applyBorder="1" applyAlignment="1">
      <alignment horizontal="right"/>
    </xf>
    <xf numFmtId="8" fontId="50" fillId="0" borderId="6" xfId="0" applyNumberFormat="1" applyFont="1" applyBorder="1" applyAlignment="1">
      <alignment horizontal="center"/>
    </xf>
    <xf numFmtId="8" fontId="50" fillId="0" borderId="13" xfId="0" applyNumberFormat="1" applyFont="1" applyBorder="1" applyAlignment="1">
      <alignment horizontal="center"/>
    </xf>
    <xf numFmtId="0" fontId="115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3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Normal_ProjectBkdwn" xfId="20"/>
    <cellStyle name="Percent" xfId="21" builtinId="5"/>
    <cellStyle name="Percent [2]" xfId="22"/>
    <cellStyle name="Standard_Anpassen der Amortisation" xfId="23"/>
    <cellStyle name="Total" xfId="24" builtinId="25" customBuiltin="1"/>
    <cellStyle name="uk" xfId="25"/>
    <cellStyle name="Un" xfId="26"/>
    <cellStyle name="Unprot" xfId="27"/>
    <cellStyle name="Unprot$" xfId="28"/>
    <cellStyle name="Unprot_CurrencySKorea" xfId="29"/>
    <cellStyle name="Unprotect" xfId="30"/>
    <cellStyle name="Währung [0]_Compiling Utility Macros" xfId="31"/>
    <cellStyle name="Währung_Compiling Utility Macros" xfId="3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1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Drop" dropLines="3" dropStyle="combo" dx="22" fmlaLink="$AC$13" fmlaRange="$AC$9:$AC$12" noThreeD="1" sel="3" val="0"/>
</file>

<file path=xl/ctrlProps/ctrlProp6.xml><?xml version="1.0" encoding="utf-8"?>
<formControlPr xmlns="http://schemas.microsoft.com/office/spreadsheetml/2009/9/main" objectType="Drop" dropLines="3" dropStyle="combo" dx="22" fmlaLink="$AD$14" fmlaRange="$AD$9:$AD$12" noThreeD="1" sel="1" val="0"/>
</file>

<file path=xl/ctrlProps/ctrlProp7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200025</xdr:rowOff>
        </xdr:from>
        <xdr:to>
          <xdr:col>7</xdr:col>
          <xdr:colOff>1190625</xdr:colOff>
          <xdr:row>58</xdr:row>
          <xdr:rowOff>9525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9525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200025</xdr:rowOff>
        </xdr:from>
        <xdr:to>
          <xdr:col>9</xdr:col>
          <xdr:colOff>0</xdr:colOff>
          <xdr:row>33</xdr:row>
          <xdr:rowOff>9525</xdr:rowOff>
        </xdr:to>
        <xdr:sp macro="" textlink="">
          <xdr:nvSpPr>
            <xdr:cNvPr id="1229" name="Drop Down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1209675</xdr:colOff>
          <xdr:row>29</xdr:row>
          <xdr:rowOff>0</xdr:rowOff>
        </xdr:from>
        <xdr:to>
          <xdr:col>8</xdr:col>
          <xdr:colOff>1181100</xdr:colOff>
          <xdr:row>30</xdr:row>
          <xdr:rowOff>19050</xdr:rowOff>
        </xdr:to>
        <xdr:sp macro="" textlink="">
          <xdr:nvSpPr>
            <xdr:cNvPr id="1240" name="Drop Down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RFP%20Final%20Versio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AE%20Files/ECT022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AE%20Files/Development/Thor/feb00/5xLM022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UAE%20Optimal%20Cost%20Scenario%20version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Technical Assumption"/>
      <sheetName val="Gas PX"/>
      <sheetName val="IS"/>
      <sheetName val="BS"/>
      <sheetName val="Returns Analysis"/>
      <sheetName val="Debt"/>
      <sheetName val="Debt Sum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"/>
      <sheetName val="Capital"/>
      <sheetName val="Operations"/>
      <sheetName val="Tax_Dep"/>
      <sheetName val="Book_Dep"/>
    </sheetNames>
    <sheetDataSet>
      <sheetData sheetId="0">
        <row r="5">
          <cell r="B5">
            <v>2500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 Forma"/>
      <sheetName val="Operations"/>
      <sheetName val="Perf. Summ. by Model"/>
      <sheetName val="Perf. Summ. by Amb. Temp."/>
      <sheetName val="Maintenance"/>
      <sheetName val="Capital Cost"/>
      <sheetName val="TechnologyVariance"/>
    </sheetNames>
    <sheetDataSet>
      <sheetData sheetId="0">
        <row r="1">
          <cell r="B1" t="str">
            <v>United American Energy</v>
          </cell>
        </row>
        <row r="2">
          <cell r="B2" t="str">
            <v>Lowell Power Expansion</v>
          </cell>
        </row>
        <row r="3">
          <cell r="B3" t="str">
            <v>PRELIMINARY ECONOMIC ANALYSIS</v>
          </cell>
        </row>
        <row r="15">
          <cell r="D15">
            <v>2450.1019199999996</v>
          </cell>
        </row>
      </sheetData>
      <sheetData sheetId="1"/>
      <sheetData sheetId="2"/>
      <sheetData sheetId="3"/>
      <sheetData sheetId="4">
        <row r="45">
          <cell r="E45">
            <v>31</v>
          </cell>
        </row>
      </sheetData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_Technical Assumption"/>
      <sheetName val="Gas Curve"/>
      <sheetName val="Turbo"/>
      <sheetName val="IS"/>
      <sheetName val="BS"/>
      <sheetName val="Returns Analysis"/>
      <sheetName val="Debt"/>
      <sheetName val="Depreciation"/>
      <sheetName val="Taxes"/>
      <sheetName val="I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6">
          <cell r="F16">
            <v>-6000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Relationship Id="rId4" Type="http://schemas.openxmlformats.org/officeDocument/2006/relationships/ctrlProp" Target="../ctrlProps/ctrlProp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omments" Target="../comments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>
      <selection activeCell="K24" sqref="K24"/>
    </sheetView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70" t="s">
        <v>161</v>
      </c>
      <c r="C2" s="5"/>
    </row>
    <row r="3" spans="1:18" s="46" customFormat="1" ht="15.75"/>
    <row r="4" spans="1:18" s="46" customFormat="1" ht="18.75">
      <c r="A4" s="471">
        <v>1</v>
      </c>
      <c r="B4" s="208" t="s">
        <v>393</v>
      </c>
      <c r="C4" s="471"/>
      <c r="D4" s="471"/>
      <c r="E4" s="471"/>
      <c r="F4" s="471"/>
      <c r="G4" s="471"/>
      <c r="H4" s="471"/>
      <c r="I4" s="471"/>
      <c r="J4" s="471"/>
      <c r="K4" s="471"/>
      <c r="L4" s="471"/>
      <c r="M4" s="471"/>
      <c r="N4" s="471"/>
      <c r="O4" s="471"/>
      <c r="P4" s="471"/>
      <c r="Q4" s="471"/>
    </row>
    <row r="5" spans="1:18" s="46" customFormat="1" ht="18.75">
      <c r="B5" s="208" t="s">
        <v>394</v>
      </c>
      <c r="C5" s="471"/>
      <c r="D5" s="471"/>
      <c r="E5" s="471"/>
      <c r="F5" s="471"/>
      <c r="G5" s="471"/>
      <c r="H5" s="471"/>
      <c r="I5" s="471"/>
      <c r="J5" s="471"/>
      <c r="K5" s="471"/>
      <c r="L5" s="471"/>
      <c r="M5" s="471"/>
      <c r="N5" s="471"/>
      <c r="O5" s="471"/>
      <c r="P5" s="471"/>
      <c r="Q5" s="471"/>
    </row>
    <row r="6" spans="1:18" s="46" customFormat="1" ht="15.75">
      <c r="A6" s="12">
        <v>2</v>
      </c>
      <c r="B6" s="53" t="s">
        <v>305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306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313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405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70" t="s">
        <v>201</v>
      </c>
    </row>
    <row r="13" spans="1:18" s="46" customFormat="1" ht="15.75">
      <c r="A13" s="472"/>
      <c r="B13" s="12"/>
      <c r="C13" s="12"/>
      <c r="D13" s="12"/>
      <c r="E13" s="12"/>
      <c r="F13" s="12"/>
      <c r="G13" s="12"/>
      <c r="H13" s="12"/>
      <c r="I13" s="473" t="s">
        <v>202</v>
      </c>
      <c r="J13" s="12"/>
      <c r="K13" s="12"/>
      <c r="L13" s="12"/>
      <c r="M13" s="12"/>
      <c r="N13" s="12"/>
      <c r="O13" s="473"/>
      <c r="P13" s="12"/>
    </row>
    <row r="14" spans="1:18" s="46" customFormat="1" ht="15.75">
      <c r="A14" s="12">
        <v>1</v>
      </c>
      <c r="B14" s="12" t="s">
        <v>366</v>
      </c>
      <c r="C14" s="12"/>
      <c r="D14" s="12"/>
      <c r="E14" s="12"/>
      <c r="F14" s="12"/>
      <c r="G14" s="12"/>
      <c r="H14" s="12"/>
      <c r="I14" s="12" t="s">
        <v>203</v>
      </c>
      <c r="J14" s="12"/>
      <c r="K14" s="12"/>
      <c r="L14" s="12"/>
      <c r="M14" s="12"/>
      <c r="N14" s="12"/>
      <c r="O14" s="474"/>
      <c r="P14" s="12"/>
    </row>
    <row r="15" spans="1:18" s="46" customFormat="1" ht="15.75">
      <c r="A15" s="12"/>
      <c r="B15" s="12" t="s">
        <v>267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74"/>
      <c r="P15" s="12"/>
    </row>
    <row r="16" spans="1:18" s="46" customFormat="1" ht="15.75">
      <c r="A16" s="12">
        <v>2</v>
      </c>
      <c r="B16" s="12" t="s">
        <v>229</v>
      </c>
      <c r="C16" s="12"/>
      <c r="D16" s="12"/>
      <c r="E16" s="12"/>
      <c r="F16" s="12"/>
      <c r="G16" s="12"/>
      <c r="H16" s="12"/>
      <c r="I16" s="12" t="s">
        <v>203</v>
      </c>
      <c r="J16" s="12"/>
      <c r="K16" s="12"/>
      <c r="L16" s="12"/>
      <c r="M16" s="12"/>
      <c r="N16" s="12"/>
      <c r="O16" s="474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361</v>
      </c>
      <c r="J17" s="12"/>
      <c r="K17" s="12"/>
      <c r="L17" s="12"/>
      <c r="M17" s="12"/>
      <c r="N17" s="12"/>
      <c r="O17" s="474"/>
      <c r="P17" s="12"/>
    </row>
    <row r="18" spans="1:16" s="46" customFormat="1" ht="15.75">
      <c r="A18" s="12">
        <v>4</v>
      </c>
      <c r="B18" s="12" t="s">
        <v>253</v>
      </c>
      <c r="C18" s="12"/>
      <c r="D18" s="12"/>
      <c r="E18" s="12"/>
      <c r="F18" s="12"/>
      <c r="G18" s="12"/>
      <c r="H18" s="12"/>
      <c r="I18" s="12" t="s">
        <v>412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307</v>
      </c>
      <c r="C19" s="12"/>
      <c r="D19" s="12"/>
      <c r="E19" s="12"/>
      <c r="F19" s="12"/>
      <c r="G19" s="12"/>
      <c r="H19" s="12"/>
      <c r="I19" s="12" t="s">
        <v>277</v>
      </c>
      <c r="J19" s="12"/>
      <c r="K19" s="12"/>
      <c r="L19" s="12"/>
      <c r="M19" s="12"/>
      <c r="N19" s="12"/>
      <c r="O19" s="474"/>
      <c r="P19" s="12"/>
    </row>
    <row r="20" spans="1:16" s="46" customFormat="1" ht="15.75">
      <c r="A20" s="12">
        <v>6</v>
      </c>
      <c r="B20" s="12" t="s">
        <v>327</v>
      </c>
      <c r="C20" s="12"/>
      <c r="D20" s="12"/>
      <c r="E20" s="12"/>
      <c r="F20" s="12"/>
      <c r="G20" s="12"/>
      <c r="H20" s="12"/>
      <c r="I20" s="12" t="s">
        <v>328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359</v>
      </c>
      <c r="C21" s="12"/>
      <c r="D21" s="12"/>
      <c r="E21" s="12"/>
      <c r="F21" s="12"/>
      <c r="G21" s="12"/>
      <c r="H21" s="12"/>
      <c r="I21" s="12" t="s">
        <v>277</v>
      </c>
      <c r="J21" s="12"/>
      <c r="K21" s="12"/>
      <c r="L21" s="12"/>
      <c r="M21" s="12"/>
      <c r="N21" s="12"/>
      <c r="O21" s="474"/>
      <c r="P21" s="12"/>
    </row>
    <row r="22" spans="1:16" s="46" customFormat="1" ht="15.75">
      <c r="A22" s="12">
        <v>8</v>
      </c>
      <c r="B22" s="12" t="s">
        <v>362</v>
      </c>
      <c r="C22" s="12"/>
      <c r="D22" s="12"/>
      <c r="E22" s="12"/>
      <c r="F22" s="12"/>
      <c r="G22" s="12"/>
      <c r="H22" s="12"/>
      <c r="I22" s="12" t="s">
        <v>363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402</v>
      </c>
      <c r="C23" s="12"/>
      <c r="D23" s="12"/>
      <c r="E23" s="12"/>
      <c r="F23" s="12"/>
      <c r="G23" s="12"/>
      <c r="H23" s="12"/>
      <c r="I23" s="12" t="s">
        <v>277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70" t="s">
        <v>270</v>
      </c>
    </row>
    <row r="28" spans="1:16" s="46" customFormat="1" ht="18.75">
      <c r="A28" s="282"/>
    </row>
    <row r="29" spans="1:16" s="46" customFormat="1" ht="15.75">
      <c r="A29" s="12"/>
      <c r="B29" s="475" t="s">
        <v>295</v>
      </c>
      <c r="C29" s="12"/>
      <c r="D29" s="12"/>
      <c r="E29" s="475" t="s">
        <v>294</v>
      </c>
      <c r="F29" s="475"/>
      <c r="G29" s="475"/>
      <c r="H29" s="475" t="s">
        <v>296</v>
      </c>
      <c r="I29" s="12"/>
      <c r="J29" s="12"/>
    </row>
    <row r="30" spans="1:16" s="46" customFormat="1" ht="15.75">
      <c r="A30" s="12"/>
      <c r="B30" s="12" t="s">
        <v>368</v>
      </c>
      <c r="C30" s="12"/>
      <c r="D30" s="12"/>
      <c r="E30" s="12" t="s">
        <v>279</v>
      </c>
      <c r="F30" s="12"/>
      <c r="G30" s="12"/>
      <c r="H30" s="12" t="s">
        <v>291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280</v>
      </c>
      <c r="F31" s="12"/>
      <c r="G31" s="12"/>
      <c r="H31" s="12" t="s">
        <v>292</v>
      </c>
      <c r="I31" s="12"/>
      <c r="J31" s="12"/>
    </row>
    <row r="32" spans="1:16" s="46" customFormat="1" ht="15.75">
      <c r="A32" s="12"/>
      <c r="B32" s="12" t="s">
        <v>369</v>
      </c>
      <c r="C32" s="12"/>
      <c r="D32" s="12"/>
      <c r="E32" s="12" t="s">
        <v>281</v>
      </c>
      <c r="F32" s="12"/>
      <c r="G32" s="12"/>
      <c r="H32" s="12" t="s">
        <v>293</v>
      </c>
      <c r="I32" s="12"/>
      <c r="J32" s="12"/>
    </row>
    <row r="33" spans="1:10" s="46" customFormat="1" ht="15.75">
      <c r="A33" s="12"/>
      <c r="B33" s="12" t="s">
        <v>275</v>
      </c>
      <c r="C33" s="12"/>
      <c r="D33" s="12"/>
      <c r="E33" s="12" t="s">
        <v>276</v>
      </c>
      <c r="F33" s="12"/>
      <c r="G33" s="12"/>
      <c r="H33" s="12" t="s">
        <v>288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277</v>
      </c>
      <c r="F34" s="12"/>
      <c r="G34" s="12"/>
      <c r="H34" s="12" t="s">
        <v>289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278</v>
      </c>
      <c r="F35" s="12"/>
      <c r="G35" s="12"/>
      <c r="H35" s="12" t="s">
        <v>290</v>
      </c>
      <c r="I35" s="12"/>
      <c r="J35" s="12"/>
    </row>
    <row r="36" spans="1:10" s="46" customFormat="1" ht="15.75">
      <c r="A36" s="12"/>
      <c r="B36" s="12" t="s">
        <v>273</v>
      </c>
      <c r="C36" s="12"/>
      <c r="D36" s="12"/>
      <c r="E36" s="12" t="s">
        <v>274</v>
      </c>
      <c r="F36" s="12"/>
      <c r="G36" s="12"/>
      <c r="H36" s="12" t="s">
        <v>287</v>
      </c>
      <c r="I36" s="12"/>
      <c r="J36" s="12"/>
    </row>
    <row r="37" spans="1:10" s="46" customFormat="1" ht="15.75">
      <c r="A37" s="12"/>
      <c r="B37" s="12" t="s">
        <v>327</v>
      </c>
      <c r="C37" s="12"/>
      <c r="D37" s="12"/>
      <c r="E37" s="12" t="s">
        <v>328</v>
      </c>
      <c r="F37" s="12"/>
      <c r="G37" s="12"/>
      <c r="H37" s="12" t="s">
        <v>325</v>
      </c>
      <c r="I37" s="12"/>
      <c r="J37" s="12"/>
    </row>
    <row r="38" spans="1:10" s="46" customFormat="1" ht="15.75">
      <c r="A38" s="12"/>
      <c r="B38" s="12" t="s">
        <v>271</v>
      </c>
      <c r="C38" s="12"/>
      <c r="D38" s="12"/>
      <c r="E38" s="12" t="s">
        <v>272</v>
      </c>
      <c r="F38" s="12"/>
      <c r="G38" s="12"/>
      <c r="H38" s="12" t="s">
        <v>326</v>
      </c>
      <c r="I38" s="12"/>
      <c r="J38" s="12"/>
    </row>
    <row r="39" spans="1:10" s="46" customFormat="1" ht="15.75">
      <c r="A39" s="12"/>
      <c r="B39" s="12" t="s">
        <v>407</v>
      </c>
      <c r="C39" s="12"/>
      <c r="D39" s="12"/>
      <c r="E39" s="12" t="s">
        <v>391</v>
      </c>
      <c r="F39" s="12"/>
      <c r="G39" s="12"/>
      <c r="H39" s="12" t="s">
        <v>392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416</v>
      </c>
      <c r="F40" s="12"/>
      <c r="G40" s="12"/>
      <c r="H40" s="12" t="s">
        <v>417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203</v>
      </c>
      <c r="F41" s="12"/>
      <c r="G41" s="12"/>
      <c r="H41" s="12" t="s">
        <v>286</v>
      </c>
      <c r="I41" s="12"/>
      <c r="J41" s="12"/>
    </row>
    <row r="42" spans="1:10" s="46" customFormat="1" ht="15.75">
      <c r="A42" s="12"/>
      <c r="B42" s="12" t="s">
        <v>364</v>
      </c>
      <c r="C42" s="12"/>
      <c r="D42" s="12"/>
      <c r="E42" s="12" t="s">
        <v>389</v>
      </c>
      <c r="F42" s="12"/>
      <c r="G42" s="12"/>
      <c r="H42" s="12" t="s">
        <v>390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363</v>
      </c>
      <c r="F43" s="12"/>
      <c r="G43" s="12"/>
      <c r="H43" s="12" t="s">
        <v>365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G57"/>
  <sheetViews>
    <sheetView zoomScale="75" workbookViewId="0">
      <selection activeCell="C35" sqref="C35"/>
    </sheetView>
  </sheetViews>
  <sheetFormatPr defaultRowHeight="12.75"/>
  <cols>
    <col min="1" max="1" width="36.7109375" style="12" customWidth="1"/>
    <col min="2" max="2" width="11.85546875" style="12" bestFit="1" customWidth="1"/>
    <col min="3" max="3" width="11.140625" style="12" bestFit="1" customWidth="1"/>
    <col min="4" max="4" width="11.5703125" style="12" bestFit="1" customWidth="1"/>
    <col min="5" max="5" width="11.140625" style="12" bestFit="1" customWidth="1"/>
    <col min="6" max="8" width="11.5703125" style="12" bestFit="1" customWidth="1"/>
    <col min="9" max="9" width="11.140625" style="12" bestFit="1" customWidth="1"/>
    <col min="10" max="11" width="11.5703125" style="12" bestFit="1" customWidth="1"/>
    <col min="12" max="12" width="11.140625" style="12" bestFit="1" customWidth="1"/>
    <col min="13" max="13" width="10.7109375" style="12" bestFit="1" customWidth="1"/>
    <col min="14" max="16" width="11.140625" style="12" bestFit="1" customWidth="1"/>
    <col min="17" max="17" width="10.85546875" style="12" bestFit="1" customWidth="1"/>
    <col min="18" max="20" width="11.140625" style="12" bestFit="1" customWidth="1"/>
    <col min="21" max="21" width="10.85546875" style="12" bestFit="1" customWidth="1"/>
    <col min="22" max="22" width="11.5703125" style="12" bestFit="1" customWidth="1"/>
    <col min="23" max="23" width="11.140625" style="12" bestFit="1" customWidth="1"/>
    <col min="24" max="16384" width="9.140625" style="12"/>
  </cols>
  <sheetData>
    <row r="2" spans="1:33" ht="18.75">
      <c r="A2" s="86" t="str">
        <f>Assumptions!A3</f>
        <v>PROJECT NAME: UAE-Lowell</v>
      </c>
    </row>
    <row r="4" spans="1:33" ht="18.75">
      <c r="A4" s="60" t="s">
        <v>658</v>
      </c>
    </row>
    <row r="6" spans="1:33">
      <c r="B6" s="213">
        <v>0</v>
      </c>
      <c r="C6" s="213">
        <f>'Price_Technical Assumption'!D7</f>
        <v>0.66666666666666663</v>
      </c>
      <c r="D6" s="213">
        <f>'Price_Technical Assumption'!E7</f>
        <v>1.6666666666666665</v>
      </c>
      <c r="E6" s="213">
        <f>'Price_Technical Assumption'!F7</f>
        <v>2.6666666666666665</v>
      </c>
      <c r="F6" s="213">
        <f>'Price_Technical Assumption'!G7</f>
        <v>3.6666666666666665</v>
      </c>
      <c r="G6" s="213">
        <f>'Price_Technical Assumption'!H7</f>
        <v>4.6666666666666661</v>
      </c>
      <c r="H6" s="213">
        <f>'Price_Technical Assumption'!I7</f>
        <v>5.6666666666666661</v>
      </c>
      <c r="I6" s="213">
        <f>'Price_Technical Assumption'!J7</f>
        <v>6.6666666666666661</v>
      </c>
      <c r="J6" s="213">
        <f>'Price_Technical Assumption'!K7</f>
        <v>7.6666666666666661</v>
      </c>
      <c r="K6" s="213">
        <f>'Price_Technical Assumption'!L7</f>
        <v>8.6666666666666661</v>
      </c>
      <c r="L6" s="213">
        <f>'Price_Technical Assumption'!M7</f>
        <v>9.6666666666666661</v>
      </c>
      <c r="M6" s="213">
        <f>'Price_Technical Assumption'!N7</f>
        <v>10.666666666666666</v>
      </c>
      <c r="N6" s="213">
        <f>'Price_Technical Assumption'!O7</f>
        <v>11.666666666666666</v>
      </c>
      <c r="O6" s="213">
        <f>'Price_Technical Assumption'!P7</f>
        <v>12.666666666666666</v>
      </c>
      <c r="P6" s="213">
        <f>'Price_Technical Assumption'!Q7</f>
        <v>13.666666666666666</v>
      </c>
      <c r="Q6" s="213">
        <f>'Price_Technical Assumption'!R7</f>
        <v>14.666666666666666</v>
      </c>
      <c r="R6" s="213">
        <f>'Price_Technical Assumption'!S7</f>
        <v>15.666666666666666</v>
      </c>
      <c r="S6" s="213">
        <f>'Price_Technical Assumption'!T7</f>
        <v>16.666666666666664</v>
      </c>
      <c r="T6" s="213">
        <f>'Price_Technical Assumption'!U7</f>
        <v>17.666666666666664</v>
      </c>
      <c r="U6" s="213">
        <f>'Price_Technical Assumption'!V7</f>
        <v>18.666666666666664</v>
      </c>
      <c r="V6" s="213">
        <f>'Price_Technical Assumption'!W7</f>
        <v>19.666666666666664</v>
      </c>
      <c r="W6" s="213">
        <f>'Price_Technical Assumption'!X7</f>
        <v>20.666666666666664</v>
      </c>
      <c r="X6" s="214"/>
      <c r="Y6" s="214"/>
      <c r="Z6" s="214"/>
      <c r="AA6" s="214"/>
      <c r="AB6" s="214"/>
      <c r="AC6" s="214"/>
      <c r="AD6" s="214"/>
      <c r="AE6" s="214"/>
      <c r="AF6" s="214"/>
      <c r="AG6" s="214"/>
    </row>
    <row r="7" spans="1:33" ht="13.5" thickBot="1">
      <c r="A7" s="122" t="s">
        <v>38</v>
      </c>
      <c r="B7" s="7" t="s">
        <v>249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3">
      <c r="A8" s="127"/>
      <c r="B8" s="149">
        <f>Assumptions!G46</f>
        <v>36678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663"/>
      <c r="Y8" s="663"/>
      <c r="Z8" s="663"/>
      <c r="AA8" s="663"/>
      <c r="AB8" s="663"/>
      <c r="AC8" s="663"/>
      <c r="AD8" s="663"/>
      <c r="AE8" s="663"/>
      <c r="AF8" s="663"/>
      <c r="AG8" s="663"/>
    </row>
    <row r="9" spans="1:33">
      <c r="A9" s="127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spans="1:33" ht="18.75">
      <c r="A10" s="86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 spans="1:33">
      <c r="A11" s="45" t="s">
        <v>47</v>
      </c>
      <c r="B11" s="670">
        <v>0</v>
      </c>
      <c r="C11" s="65">
        <f>IS!C32</f>
        <v>10386.146684289575</v>
      </c>
      <c r="D11" s="65">
        <f>IS!D32</f>
        <v>15842.150026434378</v>
      </c>
      <c r="E11" s="65">
        <f>IS!E32</f>
        <v>15794.282926434378</v>
      </c>
      <c r="F11" s="65">
        <f>IS!F32</f>
        <v>15745.081813434372</v>
      </c>
      <c r="G11" s="65">
        <f>IS!G32</f>
        <v>15694.508707044384</v>
      </c>
      <c r="H11" s="65">
        <f>IS!H32</f>
        <v>15642.524528262675</v>
      </c>
      <c r="I11" s="65">
        <f>IS!I32</f>
        <v>15589.089067333513</v>
      </c>
      <c r="J11" s="65">
        <f>IS!J32</f>
        <v>15534.16095065682</v>
      </c>
      <c r="K11" s="65">
        <f>IS!K32</f>
        <v>15477.69760672174</v>
      </c>
      <c r="L11" s="65">
        <f>IS!L32</f>
        <v>15419.655231035369</v>
      </c>
      <c r="M11" s="65">
        <f>IS!M32</f>
        <v>15359.988750016517</v>
      </c>
      <c r="N11" s="65">
        <f>IS!N32</f>
        <v>15298.651783823949</v>
      </c>
      <c r="O11" s="65">
        <f>IS!O32</f>
        <v>15235.596608087602</v>
      </c>
      <c r="P11" s="65">
        <f>IS!P32</f>
        <v>15170.774114510019</v>
      </c>
      <c r="Q11" s="65">
        <f>IS!Q32</f>
        <v>15104.133770304557</v>
      </c>
      <c r="R11" s="65">
        <f>IS!R32</f>
        <v>15035.62357643597</v>
      </c>
      <c r="S11" s="65">
        <f>IS!S32</f>
        <v>14965.190024627656</v>
      </c>
      <c r="T11" s="65">
        <f>IS!T32</f>
        <v>14892.778053098889</v>
      </c>
      <c r="U11" s="65">
        <f>IS!U32</f>
        <v>14818.3310009948</v>
      </c>
      <c r="V11" s="65">
        <f>IS!V32</f>
        <v>14741.790561469497</v>
      </c>
      <c r="W11" s="65">
        <f>IS!W32</f>
        <v>3293.9937251496158</v>
      </c>
      <c r="X11" s="671"/>
      <c r="Y11" s="671"/>
      <c r="Z11" s="671"/>
      <c r="AA11" s="671"/>
      <c r="AB11" s="671"/>
      <c r="AC11" s="671"/>
      <c r="AD11" s="671"/>
      <c r="AE11" s="671"/>
      <c r="AF11" s="671"/>
      <c r="AG11" s="671"/>
    </row>
    <row r="12" spans="1:33">
      <c r="A12" s="45" t="s">
        <v>79</v>
      </c>
      <c r="B12" s="672">
        <v>0</v>
      </c>
      <c r="C12" s="673">
        <f>IF(Assumptions!$AC$14="10-Yr. Debt",-'Debt Structs'!D35,IF(Assumptions!$AC$14="7-Yr. Debt",-'Debt Structs'!I16,IF(Assumptions!$AC$14="Lease",-'Debt Structs'!N16,0)))</f>
        <v>-8706.0749999999989</v>
      </c>
      <c r="D12" s="673">
        <f>IF(Assumptions!$AC$14="10-Yr. Debt",-'Debt Structs'!D36,IF(Assumptions!$AC$14="7-Yr. Debt",-'Debt Structs'!I17,IF(Assumptions!$AC$14="Lease",-'Debt Structs'!N17,0)))</f>
        <v>-8706.0749999999989</v>
      </c>
      <c r="E12" s="673">
        <f>IF(Assumptions!$AC$14="10-Yr. Debt",-'Debt Structs'!D37,IF(Assumptions!$AC$14="7-Yr. Debt",-'Debt Structs'!I18,IF(Assumptions!$AC$14="Lease",-'Debt Structs'!N18,0)))</f>
        <v>-8706.0749999999989</v>
      </c>
      <c r="F12" s="673">
        <f>IF(Assumptions!$AC$14="10-Yr. Debt",-'Debt Structs'!D38,IF(Assumptions!$AC$14="7-Yr. Debt",-'Debt Structs'!I19,IF(Assumptions!$AC$14="Lease",-'Debt Structs'!N19,0)))</f>
        <v>-8706.0749999999989</v>
      </c>
      <c r="G12" s="673">
        <f>IF(Assumptions!$AC$14="10-Yr. Debt",-'Debt Structs'!D39,IF(Assumptions!$AC$14="7-Yr. Debt",-'Debt Structs'!I20,IF(Assumptions!$AC$14="Lease",-'Debt Structs'!N20,0)))</f>
        <v>-8706.0749999999989</v>
      </c>
      <c r="H12" s="673">
        <f>IF(Assumptions!$AC$14="10-Yr. Debt",-'Debt Structs'!D40,IF(Assumptions!$AC$14="7-Yr. Debt",-'Debt Structs'!I21,0))</f>
        <v>0</v>
      </c>
      <c r="I12" s="673">
        <f>IF(Assumptions!$AC$14="10-Yr. Debt",-'Debt Structs'!D41,IF(Assumptions!$AC$14="7-Yr. Debt",-'Debt Structs'!I22,0))</f>
        <v>0</v>
      </c>
      <c r="J12" s="673">
        <f>IF(Assumptions!$AC$14="Lease",0,IF(Assumptions!$AC$14="7-Yr. Debt",0,-'Debt Structs'!D42))</f>
        <v>0</v>
      </c>
      <c r="K12" s="673">
        <f>IF(Assumptions!$AC$14="Lease",0,IF(Assumptions!$AC$14="7-Yr. Debt",0,-'Debt Structs'!D43))</f>
        <v>0</v>
      </c>
      <c r="L12" s="673">
        <f>IF(Assumptions!$AC$14="Lease",0,IF(Assumptions!$AC$14="7-Yr. Debt",0,-'Debt Structs'!D44))</f>
        <v>0</v>
      </c>
      <c r="X12" s="13"/>
      <c r="Y12" s="13"/>
      <c r="Z12" s="13"/>
      <c r="AA12" s="13"/>
      <c r="AB12" s="13"/>
      <c r="AC12" s="13"/>
      <c r="AD12" s="13"/>
      <c r="AE12" s="13"/>
      <c r="AF12" s="13"/>
      <c r="AG12" s="13"/>
    </row>
    <row r="13" spans="1:33">
      <c r="A13" s="45" t="s">
        <v>348</v>
      </c>
      <c r="B13" s="36">
        <f>SUM(B11:B12)</f>
        <v>0</v>
      </c>
      <c r="C13" s="36">
        <f t="shared" ref="C13:L13" si="0">SUM(C11:C12)</f>
        <v>1680.0716842895763</v>
      </c>
      <c r="D13" s="36">
        <f t="shared" si="0"/>
        <v>7136.0750264343787</v>
      </c>
      <c r="E13" s="36">
        <f t="shared" si="0"/>
        <v>7088.2079264343793</v>
      </c>
      <c r="F13" s="36">
        <f t="shared" si="0"/>
        <v>7039.0068134343728</v>
      </c>
      <c r="G13" s="36">
        <f t="shared" si="0"/>
        <v>6988.4337070443853</v>
      </c>
      <c r="H13" s="36">
        <f t="shared" si="0"/>
        <v>15642.524528262675</v>
      </c>
      <c r="I13" s="36">
        <f t="shared" si="0"/>
        <v>15589.089067333513</v>
      </c>
      <c r="J13" s="36">
        <f t="shared" si="0"/>
        <v>15534.16095065682</v>
      </c>
      <c r="K13" s="36">
        <f t="shared" si="0"/>
        <v>15477.69760672174</v>
      </c>
      <c r="L13" s="36">
        <f t="shared" si="0"/>
        <v>15419.655231035369</v>
      </c>
    </row>
    <row r="14" spans="1:33">
      <c r="A14" s="45"/>
    </row>
    <row r="15" spans="1:33">
      <c r="A15" s="45" t="s">
        <v>349</v>
      </c>
      <c r="B15" s="674">
        <v>0</v>
      </c>
      <c r="C15" s="674">
        <f>-Taxes!B24-Taxes!B41</f>
        <v>0</v>
      </c>
      <c r="D15" s="674">
        <f>-Taxes!C24-Taxes!C41</f>
        <v>0</v>
      </c>
      <c r="E15" s="674">
        <f>-Taxes!D24-Taxes!D41</f>
        <v>0</v>
      </c>
      <c r="F15" s="674">
        <f>-Taxes!E24-Taxes!E41</f>
        <v>0</v>
      </c>
      <c r="G15" s="674">
        <f>-Taxes!F24-Taxes!F41</f>
        <v>0</v>
      </c>
      <c r="H15" s="674">
        <f>-Taxes!G24-Taxes!G41</f>
        <v>0</v>
      </c>
      <c r="I15" s="674">
        <f>-Taxes!H24-Taxes!H41</f>
        <v>-858.97553570554714</v>
      </c>
      <c r="J15" s="674">
        <f>-Taxes!I24-Taxes!I41</f>
        <v>-2851.5624218314206</v>
      </c>
      <c r="K15" s="674">
        <f>-Taxes!J24-Taxes!J41</f>
        <v>-3140.1797033230091</v>
      </c>
      <c r="L15" s="674">
        <f>-Taxes!K24-Taxes!K41</f>
        <v>-3444.4555371068004</v>
      </c>
    </row>
    <row r="16" spans="1:33">
      <c r="A16" s="45" t="s">
        <v>80</v>
      </c>
      <c r="B16" s="674">
        <v>0</v>
      </c>
      <c r="C16" s="681">
        <f>IF(Assumptions!$AC$14="10-Yr. Debt",-'Debt Structs'!E35,IF(Assumptions!$AC$14="7-Yr. Debt",-'Debt Structs'!J16,IF(Assumptions!$AC$14="Lease",-'Debt Structs'!O16,0)))</f>
        <v>0</v>
      </c>
      <c r="D16" s="681">
        <f>IF(Assumptions!$AC$14="10-Yr. Debt",-'Debt Structs'!E36,IF(Assumptions!$AC$14="7-Yr. Debt",-'Debt Structs'!J17,IF(Assumptions!$AC$14="Lease",-'Debt Structs'!O17,0)))</f>
        <v>0</v>
      </c>
      <c r="E16" s="681">
        <f>IF(Assumptions!$AC$14="10-Yr. Debt",-'Debt Structs'!E37,IF(Assumptions!$AC$14="7-Yr. Debt",-'Debt Structs'!J18,IF(Assumptions!$AC$14="Lease",-'Debt Structs'!O18,0)))</f>
        <v>0</v>
      </c>
      <c r="F16" s="681">
        <f>IF(Assumptions!$AC$14="10-Yr. Debt",-'Debt Structs'!E38,IF(Assumptions!$AC$14="7-Yr. Debt",-'Debt Structs'!J19,IF(Assumptions!$AC$14="Lease",-'Debt Structs'!O19,0)))</f>
        <v>0</v>
      </c>
      <c r="G16" s="681">
        <f>IF(Assumptions!$AC$14="10-Yr. Debt",-'Debt Structs'!E39,IF(Assumptions!$AC$14="7-Yr. Debt",-'Debt Structs'!J20,IF(Assumptions!$AC$14="Lease",-'Debt Structs'!O20,0)))</f>
        <v>0</v>
      </c>
      <c r="H16" s="681">
        <f>IF(Assumptions!$AC$14="10-Yr. Debt",-'Debt Structs'!E40,IF(Assumptions!$AC$14="7-Yr. Debt",-'Debt Structs'!J21,0))</f>
        <v>0</v>
      </c>
      <c r="I16" s="681">
        <f>IF(Assumptions!$AC$14="10-Yr. Debt",-'Debt Structs'!E41,IF(Assumptions!$AC$14="7-Yr. Debt",-'Debt Structs'!I48,0))</f>
        <v>0</v>
      </c>
      <c r="J16" s="681">
        <f>IF(Assumptions!$AC$14="Lease",0,IF(Assumptions!$AC$14="7-Yr. Debt",0,-'Debt Structs'!E42))</f>
        <v>0</v>
      </c>
      <c r="K16" s="681">
        <f>IF(Assumptions!$AC$14="Lease",0,IF(Assumptions!$AC$14="7-Yr. Debt",0,-'Debt Structs'!E43))</f>
        <v>0</v>
      </c>
      <c r="L16" s="681">
        <f>IF(Assumptions!$AC$14="Lease",0,IF(Assumptions!$AC$14="7-Yr. Debt",0,-'Debt Structs'!E44))</f>
        <v>0</v>
      </c>
    </row>
    <row r="17" spans="1:12">
      <c r="A17" s="45" t="s">
        <v>350</v>
      </c>
      <c r="B17" s="675">
        <v>0</v>
      </c>
      <c r="C17" s="675">
        <v>0</v>
      </c>
      <c r="D17" s="675">
        <v>0</v>
      </c>
      <c r="E17" s="675">
        <v>0</v>
      </c>
      <c r="F17" s="675">
        <v>0</v>
      </c>
      <c r="G17" s="675">
        <v>0</v>
      </c>
      <c r="H17" s="675">
        <v>0</v>
      </c>
      <c r="I17" s="675">
        <v>0</v>
      </c>
      <c r="J17" s="675">
        <v>0</v>
      </c>
      <c r="K17" s="675">
        <v>0</v>
      </c>
      <c r="L17" s="675">
        <v>0</v>
      </c>
    </row>
    <row r="18" spans="1:12">
      <c r="A18" s="45" t="s">
        <v>351</v>
      </c>
      <c r="B18" s="36">
        <f>B17+B16+B15+B13</f>
        <v>0</v>
      </c>
      <c r="C18" s="36">
        <f t="shared" ref="C18:L18" si="1">C17+C16+C15+C13</f>
        <v>1680.0716842895763</v>
      </c>
      <c r="D18" s="36">
        <f t="shared" si="1"/>
        <v>7136.0750264343787</v>
      </c>
      <c r="E18" s="36">
        <f t="shared" si="1"/>
        <v>7088.2079264343793</v>
      </c>
      <c r="F18" s="36">
        <f t="shared" si="1"/>
        <v>7039.0068134343728</v>
      </c>
      <c r="G18" s="36">
        <f t="shared" si="1"/>
        <v>6988.4337070443853</v>
      </c>
      <c r="H18" s="36">
        <f t="shared" si="1"/>
        <v>15642.524528262675</v>
      </c>
      <c r="I18" s="36">
        <f t="shared" si="1"/>
        <v>14730.113531627965</v>
      </c>
      <c r="J18" s="36">
        <f t="shared" si="1"/>
        <v>12682.5985288254</v>
      </c>
      <c r="K18" s="36">
        <f t="shared" si="1"/>
        <v>12337.517903398732</v>
      </c>
      <c r="L18" s="36">
        <f t="shared" si="1"/>
        <v>11975.199693928569</v>
      </c>
    </row>
    <row r="19" spans="1:12">
      <c r="A19" s="334"/>
    </row>
    <row r="20" spans="1:12">
      <c r="B20" s="518">
        <v>1</v>
      </c>
    </row>
    <row r="22" spans="1:12">
      <c r="A22" s="447" t="s">
        <v>401</v>
      </c>
      <c r="B22" s="36">
        <f>B18*$B$20</f>
        <v>0</v>
      </c>
      <c r="C22" s="36">
        <f t="shared" ref="C22:L22" si="2">C18*$B$20</f>
        <v>1680.0716842895763</v>
      </c>
      <c r="D22" s="36">
        <f t="shared" si="2"/>
        <v>7136.0750264343787</v>
      </c>
      <c r="E22" s="36">
        <f t="shared" si="2"/>
        <v>7088.2079264343793</v>
      </c>
      <c r="F22" s="36">
        <f t="shared" si="2"/>
        <v>7039.0068134343728</v>
      </c>
      <c r="G22" s="36">
        <f t="shared" si="2"/>
        <v>6988.4337070443853</v>
      </c>
      <c r="H22" s="36">
        <f t="shared" si="2"/>
        <v>15642.524528262675</v>
      </c>
      <c r="I22" s="36">
        <f t="shared" si="2"/>
        <v>14730.113531627965</v>
      </c>
      <c r="J22" s="36">
        <f t="shared" si="2"/>
        <v>12682.5985288254</v>
      </c>
      <c r="K22" s="36">
        <f t="shared" si="2"/>
        <v>12337.517903398732</v>
      </c>
      <c r="L22" s="36">
        <f t="shared" si="2"/>
        <v>11975.199693928569</v>
      </c>
    </row>
    <row r="26" spans="1:12">
      <c r="A26" s="448" t="s">
        <v>388</v>
      </c>
    </row>
    <row r="27" spans="1:12" ht="13.5" thickBot="1">
      <c r="A27" s="448"/>
    </row>
    <row r="28" spans="1:12" ht="13.5" thickBot="1">
      <c r="A28" s="448" t="s">
        <v>664</v>
      </c>
      <c r="B28" s="676">
        <v>0.2</v>
      </c>
    </row>
    <row r="29" spans="1:12">
      <c r="A29" s="669" t="s">
        <v>662</v>
      </c>
    </row>
    <row r="30" spans="1:12">
      <c r="A30" s="43" t="s">
        <v>661</v>
      </c>
      <c r="C30" s="11">
        <v>1</v>
      </c>
      <c r="D30" s="11">
        <v>2</v>
      </c>
      <c r="E30" s="11">
        <v>3</v>
      </c>
      <c r="F30" s="11">
        <v>4</v>
      </c>
      <c r="G30" s="11">
        <v>5</v>
      </c>
      <c r="H30" s="11">
        <v>6</v>
      </c>
      <c r="I30" s="11">
        <v>7</v>
      </c>
      <c r="J30" s="11">
        <v>8</v>
      </c>
      <c r="K30" s="11">
        <v>9</v>
      </c>
      <c r="L30" s="11">
        <v>10</v>
      </c>
    </row>
    <row r="31" spans="1:12">
      <c r="A31" s="56" t="s">
        <v>354</v>
      </c>
      <c r="B31" s="674">
        <f>'Debt Structs'!E8</f>
        <v>0</v>
      </c>
    </row>
    <row r="32" spans="1:12">
      <c r="A32" s="56" t="s">
        <v>353</v>
      </c>
      <c r="B32" s="36">
        <f t="shared" ref="B32:G32" si="3">B22</f>
        <v>0</v>
      </c>
      <c r="C32" s="36">
        <f t="shared" si="3"/>
        <v>1680.0716842895763</v>
      </c>
      <c r="D32" s="36">
        <f t="shared" si="3"/>
        <v>7136.0750264343787</v>
      </c>
      <c r="E32" s="36">
        <f t="shared" si="3"/>
        <v>7088.2079264343793</v>
      </c>
      <c r="F32" s="36">
        <f t="shared" si="3"/>
        <v>7039.0068134343728</v>
      </c>
      <c r="G32" s="36">
        <f t="shared" si="3"/>
        <v>6988.4337070443853</v>
      </c>
    </row>
    <row r="33" spans="1:12">
      <c r="A33" s="56" t="s">
        <v>665</v>
      </c>
      <c r="B33" s="677">
        <v>0</v>
      </c>
      <c r="C33" s="677">
        <v>0</v>
      </c>
      <c r="D33" s="677">
        <v>0</v>
      </c>
      <c r="E33" s="677">
        <v>0</v>
      </c>
      <c r="F33" s="677">
        <v>0</v>
      </c>
      <c r="G33" s="678">
        <f>'Debt Structs'!L20</f>
        <v>116081</v>
      </c>
    </row>
    <row r="34" spans="1:12">
      <c r="A34" s="56" t="s">
        <v>352</v>
      </c>
      <c r="B34" s="36">
        <f t="shared" ref="B34:G34" si="4">SUM(B31:B33)</f>
        <v>0</v>
      </c>
      <c r="C34" s="36">
        <f t="shared" si="4"/>
        <v>1680.0716842895763</v>
      </c>
      <c r="D34" s="36">
        <f t="shared" si="4"/>
        <v>7136.0750264343787</v>
      </c>
      <c r="E34" s="36">
        <f t="shared" si="4"/>
        <v>7088.2079264343793</v>
      </c>
      <c r="F34" s="36">
        <f t="shared" si="4"/>
        <v>7039.0068134343728</v>
      </c>
      <c r="G34" s="36">
        <f t="shared" si="4"/>
        <v>123069.43370704439</v>
      </c>
    </row>
    <row r="35" spans="1:12">
      <c r="A35" s="56"/>
      <c r="B35" s="447" t="s">
        <v>1</v>
      </c>
      <c r="C35" s="453" t="e">
        <f>XIRR(C34:G34,C8:G8)</f>
        <v>#NUM!</v>
      </c>
    </row>
    <row r="36" spans="1:12">
      <c r="A36" s="45"/>
    </row>
    <row r="37" spans="1:12">
      <c r="A37" s="669" t="s">
        <v>667</v>
      </c>
    </row>
    <row r="38" spans="1:12">
      <c r="A38" s="43" t="s">
        <v>661</v>
      </c>
    </row>
    <row r="39" spans="1:12">
      <c r="A39" s="56" t="s">
        <v>354</v>
      </c>
      <c r="B39" s="674">
        <f>-'Debt Structs'!D8</f>
        <v>-40628.35</v>
      </c>
    </row>
    <row r="40" spans="1:12">
      <c r="A40" s="56" t="s">
        <v>353</v>
      </c>
      <c r="B40" s="36">
        <f>B22</f>
        <v>0</v>
      </c>
      <c r="C40" s="36">
        <f t="shared" ref="C40:I40" si="5">C22</f>
        <v>1680.0716842895763</v>
      </c>
      <c r="D40" s="36">
        <f t="shared" si="5"/>
        <v>7136.0750264343787</v>
      </c>
      <c r="E40" s="36">
        <f t="shared" si="5"/>
        <v>7088.2079264343793</v>
      </c>
      <c r="F40" s="36">
        <f t="shared" si="5"/>
        <v>7039.0068134343728</v>
      </c>
      <c r="G40" s="36">
        <f t="shared" si="5"/>
        <v>6988.4337070443853</v>
      </c>
      <c r="H40" s="36">
        <f t="shared" si="5"/>
        <v>15642.524528262675</v>
      </c>
      <c r="I40" s="36">
        <f t="shared" si="5"/>
        <v>14730.113531627965</v>
      </c>
    </row>
    <row r="41" spans="1:12">
      <c r="A41" s="56" t="s">
        <v>665</v>
      </c>
      <c r="B41" s="677">
        <v>0</v>
      </c>
      <c r="C41" s="677">
        <v>0</v>
      </c>
      <c r="D41" s="677">
        <v>0</v>
      </c>
      <c r="E41" s="677">
        <v>0</v>
      </c>
      <c r="F41" s="677">
        <v>0</v>
      </c>
      <c r="G41" s="677">
        <v>0</v>
      </c>
      <c r="H41" s="677">
        <v>0</v>
      </c>
      <c r="I41" s="678">
        <f>'Debt Structs'!G22</f>
        <v>47751.318169184829</v>
      </c>
    </row>
    <row r="42" spans="1:12">
      <c r="A42" s="56" t="s">
        <v>352</v>
      </c>
      <c r="B42" s="36">
        <f t="shared" ref="B42:I42" si="6">SUM(B39:B41)</f>
        <v>-40628.35</v>
      </c>
      <c r="C42" s="36">
        <f t="shared" si="6"/>
        <v>1680.0716842895763</v>
      </c>
      <c r="D42" s="36">
        <f t="shared" si="6"/>
        <v>7136.0750264343787</v>
      </c>
      <c r="E42" s="36">
        <f t="shared" si="6"/>
        <v>7088.2079264343793</v>
      </c>
      <c r="F42" s="36">
        <f t="shared" si="6"/>
        <v>7039.0068134343728</v>
      </c>
      <c r="G42" s="36">
        <f t="shared" si="6"/>
        <v>6988.4337070443853</v>
      </c>
      <c r="H42" s="36">
        <f t="shared" si="6"/>
        <v>15642.524528262675</v>
      </c>
      <c r="I42" s="36">
        <f t="shared" si="6"/>
        <v>62481.431700812798</v>
      </c>
    </row>
    <row r="43" spans="1:12">
      <c r="A43" s="56"/>
      <c r="B43" s="447" t="s">
        <v>1</v>
      </c>
      <c r="C43" s="453">
        <f>XIRR(B42:I42,B8:I8)</f>
        <v>0.17178928256034853</v>
      </c>
    </row>
    <row r="44" spans="1:12">
      <c r="A44" s="13"/>
    </row>
    <row r="45" spans="1:12">
      <c r="A45" s="630" t="s">
        <v>663</v>
      </c>
    </row>
    <row r="46" spans="1:12">
      <c r="A46" s="43" t="s">
        <v>661</v>
      </c>
    </row>
    <row r="47" spans="1:12">
      <c r="A47" s="56" t="s">
        <v>354</v>
      </c>
      <c r="B47" s="674">
        <f>-'Debt Structs'!D8</f>
        <v>-40628.35</v>
      </c>
    </row>
    <row r="48" spans="1:12">
      <c r="A48" s="56" t="s">
        <v>353</v>
      </c>
      <c r="B48" s="36">
        <f>B22</f>
        <v>0</v>
      </c>
      <c r="C48" s="36">
        <f t="shared" ref="C48:L48" si="7">C22</f>
        <v>1680.0716842895763</v>
      </c>
      <c r="D48" s="36">
        <f t="shared" si="7"/>
        <v>7136.0750264343787</v>
      </c>
      <c r="E48" s="36">
        <f t="shared" si="7"/>
        <v>7088.2079264343793</v>
      </c>
      <c r="F48" s="36">
        <f t="shared" si="7"/>
        <v>7039.0068134343728</v>
      </c>
      <c r="G48" s="36">
        <f t="shared" si="7"/>
        <v>6988.4337070443853</v>
      </c>
      <c r="H48" s="36">
        <f t="shared" si="7"/>
        <v>15642.524528262675</v>
      </c>
      <c r="I48" s="36">
        <f t="shared" si="7"/>
        <v>14730.113531627965</v>
      </c>
      <c r="J48" s="36">
        <f t="shared" si="7"/>
        <v>12682.5985288254</v>
      </c>
      <c r="K48" s="36">
        <f t="shared" si="7"/>
        <v>12337.517903398732</v>
      </c>
      <c r="L48" s="36">
        <f t="shared" si="7"/>
        <v>11975.199693928569</v>
      </c>
    </row>
    <row r="49" spans="1:12" ht="15">
      <c r="A49" s="56" t="s">
        <v>665</v>
      </c>
      <c r="B49" s="679">
        <v>0</v>
      </c>
      <c r="C49" s="679">
        <v>0</v>
      </c>
      <c r="D49" s="679">
        <v>0</v>
      </c>
      <c r="E49" s="679">
        <v>0</v>
      </c>
      <c r="F49" s="679">
        <v>0</v>
      </c>
      <c r="G49" s="679">
        <v>0</v>
      </c>
      <c r="H49" s="679">
        <v>0</v>
      </c>
      <c r="I49" s="679">
        <v>0</v>
      </c>
      <c r="J49" s="679">
        <v>0</v>
      </c>
      <c r="K49" s="679">
        <v>0</v>
      </c>
      <c r="L49" s="680">
        <f>'Debt Structs'!B44</f>
        <v>10974.477806692168</v>
      </c>
    </row>
    <row r="50" spans="1:12">
      <c r="A50" s="56" t="s">
        <v>352</v>
      </c>
      <c r="B50" s="36">
        <f t="shared" ref="B50:L50" si="8">SUM(B47:B49)</f>
        <v>-40628.35</v>
      </c>
      <c r="C50" s="36">
        <f t="shared" si="8"/>
        <v>1680.0716842895763</v>
      </c>
      <c r="D50" s="36">
        <f t="shared" si="8"/>
        <v>7136.0750264343787</v>
      </c>
      <c r="E50" s="36">
        <f t="shared" si="8"/>
        <v>7088.2079264343793</v>
      </c>
      <c r="F50" s="36">
        <f t="shared" si="8"/>
        <v>7039.0068134343728</v>
      </c>
      <c r="G50" s="36">
        <f t="shared" si="8"/>
        <v>6988.4337070443853</v>
      </c>
      <c r="H50" s="36">
        <f t="shared" si="8"/>
        <v>15642.524528262675</v>
      </c>
      <c r="I50" s="36">
        <f t="shared" si="8"/>
        <v>14730.113531627965</v>
      </c>
      <c r="J50" s="36">
        <f t="shared" si="8"/>
        <v>12682.5985288254</v>
      </c>
      <c r="K50" s="36">
        <f t="shared" si="8"/>
        <v>12337.517903398732</v>
      </c>
      <c r="L50" s="36">
        <f t="shared" si="8"/>
        <v>22949.677500620739</v>
      </c>
    </row>
    <row r="51" spans="1:12">
      <c r="A51" s="13"/>
      <c r="B51" s="447" t="s">
        <v>1</v>
      </c>
      <c r="C51" s="453">
        <f>XIRR(B50:L50,B8:L8)</f>
        <v>0.15225514769554138</v>
      </c>
    </row>
    <row r="52" spans="1:12">
      <c r="A52" s="56"/>
    </row>
    <row r="53" spans="1:12">
      <c r="A53" s="43"/>
    </row>
    <row r="54" spans="1:12">
      <c r="A54" s="56"/>
    </row>
    <row r="55" spans="1:12">
      <c r="A55" s="56"/>
    </row>
    <row r="56" spans="1:12">
      <c r="A56" s="56"/>
    </row>
    <row r="57" spans="1:12">
      <c r="A57" s="56"/>
    </row>
  </sheetData>
  <pageMargins left="0.75" right="0.75" top="1" bottom="1" header="0.5" footer="0.5"/>
  <pageSetup scale="53" orientation="portrait" horizontalDpi="30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4"/>
  <sheetViews>
    <sheetView topLeftCell="A32" zoomScale="85" workbookViewId="0">
      <selection activeCell="G37" sqref="G37"/>
    </sheetView>
  </sheetViews>
  <sheetFormatPr defaultRowHeight="12.75"/>
  <cols>
    <col min="1" max="1" width="11" customWidth="1"/>
    <col min="3" max="3" width="11.28515625" bestFit="1" customWidth="1"/>
    <col min="4" max="5" width="9.42578125" bestFit="1" customWidth="1"/>
    <col min="6" max="6" width="4.140625" customWidth="1"/>
    <col min="8" max="8" width="11.5703125" bestFit="1" customWidth="1"/>
    <col min="10" max="10" width="11.5703125" bestFit="1" customWidth="1"/>
    <col min="11" max="11" width="4.42578125" customWidth="1"/>
    <col min="12" max="13" width="9.42578125" bestFit="1" customWidth="1"/>
    <col min="14" max="14" width="10.85546875" bestFit="1" customWidth="1"/>
  </cols>
  <sheetData>
    <row r="1" spans="1:18" ht="13.5" thickBot="1"/>
    <row r="2" spans="1:18">
      <c r="B2" s="644"/>
      <c r="C2" s="411"/>
      <c r="D2" s="682" t="s">
        <v>315</v>
      </c>
      <c r="E2" s="683" t="s">
        <v>621</v>
      </c>
      <c r="N2" s="639"/>
    </row>
    <row r="3" spans="1:18">
      <c r="B3" s="521"/>
      <c r="C3" s="653" t="s">
        <v>622</v>
      </c>
      <c r="D3" s="648">
        <f>Assumptions!C61</f>
        <v>116081</v>
      </c>
      <c r="E3" s="684">
        <f>Assumptions!C61</f>
        <v>116081</v>
      </c>
      <c r="N3" s="639"/>
    </row>
    <row r="4" spans="1:18">
      <c r="B4" s="521"/>
      <c r="C4" s="653" t="s">
        <v>623</v>
      </c>
      <c r="D4" s="685">
        <v>7</v>
      </c>
      <c r="E4" s="686">
        <v>5</v>
      </c>
    </row>
    <row r="5" spans="1:18">
      <c r="B5" s="521"/>
      <c r="C5" s="653" t="s">
        <v>624</v>
      </c>
      <c r="D5" s="687">
        <v>9.5000000000000001E-2</v>
      </c>
      <c r="E5" s="688">
        <v>7.4999999999999997E-2</v>
      </c>
    </row>
    <row r="6" spans="1:18">
      <c r="B6" s="521"/>
      <c r="C6" s="653" t="s">
        <v>625</v>
      </c>
      <c r="D6" s="685">
        <v>12</v>
      </c>
      <c r="E6" s="686">
        <v>0</v>
      </c>
    </row>
    <row r="7" spans="1:18">
      <c r="B7" s="521"/>
      <c r="C7" s="653" t="s">
        <v>626</v>
      </c>
      <c r="D7" s="689">
        <v>0.35</v>
      </c>
      <c r="E7" s="690">
        <v>0</v>
      </c>
    </row>
    <row r="8" spans="1:18">
      <c r="B8" s="521"/>
      <c r="C8" s="653" t="s">
        <v>627</v>
      </c>
      <c r="D8" s="648">
        <f>+D3*D7</f>
        <v>40628.35</v>
      </c>
      <c r="E8" s="684">
        <f>+E3*E7</f>
        <v>0</v>
      </c>
    </row>
    <row r="9" spans="1:18">
      <c r="B9" s="521"/>
      <c r="C9" s="653" t="s">
        <v>628</v>
      </c>
      <c r="D9" s="691">
        <v>0</v>
      </c>
      <c r="E9" s="692">
        <v>0</v>
      </c>
    </row>
    <row r="10" spans="1:18">
      <c r="B10" s="521"/>
      <c r="C10" s="653" t="s">
        <v>629</v>
      </c>
      <c r="D10" s="685">
        <v>5</v>
      </c>
      <c r="E10" s="686">
        <v>5</v>
      </c>
    </row>
    <row r="11" spans="1:18">
      <c r="B11" s="521"/>
      <c r="C11" s="653" t="s">
        <v>630</v>
      </c>
      <c r="D11" s="685">
        <v>230</v>
      </c>
      <c r="E11" s="686">
        <v>230</v>
      </c>
    </row>
    <row r="12" spans="1:18" ht="13.5" thickBot="1">
      <c r="B12" s="660"/>
      <c r="C12" s="693" t="s">
        <v>631</v>
      </c>
      <c r="D12" s="694">
        <v>6.5</v>
      </c>
      <c r="E12" s="695">
        <v>4.25</v>
      </c>
    </row>
    <row r="13" spans="1:18">
      <c r="Q13" t="s">
        <v>632</v>
      </c>
      <c r="R13" t="s">
        <v>633</v>
      </c>
    </row>
    <row r="14" spans="1:18">
      <c r="B14" s="696" t="s">
        <v>634</v>
      </c>
      <c r="C14" s="696"/>
      <c r="D14" s="696"/>
      <c r="E14" s="696"/>
      <c r="G14" s="696" t="s">
        <v>668</v>
      </c>
      <c r="H14" s="696"/>
      <c r="I14" s="696"/>
      <c r="J14" s="696"/>
      <c r="L14" s="696" t="s">
        <v>635</v>
      </c>
      <c r="M14" s="696"/>
      <c r="N14" s="696"/>
      <c r="O14" s="696"/>
      <c r="Q14" t="s">
        <v>636</v>
      </c>
      <c r="R14" t="s">
        <v>636</v>
      </c>
    </row>
    <row r="15" spans="1:18">
      <c r="B15" s="536" t="s">
        <v>637</v>
      </c>
      <c r="C15" s="536" t="s">
        <v>638</v>
      </c>
      <c r="D15" s="536" t="s">
        <v>639</v>
      </c>
      <c r="E15" s="536" t="s">
        <v>640</v>
      </c>
      <c r="F15" s="641"/>
      <c r="G15" s="536" t="s">
        <v>637</v>
      </c>
      <c r="H15" s="536" t="s">
        <v>638</v>
      </c>
      <c r="I15" s="536" t="s">
        <v>639</v>
      </c>
      <c r="J15" s="536" t="s">
        <v>640</v>
      </c>
      <c r="K15" s="641"/>
      <c r="L15" s="536" t="s">
        <v>637</v>
      </c>
      <c r="M15" s="536" t="s">
        <v>638</v>
      </c>
      <c r="N15" s="536" t="s">
        <v>639</v>
      </c>
      <c r="O15" s="536" t="s">
        <v>640</v>
      </c>
    </row>
    <row r="16" spans="1:18">
      <c r="A16">
        <v>1</v>
      </c>
      <c r="B16" s="642">
        <f>+D3-D8</f>
        <v>75452.649999999994</v>
      </c>
      <c r="C16" s="639">
        <f t="shared" ref="C16:C27" si="0">-PMT($D$5,$D$6,$D$3-$D$8)</f>
        <v>10803.892486473009</v>
      </c>
      <c r="D16" s="639">
        <f t="shared" ref="D16:D27" si="1">+B16*$D$5</f>
        <v>7168.0017499999994</v>
      </c>
      <c r="E16" s="642">
        <f>+C16-D16</f>
        <v>3635.8907364730094</v>
      </c>
      <c r="F16">
        <v>1</v>
      </c>
      <c r="G16" s="642">
        <f>+D3-D8</f>
        <v>75452.649999999994</v>
      </c>
      <c r="H16" s="639">
        <f>+I16+J16</f>
        <v>10803.892486473009</v>
      </c>
      <c r="I16" s="639">
        <f t="shared" ref="I16:I22" si="2">+G16*$D$5</f>
        <v>7168.0017499999994</v>
      </c>
      <c r="J16" s="642">
        <f>+E16</f>
        <v>3635.8907364730094</v>
      </c>
      <c r="K16">
        <v>1</v>
      </c>
      <c r="L16" s="642">
        <f>+E3-E8</f>
        <v>116081</v>
      </c>
      <c r="M16" s="642">
        <f>+N16+O16</f>
        <v>8706.0749999999989</v>
      </c>
      <c r="N16" s="639">
        <f>+L16*$E$5</f>
        <v>8706.0749999999989</v>
      </c>
      <c r="O16" s="639">
        <v>0</v>
      </c>
      <c r="Q16" s="642">
        <f>+H16-M16</f>
        <v>2097.8174864730099</v>
      </c>
      <c r="R16" s="640">
        <f>+((Q16*1000)/(+$D$11*1000))/12</f>
        <v>0.76007879944674273</v>
      </c>
    </row>
    <row r="17" spans="1:18">
      <c r="A17">
        <f t="shared" ref="A17:A27" si="3">+A16+1</f>
        <v>2</v>
      </c>
      <c r="B17" s="642">
        <f>+B16-E16</f>
        <v>71816.759263526983</v>
      </c>
      <c r="C17" s="639">
        <f t="shared" si="0"/>
        <v>10803.892486473009</v>
      </c>
      <c r="D17" s="639">
        <f t="shared" si="1"/>
        <v>6822.5921300350637</v>
      </c>
      <c r="E17" s="642">
        <f t="shared" ref="E17:E27" si="4">+C17-D17</f>
        <v>3981.3003564379451</v>
      </c>
      <c r="F17">
        <v>2</v>
      </c>
      <c r="G17" s="642">
        <f t="shared" ref="G17:G22" si="5">+G16-J16</f>
        <v>71816.759263526983</v>
      </c>
      <c r="H17" s="639">
        <f t="shared" ref="H17:H22" si="6">+I17+J17</f>
        <v>10803.892486473009</v>
      </c>
      <c r="I17" s="639">
        <f t="shared" si="2"/>
        <v>6822.5921300350637</v>
      </c>
      <c r="J17" s="642">
        <f t="shared" ref="J17:J22" si="7">+E17</f>
        <v>3981.3003564379451</v>
      </c>
      <c r="K17">
        <v>2</v>
      </c>
      <c r="L17" s="642">
        <f>+L16-O16</f>
        <v>116081</v>
      </c>
      <c r="M17" s="642">
        <f>+N17+O17</f>
        <v>8706.0749999999989</v>
      </c>
      <c r="N17" s="639">
        <f>+L17*$E$5</f>
        <v>8706.0749999999989</v>
      </c>
      <c r="O17" s="639">
        <v>0</v>
      </c>
    </row>
    <row r="18" spans="1:18">
      <c r="A18">
        <f t="shared" si="3"/>
        <v>3</v>
      </c>
      <c r="B18" s="642">
        <f>+B17-E17</f>
        <v>67835.458907089036</v>
      </c>
      <c r="C18" s="639">
        <f t="shared" si="0"/>
        <v>10803.892486473009</v>
      </c>
      <c r="D18" s="639">
        <f t="shared" si="1"/>
        <v>6444.3685961734582</v>
      </c>
      <c r="E18" s="642">
        <f t="shared" si="4"/>
        <v>4359.5238902995507</v>
      </c>
      <c r="F18">
        <v>3</v>
      </c>
      <c r="G18" s="642">
        <f t="shared" si="5"/>
        <v>67835.458907089036</v>
      </c>
      <c r="H18" s="639">
        <f t="shared" si="6"/>
        <v>10803.892486473009</v>
      </c>
      <c r="I18" s="639">
        <f t="shared" si="2"/>
        <v>6444.3685961734582</v>
      </c>
      <c r="J18" s="642">
        <f t="shared" si="7"/>
        <v>4359.5238902995507</v>
      </c>
      <c r="K18">
        <v>3</v>
      </c>
      <c r="L18" s="642">
        <f>+L17-O17</f>
        <v>116081</v>
      </c>
      <c r="M18" s="642">
        <f>+N18+O18</f>
        <v>8706.0749999999989</v>
      </c>
      <c r="N18" s="639">
        <f>+L18*$E$5</f>
        <v>8706.0749999999989</v>
      </c>
      <c r="O18" s="639">
        <v>0</v>
      </c>
      <c r="Q18" s="639">
        <v>42000</v>
      </c>
    </row>
    <row r="19" spans="1:18">
      <c r="A19">
        <f t="shared" si="3"/>
        <v>4</v>
      </c>
      <c r="B19" s="642">
        <f t="shared" ref="B19:B27" si="8">+B18-E18</f>
        <v>63475.935016789488</v>
      </c>
      <c r="C19" s="639">
        <f t="shared" si="0"/>
        <v>10803.892486473009</v>
      </c>
      <c r="D19" s="639">
        <f t="shared" si="1"/>
        <v>6030.2138265950016</v>
      </c>
      <c r="E19" s="642">
        <f t="shared" si="4"/>
        <v>4773.6786598780072</v>
      </c>
      <c r="F19">
        <v>4</v>
      </c>
      <c r="G19" s="642">
        <f t="shared" si="5"/>
        <v>63475.935016789488</v>
      </c>
      <c r="H19" s="639">
        <f t="shared" si="6"/>
        <v>10803.892486473009</v>
      </c>
      <c r="I19" s="639">
        <f t="shared" si="2"/>
        <v>6030.2138265950016</v>
      </c>
      <c r="J19" s="642">
        <f t="shared" si="7"/>
        <v>4773.6786598780072</v>
      </c>
      <c r="K19">
        <v>4</v>
      </c>
      <c r="L19" s="642">
        <f>+L18-O18</f>
        <v>116081</v>
      </c>
      <c r="M19" s="642">
        <f>+N19+O19</f>
        <v>8706.0749999999989</v>
      </c>
      <c r="N19" s="639">
        <f>+L19*$E$5</f>
        <v>8706.0749999999989</v>
      </c>
      <c r="O19" s="639">
        <v>0</v>
      </c>
      <c r="Q19">
        <v>0.15</v>
      </c>
    </row>
    <row r="20" spans="1:18">
      <c r="A20">
        <f t="shared" si="3"/>
        <v>5</v>
      </c>
      <c r="B20" s="642">
        <f t="shared" si="8"/>
        <v>58702.256356911479</v>
      </c>
      <c r="C20" s="639">
        <f t="shared" si="0"/>
        <v>10803.892486473009</v>
      </c>
      <c r="D20" s="639">
        <f t="shared" si="1"/>
        <v>5576.714353906591</v>
      </c>
      <c r="E20" s="642">
        <f t="shared" si="4"/>
        <v>5227.1781325664178</v>
      </c>
      <c r="F20">
        <v>5</v>
      </c>
      <c r="G20" s="642">
        <f t="shared" si="5"/>
        <v>58702.256356911479</v>
      </c>
      <c r="H20" s="639">
        <f t="shared" si="6"/>
        <v>10803.892486473009</v>
      </c>
      <c r="I20" s="639">
        <f t="shared" si="2"/>
        <v>5576.714353906591</v>
      </c>
      <c r="J20" s="642">
        <f t="shared" si="7"/>
        <v>5227.1781325664178</v>
      </c>
      <c r="K20">
        <v>5</v>
      </c>
      <c r="L20" s="642">
        <f>+L19-O19</f>
        <v>116081</v>
      </c>
      <c r="M20" s="642">
        <f>+N20+O20</f>
        <v>8706.0749999999989</v>
      </c>
      <c r="N20" s="639">
        <f>+L20*$E$5</f>
        <v>8706.0749999999989</v>
      </c>
      <c r="O20" s="639">
        <v>0</v>
      </c>
      <c r="Q20" s="639">
        <f>+Q18*Q19</f>
        <v>6300</v>
      </c>
      <c r="R20" s="640">
        <f>+((Q20*1000)/(+$D$11*1000))/12</f>
        <v>2.2826086956521738</v>
      </c>
    </row>
    <row r="21" spans="1:18">
      <c r="A21">
        <f t="shared" si="3"/>
        <v>6</v>
      </c>
      <c r="B21" s="642">
        <f t="shared" si="8"/>
        <v>53475.078224345059</v>
      </c>
      <c r="C21" s="639">
        <f t="shared" si="0"/>
        <v>10803.892486473009</v>
      </c>
      <c r="D21" s="639">
        <f t="shared" si="1"/>
        <v>5080.1324313127807</v>
      </c>
      <c r="E21" s="642">
        <f t="shared" si="4"/>
        <v>5723.7600551602281</v>
      </c>
      <c r="F21">
        <v>6</v>
      </c>
      <c r="G21" s="642">
        <f t="shared" si="5"/>
        <v>53475.078224345059</v>
      </c>
      <c r="H21" s="639">
        <f t="shared" si="6"/>
        <v>10803.892486473009</v>
      </c>
      <c r="I21" s="639">
        <f t="shared" si="2"/>
        <v>5080.1324313127807</v>
      </c>
      <c r="J21" s="642">
        <f t="shared" si="7"/>
        <v>5723.7600551602281</v>
      </c>
    </row>
    <row r="22" spans="1:18">
      <c r="A22">
        <f t="shared" si="3"/>
        <v>7</v>
      </c>
      <c r="B22" s="642">
        <f t="shared" si="8"/>
        <v>47751.318169184829</v>
      </c>
      <c r="C22" s="639">
        <f t="shared" si="0"/>
        <v>10803.892486473009</v>
      </c>
      <c r="D22" s="639">
        <f t="shared" si="1"/>
        <v>4536.3752260725587</v>
      </c>
      <c r="E22" s="642">
        <f t="shared" si="4"/>
        <v>6267.5172604004501</v>
      </c>
      <c r="F22">
        <v>7</v>
      </c>
      <c r="G22" s="642">
        <f t="shared" si="5"/>
        <v>47751.318169184829</v>
      </c>
      <c r="H22" s="639">
        <f t="shared" si="6"/>
        <v>10803.892486473009</v>
      </c>
      <c r="I22" s="639">
        <f t="shared" si="2"/>
        <v>4536.3752260725587</v>
      </c>
      <c r="J22" s="642">
        <f t="shared" si="7"/>
        <v>6267.5172604004501</v>
      </c>
      <c r="R22" s="643">
        <f>+R20+R16</f>
        <v>3.0426874950989165</v>
      </c>
    </row>
    <row r="23" spans="1:18">
      <c r="A23">
        <f t="shared" si="3"/>
        <v>8</v>
      </c>
      <c r="B23" s="642">
        <f t="shared" si="8"/>
        <v>41483.800908784382</v>
      </c>
      <c r="C23" s="639">
        <f t="shared" si="0"/>
        <v>10803.892486473009</v>
      </c>
      <c r="D23" s="639">
        <f t="shared" si="1"/>
        <v>3940.9610863345165</v>
      </c>
      <c r="E23" s="642">
        <f t="shared" si="4"/>
        <v>6862.9314001384919</v>
      </c>
    </row>
    <row r="24" spans="1:18">
      <c r="A24">
        <f t="shared" si="3"/>
        <v>9</v>
      </c>
      <c r="B24" s="642">
        <f t="shared" si="8"/>
        <v>34620.86950864589</v>
      </c>
      <c r="C24" s="639">
        <f t="shared" si="0"/>
        <v>10803.892486473009</v>
      </c>
      <c r="D24" s="639">
        <f t="shared" si="1"/>
        <v>3288.9826033213594</v>
      </c>
      <c r="E24" s="642">
        <f t="shared" si="4"/>
        <v>7514.9098831516494</v>
      </c>
    </row>
    <row r="25" spans="1:18">
      <c r="A25">
        <f t="shared" si="3"/>
        <v>10</v>
      </c>
      <c r="B25" s="642">
        <f t="shared" si="8"/>
        <v>27105.959625494241</v>
      </c>
      <c r="C25" s="639">
        <f t="shared" si="0"/>
        <v>10803.892486473009</v>
      </c>
      <c r="D25" s="639">
        <f t="shared" si="1"/>
        <v>2575.0661644219531</v>
      </c>
      <c r="E25" s="642">
        <f t="shared" si="4"/>
        <v>8228.8263220510562</v>
      </c>
    </row>
    <row r="26" spans="1:18">
      <c r="A26">
        <f t="shared" si="3"/>
        <v>11</v>
      </c>
      <c r="B26" s="642">
        <f t="shared" si="8"/>
        <v>18877.133303443185</v>
      </c>
      <c r="C26" s="639">
        <f t="shared" si="0"/>
        <v>10803.892486473009</v>
      </c>
      <c r="D26" s="639">
        <f t="shared" si="1"/>
        <v>1793.3276638271025</v>
      </c>
      <c r="E26" s="642">
        <f t="shared" si="4"/>
        <v>9010.564822645907</v>
      </c>
    </row>
    <row r="27" spans="1:18">
      <c r="A27">
        <f t="shared" si="3"/>
        <v>12</v>
      </c>
      <c r="B27" s="642">
        <f t="shared" si="8"/>
        <v>9866.5684807972775</v>
      </c>
      <c r="C27" s="639">
        <f t="shared" si="0"/>
        <v>10803.892486473009</v>
      </c>
      <c r="D27" s="639">
        <f t="shared" si="1"/>
        <v>937.32400567574132</v>
      </c>
      <c r="E27" s="642">
        <f t="shared" si="4"/>
        <v>9866.5684807972684</v>
      </c>
    </row>
    <row r="28" spans="1:18">
      <c r="A28" s="629"/>
      <c r="B28" s="642"/>
    </row>
    <row r="29" spans="1:18">
      <c r="A29" s="629"/>
    </row>
    <row r="33" spans="1:16">
      <c r="B33" s="696" t="s">
        <v>642</v>
      </c>
      <c r="C33" s="696"/>
      <c r="D33" s="696"/>
      <c r="E33" s="696"/>
    </row>
    <row r="34" spans="1:16">
      <c r="B34" s="536" t="s">
        <v>637</v>
      </c>
      <c r="C34" s="536" t="s">
        <v>638</v>
      </c>
      <c r="D34" s="536" t="s">
        <v>639</v>
      </c>
      <c r="E34" s="536" t="s">
        <v>640</v>
      </c>
    </row>
    <row r="35" spans="1:16">
      <c r="A35">
        <v>1</v>
      </c>
      <c r="B35" s="642">
        <f>+D3-D8</f>
        <v>75452.649999999994</v>
      </c>
      <c r="C35" s="639">
        <f>-PMT(+$D$5,10,$D$3-$D$8)</f>
        <v>12017.053198327938</v>
      </c>
      <c r="D35" s="639">
        <f t="shared" ref="D35:D44" si="9">+B35*$D$5</f>
        <v>7168.0017499999994</v>
      </c>
      <c r="E35" s="639">
        <f t="shared" ref="E35:E44" si="10">+C35-D35</f>
        <v>4849.0514483279385</v>
      </c>
    </row>
    <row r="36" spans="1:16">
      <c r="A36">
        <f t="shared" ref="A36:A44" si="11">+A35+1</f>
        <v>2</v>
      </c>
      <c r="B36" s="642">
        <f t="shared" ref="B36:B44" si="12">+B35-E35</f>
        <v>70603.598551672054</v>
      </c>
      <c r="C36" s="639">
        <f t="shared" ref="C36:C44" si="13">-PMT(+$D$5,10,$D$3-$D$8)</f>
        <v>12017.053198327938</v>
      </c>
      <c r="D36" s="639">
        <f t="shared" si="9"/>
        <v>6707.3418624088454</v>
      </c>
      <c r="E36" s="639">
        <f t="shared" si="10"/>
        <v>5309.7113359190926</v>
      </c>
    </row>
    <row r="37" spans="1:16">
      <c r="A37">
        <f t="shared" si="11"/>
        <v>3</v>
      </c>
      <c r="B37" s="642">
        <f t="shared" si="12"/>
        <v>65293.887215752962</v>
      </c>
      <c r="C37" s="639">
        <f t="shared" si="13"/>
        <v>12017.053198327938</v>
      </c>
      <c r="D37" s="639">
        <f t="shared" si="9"/>
        <v>6202.9192854965313</v>
      </c>
      <c r="E37" s="639">
        <f t="shared" si="10"/>
        <v>5814.1339128314066</v>
      </c>
    </row>
    <row r="38" spans="1:16">
      <c r="A38">
        <f t="shared" si="11"/>
        <v>4</v>
      </c>
      <c r="B38" s="642">
        <f t="shared" si="12"/>
        <v>59479.753302921556</v>
      </c>
      <c r="C38" s="639">
        <f t="shared" si="13"/>
        <v>12017.053198327938</v>
      </c>
      <c r="D38" s="639">
        <f t="shared" si="9"/>
        <v>5650.5765637775476</v>
      </c>
      <c r="E38" s="639">
        <f t="shared" si="10"/>
        <v>6366.4766345503904</v>
      </c>
    </row>
    <row r="39" spans="1:16">
      <c r="A39">
        <f t="shared" si="11"/>
        <v>5</v>
      </c>
      <c r="B39" s="642">
        <f t="shared" si="12"/>
        <v>53113.276668371167</v>
      </c>
      <c r="C39" s="639">
        <f t="shared" si="13"/>
        <v>12017.053198327938</v>
      </c>
      <c r="D39" s="639">
        <f t="shared" si="9"/>
        <v>5045.7612834952606</v>
      </c>
      <c r="E39" s="639">
        <f t="shared" si="10"/>
        <v>6971.2919148326773</v>
      </c>
    </row>
    <row r="40" spans="1:16">
      <c r="A40">
        <f t="shared" si="11"/>
        <v>6</v>
      </c>
      <c r="B40" s="642">
        <f t="shared" si="12"/>
        <v>46141.984753538491</v>
      </c>
      <c r="C40" s="639">
        <f t="shared" si="13"/>
        <v>12017.053198327938</v>
      </c>
      <c r="D40" s="639">
        <f t="shared" si="9"/>
        <v>4383.488551586157</v>
      </c>
      <c r="E40" s="639">
        <f t="shared" si="10"/>
        <v>7633.564646741781</v>
      </c>
    </row>
    <row r="41" spans="1:16">
      <c r="A41">
        <f t="shared" si="11"/>
        <v>7</v>
      </c>
      <c r="B41" s="642">
        <f t="shared" si="12"/>
        <v>38508.420106796708</v>
      </c>
      <c r="C41" s="639">
        <f t="shared" si="13"/>
        <v>12017.053198327938</v>
      </c>
      <c r="D41" s="639">
        <f t="shared" si="9"/>
        <v>3658.2999101456871</v>
      </c>
      <c r="E41" s="639">
        <f t="shared" si="10"/>
        <v>8358.7532881822517</v>
      </c>
    </row>
    <row r="42" spans="1:16">
      <c r="A42">
        <f t="shared" si="11"/>
        <v>8</v>
      </c>
      <c r="B42" s="642">
        <f t="shared" si="12"/>
        <v>30149.666818614456</v>
      </c>
      <c r="C42" s="639">
        <f t="shared" si="13"/>
        <v>12017.053198327938</v>
      </c>
      <c r="D42" s="639">
        <f t="shared" si="9"/>
        <v>2864.2183477683734</v>
      </c>
      <c r="E42" s="639">
        <f t="shared" si="10"/>
        <v>9152.8348505595641</v>
      </c>
    </row>
    <row r="43" spans="1:16">
      <c r="A43">
        <f t="shared" si="11"/>
        <v>9</v>
      </c>
      <c r="B43" s="642">
        <f t="shared" si="12"/>
        <v>20996.831968054892</v>
      </c>
      <c r="C43" s="639">
        <f t="shared" si="13"/>
        <v>12017.053198327938</v>
      </c>
      <c r="D43" s="639">
        <f t="shared" si="9"/>
        <v>1994.6990369652149</v>
      </c>
      <c r="E43" s="639">
        <f t="shared" si="10"/>
        <v>10022.354161362724</v>
      </c>
    </row>
    <row r="44" spans="1:16">
      <c r="A44">
        <f t="shared" si="11"/>
        <v>10</v>
      </c>
      <c r="B44" s="642">
        <f t="shared" si="12"/>
        <v>10974.477806692168</v>
      </c>
      <c r="C44" s="639">
        <f t="shared" si="13"/>
        <v>12017.053198327938</v>
      </c>
      <c r="D44" s="639">
        <f t="shared" si="9"/>
        <v>1042.575391635756</v>
      </c>
      <c r="E44" s="639">
        <f t="shared" si="10"/>
        <v>10974.477806692183</v>
      </c>
    </row>
    <row r="45" spans="1:16">
      <c r="B45" s="642"/>
      <c r="C45" s="639"/>
      <c r="D45" s="639"/>
      <c r="E45" s="639"/>
    </row>
    <row r="46" spans="1:16" ht="13.5" thickBot="1">
      <c r="B46" s="642"/>
      <c r="C46" s="639"/>
      <c r="D46" s="639"/>
      <c r="E46" s="639"/>
    </row>
    <row r="47" spans="1:16">
      <c r="B47" s="642"/>
      <c r="C47" s="639"/>
      <c r="D47" s="639"/>
      <c r="E47" s="639"/>
      <c r="G47" s="644"/>
      <c r="H47" s="411"/>
      <c r="I47" s="411"/>
      <c r="J47" s="411"/>
      <c r="K47" s="411"/>
      <c r="L47" s="411"/>
      <c r="M47" s="411"/>
      <c r="N47" s="411"/>
      <c r="O47" s="411"/>
      <c r="P47" s="645"/>
    </row>
    <row r="48" spans="1:16">
      <c r="B48" s="642"/>
      <c r="C48" s="639"/>
      <c r="D48" s="639"/>
      <c r="E48" s="639"/>
      <c r="G48" s="521"/>
      <c r="H48" s="179"/>
      <c r="I48" s="179"/>
      <c r="J48" s="646" t="s">
        <v>643</v>
      </c>
      <c r="K48" s="646"/>
      <c r="L48" s="646"/>
      <c r="M48" s="646" t="s">
        <v>635</v>
      </c>
      <c r="N48" s="179"/>
      <c r="O48" s="179"/>
      <c r="P48" s="329"/>
    </row>
    <row r="49" spans="2:16">
      <c r="B49" s="642"/>
      <c r="C49" s="639"/>
      <c r="D49" s="639"/>
      <c r="E49" s="639"/>
      <c r="G49" s="521"/>
      <c r="H49" s="179"/>
      <c r="I49" s="179"/>
      <c r="J49" s="179"/>
      <c r="K49" s="179"/>
      <c r="L49" s="179"/>
      <c r="M49" s="179"/>
      <c r="N49" s="179"/>
      <c r="O49" s="179"/>
      <c r="P49" s="329"/>
    </row>
    <row r="50" spans="2:16">
      <c r="B50" s="642"/>
      <c r="C50" s="639"/>
      <c r="D50" s="639"/>
      <c r="E50" s="639"/>
      <c r="G50" s="647"/>
      <c r="H50" s="179" t="s">
        <v>644</v>
      </c>
      <c r="I50" s="179"/>
      <c r="J50" s="648">
        <v>120000</v>
      </c>
      <c r="K50" s="648"/>
      <c r="L50" s="648"/>
      <c r="M50" s="648">
        <v>120000</v>
      </c>
      <c r="N50" s="179"/>
      <c r="O50" s="179"/>
      <c r="P50" s="329"/>
    </row>
    <row r="51" spans="2:16">
      <c r="B51" s="642"/>
      <c r="C51" s="639"/>
      <c r="D51" s="639"/>
      <c r="E51" s="639"/>
      <c r="G51" s="647"/>
      <c r="H51" s="179" t="s">
        <v>315</v>
      </c>
      <c r="I51" s="649">
        <v>0.65</v>
      </c>
      <c r="J51" s="648">
        <f>+I51*J50</f>
        <v>78000</v>
      </c>
      <c r="K51" s="648"/>
      <c r="L51" s="650">
        <v>1</v>
      </c>
      <c r="M51" s="648">
        <f>+M50*L51</f>
        <v>120000</v>
      </c>
      <c r="N51" s="179"/>
      <c r="O51" s="179"/>
      <c r="P51" s="329"/>
    </row>
    <row r="52" spans="2:16">
      <c r="B52" s="642"/>
      <c r="C52" s="639"/>
      <c r="D52" s="639"/>
      <c r="E52" s="639"/>
      <c r="G52" s="647"/>
      <c r="H52" s="651" t="s">
        <v>641</v>
      </c>
      <c r="I52" s="179"/>
      <c r="J52" s="648">
        <f>+J50-J51</f>
        <v>42000</v>
      </c>
      <c r="K52" s="648"/>
      <c r="L52" s="652"/>
      <c r="M52" s="648">
        <f>+M50-M51</f>
        <v>0</v>
      </c>
      <c r="N52" s="179"/>
      <c r="O52" s="179"/>
      <c r="P52" s="329"/>
    </row>
    <row r="53" spans="2:16">
      <c r="B53" s="642"/>
      <c r="C53" s="639"/>
      <c r="D53" s="639"/>
      <c r="E53" s="639"/>
      <c r="G53" s="521"/>
      <c r="H53" s="179" t="s">
        <v>645</v>
      </c>
      <c r="I53" s="649">
        <v>0</v>
      </c>
      <c r="J53" s="648">
        <v>0</v>
      </c>
      <c r="K53" s="648"/>
      <c r="L53" s="650">
        <v>0.2</v>
      </c>
      <c r="M53" s="648">
        <f>+L53*M50</f>
        <v>24000</v>
      </c>
      <c r="N53" s="179"/>
      <c r="O53" s="179"/>
      <c r="P53" s="329"/>
    </row>
    <row r="54" spans="2:16">
      <c r="B54" s="642"/>
      <c r="C54" s="639"/>
      <c r="D54" s="639"/>
      <c r="E54" s="639"/>
      <c r="G54" s="521"/>
      <c r="H54" s="179" t="s">
        <v>646</v>
      </c>
      <c r="I54" s="179"/>
      <c r="J54" s="648">
        <f>+G21+D8</f>
        <v>94103.428224345058</v>
      </c>
      <c r="K54" s="648"/>
      <c r="L54" s="652"/>
      <c r="M54" s="648">
        <f>+L20</f>
        <v>116081</v>
      </c>
      <c r="N54" s="179"/>
      <c r="O54" s="179"/>
      <c r="P54" s="329"/>
    </row>
    <row r="55" spans="2:16">
      <c r="B55" s="642"/>
      <c r="G55" s="521"/>
      <c r="H55" s="179"/>
      <c r="I55" s="179"/>
      <c r="J55" s="179"/>
      <c r="K55" s="179"/>
      <c r="L55" s="653"/>
      <c r="M55" s="179"/>
      <c r="N55" s="179"/>
      <c r="O55" s="179"/>
      <c r="P55" s="329"/>
    </row>
    <row r="56" spans="2:16">
      <c r="G56" s="521"/>
      <c r="H56" s="179"/>
      <c r="I56" s="179"/>
      <c r="J56" s="179"/>
      <c r="K56" s="179"/>
      <c r="L56" s="653"/>
      <c r="M56" s="179"/>
      <c r="N56" s="654" t="s">
        <v>647</v>
      </c>
      <c r="O56" s="421" t="s">
        <v>648</v>
      </c>
      <c r="P56" s="329"/>
    </row>
    <row r="57" spans="2:16">
      <c r="G57" s="521"/>
      <c r="H57" s="653" t="s">
        <v>649</v>
      </c>
      <c r="I57" s="649"/>
      <c r="J57" s="648">
        <f>+H16</f>
        <v>10803.892486473009</v>
      </c>
      <c r="K57" s="179"/>
      <c r="L57" s="653"/>
      <c r="M57" s="648">
        <f>+M16</f>
        <v>8706.0749999999989</v>
      </c>
      <c r="N57" s="648">
        <f>+M57-J57</f>
        <v>-2097.8174864730099</v>
      </c>
      <c r="O57" s="655">
        <f>+((N57*1000)/(230000))/12</f>
        <v>-0.76007879944674273</v>
      </c>
      <c r="P57" s="329"/>
    </row>
    <row r="58" spans="2:16">
      <c r="G58" s="521"/>
      <c r="H58" s="653" t="s">
        <v>650</v>
      </c>
      <c r="I58" s="656">
        <v>0.15</v>
      </c>
      <c r="J58" s="648">
        <f>+D8*I58</f>
        <v>6094.2524999999996</v>
      </c>
      <c r="K58" s="179"/>
      <c r="L58" s="657">
        <v>0.15</v>
      </c>
      <c r="M58" s="648">
        <f>+L58*M52</f>
        <v>0</v>
      </c>
      <c r="N58" s="648">
        <f>+M58-J58</f>
        <v>-6094.2524999999996</v>
      </c>
      <c r="O58" s="655">
        <f>+((N58*1000)/(230000))/12</f>
        <v>-2.2080625</v>
      </c>
      <c r="P58" s="329"/>
    </row>
    <row r="59" spans="2:16">
      <c r="G59" s="521"/>
      <c r="H59" s="653" t="s">
        <v>651</v>
      </c>
      <c r="I59" s="656">
        <v>0.03</v>
      </c>
      <c r="J59" s="648">
        <f>+J53*I59</f>
        <v>0</v>
      </c>
      <c r="K59" s="179"/>
      <c r="L59" s="657">
        <v>0.03</v>
      </c>
      <c r="M59" s="648">
        <f>+L59*M53</f>
        <v>720</v>
      </c>
      <c r="N59" s="648">
        <f>+M59-J59</f>
        <v>720</v>
      </c>
      <c r="O59" s="655">
        <f>+((N59*1000)/(230000))/12</f>
        <v>0.2608695652173913</v>
      </c>
      <c r="P59" s="329"/>
    </row>
    <row r="60" spans="2:16">
      <c r="G60" s="521"/>
      <c r="H60" s="653" t="s">
        <v>652</v>
      </c>
      <c r="I60" s="656">
        <v>0.1</v>
      </c>
      <c r="J60" s="648">
        <f>-PMT(I60,5,,J54)</f>
        <v>15413.904477296863</v>
      </c>
      <c r="K60" s="179"/>
      <c r="L60" s="657">
        <f>+I60</f>
        <v>0.1</v>
      </c>
      <c r="M60" s="648">
        <f>-PMT(L60,5,,M54)</f>
        <v>19013.77536813484</v>
      </c>
      <c r="N60" s="648">
        <f>+M60-J60</f>
        <v>3599.8708908379776</v>
      </c>
      <c r="O60" s="655">
        <f>+((N60*1000)/(230000))/12</f>
        <v>1.3043010474050643</v>
      </c>
      <c r="P60" s="329"/>
    </row>
    <row r="61" spans="2:16">
      <c r="G61" s="521"/>
      <c r="H61" s="179"/>
      <c r="I61" s="658"/>
      <c r="J61" s="179"/>
      <c r="K61" s="179"/>
      <c r="L61" s="653"/>
      <c r="M61" s="648"/>
      <c r="N61" s="179"/>
      <c r="O61" s="179"/>
      <c r="P61" s="329"/>
    </row>
    <row r="62" spans="2:16">
      <c r="G62" s="521"/>
      <c r="H62" s="421" t="s">
        <v>653</v>
      </c>
      <c r="I62" s="179"/>
      <c r="J62" s="179"/>
      <c r="K62" s="179"/>
      <c r="L62" s="653"/>
      <c r="M62" s="648"/>
      <c r="N62" s="179"/>
      <c r="O62" s="659">
        <f>SUM(O57:O61)</f>
        <v>-1.4029706868242873</v>
      </c>
      <c r="P62" s="329"/>
    </row>
    <row r="63" spans="2:16">
      <c r="G63" s="521"/>
      <c r="H63" s="179"/>
      <c r="I63" s="179"/>
      <c r="J63" s="179"/>
      <c r="K63" s="179"/>
      <c r="L63" s="179"/>
      <c r="M63" s="648"/>
      <c r="N63" s="179"/>
      <c r="O63" s="659"/>
      <c r="P63" s="329"/>
    </row>
    <row r="64" spans="2:16" ht="13.5" thickBot="1">
      <c r="G64" s="660"/>
      <c r="H64" s="416"/>
      <c r="I64" s="416"/>
      <c r="J64" s="416"/>
      <c r="K64" s="416"/>
      <c r="L64" s="416"/>
      <c r="M64" s="661"/>
      <c r="N64" s="416"/>
      <c r="O64" s="416"/>
      <c r="P64" s="662"/>
    </row>
  </sheetData>
  <mergeCells count="4">
    <mergeCell ref="B14:E14"/>
    <mergeCell ref="G14:J14"/>
    <mergeCell ref="L14:O14"/>
    <mergeCell ref="B33:E33"/>
  </mergeCells>
  <pageMargins left="0.75" right="0.75" top="1" bottom="1" header="0.5" footer="0.5"/>
  <pageSetup scale="61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C1" workbookViewId="0">
      <selection activeCell="P16" sqref="P16"/>
    </sheetView>
  </sheetViews>
  <sheetFormatPr defaultRowHeight="12.75"/>
  <cols>
    <col min="1" max="1" width="5" style="541" customWidth="1"/>
    <col min="2" max="2" width="44.85546875" style="541" customWidth="1"/>
    <col min="3" max="3" width="9.140625" style="541"/>
    <col min="4" max="4" width="9.5703125" style="541" customWidth="1"/>
    <col min="5" max="5" width="9.140625" style="541"/>
    <col min="6" max="6" width="4.28515625" style="541" customWidth="1"/>
    <col min="7" max="9" width="9.140625" style="541"/>
    <col min="10" max="10" width="4.28515625" style="541" customWidth="1"/>
    <col min="11" max="16384" width="9.140625" style="541"/>
  </cols>
  <sheetData>
    <row r="1" spans="1:14">
      <c r="A1" s="540" t="s">
        <v>437</v>
      </c>
      <c r="C1" s="542" t="s">
        <v>438</v>
      </c>
      <c r="D1" s="543"/>
      <c r="E1" s="543"/>
      <c r="F1" s="543"/>
      <c r="G1" s="543"/>
      <c r="H1" s="543"/>
      <c r="I1" s="543"/>
      <c r="J1" s="543"/>
      <c r="K1" s="543"/>
      <c r="L1" s="543"/>
      <c r="M1" s="543"/>
    </row>
    <row r="2" spans="1:14">
      <c r="A2" s="540" t="s">
        <v>439</v>
      </c>
      <c r="C2" s="542" t="s">
        <v>440</v>
      </c>
      <c r="D2" s="543"/>
      <c r="E2" s="543"/>
      <c r="F2" s="543"/>
      <c r="G2" s="543"/>
      <c r="H2" s="543"/>
      <c r="I2" s="543"/>
      <c r="J2" s="543"/>
      <c r="K2" s="543"/>
      <c r="L2" s="543"/>
      <c r="M2" s="543"/>
    </row>
    <row r="3" spans="1:14">
      <c r="A3" s="540" t="s">
        <v>441</v>
      </c>
      <c r="C3" s="543"/>
      <c r="D3" s="543"/>
      <c r="E3" s="543"/>
      <c r="F3" s="543"/>
      <c r="G3" s="543"/>
      <c r="H3" s="543"/>
      <c r="I3" s="543"/>
      <c r="J3" s="543"/>
      <c r="K3" s="543"/>
      <c r="L3" s="543"/>
      <c r="M3" s="543"/>
      <c r="N3" s="544"/>
    </row>
    <row r="4" spans="1:14" ht="23.25">
      <c r="C4" s="545" t="s">
        <v>480</v>
      </c>
      <c r="D4" s="546"/>
      <c r="E4" s="546"/>
      <c r="F4" s="547"/>
      <c r="G4" s="545" t="s">
        <v>481</v>
      </c>
      <c r="H4" s="548"/>
      <c r="I4" s="548"/>
      <c r="J4" s="543"/>
      <c r="K4" s="545" t="s">
        <v>482</v>
      </c>
      <c r="L4" s="548"/>
      <c r="M4" s="548"/>
    </row>
    <row r="5" spans="1:14">
      <c r="C5" s="549" t="s">
        <v>442</v>
      </c>
      <c r="D5" s="550" t="s">
        <v>443</v>
      </c>
      <c r="E5" s="551" t="s">
        <v>444</v>
      </c>
      <c r="F5" s="552"/>
      <c r="G5" s="553" t="s">
        <v>442</v>
      </c>
      <c r="H5" s="550" t="s">
        <v>443</v>
      </c>
      <c r="I5" s="550" t="s">
        <v>444</v>
      </c>
      <c r="J5" s="554"/>
      <c r="K5" s="550" t="s">
        <v>442</v>
      </c>
      <c r="L5" s="550" t="s">
        <v>443</v>
      </c>
      <c r="M5" s="550" t="s">
        <v>444</v>
      </c>
    </row>
    <row r="6" spans="1:14">
      <c r="C6" s="555"/>
      <c r="D6" s="555"/>
      <c r="E6" s="555"/>
      <c r="F6" s="555"/>
      <c r="G6" s="555"/>
      <c r="H6" s="555"/>
      <c r="I6" s="555"/>
      <c r="J6" s="554"/>
      <c r="K6" s="555"/>
      <c r="L6" s="555"/>
      <c r="M6" s="555"/>
    </row>
    <row r="7" spans="1:14">
      <c r="C7" s="542" t="s">
        <v>445</v>
      </c>
      <c r="D7" s="542"/>
      <c r="E7" s="543"/>
      <c r="F7" s="543"/>
      <c r="G7" s="543"/>
      <c r="H7" s="543"/>
      <c r="I7" s="543"/>
      <c r="J7" s="556"/>
      <c r="K7" s="543"/>
      <c r="L7" s="543"/>
      <c r="M7" s="543"/>
    </row>
    <row r="8" spans="1:14">
      <c r="A8" s="544" t="s">
        <v>446</v>
      </c>
      <c r="C8" s="550" t="s">
        <v>447</v>
      </c>
      <c r="D8" s="550">
        <v>48.76</v>
      </c>
      <c r="E8" s="550">
        <v>48.76</v>
      </c>
      <c r="F8" s="552"/>
      <c r="G8" s="550">
        <v>44.28</v>
      </c>
      <c r="H8" s="550">
        <v>46.13</v>
      </c>
      <c r="I8" s="550">
        <v>47.35</v>
      </c>
      <c r="J8" s="554"/>
      <c r="K8" s="550">
        <v>44.32</v>
      </c>
      <c r="L8" s="550">
        <v>46.04</v>
      </c>
      <c r="M8" s="550">
        <v>47.25</v>
      </c>
    </row>
    <row r="9" spans="1:14">
      <c r="A9" s="544" t="s">
        <v>448</v>
      </c>
      <c r="C9" s="550" t="s">
        <v>449</v>
      </c>
      <c r="D9" s="550">
        <v>8338</v>
      </c>
      <c r="E9" s="550">
        <v>8338</v>
      </c>
      <c r="F9" s="552"/>
      <c r="G9" s="550">
        <v>8261</v>
      </c>
      <c r="H9" s="550">
        <v>8557</v>
      </c>
      <c r="I9" s="550">
        <v>7934</v>
      </c>
      <c r="J9" s="554"/>
      <c r="K9" s="550">
        <v>8260</v>
      </c>
      <c r="L9" s="550">
        <v>8555</v>
      </c>
      <c r="M9" s="550">
        <v>7938</v>
      </c>
    </row>
    <row r="10" spans="1:14" ht="14.25">
      <c r="A10" s="544" t="s">
        <v>483</v>
      </c>
      <c r="C10" s="557" t="s">
        <v>447</v>
      </c>
      <c r="D10" s="558">
        <v>9264.4351799999986</v>
      </c>
      <c r="E10" s="558">
        <v>9264.4351799999986</v>
      </c>
      <c r="F10" s="552"/>
      <c r="G10" s="558">
        <v>9178.8797099999992</v>
      </c>
      <c r="H10" s="558">
        <v>9507.7682699999987</v>
      </c>
      <c r="I10" s="558">
        <v>8815.5467399999998</v>
      </c>
      <c r="J10" s="554"/>
      <c r="K10" s="558">
        <v>9177.7685999999994</v>
      </c>
      <c r="L10" s="558">
        <v>9505.5460500000008</v>
      </c>
      <c r="M10" s="558">
        <v>8819.9911799999991</v>
      </c>
    </row>
    <row r="11" spans="1:14">
      <c r="A11" s="544" t="s">
        <v>450</v>
      </c>
      <c r="C11" s="557"/>
      <c r="D11" s="558" t="s">
        <v>451</v>
      </c>
      <c r="E11" s="558">
        <v>10132.164876472518</v>
      </c>
      <c r="F11" s="552"/>
      <c r="G11" s="558" t="s">
        <v>451</v>
      </c>
      <c r="H11" s="558" t="s">
        <v>451</v>
      </c>
      <c r="I11" s="558">
        <v>9665.9845224709607</v>
      </c>
      <c r="J11" s="554"/>
      <c r="K11" s="558" t="s">
        <v>451</v>
      </c>
      <c r="L11" s="558" t="s">
        <v>451</v>
      </c>
      <c r="M11" s="558">
        <v>9664.0761323809511</v>
      </c>
    </row>
    <row r="12" spans="1:14">
      <c r="A12" s="544" t="s">
        <v>452</v>
      </c>
      <c r="C12" s="557"/>
      <c r="D12" s="557">
        <v>406.56088</v>
      </c>
      <c r="E12" s="557">
        <v>406.56088</v>
      </c>
      <c r="F12" s="559"/>
      <c r="G12" s="557">
        <v>365.79707999999999</v>
      </c>
      <c r="H12" s="557">
        <v>394.73441000000003</v>
      </c>
      <c r="I12" s="557">
        <v>375.67490000000004</v>
      </c>
      <c r="J12" s="560"/>
      <c r="K12" s="557">
        <v>366.08320000000003</v>
      </c>
      <c r="L12" s="557">
        <v>393.87220000000002</v>
      </c>
      <c r="M12" s="557">
        <v>375.07049999999998</v>
      </c>
    </row>
    <row r="13" spans="1:14">
      <c r="A13" s="544" t="s">
        <v>453</v>
      </c>
      <c r="C13" s="557"/>
      <c r="D13" s="557">
        <v>451.28257680000002</v>
      </c>
      <c r="E13" s="557">
        <v>451.28257680000002</v>
      </c>
      <c r="F13" s="559"/>
      <c r="G13" s="557">
        <v>406.03475880000002</v>
      </c>
      <c r="H13" s="557">
        <v>438.15519510000007</v>
      </c>
      <c r="I13" s="557">
        <v>416.99913900000007</v>
      </c>
      <c r="J13" s="560"/>
      <c r="K13" s="557">
        <v>406.35235200000005</v>
      </c>
      <c r="L13" s="557">
        <v>437.19814200000008</v>
      </c>
      <c r="M13" s="557">
        <v>416.32825500000001</v>
      </c>
    </row>
    <row r="14" spans="1:14">
      <c r="A14" s="544" t="s">
        <v>454</v>
      </c>
      <c r="C14" s="550" t="s">
        <v>455</v>
      </c>
      <c r="D14" s="550">
        <v>0</v>
      </c>
      <c r="E14" s="550">
        <v>0</v>
      </c>
      <c r="F14" s="552"/>
      <c r="G14" s="550">
        <v>210</v>
      </c>
      <c r="H14" s="550">
        <v>208</v>
      </c>
      <c r="I14" s="550">
        <v>212</v>
      </c>
      <c r="J14" s="554"/>
      <c r="K14" s="550">
        <v>1892</v>
      </c>
      <c r="L14" s="550">
        <v>1590</v>
      </c>
      <c r="M14" s="550">
        <v>1905</v>
      </c>
    </row>
    <row r="15" spans="1:14">
      <c r="A15" s="544" t="s">
        <v>456</v>
      </c>
      <c r="C15" s="550" t="s">
        <v>457</v>
      </c>
      <c r="D15" s="550">
        <v>20548</v>
      </c>
      <c r="E15" s="550">
        <v>0</v>
      </c>
      <c r="F15" s="552"/>
      <c r="G15" s="550">
        <v>0</v>
      </c>
      <c r="H15" s="550">
        <v>20835</v>
      </c>
      <c r="I15" s="550">
        <v>0</v>
      </c>
      <c r="J15" s="554"/>
      <c r="K15" s="550">
        <v>0</v>
      </c>
      <c r="L15" s="550">
        <v>20593</v>
      </c>
      <c r="M15" s="550">
        <v>0</v>
      </c>
    </row>
    <row r="16" spans="1:14">
      <c r="A16" s="544" t="s">
        <v>458</v>
      </c>
      <c r="C16" s="550" t="s">
        <v>459</v>
      </c>
      <c r="D16" s="550">
        <v>0</v>
      </c>
      <c r="E16" s="550">
        <v>33500</v>
      </c>
      <c r="F16" s="561"/>
      <c r="G16" s="550">
        <v>0</v>
      </c>
      <c r="H16" s="550">
        <v>0</v>
      </c>
      <c r="I16" s="550">
        <v>31883</v>
      </c>
      <c r="J16" s="554"/>
      <c r="K16" s="550">
        <v>0</v>
      </c>
      <c r="L16" s="550">
        <v>0</v>
      </c>
      <c r="M16" s="550">
        <v>31578</v>
      </c>
    </row>
    <row r="17" spans="1:14">
      <c r="A17" s="541" t="s">
        <v>460</v>
      </c>
      <c r="B17" s="544"/>
      <c r="C17" s="550" t="s">
        <v>461</v>
      </c>
      <c r="D17" s="550">
        <v>0</v>
      </c>
      <c r="E17" s="550">
        <v>0</v>
      </c>
      <c r="F17" s="552"/>
      <c r="G17" s="550">
        <v>0</v>
      </c>
      <c r="H17" s="550">
        <v>2445</v>
      </c>
      <c r="I17" s="550">
        <v>2445</v>
      </c>
      <c r="J17" s="554"/>
      <c r="K17" s="550">
        <v>0</v>
      </c>
      <c r="L17" s="550">
        <v>2445</v>
      </c>
      <c r="M17" s="550">
        <v>2445</v>
      </c>
    </row>
    <row r="18" spans="1:14" ht="14.25">
      <c r="A18" s="541" t="s">
        <v>484</v>
      </c>
      <c r="B18" s="544"/>
      <c r="C18" s="557"/>
      <c r="D18" s="550">
        <v>1200</v>
      </c>
      <c r="E18" s="550">
        <v>1200</v>
      </c>
      <c r="F18" s="552"/>
      <c r="G18" s="550">
        <v>1200</v>
      </c>
      <c r="H18" s="550">
        <v>1200</v>
      </c>
      <c r="I18" s="550">
        <v>1200</v>
      </c>
      <c r="J18" s="554"/>
      <c r="K18" s="550">
        <v>1200</v>
      </c>
      <c r="L18" s="550">
        <v>1200</v>
      </c>
      <c r="M18" s="550">
        <v>1200</v>
      </c>
    </row>
    <row r="19" spans="1:14">
      <c r="A19" s="541" t="s">
        <v>462</v>
      </c>
      <c r="B19" s="544"/>
      <c r="C19" s="550"/>
      <c r="D19" s="550">
        <v>0</v>
      </c>
      <c r="E19" s="550">
        <v>0</v>
      </c>
      <c r="F19" s="562"/>
      <c r="G19" s="550">
        <v>272</v>
      </c>
      <c r="H19" s="558">
        <v>270.60000000000002</v>
      </c>
      <c r="I19" s="558">
        <v>273.39999999999998</v>
      </c>
      <c r="J19" s="563"/>
      <c r="K19" s="558">
        <v>1449.4</v>
      </c>
      <c r="L19" s="550">
        <v>1238</v>
      </c>
      <c r="M19" s="558">
        <v>1458.5</v>
      </c>
    </row>
    <row r="20" spans="1:14">
      <c r="A20" s="541" t="s">
        <v>463</v>
      </c>
      <c r="B20" s="544"/>
      <c r="C20" s="550" t="s">
        <v>464</v>
      </c>
      <c r="D20" s="550">
        <v>47.56</v>
      </c>
      <c r="E20" s="550">
        <v>47.56</v>
      </c>
      <c r="F20" s="559"/>
      <c r="G20" s="550">
        <v>42.808</v>
      </c>
      <c r="H20" s="557">
        <v>44.659400000000005</v>
      </c>
      <c r="I20" s="557">
        <v>45.876600000000003</v>
      </c>
      <c r="J20" s="560"/>
      <c r="K20" s="557">
        <v>41.6706</v>
      </c>
      <c r="L20" s="557">
        <v>43.601999999999997</v>
      </c>
      <c r="M20" s="557">
        <v>44.591499999999996</v>
      </c>
    </row>
    <row r="21" spans="1:14">
      <c r="B21" s="544"/>
      <c r="C21" s="544"/>
      <c r="D21" s="544"/>
      <c r="E21" s="555"/>
      <c r="F21" s="554"/>
      <c r="G21" s="555"/>
      <c r="H21" s="555"/>
      <c r="I21" s="555"/>
      <c r="J21" s="554"/>
      <c r="K21" s="555"/>
      <c r="L21" s="555"/>
      <c r="M21" s="555"/>
    </row>
    <row r="22" spans="1:14">
      <c r="C22" s="542"/>
      <c r="D22" s="543"/>
      <c r="E22" s="543"/>
      <c r="F22" s="556"/>
      <c r="G22" s="543"/>
      <c r="H22" s="543"/>
      <c r="I22" s="543"/>
      <c r="J22" s="556"/>
      <c r="K22" s="543"/>
      <c r="L22" s="543"/>
      <c r="M22" s="543"/>
    </row>
    <row r="23" spans="1:14">
      <c r="A23" s="544" t="s">
        <v>465</v>
      </c>
      <c r="C23" s="550">
        <v>2</v>
      </c>
      <c r="D23" s="550">
        <v>25</v>
      </c>
      <c r="E23" s="550">
        <v>25</v>
      </c>
      <c r="F23" s="552"/>
      <c r="G23" s="550">
        <v>25</v>
      </c>
      <c r="H23" s="550">
        <v>25</v>
      </c>
      <c r="I23" s="558">
        <v>25</v>
      </c>
      <c r="J23" s="554"/>
      <c r="K23" s="550">
        <v>25</v>
      </c>
      <c r="L23" s="558">
        <v>25</v>
      </c>
      <c r="M23" s="550">
        <v>25</v>
      </c>
    </row>
    <row r="24" spans="1:14">
      <c r="A24" s="544" t="s">
        <v>466</v>
      </c>
      <c r="C24" s="550">
        <v>0</v>
      </c>
      <c r="D24" s="550">
        <v>41</v>
      </c>
      <c r="E24" s="550">
        <v>41</v>
      </c>
      <c r="F24" s="552"/>
      <c r="G24" s="550">
        <v>37</v>
      </c>
      <c r="H24" s="550">
        <v>40</v>
      </c>
      <c r="I24" s="558">
        <v>38</v>
      </c>
      <c r="J24" s="554"/>
      <c r="K24" s="550">
        <v>37</v>
      </c>
      <c r="L24" s="558">
        <v>40</v>
      </c>
      <c r="M24" s="550">
        <v>38</v>
      </c>
    </row>
    <row r="25" spans="1:14" ht="14.25">
      <c r="A25" s="541" t="s">
        <v>467</v>
      </c>
      <c r="C25" s="564" t="s">
        <v>468</v>
      </c>
      <c r="D25" s="550">
        <v>80</v>
      </c>
      <c r="E25" s="550">
        <v>80</v>
      </c>
      <c r="F25" s="552"/>
      <c r="G25" s="550">
        <v>25</v>
      </c>
      <c r="H25" s="550">
        <v>29</v>
      </c>
      <c r="I25" s="558">
        <v>23</v>
      </c>
      <c r="J25" s="554"/>
      <c r="K25" s="550">
        <v>25</v>
      </c>
      <c r="L25" s="558">
        <v>28</v>
      </c>
      <c r="M25" s="550">
        <v>23</v>
      </c>
    </row>
    <row r="26" spans="1:14">
      <c r="A26" s="541" t="s">
        <v>469</v>
      </c>
      <c r="C26" s="550"/>
      <c r="D26" s="550">
        <v>80</v>
      </c>
      <c r="E26" s="550">
        <v>80</v>
      </c>
      <c r="F26" s="552"/>
      <c r="G26" s="550">
        <v>22</v>
      </c>
      <c r="H26" s="550">
        <v>28</v>
      </c>
      <c r="I26" s="558">
        <v>22</v>
      </c>
      <c r="J26" s="554"/>
      <c r="K26" s="550">
        <v>22</v>
      </c>
      <c r="L26" s="558">
        <v>27</v>
      </c>
      <c r="M26" s="550">
        <v>21</v>
      </c>
    </row>
    <row r="27" spans="1:14">
      <c r="B27" s="544"/>
      <c r="C27" s="544"/>
      <c r="D27" s="544"/>
      <c r="G27" s="555"/>
      <c r="H27" s="555"/>
      <c r="K27" s="555"/>
      <c r="L27" s="555"/>
      <c r="M27" s="555"/>
      <c r="N27" s="555"/>
    </row>
    <row r="28" spans="1:14">
      <c r="B28" s="544"/>
      <c r="C28" s="544"/>
      <c r="D28" s="544"/>
      <c r="E28" s="555"/>
      <c r="F28" s="555"/>
      <c r="G28" s="555"/>
      <c r="H28" s="555"/>
      <c r="K28" s="555"/>
      <c r="L28" s="555"/>
      <c r="M28" s="555"/>
      <c r="N28" s="555"/>
    </row>
    <row r="29" spans="1:14">
      <c r="G29" s="555"/>
      <c r="H29" s="555"/>
      <c r="K29" s="555"/>
      <c r="L29" s="555"/>
      <c r="M29" s="555"/>
      <c r="N29" s="555"/>
    </row>
    <row r="30" spans="1:14">
      <c r="E30" s="555"/>
      <c r="F30" s="555"/>
      <c r="G30" s="555"/>
      <c r="H30" s="555"/>
      <c r="K30" s="555"/>
      <c r="L30" s="555"/>
      <c r="M30" s="555"/>
      <c r="N30" s="555"/>
    </row>
    <row r="31" spans="1:14">
      <c r="A31" s="544" t="s">
        <v>470</v>
      </c>
      <c r="C31" s="555"/>
      <c r="D31" s="555">
        <v>2</v>
      </c>
      <c r="E31" s="555">
        <v>2</v>
      </c>
      <c r="F31" s="555"/>
      <c r="G31" s="555">
        <v>2</v>
      </c>
      <c r="H31" s="555">
        <v>2</v>
      </c>
      <c r="I31" s="555">
        <v>2</v>
      </c>
      <c r="J31" s="555"/>
      <c r="K31" s="555">
        <v>2</v>
      </c>
      <c r="L31" s="555">
        <v>2</v>
      </c>
      <c r="M31" s="555">
        <v>2</v>
      </c>
    </row>
    <row r="32" spans="1:14">
      <c r="A32" s="544" t="s">
        <v>471</v>
      </c>
      <c r="C32" s="565"/>
      <c r="D32" s="565">
        <v>0.92</v>
      </c>
      <c r="E32" s="565">
        <v>0.92</v>
      </c>
      <c r="F32" s="565"/>
      <c r="G32" s="565">
        <v>0.92</v>
      </c>
      <c r="H32" s="565">
        <v>0.92</v>
      </c>
      <c r="I32" s="565">
        <v>0.92</v>
      </c>
      <c r="J32" s="565"/>
      <c r="K32" s="565">
        <v>0.92</v>
      </c>
      <c r="L32" s="565">
        <v>0.92</v>
      </c>
      <c r="M32" s="565">
        <v>0.92</v>
      </c>
    </row>
    <row r="33" spans="1:13">
      <c r="A33" s="544" t="s">
        <v>472</v>
      </c>
      <c r="C33" s="566"/>
      <c r="D33" s="566">
        <v>7.372920096852302E-3</v>
      </c>
      <c r="E33" s="566">
        <v>7.372920096852302E-3</v>
      </c>
      <c r="F33" s="566"/>
      <c r="G33" s="566">
        <v>7.372920096852302E-3</v>
      </c>
      <c r="H33" s="566">
        <v>7.372920096852302E-3</v>
      </c>
      <c r="I33" s="566">
        <v>7.372920096852302E-3</v>
      </c>
      <c r="J33" s="566"/>
      <c r="K33" s="566">
        <v>7.372920096852302E-3</v>
      </c>
      <c r="L33" s="566">
        <v>7.372920096852302E-3</v>
      </c>
      <c r="M33" s="566">
        <v>7.372920096852302E-3</v>
      </c>
    </row>
    <row r="34" spans="1:13">
      <c r="A34" s="544" t="s">
        <v>473</v>
      </c>
      <c r="C34" s="567"/>
      <c r="D34" s="567">
        <v>2.9936618331770974</v>
      </c>
      <c r="E34" s="567">
        <v>2.9960034224640011</v>
      </c>
      <c r="F34" s="567"/>
      <c r="G34" s="567">
        <v>3.3272703798480125</v>
      </c>
      <c r="H34" s="567">
        <v>3.230483243493032</v>
      </c>
      <c r="I34" s="567">
        <v>3.2234269674582872</v>
      </c>
      <c r="J34" s="567"/>
      <c r="K34" s="567">
        <v>3.3272703798480125</v>
      </c>
      <c r="L34" s="567">
        <v>3.0745013323032069</v>
      </c>
      <c r="M34" s="567">
        <v>3.0695549581769499</v>
      </c>
    </row>
    <row r="35" spans="1:13">
      <c r="A35" s="544" t="s">
        <v>474</v>
      </c>
      <c r="C35" s="555"/>
      <c r="D35" s="565">
        <v>0.9</v>
      </c>
      <c r="E35" s="565">
        <v>0.9</v>
      </c>
      <c r="F35" s="555"/>
      <c r="G35" s="565">
        <v>0.9</v>
      </c>
      <c r="H35" s="565">
        <v>0.9</v>
      </c>
      <c r="I35" s="565">
        <v>0.9</v>
      </c>
      <c r="J35" s="555"/>
      <c r="K35" s="565">
        <v>0.9</v>
      </c>
      <c r="L35" s="565">
        <v>0.9</v>
      </c>
      <c r="M35" s="565">
        <v>0.9</v>
      </c>
    </row>
    <row r="36" spans="1:13">
      <c r="A36" s="544" t="s">
        <v>475</v>
      </c>
      <c r="C36" s="565"/>
      <c r="D36" s="568">
        <v>8</v>
      </c>
      <c r="E36" s="568">
        <v>8</v>
      </c>
      <c r="F36" s="565"/>
      <c r="G36" s="568">
        <v>2.5</v>
      </c>
      <c r="H36" s="568">
        <v>2.9</v>
      </c>
      <c r="I36" s="568">
        <v>2.2999999999999998</v>
      </c>
      <c r="J36" s="565"/>
      <c r="K36" s="568">
        <v>2.5</v>
      </c>
      <c r="L36" s="568">
        <v>2.8</v>
      </c>
      <c r="M36" s="568">
        <v>2.2999999999999998</v>
      </c>
    </row>
    <row r="39" spans="1:13">
      <c r="A39" s="541" t="s">
        <v>476</v>
      </c>
    </row>
    <row r="40" spans="1:13">
      <c r="A40" s="541">
        <v>1</v>
      </c>
      <c r="B40" s="541" t="s">
        <v>477</v>
      </c>
    </row>
    <row r="41" spans="1:13">
      <c r="A41" s="541">
        <v>2</v>
      </c>
      <c r="B41" s="541" t="s">
        <v>478</v>
      </c>
    </row>
    <row r="42" spans="1:13">
      <c r="A42" s="541">
        <v>3</v>
      </c>
      <c r="B42" s="541" t="s">
        <v>479</v>
      </c>
    </row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17" sqref="B17"/>
    </sheetView>
  </sheetViews>
  <sheetFormatPr defaultRowHeight="12.75"/>
  <cols>
    <col min="1" max="1" width="58.85546875" style="541" customWidth="1"/>
    <col min="2" max="2" width="19.85546875" style="541" customWidth="1"/>
    <col min="3" max="3" width="23.7109375" style="541" customWidth="1"/>
    <col min="4" max="4" width="24.28515625" style="541" customWidth="1"/>
    <col min="5" max="16384" width="9.140625" style="541"/>
  </cols>
  <sheetData>
    <row r="1" spans="1:11">
      <c r="A1" s="540" t="s">
        <v>437</v>
      </c>
    </row>
    <row r="2" spans="1:11">
      <c r="A2" s="540" t="s">
        <v>485</v>
      </c>
    </row>
    <row r="3" spans="1:11">
      <c r="A3" s="540" t="s">
        <v>441</v>
      </c>
      <c r="B3" s="542" t="s">
        <v>486</v>
      </c>
      <c r="C3" s="543"/>
      <c r="D3" s="543"/>
    </row>
    <row r="4" spans="1:11">
      <c r="C4" s="543"/>
      <c r="D4" s="542"/>
      <c r="F4" s="542"/>
      <c r="G4" s="542"/>
      <c r="H4" s="542"/>
      <c r="I4" s="542"/>
      <c r="J4" s="542"/>
      <c r="K4" s="542"/>
    </row>
    <row r="5" spans="1:11" ht="14.25">
      <c r="A5" s="569"/>
      <c r="B5" s="570" t="s">
        <v>487</v>
      </c>
      <c r="C5" s="550" t="s">
        <v>488</v>
      </c>
      <c r="D5" s="571" t="s">
        <v>499</v>
      </c>
      <c r="E5" s="543"/>
      <c r="G5" s="543"/>
      <c r="H5" s="543"/>
      <c r="J5" s="543"/>
      <c r="K5" s="543"/>
    </row>
    <row r="6" spans="1:11">
      <c r="A6" s="569"/>
      <c r="B6" s="570" t="s">
        <v>489</v>
      </c>
      <c r="C6" s="550" t="s">
        <v>489</v>
      </c>
      <c r="D6" s="550" t="s">
        <v>489</v>
      </c>
      <c r="E6" s="543"/>
      <c r="G6" s="543"/>
      <c r="H6" s="543"/>
      <c r="J6" s="543"/>
      <c r="K6" s="543"/>
    </row>
    <row r="7" spans="1:11" ht="14.25">
      <c r="A7" s="569" t="s">
        <v>500</v>
      </c>
      <c r="B7" s="572">
        <v>121000.00084071576</v>
      </c>
      <c r="C7" s="573">
        <v>0</v>
      </c>
      <c r="D7" s="573">
        <v>0</v>
      </c>
      <c r="E7" s="555"/>
      <c r="F7" s="555"/>
      <c r="G7" s="555"/>
      <c r="H7" s="555"/>
      <c r="I7" s="555"/>
      <c r="J7" s="555"/>
      <c r="K7" s="555"/>
    </row>
    <row r="8" spans="1:11" ht="14.25">
      <c r="A8" s="569" t="s">
        <v>501</v>
      </c>
      <c r="B8" s="573">
        <v>108705</v>
      </c>
      <c r="C8" s="573">
        <v>92850</v>
      </c>
      <c r="D8" s="573">
        <v>109387.5</v>
      </c>
    </row>
    <row r="9" spans="1:11" ht="14.25">
      <c r="A9" s="569" t="s">
        <v>502</v>
      </c>
      <c r="B9" s="573">
        <v>0</v>
      </c>
      <c r="C9" s="574">
        <v>1377.7574999999999</v>
      </c>
      <c r="D9" s="574">
        <v>1377.7574999999999</v>
      </c>
    </row>
    <row r="10" spans="1:11" ht="14.25">
      <c r="A10" s="569" t="s">
        <v>503</v>
      </c>
      <c r="B10" s="573">
        <v>0</v>
      </c>
      <c r="C10" s="574">
        <v>11740.522499999999</v>
      </c>
      <c r="D10" s="573">
        <v>0</v>
      </c>
    </row>
    <row r="11" spans="1:11" ht="14.25">
      <c r="A11" s="569" t="s">
        <v>504</v>
      </c>
      <c r="B11" s="573">
        <v>0</v>
      </c>
      <c r="C11" s="573">
        <v>0</v>
      </c>
      <c r="D11" s="574">
        <v>358947.12600000005</v>
      </c>
    </row>
    <row r="12" spans="1:11">
      <c r="A12" s="569" t="s">
        <v>245</v>
      </c>
      <c r="B12" s="575">
        <v>264650</v>
      </c>
      <c r="C12" s="575">
        <v>224871.09768378653</v>
      </c>
      <c r="D12" s="575">
        <v>231000</v>
      </c>
    </row>
    <row r="13" spans="1:11">
      <c r="A13" s="576" t="s">
        <v>490</v>
      </c>
      <c r="B13" s="572">
        <v>0</v>
      </c>
      <c r="C13" s="572">
        <v>22000.00015285741</v>
      </c>
      <c r="D13" s="572">
        <v>22000.00015285741</v>
      </c>
    </row>
    <row r="14" spans="1:11">
      <c r="A14" s="569" t="s">
        <v>491</v>
      </c>
      <c r="B14" s="574">
        <v>0</v>
      </c>
      <c r="C14" s="574">
        <v>15432.404076738609</v>
      </c>
      <c r="D14" s="574">
        <v>23664.56834532374</v>
      </c>
    </row>
    <row r="15" spans="1:11">
      <c r="A15" s="569" t="s">
        <v>492</v>
      </c>
      <c r="B15" s="574">
        <v>3047642.64</v>
      </c>
      <c r="C15" s="574">
        <v>3278986.0650000004</v>
      </c>
      <c r="D15" s="574">
        <v>3122461.9125000006</v>
      </c>
    </row>
    <row r="16" spans="1:11">
      <c r="A16" s="569" t="s">
        <v>493</v>
      </c>
      <c r="B16" s="577">
        <v>0</v>
      </c>
      <c r="C16" s="575">
        <v>-133300.79999999999</v>
      </c>
      <c r="D16" s="575">
        <v>-220939.2</v>
      </c>
    </row>
    <row r="17" spans="1:4">
      <c r="A17" s="578" t="s">
        <v>494</v>
      </c>
      <c r="B17" s="579">
        <v>3541997.6408407157</v>
      </c>
      <c r="C17" s="579">
        <v>3513957.0469133826</v>
      </c>
      <c r="D17" s="579">
        <v>3647899.6644981815</v>
      </c>
    </row>
    <row r="18" spans="1:4">
      <c r="B18" s="555"/>
      <c r="C18" s="555"/>
      <c r="D18" s="555"/>
    </row>
    <row r="19" spans="1:4">
      <c r="A19" s="580" t="s">
        <v>495</v>
      </c>
      <c r="B19" s="555">
        <v>2500</v>
      </c>
      <c r="C19" s="555"/>
      <c r="D19" s="555"/>
    </row>
    <row r="20" spans="1:4">
      <c r="B20" s="555"/>
      <c r="C20" s="555"/>
      <c r="D20" s="555"/>
    </row>
    <row r="21" spans="1:4" s="581" customFormat="1" ht="11.25">
      <c r="A21" s="581" t="s">
        <v>496</v>
      </c>
      <c r="B21" s="582"/>
      <c r="C21" s="582"/>
      <c r="D21" s="582"/>
    </row>
    <row r="22" spans="1:4">
      <c r="A22" s="581" t="s">
        <v>497</v>
      </c>
      <c r="B22" s="555"/>
      <c r="C22" s="555"/>
      <c r="D22" s="555"/>
    </row>
    <row r="23" spans="1:4">
      <c r="A23" s="583" t="s">
        <v>498</v>
      </c>
      <c r="B23" s="555"/>
      <c r="C23" s="555"/>
      <c r="D23" s="555"/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7" customWidth="1"/>
    <col min="28" max="34" width="13.28515625" customWidth="1"/>
  </cols>
  <sheetData>
    <row r="2" spans="1:60" ht="18.75">
      <c r="A2" s="86" t="str">
        <f>Assumptions!A3</f>
        <v>PROJECT NAME: UAE-Lowell</v>
      </c>
    </row>
    <row r="4" spans="1:60" ht="18.75">
      <c r="A4" s="60" t="s">
        <v>133</v>
      </c>
      <c r="B4" s="8"/>
      <c r="C4" s="8"/>
    </row>
    <row r="6" spans="1:60">
      <c r="C6" s="314">
        <v>0</v>
      </c>
      <c r="D6" s="211">
        <f>'Price_Technical Assumption'!D7</f>
        <v>0.66666666666666663</v>
      </c>
      <c r="E6" s="211">
        <f>'Price_Technical Assumption'!E7</f>
        <v>1.6666666666666665</v>
      </c>
      <c r="F6" s="211">
        <f>'Price_Technical Assumption'!F7</f>
        <v>2.6666666666666665</v>
      </c>
      <c r="G6" s="211">
        <f>'Price_Technical Assumption'!G7</f>
        <v>3.6666666666666665</v>
      </c>
      <c r="H6" s="211">
        <f>'Price_Technical Assumption'!H7</f>
        <v>4.6666666666666661</v>
      </c>
      <c r="I6" s="211">
        <f>'Price_Technical Assumption'!I7</f>
        <v>5.6666666666666661</v>
      </c>
      <c r="J6" s="211">
        <f>'Price_Technical Assumption'!J7</f>
        <v>6.6666666666666661</v>
      </c>
      <c r="K6" s="211">
        <f>'Price_Technical Assumption'!K7</f>
        <v>7.6666666666666661</v>
      </c>
      <c r="L6" s="211">
        <f>'Price_Technical Assumption'!L7</f>
        <v>8.6666666666666661</v>
      </c>
      <c r="M6" s="211">
        <f>'Price_Technical Assumption'!M7</f>
        <v>9.6666666666666661</v>
      </c>
      <c r="N6" s="211">
        <f>'Price_Technical Assumption'!N7</f>
        <v>10.666666666666666</v>
      </c>
      <c r="O6" s="211">
        <f>'Price_Technical Assumption'!O7</f>
        <v>11.666666666666666</v>
      </c>
      <c r="P6" s="211">
        <f>'Price_Technical Assumption'!P7</f>
        <v>12.666666666666666</v>
      </c>
      <c r="Q6" s="211">
        <f>'Price_Technical Assumption'!Q7</f>
        <v>13.666666666666666</v>
      </c>
      <c r="R6" s="211">
        <f>'Price_Technical Assumption'!R7</f>
        <v>14.666666666666666</v>
      </c>
      <c r="S6" s="211">
        <f>'Price_Technical Assumption'!S7</f>
        <v>15.666666666666666</v>
      </c>
      <c r="T6" s="211">
        <f>'Price_Technical Assumption'!T7</f>
        <v>16.666666666666664</v>
      </c>
      <c r="U6" s="211">
        <f>'Price_Technical Assumption'!U7</f>
        <v>17.666666666666664</v>
      </c>
      <c r="V6" s="211">
        <f>'Price_Technical Assumption'!V7</f>
        <v>18.666666666666664</v>
      </c>
      <c r="W6" s="211">
        <f>'Price_Technical Assumption'!W7</f>
        <v>19.666666666666664</v>
      </c>
      <c r="X6" s="211">
        <f>'Price_Technical Assumption'!X7</f>
        <v>20.666666666666664</v>
      </c>
      <c r="Y6" s="211">
        <f>'Price_Technical Assumption'!Y7</f>
        <v>21.666666666666664</v>
      </c>
      <c r="Z6" s="211">
        <f>'Price_Technical Assumption'!Z7</f>
        <v>22.666666666666664</v>
      </c>
      <c r="AA6" s="211">
        <f>'Price_Technical Assumption'!AA7</f>
        <v>23.666666666666664</v>
      </c>
      <c r="AB6" s="211">
        <f>'Price_Technical Assumption'!AB7</f>
        <v>24.666666666666664</v>
      </c>
      <c r="AC6" s="211">
        <f>'Price_Technical Assumption'!AC7</f>
        <v>25.666666666666664</v>
      </c>
      <c r="AD6" s="211">
        <f>'Price_Technical Assumption'!AD7</f>
        <v>26.666666666666664</v>
      </c>
      <c r="AE6" s="211">
        <f>'Price_Technical Assumption'!AE7</f>
        <v>27.666666666666664</v>
      </c>
      <c r="AF6" s="211">
        <f>'Price_Technical Assumption'!AF7</f>
        <v>28.666666666666664</v>
      </c>
      <c r="AG6" s="211">
        <f>'Price_Technical Assumption'!AG7</f>
        <v>29.666666666666664</v>
      </c>
      <c r="AH6" s="211">
        <f>'Price_Technical Assumption'!AH7</f>
        <v>30.666666666666664</v>
      </c>
    </row>
    <row r="7" spans="1:60" s="6" customFormat="1" ht="13.5" thickBot="1">
      <c r="A7" s="122" t="s">
        <v>38</v>
      </c>
      <c r="B7" s="7"/>
      <c r="C7" s="315" t="s">
        <v>249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6"/>
      <c r="D8" s="212">
        <f>Assumptions!H17+365.25*Assumptions!H18/12</f>
        <v>37255.5</v>
      </c>
      <c r="E8" s="212">
        <f t="shared" ref="E8:AH8" si="0">D8+365.25</f>
        <v>37620.75</v>
      </c>
      <c r="F8" s="212">
        <f t="shared" si="0"/>
        <v>37986</v>
      </c>
      <c r="G8" s="212">
        <f t="shared" si="0"/>
        <v>38351.25</v>
      </c>
      <c r="H8" s="212">
        <f t="shared" si="0"/>
        <v>38716.5</v>
      </c>
      <c r="I8" s="212">
        <f t="shared" si="0"/>
        <v>39081.75</v>
      </c>
      <c r="J8" s="212">
        <f t="shared" si="0"/>
        <v>39447</v>
      </c>
      <c r="K8" s="212">
        <f t="shared" si="0"/>
        <v>39812.25</v>
      </c>
      <c r="L8" s="212">
        <f t="shared" si="0"/>
        <v>40177.5</v>
      </c>
      <c r="M8" s="212">
        <f t="shared" si="0"/>
        <v>40542.75</v>
      </c>
      <c r="N8" s="212">
        <f t="shared" si="0"/>
        <v>40908</v>
      </c>
      <c r="O8" s="212">
        <f t="shared" si="0"/>
        <v>41273.25</v>
      </c>
      <c r="P8" s="212">
        <f t="shared" si="0"/>
        <v>41638.5</v>
      </c>
      <c r="Q8" s="212">
        <f t="shared" si="0"/>
        <v>42003.75</v>
      </c>
      <c r="R8" s="212">
        <f t="shared" si="0"/>
        <v>42369</v>
      </c>
      <c r="S8" s="212">
        <f t="shared" si="0"/>
        <v>42734.25</v>
      </c>
      <c r="T8" s="212">
        <f t="shared" si="0"/>
        <v>43099.5</v>
      </c>
      <c r="U8" s="212">
        <f t="shared" si="0"/>
        <v>43464.75</v>
      </c>
      <c r="V8" s="212">
        <f t="shared" si="0"/>
        <v>43830</v>
      </c>
      <c r="W8" s="212">
        <f t="shared" si="0"/>
        <v>44195.25</v>
      </c>
      <c r="X8" s="212">
        <f t="shared" si="0"/>
        <v>44560.5</v>
      </c>
      <c r="Y8" s="212">
        <f t="shared" si="0"/>
        <v>44925.75</v>
      </c>
      <c r="Z8" s="212">
        <f t="shared" si="0"/>
        <v>45291</v>
      </c>
      <c r="AA8" s="212">
        <f t="shared" si="0"/>
        <v>45656.25</v>
      </c>
      <c r="AB8" s="212">
        <f t="shared" si="0"/>
        <v>46021.5</v>
      </c>
      <c r="AC8" s="212">
        <f t="shared" si="0"/>
        <v>46386.75</v>
      </c>
      <c r="AD8" s="212">
        <f t="shared" si="0"/>
        <v>46752</v>
      </c>
      <c r="AE8" s="212">
        <f t="shared" si="0"/>
        <v>47117.25</v>
      </c>
      <c r="AF8" s="212">
        <f t="shared" si="0"/>
        <v>47482.5</v>
      </c>
      <c r="AG8" s="212">
        <f t="shared" si="0"/>
        <v>47847.75</v>
      </c>
      <c r="AH8" s="212">
        <f t="shared" si="0"/>
        <v>48213</v>
      </c>
    </row>
    <row r="9" spans="1:60">
      <c r="A9" s="1" t="s">
        <v>134</v>
      </c>
      <c r="B9" s="12"/>
      <c r="C9" s="317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7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135</v>
      </c>
      <c r="B11" s="12"/>
      <c r="C11" s="3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7"/>
      <c r="AJ11" s="307"/>
      <c r="AK11" s="307"/>
      <c r="AL11" s="307"/>
      <c r="AM11" s="307"/>
      <c r="AN11" s="307"/>
      <c r="AO11" s="307"/>
      <c r="AP11" s="307"/>
      <c r="AQ11" s="307"/>
      <c r="AR11" s="307"/>
      <c r="AS11" s="307"/>
      <c r="AT11" s="307"/>
      <c r="AU11" s="307"/>
      <c r="AV11" s="307"/>
      <c r="AW11" s="307"/>
      <c r="AX11" s="307"/>
      <c r="AY11" s="307"/>
      <c r="AZ11" s="307"/>
      <c r="BA11" s="307"/>
      <c r="BB11" s="307"/>
      <c r="BC11" s="307"/>
      <c r="BD11" s="307"/>
      <c r="BE11" s="307"/>
      <c r="BF11" s="307"/>
      <c r="BG11" s="307"/>
      <c r="BH11" s="307"/>
    </row>
    <row r="12" spans="1:60">
      <c r="A12" s="23" t="s">
        <v>136</v>
      </c>
      <c r="B12" s="12"/>
      <c r="C12" s="3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7"/>
      <c r="AJ12" s="307"/>
      <c r="AK12" s="307"/>
      <c r="AL12" s="307"/>
      <c r="AM12" s="307"/>
      <c r="AN12" s="307"/>
      <c r="AO12" s="307"/>
      <c r="AP12" s="307"/>
      <c r="AQ12" s="307"/>
      <c r="AR12" s="307"/>
      <c r="AS12" s="307"/>
      <c r="AT12" s="307"/>
      <c r="AU12" s="307"/>
      <c r="AV12" s="307"/>
      <c r="AW12" s="307"/>
      <c r="AX12" s="307"/>
      <c r="AY12" s="307"/>
      <c r="AZ12" s="307"/>
      <c r="BA12" s="307"/>
      <c r="BB12" s="307"/>
      <c r="BC12" s="307"/>
      <c r="BD12" s="307"/>
      <c r="BE12" s="307"/>
      <c r="BF12" s="307"/>
      <c r="BG12" s="307"/>
      <c r="BH12" s="307"/>
    </row>
    <row r="13" spans="1:60">
      <c r="A13" s="23" t="s">
        <v>137</v>
      </c>
      <c r="B13" s="12"/>
      <c r="C13" s="3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7"/>
      <c r="AJ13" s="307"/>
      <c r="AK13" s="307"/>
      <c r="AL13" s="307"/>
      <c r="AM13" s="307"/>
      <c r="AN13" s="307"/>
      <c r="AO13" s="307"/>
      <c r="AP13" s="307"/>
      <c r="AQ13" s="307"/>
      <c r="AR13" s="307"/>
      <c r="AS13" s="307"/>
      <c r="AT13" s="307"/>
      <c r="AU13" s="307"/>
      <c r="AV13" s="307"/>
      <c r="AW13" s="307"/>
      <c r="AX13" s="307"/>
      <c r="AY13" s="307"/>
      <c r="AZ13" s="307"/>
      <c r="BA13" s="307"/>
      <c r="BB13" s="307"/>
      <c r="BC13" s="307"/>
      <c r="BD13" s="307"/>
      <c r="BE13" s="307"/>
      <c r="BF13" s="307"/>
      <c r="BG13" s="307"/>
      <c r="BH13" s="307"/>
    </row>
    <row r="14" spans="1:60">
      <c r="A14" s="23" t="s">
        <v>138</v>
      </c>
      <c r="B14" s="12"/>
      <c r="C14" s="3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7"/>
      <c r="AJ14" s="307"/>
      <c r="AK14" s="307"/>
      <c r="AL14" s="307"/>
      <c r="AM14" s="307"/>
      <c r="AN14" s="307"/>
      <c r="AO14" s="307"/>
      <c r="AP14" s="307"/>
      <c r="AQ14" s="307"/>
      <c r="AR14" s="307"/>
      <c r="AS14" s="307"/>
      <c r="AT14" s="307"/>
      <c r="AU14" s="307"/>
      <c r="AV14" s="307"/>
      <c r="AW14" s="307"/>
      <c r="AX14" s="307"/>
      <c r="AY14" s="307"/>
      <c r="AZ14" s="307"/>
      <c r="BA14" s="307"/>
      <c r="BB14" s="307"/>
      <c r="BC14" s="307"/>
      <c r="BD14" s="307"/>
      <c r="BE14" s="307"/>
      <c r="BF14" s="307"/>
      <c r="BG14" s="307"/>
      <c r="BH14" s="307"/>
    </row>
    <row r="15" spans="1:60">
      <c r="A15" s="306" t="s">
        <v>139</v>
      </c>
      <c r="B15" s="58"/>
      <c r="C15" s="319">
        <v>0</v>
      </c>
      <c r="D15" s="306">
        <v>0</v>
      </c>
      <c r="E15" s="306">
        <v>0</v>
      </c>
      <c r="F15" s="306">
        <v>0</v>
      </c>
      <c r="G15" s="306">
        <v>0</v>
      </c>
      <c r="H15" s="306">
        <v>0</v>
      </c>
      <c r="I15" s="306">
        <v>0</v>
      </c>
      <c r="J15" s="306">
        <v>0</v>
      </c>
      <c r="K15" s="306">
        <v>0</v>
      </c>
      <c r="L15" s="306">
        <v>0</v>
      </c>
      <c r="M15" s="306">
        <v>0</v>
      </c>
      <c r="N15" s="306">
        <v>0</v>
      </c>
      <c r="O15" s="306">
        <v>0</v>
      </c>
      <c r="P15" s="306">
        <v>0</v>
      </c>
      <c r="Q15" s="306">
        <v>0</v>
      </c>
      <c r="R15" s="306">
        <v>0</v>
      </c>
      <c r="S15" s="306">
        <v>0</v>
      </c>
      <c r="T15" s="306">
        <v>0</v>
      </c>
      <c r="U15" s="306">
        <v>0</v>
      </c>
      <c r="V15" s="306">
        <v>0</v>
      </c>
      <c r="W15" s="306">
        <v>0</v>
      </c>
      <c r="X15" s="306">
        <v>0</v>
      </c>
      <c r="Y15" s="306">
        <v>0</v>
      </c>
      <c r="Z15" s="306">
        <v>0</v>
      </c>
      <c r="AA15" s="306">
        <v>0</v>
      </c>
      <c r="AB15" s="306">
        <v>0</v>
      </c>
      <c r="AC15" s="306">
        <v>0</v>
      </c>
      <c r="AD15" s="306">
        <v>0</v>
      </c>
      <c r="AE15" s="306">
        <v>0</v>
      </c>
      <c r="AF15" s="306">
        <v>0</v>
      </c>
      <c r="AG15" s="306">
        <v>0</v>
      </c>
      <c r="AH15" s="306">
        <v>0</v>
      </c>
      <c r="AI15" s="307"/>
      <c r="AJ15" s="307"/>
      <c r="AK15" s="307"/>
      <c r="AL15" s="307"/>
      <c r="AM15" s="307"/>
      <c r="AN15" s="307"/>
      <c r="AO15" s="307"/>
      <c r="AP15" s="307"/>
      <c r="AQ15" s="307"/>
      <c r="AR15" s="307"/>
      <c r="AS15" s="307"/>
      <c r="AT15" s="307"/>
      <c r="AU15" s="307"/>
      <c r="AV15" s="307"/>
      <c r="AW15" s="307"/>
      <c r="AX15" s="307"/>
      <c r="AY15" s="307"/>
      <c r="AZ15" s="307"/>
      <c r="BA15" s="307"/>
      <c r="BB15" s="307"/>
      <c r="BC15" s="307"/>
      <c r="BD15" s="307"/>
      <c r="BE15" s="307"/>
      <c r="BF15" s="307"/>
      <c r="BG15" s="307"/>
      <c r="BH15" s="307"/>
    </row>
    <row r="16" spans="1:60">
      <c r="A16" s="23" t="s">
        <v>140</v>
      </c>
      <c r="B16" s="12"/>
      <c r="C16" s="318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7"/>
      <c r="AJ16" s="307"/>
      <c r="AK16" s="307"/>
      <c r="AL16" s="307"/>
      <c r="AM16" s="307"/>
      <c r="AN16" s="307"/>
      <c r="AO16" s="307"/>
      <c r="AP16" s="307"/>
      <c r="AQ16" s="307"/>
      <c r="AR16" s="307"/>
      <c r="AS16" s="307"/>
      <c r="AT16" s="307"/>
      <c r="AU16" s="307"/>
      <c r="AV16" s="307"/>
      <c r="AW16" s="307"/>
      <c r="AX16" s="307"/>
      <c r="AY16" s="307"/>
      <c r="AZ16" s="307"/>
      <c r="BA16" s="307"/>
      <c r="BB16" s="307"/>
      <c r="BC16" s="307"/>
      <c r="BD16" s="307"/>
      <c r="BE16" s="307"/>
      <c r="BF16" s="307"/>
      <c r="BG16" s="307"/>
      <c r="BH16" s="307"/>
    </row>
    <row r="17" spans="1:60">
      <c r="A17" s="13"/>
      <c r="B17" s="12"/>
      <c r="C17" s="318"/>
      <c r="D17" s="18"/>
      <c r="E17" s="18"/>
      <c r="F17" s="307"/>
      <c r="G17" s="307"/>
      <c r="H17" s="307"/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150"/>
      <c r="AA17" s="150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7"/>
      <c r="AM17" s="307"/>
      <c r="AN17" s="307"/>
      <c r="AO17" s="307"/>
      <c r="AP17" s="307"/>
      <c r="AQ17" s="307"/>
      <c r="AR17" s="307"/>
      <c r="AS17" s="307"/>
      <c r="AT17" s="307"/>
      <c r="AU17" s="307"/>
      <c r="AV17" s="307"/>
      <c r="AW17" s="307"/>
      <c r="AX17" s="307"/>
      <c r="AY17" s="307"/>
      <c r="AZ17" s="307"/>
      <c r="BA17" s="307"/>
      <c r="BB17" s="307"/>
      <c r="BC17" s="307"/>
      <c r="BD17" s="307"/>
      <c r="BE17" s="307"/>
      <c r="BF17" s="307"/>
      <c r="BG17" s="307"/>
      <c r="BH17" s="307"/>
    </row>
    <row r="18" spans="1:60">
      <c r="A18" s="23" t="s">
        <v>141</v>
      </c>
      <c r="B18" s="12"/>
      <c r="C18" s="318">
        <f>Assumptions!C61</f>
        <v>116081</v>
      </c>
      <c r="D18" s="18">
        <f>Depreciation!$B$48</f>
        <v>115831</v>
      </c>
      <c r="E18" s="18">
        <f>Depreciation!$B$48</f>
        <v>115831</v>
      </c>
      <c r="F18" s="18">
        <f>Depreciation!$B$48</f>
        <v>115831</v>
      </c>
      <c r="G18" s="18">
        <f>Depreciation!$B$48</f>
        <v>115831</v>
      </c>
      <c r="H18" s="18">
        <f>Depreciation!$B$48</f>
        <v>115831</v>
      </c>
      <c r="I18" s="18">
        <f>Depreciation!$B$48</f>
        <v>115831</v>
      </c>
      <c r="J18" s="18">
        <f>Depreciation!$B$48</f>
        <v>115831</v>
      </c>
      <c r="K18" s="18">
        <f>Depreciation!$B$48</f>
        <v>115831</v>
      </c>
      <c r="L18" s="18">
        <f>Depreciation!$B$48</f>
        <v>115831</v>
      </c>
      <c r="M18" s="18">
        <f>Depreciation!$B$48</f>
        <v>115831</v>
      </c>
      <c r="N18" s="18">
        <f>Depreciation!$B$48</f>
        <v>115831</v>
      </c>
      <c r="O18" s="18">
        <f>Depreciation!$B$48</f>
        <v>115831</v>
      </c>
      <c r="P18" s="18">
        <f>Depreciation!$B$48</f>
        <v>115831</v>
      </c>
      <c r="Q18" s="18">
        <f>Depreciation!$B$48</f>
        <v>115831</v>
      </c>
      <c r="R18" s="18">
        <f>Depreciation!$B$48</f>
        <v>115831</v>
      </c>
      <c r="S18" s="18">
        <f>Depreciation!$B$48</f>
        <v>115831</v>
      </c>
      <c r="T18" s="18">
        <f>Depreciation!$B$48</f>
        <v>115831</v>
      </c>
      <c r="U18" s="18">
        <f>Depreciation!$B$48</f>
        <v>115831</v>
      </c>
      <c r="V18" s="18">
        <f>Depreciation!$B$48</f>
        <v>115831</v>
      </c>
      <c r="W18" s="18">
        <f>Depreciation!$B$48</f>
        <v>115831</v>
      </c>
      <c r="X18" s="18">
        <f>Depreciation!$B$48</f>
        <v>115831</v>
      </c>
      <c r="Y18" s="18">
        <f>Depreciation!$B$48</f>
        <v>115831</v>
      </c>
      <c r="Z18" s="18">
        <f>Depreciation!$B$48</f>
        <v>115831</v>
      </c>
      <c r="AA18" s="18">
        <f>Depreciation!$B$48</f>
        <v>115831</v>
      </c>
      <c r="AB18" s="18">
        <f>Depreciation!$B$48</f>
        <v>115831</v>
      </c>
      <c r="AC18" s="18">
        <f>Depreciation!$B$48</f>
        <v>115831</v>
      </c>
      <c r="AD18" s="18">
        <f>Depreciation!$B$48</f>
        <v>115831</v>
      </c>
      <c r="AE18" s="18">
        <f>Depreciation!$B$48</f>
        <v>115831</v>
      </c>
      <c r="AF18" s="18">
        <f>Depreciation!$B$48</f>
        <v>115831</v>
      </c>
      <c r="AG18" s="18">
        <f>Depreciation!$B$48</f>
        <v>115831</v>
      </c>
      <c r="AH18" s="18">
        <f>Depreciation!$B$48</f>
        <v>115831</v>
      </c>
      <c r="AI18" s="307"/>
      <c r="AJ18" s="307"/>
      <c r="AK18" s="307"/>
      <c r="AL18" s="307"/>
      <c r="AM18" s="307"/>
      <c r="AN18" s="307"/>
      <c r="AO18" s="307"/>
      <c r="AP18" s="307"/>
      <c r="AQ18" s="307"/>
      <c r="AR18" s="307"/>
      <c r="AS18" s="307"/>
      <c r="AT18" s="307"/>
      <c r="AU18" s="307"/>
      <c r="AV18" s="307"/>
      <c r="AW18" s="307"/>
      <c r="AX18" s="307"/>
      <c r="AY18" s="307"/>
      <c r="AZ18" s="307"/>
      <c r="BA18" s="307"/>
      <c r="BB18" s="307"/>
      <c r="BC18" s="307"/>
      <c r="BD18" s="307"/>
      <c r="BE18" s="307"/>
      <c r="BF18" s="307"/>
      <c r="BG18" s="307"/>
      <c r="BH18" s="307"/>
    </row>
    <row r="19" spans="1:60">
      <c r="A19" s="23" t="s">
        <v>142</v>
      </c>
      <c r="B19" s="13"/>
      <c r="C19" s="320">
        <v>0</v>
      </c>
      <c r="D19" s="308">
        <f>SUM(Depreciation!$D$48:D48)</f>
        <v>4714.8666666666668</v>
      </c>
      <c r="E19" s="308">
        <f>SUM(Depreciation!$D$48:E48)</f>
        <v>11787.166666666666</v>
      </c>
      <c r="F19" s="308">
        <f>SUM(Depreciation!$D$48:F48)</f>
        <v>18859.466666666667</v>
      </c>
      <c r="G19" s="308">
        <f>SUM(Depreciation!$D$48:G48)</f>
        <v>25931.766666666666</v>
      </c>
      <c r="H19" s="308">
        <f>SUM(Depreciation!$D$48:H48)</f>
        <v>33004.066666666666</v>
      </c>
      <c r="I19" s="308">
        <f>SUM(Depreciation!$D$48:I48)</f>
        <v>37254.9</v>
      </c>
      <c r="J19" s="308">
        <f>SUM(Depreciation!$D$48:J48)</f>
        <v>40095</v>
      </c>
      <c r="K19" s="308">
        <f>SUM(Depreciation!$D$48:K48)</f>
        <v>42935.1</v>
      </c>
      <c r="L19" s="308">
        <f>SUM(Depreciation!$D$48:L48)</f>
        <v>45775.199999999997</v>
      </c>
      <c r="M19" s="308">
        <f>SUM(Depreciation!$D$48:M48)</f>
        <v>48615.299999999996</v>
      </c>
      <c r="N19" s="308">
        <f>SUM(Depreciation!$D$48:N48)</f>
        <v>51455.399999999994</v>
      </c>
      <c r="O19" s="308">
        <f>SUM(Depreciation!$D$48:O48)</f>
        <v>54295.499999999993</v>
      </c>
      <c r="P19" s="308">
        <f>SUM(Depreciation!$D$48:P48)</f>
        <v>57135.599999999991</v>
      </c>
      <c r="Q19" s="308">
        <f>SUM(Depreciation!$D$48:Q48)</f>
        <v>59975.69999999999</v>
      </c>
      <c r="R19" s="308">
        <f>SUM(Depreciation!$D$48:R48)</f>
        <v>62815.799999999988</v>
      </c>
      <c r="S19" s="308">
        <f>SUM(Depreciation!$D$48:S48)</f>
        <v>65655.899999999994</v>
      </c>
      <c r="T19" s="308">
        <f>SUM(Depreciation!$D$48:T48)</f>
        <v>68496</v>
      </c>
      <c r="U19" s="308">
        <f>SUM(Depreciation!$D$48:U48)</f>
        <v>71336.100000000006</v>
      </c>
      <c r="V19" s="308">
        <f>SUM(Depreciation!$D$48:V48)</f>
        <v>74176.200000000012</v>
      </c>
      <c r="W19" s="308">
        <f>SUM(Depreciation!$D$48:W48)</f>
        <v>77016.300000000017</v>
      </c>
      <c r="X19" s="308">
        <f>SUM(Depreciation!$D$48:X48)</f>
        <v>79856.400000000023</v>
      </c>
      <c r="Y19" s="308">
        <f>SUM(Depreciation!$D$48:Y48)</f>
        <v>82696.500000000029</v>
      </c>
      <c r="Z19" s="308">
        <f>SUM(Depreciation!$D$48:Z48)</f>
        <v>85536.600000000035</v>
      </c>
      <c r="AA19" s="308">
        <f>SUM(Depreciation!$D$48:AA48)</f>
        <v>88376.700000000041</v>
      </c>
      <c r="AB19" s="308">
        <f>SUM(Depreciation!$D$48:AB48)</f>
        <v>91216.800000000047</v>
      </c>
      <c r="AC19" s="308">
        <f>SUM(Depreciation!$D$48:AC48)</f>
        <v>94056.900000000052</v>
      </c>
      <c r="AD19" s="308">
        <f>SUM(Depreciation!$D$48:AD48)</f>
        <v>96897.000000000058</v>
      </c>
      <c r="AE19" s="308">
        <f>SUM(Depreciation!$D$48:AE48)</f>
        <v>99737.100000000064</v>
      </c>
      <c r="AF19" s="308">
        <f>SUM(Depreciation!$D$48:AF48)</f>
        <v>102577.20000000007</v>
      </c>
      <c r="AG19" s="308">
        <f>SUM(Depreciation!$D$48:AG48)</f>
        <v>105417.30000000008</v>
      </c>
      <c r="AH19" s="308">
        <f>SUM(Depreciation!$D$48:AH48)</f>
        <v>106364.00000000007</v>
      </c>
      <c r="AI19" s="307"/>
      <c r="AJ19" s="307"/>
      <c r="AK19" s="307"/>
      <c r="AL19" s="307"/>
      <c r="AM19" s="307"/>
      <c r="AN19" s="307"/>
      <c r="AO19" s="307"/>
      <c r="AP19" s="307"/>
      <c r="AQ19" s="307"/>
      <c r="AR19" s="307"/>
      <c r="AS19" s="307"/>
      <c r="AT19" s="307"/>
      <c r="AU19" s="307"/>
      <c r="AV19" s="307"/>
      <c r="AW19" s="307"/>
      <c r="AX19" s="307"/>
      <c r="AY19" s="307"/>
      <c r="AZ19" s="307"/>
      <c r="BA19" s="307"/>
      <c r="BB19" s="307"/>
      <c r="BC19" s="307"/>
      <c r="BD19" s="307"/>
      <c r="BE19" s="307"/>
      <c r="BF19" s="307"/>
      <c r="BG19" s="307"/>
      <c r="BH19" s="307"/>
    </row>
    <row r="20" spans="1:60">
      <c r="A20" s="23" t="s">
        <v>143</v>
      </c>
      <c r="B20" s="13"/>
      <c r="C20" s="321">
        <f>C18-C19</f>
        <v>116081</v>
      </c>
      <c r="D20" s="23">
        <f>D18-D19</f>
        <v>111116.13333333333</v>
      </c>
      <c r="E20" s="23">
        <f t="shared" ref="E20:AH20" si="2">E18-E19</f>
        <v>104043.83333333333</v>
      </c>
      <c r="F20" s="23">
        <f t="shared" si="2"/>
        <v>96971.533333333326</v>
      </c>
      <c r="G20" s="23">
        <f t="shared" si="2"/>
        <v>89899.233333333337</v>
      </c>
      <c r="H20" s="23">
        <f t="shared" si="2"/>
        <v>82826.933333333334</v>
      </c>
      <c r="I20" s="23">
        <f t="shared" si="2"/>
        <v>78576.100000000006</v>
      </c>
      <c r="J20" s="23">
        <f t="shared" si="2"/>
        <v>75736</v>
      </c>
      <c r="K20" s="23">
        <f t="shared" si="2"/>
        <v>72895.899999999994</v>
      </c>
      <c r="L20" s="23">
        <f t="shared" si="2"/>
        <v>70055.8</v>
      </c>
      <c r="M20" s="23">
        <f t="shared" si="2"/>
        <v>67215.700000000012</v>
      </c>
      <c r="N20" s="23">
        <f t="shared" si="2"/>
        <v>64375.600000000006</v>
      </c>
      <c r="O20" s="23">
        <f t="shared" si="2"/>
        <v>61535.500000000007</v>
      </c>
      <c r="P20" s="23">
        <f t="shared" si="2"/>
        <v>58695.400000000009</v>
      </c>
      <c r="Q20" s="23">
        <f t="shared" si="2"/>
        <v>55855.30000000001</v>
      </c>
      <c r="R20" s="23">
        <f t="shared" si="2"/>
        <v>53015.200000000012</v>
      </c>
      <c r="S20" s="23">
        <f t="shared" si="2"/>
        <v>50175.100000000006</v>
      </c>
      <c r="T20" s="23">
        <f t="shared" si="2"/>
        <v>47335</v>
      </c>
      <c r="U20" s="23">
        <f t="shared" si="2"/>
        <v>44494.899999999994</v>
      </c>
      <c r="V20" s="23">
        <f t="shared" si="2"/>
        <v>41654.799999999988</v>
      </c>
      <c r="W20" s="23">
        <f t="shared" si="2"/>
        <v>38814.699999999983</v>
      </c>
      <c r="X20" s="23">
        <f t="shared" si="2"/>
        <v>35974.599999999977</v>
      </c>
      <c r="Y20" s="23">
        <f t="shared" si="2"/>
        <v>33134.499999999971</v>
      </c>
      <c r="Z20" s="23">
        <f t="shared" si="2"/>
        <v>30294.399999999965</v>
      </c>
      <c r="AA20" s="23">
        <f t="shared" si="2"/>
        <v>27454.299999999959</v>
      </c>
      <c r="AB20" s="23">
        <f t="shared" si="2"/>
        <v>24614.199999999953</v>
      </c>
      <c r="AC20" s="23">
        <f t="shared" si="2"/>
        <v>21774.099999999948</v>
      </c>
      <c r="AD20" s="23">
        <f t="shared" si="2"/>
        <v>18933.999999999942</v>
      </c>
      <c r="AE20" s="23">
        <f t="shared" si="2"/>
        <v>16093.899999999936</v>
      </c>
      <c r="AF20" s="23">
        <f t="shared" si="2"/>
        <v>13253.79999999993</v>
      </c>
      <c r="AG20" s="23">
        <f t="shared" si="2"/>
        <v>10413.699999999924</v>
      </c>
      <c r="AH20" s="23">
        <f t="shared" si="2"/>
        <v>9466.9999999999272</v>
      </c>
      <c r="AI20" s="307"/>
      <c r="AJ20" s="307"/>
      <c r="AK20" s="307"/>
      <c r="AL20" s="307"/>
      <c r="AM20" s="307"/>
      <c r="AN20" s="307"/>
      <c r="AO20" s="307"/>
      <c r="AP20" s="307"/>
      <c r="AQ20" s="307"/>
      <c r="AR20" s="307"/>
      <c r="AS20" s="307"/>
      <c r="AT20" s="307"/>
      <c r="AU20" s="307"/>
      <c r="AV20" s="307"/>
      <c r="AW20" s="307"/>
      <c r="AX20" s="307"/>
      <c r="AY20" s="307"/>
      <c r="AZ20" s="307"/>
      <c r="BA20" s="307"/>
      <c r="BB20" s="307"/>
      <c r="BC20" s="307"/>
      <c r="BD20" s="307"/>
      <c r="BE20" s="307"/>
      <c r="BF20" s="307"/>
      <c r="BG20" s="307"/>
      <c r="BH20" s="307"/>
    </row>
    <row r="21" spans="1:60">
      <c r="A21" s="23"/>
      <c r="B21" s="13"/>
      <c r="C21" s="321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7"/>
      <c r="AJ21" s="307"/>
      <c r="AK21" s="307"/>
      <c r="AL21" s="307"/>
      <c r="AM21" s="307"/>
      <c r="AN21" s="307"/>
      <c r="AO21" s="307"/>
      <c r="AP21" s="307"/>
      <c r="AQ21" s="307"/>
      <c r="AR21" s="307"/>
      <c r="AS21" s="307"/>
      <c r="AT21" s="307"/>
      <c r="AU21" s="307"/>
      <c r="AV21" s="307"/>
      <c r="AW21" s="307"/>
      <c r="AX21" s="307"/>
      <c r="AY21" s="307"/>
      <c r="AZ21" s="307"/>
      <c r="BA21" s="307"/>
      <c r="BB21" s="307"/>
      <c r="BC21" s="307"/>
      <c r="BD21" s="307"/>
      <c r="BE21" s="307"/>
      <c r="BF21" s="307"/>
      <c r="BG21" s="307"/>
      <c r="BH21" s="307"/>
    </row>
    <row r="22" spans="1:60">
      <c r="A22" s="23" t="s">
        <v>144</v>
      </c>
      <c r="B22" s="13"/>
      <c r="C22" s="318">
        <f>Assumptions!$C$50</f>
        <v>1000</v>
      </c>
      <c r="D22" s="18">
        <f>Assumptions!$C$50</f>
        <v>1000</v>
      </c>
      <c r="E22" s="18">
        <f>Assumptions!$C$50</f>
        <v>1000</v>
      </c>
      <c r="F22" s="18">
        <f>Assumptions!$C$50</f>
        <v>1000</v>
      </c>
      <c r="G22" s="18">
        <f>Assumptions!$C$50</f>
        <v>1000</v>
      </c>
      <c r="H22" s="18">
        <f>Assumptions!$C$50</f>
        <v>1000</v>
      </c>
      <c r="I22" s="18">
        <f>Assumptions!$C$50</f>
        <v>1000</v>
      </c>
      <c r="J22" s="18">
        <f>Assumptions!$C$50</f>
        <v>1000</v>
      </c>
      <c r="K22" s="18">
        <f>Assumptions!$C$50</f>
        <v>1000</v>
      </c>
      <c r="L22" s="18">
        <f>Assumptions!$C$50</f>
        <v>1000</v>
      </c>
      <c r="M22" s="18">
        <f>Assumptions!$C$50</f>
        <v>1000</v>
      </c>
      <c r="N22" s="18">
        <f>Assumptions!$C$50</f>
        <v>1000</v>
      </c>
      <c r="O22" s="18">
        <f>Assumptions!$C$50</f>
        <v>1000</v>
      </c>
      <c r="P22" s="18">
        <f>Assumptions!$C$50</f>
        <v>1000</v>
      </c>
      <c r="Q22" s="18">
        <f>Assumptions!$C$50</f>
        <v>1000</v>
      </c>
      <c r="R22" s="18">
        <f>Assumptions!$C$50</f>
        <v>1000</v>
      </c>
      <c r="S22" s="18">
        <f>Assumptions!$C$50</f>
        <v>1000</v>
      </c>
      <c r="T22" s="18">
        <f>Assumptions!$C$50</f>
        <v>1000</v>
      </c>
      <c r="U22" s="18">
        <f>Assumptions!$C$50</f>
        <v>1000</v>
      </c>
      <c r="V22" s="18">
        <f>Assumptions!$C$50</f>
        <v>1000</v>
      </c>
      <c r="W22" s="18">
        <f>Assumptions!$C$50</f>
        <v>1000</v>
      </c>
      <c r="X22" s="18">
        <f>Assumptions!$C$50</f>
        <v>1000</v>
      </c>
      <c r="Y22" s="18">
        <f>Assumptions!$C$50</f>
        <v>1000</v>
      </c>
      <c r="Z22" s="18">
        <f>Assumptions!$C$50</f>
        <v>1000</v>
      </c>
      <c r="AA22" s="18">
        <f>Assumptions!$C$50</f>
        <v>1000</v>
      </c>
      <c r="AB22" s="18">
        <f>Assumptions!$C$50</f>
        <v>1000</v>
      </c>
      <c r="AC22" s="18">
        <f>Assumptions!$C$50</f>
        <v>1000</v>
      </c>
      <c r="AD22" s="18">
        <f>Assumptions!$C$50</f>
        <v>1000</v>
      </c>
      <c r="AE22" s="18">
        <f>Assumptions!$C$50</f>
        <v>1000</v>
      </c>
      <c r="AF22" s="18">
        <f>Assumptions!$C$50</f>
        <v>1000</v>
      </c>
      <c r="AG22" s="18">
        <f>Assumptions!$C$50</f>
        <v>1000</v>
      </c>
      <c r="AH22" s="18">
        <f>Assumptions!$C$50</f>
        <v>1000</v>
      </c>
      <c r="AI22" s="307"/>
      <c r="AJ22" s="307"/>
      <c r="AK22" s="307"/>
      <c r="AL22" s="307"/>
      <c r="AM22" s="307"/>
      <c r="AN22" s="307"/>
      <c r="AO22" s="307"/>
      <c r="AP22" s="307"/>
      <c r="AQ22" s="307"/>
      <c r="AR22" s="307"/>
      <c r="AS22" s="307"/>
      <c r="AT22" s="307"/>
      <c r="AU22" s="307"/>
      <c r="AV22" s="307"/>
      <c r="AW22" s="307"/>
      <c r="AX22" s="307"/>
      <c r="AY22" s="307"/>
      <c r="AZ22" s="307"/>
      <c r="BA22" s="307"/>
      <c r="BB22" s="307"/>
      <c r="BC22" s="307"/>
      <c r="BD22" s="307"/>
      <c r="BE22" s="307"/>
      <c r="BF22" s="307"/>
      <c r="BG22" s="307"/>
      <c r="BH22" s="307"/>
    </row>
    <row r="23" spans="1:60">
      <c r="A23" s="23" t="s">
        <v>145</v>
      </c>
      <c r="B23" s="13"/>
      <c r="C23" s="322">
        <v>0</v>
      </c>
      <c r="D23" s="309">
        <v>0</v>
      </c>
      <c r="E23" s="309">
        <v>0</v>
      </c>
      <c r="F23" s="309">
        <v>0</v>
      </c>
      <c r="G23" s="309">
        <v>0</v>
      </c>
      <c r="H23" s="309">
        <v>0</v>
      </c>
      <c r="I23" s="309">
        <v>0</v>
      </c>
      <c r="J23" s="309">
        <v>0</v>
      </c>
      <c r="K23" s="309">
        <v>0</v>
      </c>
      <c r="L23" s="309">
        <v>0</v>
      </c>
      <c r="M23" s="309">
        <v>0</v>
      </c>
      <c r="N23" s="309">
        <v>0</v>
      </c>
      <c r="O23" s="309">
        <v>0</v>
      </c>
      <c r="P23" s="309">
        <v>0</v>
      </c>
      <c r="Q23" s="309">
        <v>0</v>
      </c>
      <c r="R23" s="309">
        <v>0</v>
      </c>
      <c r="S23" s="309">
        <v>0</v>
      </c>
      <c r="T23" s="309">
        <v>0</v>
      </c>
      <c r="U23" s="309">
        <v>0</v>
      </c>
      <c r="V23" s="309">
        <v>0</v>
      </c>
      <c r="W23" s="309">
        <v>0</v>
      </c>
      <c r="X23" s="309">
        <v>0</v>
      </c>
      <c r="Y23" s="309">
        <v>0</v>
      </c>
      <c r="Z23" s="309">
        <v>0</v>
      </c>
      <c r="AA23" s="309">
        <v>0</v>
      </c>
      <c r="AB23" s="309">
        <v>0</v>
      </c>
      <c r="AC23" s="309">
        <v>0</v>
      </c>
      <c r="AD23" s="309">
        <v>0</v>
      </c>
      <c r="AE23" s="309">
        <v>0</v>
      </c>
      <c r="AF23" s="309">
        <v>0</v>
      </c>
      <c r="AG23" s="309">
        <v>0</v>
      </c>
      <c r="AH23" s="309">
        <v>0</v>
      </c>
      <c r="AI23" s="307"/>
      <c r="AJ23" s="307"/>
      <c r="AK23" s="307"/>
      <c r="AL23" s="307"/>
      <c r="AM23" s="307"/>
      <c r="AN23" s="307"/>
      <c r="AO23" s="307"/>
      <c r="AP23" s="307"/>
      <c r="AQ23" s="307"/>
      <c r="AR23" s="307"/>
      <c r="AS23" s="307"/>
      <c r="AT23" s="307"/>
      <c r="AU23" s="307"/>
      <c r="AV23" s="307"/>
      <c r="AW23" s="307"/>
      <c r="AX23" s="307"/>
      <c r="AY23" s="307"/>
      <c r="AZ23" s="307"/>
      <c r="BA23" s="307"/>
      <c r="BB23" s="307"/>
      <c r="BC23" s="307"/>
      <c r="BD23" s="307"/>
      <c r="BE23" s="307"/>
      <c r="BF23" s="307"/>
      <c r="BG23" s="307"/>
      <c r="BH23" s="307"/>
    </row>
    <row r="24" spans="1:60">
      <c r="A24" s="13"/>
      <c r="B24" s="13"/>
      <c r="C24" s="321"/>
      <c r="D24" s="23"/>
      <c r="E24" s="23"/>
      <c r="F24" s="310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150"/>
      <c r="AA24" s="150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  <c r="AP24" s="307"/>
      <c r="AQ24" s="307"/>
      <c r="AR24" s="307"/>
      <c r="AS24" s="307"/>
      <c r="AT24" s="307"/>
      <c r="AU24" s="307"/>
      <c r="AV24" s="307"/>
      <c r="AW24" s="307"/>
      <c r="AX24" s="307"/>
      <c r="AY24" s="307"/>
      <c r="AZ24" s="307"/>
      <c r="BA24" s="307"/>
      <c r="BB24" s="307"/>
      <c r="BC24" s="307"/>
      <c r="BD24" s="307"/>
      <c r="BE24" s="307"/>
      <c r="BF24" s="307"/>
      <c r="BG24" s="307"/>
      <c r="BH24" s="307"/>
    </row>
    <row r="25" spans="1:60">
      <c r="A25" s="133" t="s">
        <v>146</v>
      </c>
      <c r="B25" s="13"/>
      <c r="C25" s="321">
        <f>SUM(C16,C20,C22,C23)</f>
        <v>117081</v>
      </c>
      <c r="D25" s="23">
        <f>SUM(D16,D20,D22,D23)</f>
        <v>112116.13333333333</v>
      </c>
      <c r="E25" s="23">
        <f t="shared" ref="E25:AH25" si="3">SUM(E16,E20,E22,E23)</f>
        <v>105043.83333333333</v>
      </c>
      <c r="F25" s="23">
        <f t="shared" si="3"/>
        <v>97971.533333333326</v>
      </c>
      <c r="G25" s="23">
        <f t="shared" si="3"/>
        <v>90899.233333333337</v>
      </c>
      <c r="H25" s="23">
        <f t="shared" si="3"/>
        <v>83826.933333333334</v>
      </c>
      <c r="I25" s="23">
        <f t="shared" si="3"/>
        <v>79576.100000000006</v>
      </c>
      <c r="J25" s="23">
        <f t="shared" si="3"/>
        <v>76736</v>
      </c>
      <c r="K25" s="23">
        <f t="shared" si="3"/>
        <v>73895.899999999994</v>
      </c>
      <c r="L25" s="23">
        <f t="shared" si="3"/>
        <v>71055.8</v>
      </c>
      <c r="M25" s="23">
        <f t="shared" si="3"/>
        <v>68215.700000000012</v>
      </c>
      <c r="N25" s="23">
        <f t="shared" si="3"/>
        <v>65375.600000000006</v>
      </c>
      <c r="O25" s="23">
        <f t="shared" si="3"/>
        <v>62535.500000000007</v>
      </c>
      <c r="P25" s="23">
        <f t="shared" si="3"/>
        <v>59695.400000000009</v>
      </c>
      <c r="Q25" s="23">
        <f t="shared" si="3"/>
        <v>56855.30000000001</v>
      </c>
      <c r="R25" s="23">
        <f t="shared" si="3"/>
        <v>54015.200000000012</v>
      </c>
      <c r="S25" s="23">
        <f t="shared" si="3"/>
        <v>51175.100000000006</v>
      </c>
      <c r="T25" s="23">
        <f t="shared" si="3"/>
        <v>48335</v>
      </c>
      <c r="U25" s="23">
        <f t="shared" si="3"/>
        <v>45494.899999999994</v>
      </c>
      <c r="V25" s="23">
        <f t="shared" si="3"/>
        <v>42654.799999999988</v>
      </c>
      <c r="W25" s="23">
        <f t="shared" si="3"/>
        <v>39814.699999999983</v>
      </c>
      <c r="X25" s="23">
        <f t="shared" si="3"/>
        <v>36974.599999999977</v>
      </c>
      <c r="Y25" s="23">
        <f t="shared" si="3"/>
        <v>34134.499999999971</v>
      </c>
      <c r="Z25" s="23">
        <f t="shared" si="3"/>
        <v>31294.399999999965</v>
      </c>
      <c r="AA25" s="23">
        <f t="shared" si="3"/>
        <v>28454.299999999959</v>
      </c>
      <c r="AB25" s="23">
        <f t="shared" si="3"/>
        <v>25614.199999999953</v>
      </c>
      <c r="AC25" s="23">
        <f t="shared" si="3"/>
        <v>22774.099999999948</v>
      </c>
      <c r="AD25" s="23">
        <f t="shared" si="3"/>
        <v>19933.999999999942</v>
      </c>
      <c r="AE25" s="23">
        <f t="shared" si="3"/>
        <v>17093.899999999936</v>
      </c>
      <c r="AF25" s="23">
        <f t="shared" si="3"/>
        <v>14253.79999999993</v>
      </c>
      <c r="AG25" s="23">
        <f t="shared" si="3"/>
        <v>11413.699999999924</v>
      </c>
      <c r="AH25" s="23">
        <f t="shared" si="3"/>
        <v>10466.999999999927</v>
      </c>
      <c r="AI25" s="307"/>
      <c r="AJ25" s="307"/>
      <c r="AK25" s="307"/>
      <c r="AL25" s="307"/>
      <c r="AM25" s="307"/>
      <c r="AN25" s="307"/>
      <c r="AO25" s="307"/>
      <c r="AP25" s="307"/>
      <c r="AQ25" s="307"/>
      <c r="AR25" s="307"/>
      <c r="AS25" s="307"/>
      <c r="AT25" s="307"/>
      <c r="AU25" s="307"/>
      <c r="AV25" s="307"/>
      <c r="AW25" s="307"/>
      <c r="AX25" s="307"/>
      <c r="AY25" s="307"/>
      <c r="AZ25" s="307"/>
      <c r="BA25" s="307"/>
      <c r="BB25" s="307"/>
      <c r="BC25" s="307"/>
      <c r="BD25" s="307"/>
      <c r="BE25" s="307"/>
      <c r="BF25" s="307"/>
      <c r="BG25" s="307"/>
      <c r="BH25" s="307"/>
    </row>
    <row r="26" spans="1:60">
      <c r="A26" s="13"/>
      <c r="B26" s="13"/>
      <c r="C26" s="321"/>
      <c r="D26" s="23"/>
      <c r="E26" s="23"/>
      <c r="F26" s="310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150"/>
      <c r="AA26" s="150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7"/>
      <c r="AN26" s="307"/>
      <c r="AO26" s="307"/>
      <c r="AP26" s="307"/>
      <c r="AQ26" s="307"/>
      <c r="AR26" s="307"/>
      <c r="AS26" s="307"/>
      <c r="AT26" s="307"/>
      <c r="AU26" s="307"/>
      <c r="AV26" s="307"/>
      <c r="AW26" s="307"/>
      <c r="AX26" s="307"/>
      <c r="AY26" s="307"/>
      <c r="AZ26" s="307"/>
      <c r="BA26" s="307"/>
      <c r="BB26" s="307"/>
      <c r="BC26" s="307"/>
      <c r="BD26" s="307"/>
      <c r="BE26" s="307"/>
      <c r="BF26" s="307"/>
      <c r="BG26" s="307"/>
      <c r="BH26" s="307"/>
    </row>
    <row r="27" spans="1:60">
      <c r="A27" s="13"/>
      <c r="B27" s="13"/>
      <c r="C27" s="321"/>
      <c r="D27" s="23"/>
      <c r="E27" s="23"/>
      <c r="F27" s="310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150"/>
      <c r="AA27" s="150"/>
      <c r="AB27" s="307"/>
      <c r="AC27" s="307"/>
      <c r="AD27" s="307"/>
      <c r="AE27" s="307"/>
      <c r="AF27" s="307"/>
      <c r="AG27" s="307"/>
      <c r="AH27" s="307"/>
      <c r="AI27" s="307"/>
      <c r="AJ27" s="307"/>
      <c r="AK27" s="307"/>
      <c r="AL27" s="307"/>
      <c r="AM27" s="307"/>
      <c r="AN27" s="307"/>
      <c r="AO27" s="307"/>
      <c r="AP27" s="307"/>
      <c r="AQ27" s="307"/>
      <c r="AR27" s="307"/>
      <c r="AS27" s="307"/>
      <c r="AT27" s="307"/>
      <c r="AU27" s="307"/>
      <c r="AV27" s="307"/>
      <c r="AW27" s="307"/>
      <c r="AX27" s="307"/>
      <c r="AY27" s="307"/>
      <c r="AZ27" s="307"/>
      <c r="BA27" s="307"/>
      <c r="BB27" s="307"/>
      <c r="BC27" s="307"/>
      <c r="BD27" s="307"/>
      <c r="BE27" s="307"/>
      <c r="BF27" s="307"/>
      <c r="BG27" s="307"/>
      <c r="BH27" s="307"/>
    </row>
    <row r="28" spans="1:60">
      <c r="A28" s="133" t="s">
        <v>147</v>
      </c>
      <c r="B28" s="13"/>
      <c r="C28" s="321"/>
      <c r="D28" s="23"/>
      <c r="E28" s="23"/>
      <c r="F28" s="310"/>
      <c r="G28" s="307"/>
      <c r="H28" s="307"/>
      <c r="I28" s="307"/>
      <c r="J28" s="307"/>
      <c r="K28" s="307"/>
      <c r="L28" s="307"/>
      <c r="M28" s="307"/>
      <c r="N28" s="307"/>
      <c r="O28" s="307"/>
      <c r="P28" s="307"/>
      <c r="Q28" s="307"/>
      <c r="R28" s="307"/>
      <c r="S28" s="307"/>
      <c r="T28" s="307"/>
      <c r="U28" s="307"/>
      <c r="V28" s="307"/>
      <c r="W28" s="307"/>
      <c r="X28" s="307"/>
      <c r="Y28" s="307"/>
      <c r="Z28" s="150"/>
      <c r="AA28" s="150"/>
      <c r="AB28" s="307"/>
      <c r="AC28" s="307"/>
      <c r="AD28" s="307"/>
      <c r="AE28" s="307"/>
      <c r="AF28" s="307"/>
      <c r="AG28" s="307"/>
      <c r="AH28" s="307"/>
      <c r="AI28" s="307"/>
      <c r="AJ28" s="307"/>
      <c r="AK28" s="307"/>
      <c r="AL28" s="307"/>
      <c r="AM28" s="307"/>
      <c r="AN28" s="307"/>
      <c r="AO28" s="307"/>
      <c r="AP28" s="307"/>
      <c r="AQ28" s="307"/>
      <c r="AR28" s="307"/>
      <c r="AS28" s="307"/>
      <c r="AT28" s="307"/>
      <c r="AU28" s="307"/>
      <c r="AV28" s="307"/>
      <c r="AW28" s="307"/>
      <c r="AX28" s="307"/>
      <c r="AY28" s="307"/>
      <c r="AZ28" s="307"/>
      <c r="BA28" s="307"/>
      <c r="BB28" s="307"/>
      <c r="BC28" s="307"/>
      <c r="BD28" s="307"/>
      <c r="BE28" s="307"/>
      <c r="BF28" s="307"/>
      <c r="BG28" s="307"/>
      <c r="BH28" s="307"/>
    </row>
    <row r="29" spans="1:60">
      <c r="A29" s="133"/>
      <c r="B29" s="13"/>
      <c r="C29" s="321"/>
      <c r="D29" s="23"/>
      <c r="E29" s="23"/>
      <c r="F29" s="310"/>
      <c r="G29" s="307"/>
      <c r="H29" s="307"/>
      <c r="I29" s="307"/>
      <c r="J29" s="307"/>
      <c r="K29" s="307"/>
      <c r="L29" s="307"/>
      <c r="M29" s="307"/>
      <c r="N29" s="307"/>
      <c r="O29" s="307"/>
      <c r="P29" s="307"/>
      <c r="Q29" s="307"/>
      <c r="R29" s="307"/>
      <c r="S29" s="307"/>
      <c r="T29" s="307"/>
      <c r="U29" s="307"/>
      <c r="V29" s="307"/>
      <c r="W29" s="307"/>
      <c r="X29" s="307"/>
      <c r="Y29" s="307"/>
      <c r="Z29" s="150"/>
      <c r="AA29" s="150"/>
      <c r="AB29" s="307"/>
      <c r="AC29" s="307"/>
      <c r="AD29" s="307"/>
      <c r="AE29" s="307"/>
      <c r="AF29" s="307"/>
      <c r="AG29" s="307"/>
      <c r="AH29" s="307"/>
      <c r="AI29" s="307"/>
      <c r="AJ29" s="307"/>
      <c r="AK29" s="307"/>
      <c r="AL29" s="307"/>
      <c r="AM29" s="307"/>
      <c r="AN29" s="307"/>
      <c r="AO29" s="307"/>
      <c r="AP29" s="307"/>
      <c r="AQ29" s="307"/>
      <c r="AR29" s="307"/>
      <c r="AS29" s="307"/>
      <c r="AT29" s="307"/>
      <c r="AU29" s="307"/>
      <c r="AV29" s="307"/>
      <c r="AW29" s="307"/>
      <c r="AX29" s="307"/>
      <c r="AY29" s="307"/>
      <c r="AZ29" s="307"/>
      <c r="BA29" s="307"/>
      <c r="BB29" s="307"/>
      <c r="BC29" s="307"/>
      <c r="BD29" s="307"/>
      <c r="BE29" s="307"/>
      <c r="BF29" s="307"/>
      <c r="BG29" s="307"/>
      <c r="BH29" s="307"/>
    </row>
    <row r="30" spans="1:60">
      <c r="A30" s="23" t="s">
        <v>148</v>
      </c>
      <c r="C30" s="3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7"/>
      <c r="AJ30" s="307"/>
      <c r="AK30" s="307"/>
      <c r="AL30" s="307"/>
      <c r="AM30" s="307"/>
      <c r="AN30" s="307"/>
      <c r="AO30" s="307"/>
      <c r="AP30" s="307"/>
      <c r="AQ30" s="307"/>
      <c r="AR30" s="307"/>
      <c r="AS30" s="307"/>
      <c r="AT30" s="307"/>
      <c r="AU30" s="307"/>
      <c r="AV30" s="307"/>
      <c r="AW30" s="307"/>
      <c r="AX30" s="307"/>
      <c r="AY30" s="307"/>
      <c r="AZ30" s="307"/>
      <c r="BA30" s="307"/>
      <c r="BB30" s="307"/>
      <c r="BC30" s="307"/>
      <c r="BD30" s="307"/>
      <c r="BE30" s="307"/>
      <c r="BF30" s="307"/>
      <c r="BG30" s="307"/>
      <c r="BH30" s="307"/>
    </row>
    <row r="31" spans="1:60">
      <c r="A31" s="23" t="s">
        <v>149</v>
      </c>
      <c r="C31" s="3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7"/>
      <c r="AJ31" s="307"/>
      <c r="AK31" s="307"/>
      <c r="AL31" s="307"/>
      <c r="AM31" s="307"/>
      <c r="AN31" s="307"/>
      <c r="AO31" s="307"/>
      <c r="AP31" s="307"/>
      <c r="AQ31" s="307"/>
      <c r="AR31" s="307"/>
      <c r="AS31" s="307"/>
      <c r="AT31" s="307"/>
      <c r="AU31" s="307"/>
      <c r="AV31" s="307"/>
      <c r="AW31" s="307"/>
      <c r="AX31" s="307"/>
      <c r="AY31" s="307"/>
      <c r="AZ31" s="307"/>
      <c r="BA31" s="307"/>
      <c r="BB31" s="307"/>
      <c r="BC31" s="307"/>
      <c r="BD31" s="307"/>
      <c r="BE31" s="307"/>
      <c r="BF31" s="307"/>
      <c r="BG31" s="307"/>
      <c r="BH31" s="307"/>
    </row>
    <row r="32" spans="1:60">
      <c r="A32" s="23" t="s">
        <v>150</v>
      </c>
      <c r="C32" s="321">
        <v>0</v>
      </c>
      <c r="D32" s="23" t="e">
        <f>C32+('Returns Analysis'!C15+'Returns Analysis'!#REF!)+(IS!C42+IS!C43)</f>
        <v>#REF!</v>
      </c>
      <c r="E32" s="23" t="e">
        <f>D32+('Returns Analysis'!D15+'Returns Analysis'!#REF!)+(IS!D42+IS!D43)</f>
        <v>#REF!</v>
      </c>
      <c r="F32" s="23" t="e">
        <f>E32+('Returns Analysis'!E15+'Returns Analysis'!#REF!)+(IS!E42+IS!E43)</f>
        <v>#REF!</v>
      </c>
      <c r="G32" s="23" t="e">
        <f>F32+('Returns Analysis'!F15+'Returns Analysis'!#REF!)+(IS!F42+IS!F43)</f>
        <v>#REF!</v>
      </c>
      <c r="H32" s="23" t="e">
        <f>G32+('Returns Analysis'!G15+'Returns Analysis'!#REF!)+(IS!G42+IS!G43)</f>
        <v>#REF!</v>
      </c>
      <c r="I32" s="23" t="e">
        <f>H32+('Returns Analysis'!H15+'Returns Analysis'!#REF!)+(IS!H42+IS!H43)</f>
        <v>#REF!</v>
      </c>
      <c r="J32" s="23" t="e">
        <f>I32+('Returns Analysis'!I15+'Returns Analysis'!#REF!)+(IS!I42+IS!I43)</f>
        <v>#REF!</v>
      </c>
      <c r="K32" s="23" t="e">
        <f>J32+('Returns Analysis'!J15+'Returns Analysis'!#REF!)+(IS!J42+IS!J43)</f>
        <v>#REF!</v>
      </c>
      <c r="L32" s="23" t="e">
        <f>K32+('Returns Analysis'!K15+'Returns Analysis'!#REF!)+(IS!K42+IS!K43)</f>
        <v>#REF!</v>
      </c>
      <c r="M32" s="23" t="e">
        <f>L32+('Returns Analysis'!L15+'Returns Analysis'!#REF!)+(IS!L42+IS!L43)</f>
        <v>#REF!</v>
      </c>
      <c r="N32" s="23" t="e">
        <f>M32+('Returns Analysis'!M15+'Returns Analysis'!#REF!)+(IS!M42+IS!M43)</f>
        <v>#REF!</v>
      </c>
      <c r="O32" s="23" t="e">
        <f>N32+('Returns Analysis'!N15+'Returns Analysis'!#REF!)+(IS!N42+IS!N43)</f>
        <v>#REF!</v>
      </c>
      <c r="P32" s="23" t="e">
        <f>O32+('Returns Analysis'!O15+'Returns Analysis'!#REF!)+(IS!O42+IS!O43)</f>
        <v>#REF!</v>
      </c>
      <c r="Q32" s="23" t="e">
        <f>P32+('Returns Analysis'!P15+'Returns Analysis'!#REF!)+(IS!P42+IS!P43)</f>
        <v>#REF!</v>
      </c>
      <c r="R32" s="23" t="e">
        <f>Q32+('Returns Analysis'!Q15+'Returns Analysis'!#REF!)+(IS!Q42+IS!Q43)</f>
        <v>#REF!</v>
      </c>
      <c r="S32" s="23" t="e">
        <f>R32+('Returns Analysis'!R15+'Returns Analysis'!#REF!)+(IS!R42+IS!R43)</f>
        <v>#REF!</v>
      </c>
      <c r="T32" s="23" t="e">
        <f>S32+('Returns Analysis'!S15+'Returns Analysis'!#REF!)+(IS!S42+IS!S43)</f>
        <v>#REF!</v>
      </c>
      <c r="U32" s="23" t="e">
        <f>T32+('Returns Analysis'!T15+'Returns Analysis'!#REF!)+(IS!T42+IS!T43)</f>
        <v>#REF!</v>
      </c>
      <c r="V32" s="23" t="e">
        <f>U32+('Returns Analysis'!U15+'Returns Analysis'!#REF!)+(IS!U42+IS!U43)</f>
        <v>#REF!</v>
      </c>
      <c r="W32" s="23" t="e">
        <f>V32+('Returns Analysis'!V15+'Returns Analysis'!#REF!)+(IS!V42+IS!V43)</f>
        <v>#REF!</v>
      </c>
      <c r="X32" s="23" t="e">
        <f>W32+('Returns Analysis'!W15+'Returns Analysis'!#REF!)+(IS!W42+IS!W43)</f>
        <v>#REF!</v>
      </c>
      <c r="Y32" s="23" t="e">
        <f>X32+('Returns Analysis'!X15+'Returns Analysis'!#REF!)+(IS!X42+IS!X43)</f>
        <v>#REF!</v>
      </c>
      <c r="Z32" s="23" t="e">
        <f>Y32+('Returns Analysis'!Y15+'Returns Analysis'!#REF!)+(IS!Y42+IS!Y43)</f>
        <v>#REF!</v>
      </c>
      <c r="AA32" s="23" t="e">
        <f>Z32+('Returns Analysis'!Z15+'Returns Analysis'!#REF!)+(IS!Z42+IS!Z43)</f>
        <v>#REF!</v>
      </c>
      <c r="AB32" s="23" t="e">
        <f>AA32+('Returns Analysis'!AA15+'Returns Analysis'!#REF!)+(IS!AA42+IS!AA43)</f>
        <v>#REF!</v>
      </c>
      <c r="AC32" s="23" t="e">
        <f>AB32+('Returns Analysis'!AB15+'Returns Analysis'!#REF!)+(IS!AB42+IS!AB43)</f>
        <v>#REF!</v>
      </c>
      <c r="AD32" s="23" t="e">
        <f>AC32+('Returns Analysis'!AC15+'Returns Analysis'!#REF!)+(IS!AC42+IS!AC43)</f>
        <v>#REF!</v>
      </c>
      <c r="AE32" s="23" t="e">
        <f>AD32+('Returns Analysis'!AD15+'Returns Analysis'!#REF!)+(IS!AD42+IS!AD43)</f>
        <v>#REF!</v>
      </c>
      <c r="AF32" s="23" t="e">
        <f>AE32+('Returns Analysis'!AE15+'Returns Analysis'!#REF!)+(IS!AE42+IS!AE43)</f>
        <v>#REF!</v>
      </c>
      <c r="AG32" s="23" t="e">
        <f>AF32+('Returns Analysis'!AF15+'Returns Analysis'!#REF!)+(IS!AF42+IS!AF43)</f>
        <v>#REF!</v>
      </c>
      <c r="AH32" s="23" t="e">
        <f>AG32+('Returns Analysis'!AG15+'Returns Analysis'!#REF!)+(IS!AG42+IS!AG43)</f>
        <v>#REF!</v>
      </c>
      <c r="AI32" s="307"/>
      <c r="AJ32" s="307"/>
      <c r="AK32" s="307"/>
      <c r="AL32" s="307"/>
      <c r="AM32" s="307"/>
      <c r="AN32" s="307"/>
      <c r="AO32" s="307"/>
      <c r="AP32" s="307"/>
      <c r="AQ32" s="307"/>
      <c r="AR32" s="307"/>
      <c r="AS32" s="307"/>
      <c r="AT32" s="307"/>
      <c r="AU32" s="307"/>
      <c r="AV32" s="307"/>
      <c r="AW32" s="307"/>
      <c r="AX32" s="307"/>
      <c r="AY32" s="307"/>
      <c r="AZ32" s="307"/>
      <c r="BA32" s="307"/>
      <c r="BB32" s="307"/>
      <c r="BC32" s="307"/>
      <c r="BD32" s="307"/>
      <c r="BE32" s="307"/>
      <c r="BF32" s="307"/>
      <c r="BG32" s="307"/>
      <c r="BH32" s="307"/>
    </row>
    <row r="33" spans="1:60">
      <c r="A33" s="23" t="s">
        <v>151</v>
      </c>
      <c r="C33" s="318">
        <v>0</v>
      </c>
      <c r="D33" s="18">
        <f>Assumptions!$C$50</f>
        <v>1000</v>
      </c>
      <c r="E33" s="18">
        <f>Assumptions!$C$50</f>
        <v>1000</v>
      </c>
      <c r="F33" s="18">
        <f>Assumptions!$C$50</f>
        <v>1000</v>
      </c>
      <c r="G33" s="18">
        <f>Assumptions!$C$50</f>
        <v>1000</v>
      </c>
      <c r="H33" s="18">
        <f>Assumptions!$C$50</f>
        <v>1000</v>
      </c>
      <c r="I33" s="18">
        <f>Assumptions!$C$50</f>
        <v>1000</v>
      </c>
      <c r="J33" s="18">
        <f>Assumptions!$C$50</f>
        <v>1000</v>
      </c>
      <c r="K33" s="18">
        <f>Assumptions!$C$50</f>
        <v>1000</v>
      </c>
      <c r="L33" s="18">
        <f>Assumptions!$C$50</f>
        <v>1000</v>
      </c>
      <c r="M33" s="18">
        <f>Assumptions!$C$50</f>
        <v>1000</v>
      </c>
      <c r="N33" s="18">
        <f>Assumptions!$C$50</f>
        <v>1000</v>
      </c>
      <c r="O33" s="18">
        <f>Assumptions!$C$50</f>
        <v>1000</v>
      </c>
      <c r="P33" s="18">
        <f>Assumptions!$C$50</f>
        <v>1000</v>
      </c>
      <c r="Q33" s="18">
        <f>Assumptions!$C$50</f>
        <v>1000</v>
      </c>
      <c r="R33" s="18">
        <f>Assumptions!$C$50</f>
        <v>1000</v>
      </c>
      <c r="S33" s="18">
        <f>Assumptions!$C$50</f>
        <v>1000</v>
      </c>
      <c r="T33" s="18">
        <f>Assumptions!$C$50</f>
        <v>1000</v>
      </c>
      <c r="U33" s="18">
        <f>Assumptions!$C$50</f>
        <v>1000</v>
      </c>
      <c r="V33" s="18">
        <f>Assumptions!$C$50</f>
        <v>1000</v>
      </c>
      <c r="W33" s="18">
        <f>Assumptions!$C$50</f>
        <v>1000</v>
      </c>
      <c r="X33" s="18">
        <f>Assumptions!$C$50</f>
        <v>1000</v>
      </c>
      <c r="Y33" s="18">
        <f>Assumptions!$C$50</f>
        <v>1000</v>
      </c>
      <c r="Z33" s="18">
        <f>Assumptions!$C$50</f>
        <v>1000</v>
      </c>
      <c r="AA33" s="18">
        <f>Assumptions!$C$50</f>
        <v>1000</v>
      </c>
      <c r="AB33" s="18">
        <f>Assumptions!$C$50</f>
        <v>1000</v>
      </c>
      <c r="AC33" s="18">
        <f>Assumptions!$C$50</f>
        <v>1000</v>
      </c>
      <c r="AD33" s="18">
        <f>Assumptions!$C$50</f>
        <v>1000</v>
      </c>
      <c r="AE33" s="18">
        <f>Assumptions!$C$50</f>
        <v>1000</v>
      </c>
      <c r="AF33" s="18">
        <f>Assumptions!$C$50</f>
        <v>1000</v>
      </c>
      <c r="AG33" s="18">
        <f>Assumptions!$C$50</f>
        <v>1000</v>
      </c>
      <c r="AH33" s="18">
        <f>Assumptions!$C$50</f>
        <v>1000</v>
      </c>
      <c r="AI33" s="307"/>
      <c r="AJ33" s="307"/>
      <c r="AK33" s="307"/>
      <c r="AL33" s="307"/>
      <c r="AM33" s="307"/>
      <c r="AN33" s="307"/>
      <c r="AO33" s="307"/>
      <c r="AP33" s="307"/>
      <c r="AQ33" s="307"/>
      <c r="AR33" s="307"/>
      <c r="AS33" s="307"/>
      <c r="AT33" s="307"/>
      <c r="AU33" s="307"/>
      <c r="AV33" s="307"/>
      <c r="AW33" s="307"/>
      <c r="AX33" s="307"/>
      <c r="AY33" s="307"/>
      <c r="AZ33" s="307"/>
      <c r="BA33" s="307"/>
      <c r="BB33" s="307"/>
      <c r="BC33" s="307"/>
      <c r="BD33" s="307"/>
      <c r="BE33" s="307"/>
      <c r="BF33" s="307"/>
      <c r="BG33" s="307"/>
      <c r="BH33" s="307"/>
    </row>
    <row r="34" spans="1:60">
      <c r="A34" s="23" t="s">
        <v>152</v>
      </c>
      <c r="C34" s="321">
        <f>Assumptions!C12</f>
        <v>81657.998843824083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7"/>
      <c r="AJ34" s="307"/>
      <c r="AK34" s="307"/>
      <c r="AL34" s="307"/>
      <c r="AM34" s="307"/>
      <c r="AN34" s="307"/>
      <c r="AO34" s="307"/>
      <c r="AP34" s="307"/>
      <c r="AQ34" s="307"/>
      <c r="AR34" s="307"/>
      <c r="AS34" s="307"/>
      <c r="AT34" s="307"/>
      <c r="AU34" s="307"/>
      <c r="AV34" s="307"/>
      <c r="AW34" s="307"/>
      <c r="AX34" s="307"/>
      <c r="AY34" s="307"/>
      <c r="AZ34" s="307"/>
      <c r="BA34" s="307"/>
      <c r="BB34" s="307"/>
      <c r="BC34" s="307"/>
      <c r="BD34" s="307"/>
      <c r="BE34" s="307"/>
      <c r="BF34" s="307"/>
      <c r="BG34" s="307"/>
      <c r="BH34" s="307"/>
    </row>
    <row r="35" spans="1:60">
      <c r="A35" s="23" t="s">
        <v>153</v>
      </c>
      <c r="C35" s="320">
        <v>0</v>
      </c>
      <c r="D35" s="308">
        <v>0</v>
      </c>
      <c r="E35" s="308">
        <v>0</v>
      </c>
      <c r="F35" s="311">
        <v>0</v>
      </c>
      <c r="G35" s="312">
        <v>0</v>
      </c>
      <c r="H35" s="312">
        <v>0</v>
      </c>
      <c r="I35" s="312">
        <v>0</v>
      </c>
      <c r="J35" s="312">
        <v>0</v>
      </c>
      <c r="K35" s="312">
        <v>0</v>
      </c>
      <c r="L35" s="312">
        <v>0</v>
      </c>
      <c r="M35" s="312">
        <v>0</v>
      </c>
      <c r="N35" s="312">
        <v>0</v>
      </c>
      <c r="O35" s="312">
        <v>0</v>
      </c>
      <c r="P35" s="312">
        <v>0</v>
      </c>
      <c r="Q35" s="312">
        <v>0</v>
      </c>
      <c r="R35" s="312">
        <v>0</v>
      </c>
      <c r="S35" s="312">
        <v>0</v>
      </c>
      <c r="T35" s="312">
        <v>0</v>
      </c>
      <c r="U35" s="312">
        <v>0</v>
      </c>
      <c r="V35" s="312">
        <v>0</v>
      </c>
      <c r="W35" s="312">
        <v>0</v>
      </c>
      <c r="X35" s="312">
        <v>0</v>
      </c>
      <c r="Y35" s="312">
        <v>0</v>
      </c>
      <c r="Z35" s="313">
        <v>0</v>
      </c>
      <c r="AA35" s="313">
        <v>0</v>
      </c>
      <c r="AB35" s="312">
        <v>0</v>
      </c>
      <c r="AC35" s="312">
        <v>0</v>
      </c>
      <c r="AD35" s="312">
        <v>0</v>
      </c>
      <c r="AE35" s="312">
        <v>0</v>
      </c>
      <c r="AF35" s="312">
        <v>0</v>
      </c>
      <c r="AG35" s="312">
        <v>0</v>
      </c>
      <c r="AH35" s="312">
        <v>0</v>
      </c>
      <c r="AI35" s="307"/>
      <c r="AJ35" s="307"/>
      <c r="AK35" s="307"/>
      <c r="AL35" s="307"/>
      <c r="AM35" s="307"/>
      <c r="AN35" s="307"/>
      <c r="AO35" s="307"/>
      <c r="AP35" s="307"/>
      <c r="AQ35" s="307"/>
      <c r="AR35" s="307"/>
      <c r="AS35" s="307"/>
      <c r="AT35" s="307"/>
      <c r="AU35" s="307"/>
      <c r="AV35" s="307"/>
      <c r="AW35" s="307"/>
      <c r="AX35" s="307"/>
      <c r="AY35" s="307"/>
      <c r="AZ35" s="307"/>
      <c r="BA35" s="307"/>
      <c r="BB35" s="307"/>
      <c r="BC35" s="307"/>
      <c r="BD35" s="307"/>
      <c r="BE35" s="307"/>
      <c r="BF35" s="307"/>
      <c r="BG35" s="307"/>
      <c r="BH35" s="307"/>
    </row>
    <row r="36" spans="1:60">
      <c r="A36" s="23"/>
      <c r="C36" s="321"/>
      <c r="D36" s="23"/>
      <c r="E36" s="23"/>
      <c r="F36" s="310"/>
      <c r="G36" s="307"/>
      <c r="H36" s="307"/>
      <c r="I36" s="307"/>
      <c r="J36" s="307"/>
      <c r="K36" s="307"/>
      <c r="L36" s="307"/>
      <c r="M36" s="307"/>
      <c r="N36" s="307"/>
      <c r="O36" s="307"/>
      <c r="P36" s="307"/>
      <c r="Q36" s="307"/>
      <c r="R36" s="307"/>
      <c r="S36" s="307"/>
      <c r="T36" s="307"/>
      <c r="U36" s="307"/>
      <c r="V36" s="307"/>
      <c r="W36" s="307"/>
      <c r="X36" s="307"/>
      <c r="Y36" s="307"/>
      <c r="Z36" s="150"/>
      <c r="AA36" s="150"/>
      <c r="AB36" s="307"/>
      <c r="AC36" s="307"/>
      <c r="AD36" s="307"/>
      <c r="AE36" s="307"/>
      <c r="AF36" s="307"/>
      <c r="AG36" s="307"/>
      <c r="AH36" s="307"/>
      <c r="AI36" s="307"/>
      <c r="AJ36" s="307"/>
      <c r="AK36" s="307"/>
      <c r="AL36" s="307"/>
      <c r="AM36" s="307"/>
      <c r="AN36" s="307"/>
      <c r="AO36" s="307"/>
      <c r="AP36" s="307"/>
      <c r="AQ36" s="307"/>
      <c r="AR36" s="307"/>
      <c r="AS36" s="307"/>
      <c r="AT36" s="307"/>
      <c r="AU36" s="307"/>
      <c r="AV36" s="307"/>
      <c r="AW36" s="307"/>
      <c r="AX36" s="307"/>
      <c r="AY36" s="307"/>
      <c r="AZ36" s="307"/>
      <c r="BA36" s="307"/>
      <c r="BB36" s="307"/>
      <c r="BC36" s="307"/>
      <c r="BD36" s="307"/>
      <c r="BE36" s="307"/>
      <c r="BF36" s="307"/>
      <c r="BG36" s="307"/>
      <c r="BH36" s="307"/>
    </row>
    <row r="37" spans="1:60">
      <c r="A37" s="133" t="s">
        <v>154</v>
      </c>
      <c r="B37" s="13"/>
      <c r="C37" s="321">
        <f>SUM(C30:C35)</f>
        <v>81657.998843824083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7"/>
      <c r="AJ37" s="307"/>
      <c r="AK37" s="307"/>
      <c r="AL37" s="307"/>
      <c r="AM37" s="307"/>
      <c r="AN37" s="307"/>
      <c r="AO37" s="307"/>
      <c r="AP37" s="307"/>
      <c r="AQ37" s="307"/>
      <c r="AR37" s="307"/>
      <c r="AS37" s="307"/>
      <c r="AT37" s="307"/>
      <c r="AU37" s="307"/>
      <c r="AV37" s="307"/>
      <c r="AW37" s="307"/>
      <c r="AX37" s="307"/>
      <c r="AY37" s="307"/>
      <c r="AZ37" s="307"/>
      <c r="BA37" s="307"/>
      <c r="BB37" s="307"/>
      <c r="BC37" s="307"/>
      <c r="BD37" s="307"/>
      <c r="BE37" s="307"/>
      <c r="BF37" s="307"/>
      <c r="BG37" s="307"/>
      <c r="BH37" s="307"/>
    </row>
    <row r="38" spans="1:60">
      <c r="A38" s="23"/>
      <c r="B38" s="13"/>
      <c r="C38" s="321"/>
      <c r="D38" s="23"/>
      <c r="E38" s="23"/>
      <c r="F38" s="310"/>
      <c r="G38" s="307"/>
      <c r="H38" s="307"/>
      <c r="I38" s="307"/>
      <c r="J38" s="307"/>
      <c r="K38" s="307"/>
      <c r="L38" s="307"/>
      <c r="M38" s="307"/>
      <c r="N38" s="307"/>
      <c r="O38" s="307"/>
      <c r="P38" s="307"/>
      <c r="Q38" s="307"/>
      <c r="R38" s="307"/>
      <c r="S38" s="307"/>
      <c r="T38" s="307"/>
      <c r="U38" s="307"/>
      <c r="V38" s="307"/>
      <c r="W38" s="307"/>
      <c r="X38" s="307"/>
      <c r="Y38" s="307"/>
      <c r="Z38" s="150"/>
      <c r="AA38" s="150"/>
      <c r="AB38" s="307"/>
      <c r="AC38" s="307"/>
      <c r="AD38" s="307"/>
      <c r="AE38" s="307"/>
      <c r="AF38" s="307"/>
      <c r="AG38" s="307"/>
      <c r="AH38" s="307"/>
      <c r="AI38" s="307"/>
      <c r="AJ38" s="307"/>
      <c r="AK38" s="307"/>
      <c r="AL38" s="307"/>
      <c r="AM38" s="307"/>
      <c r="AN38" s="307"/>
      <c r="AO38" s="307"/>
      <c r="AP38" s="307"/>
      <c r="AQ38" s="307"/>
      <c r="AR38" s="307"/>
      <c r="AS38" s="307"/>
      <c r="AT38" s="307"/>
      <c r="AU38" s="307"/>
      <c r="AV38" s="307"/>
      <c r="AW38" s="307"/>
      <c r="AX38" s="307"/>
      <c r="AY38" s="307"/>
      <c r="AZ38" s="307"/>
      <c r="BA38" s="307"/>
      <c r="BB38" s="307"/>
      <c r="BC38" s="307"/>
      <c r="BD38" s="307"/>
      <c r="BE38" s="307"/>
      <c r="BF38" s="307"/>
      <c r="BG38" s="307"/>
      <c r="BH38" s="307"/>
    </row>
    <row r="39" spans="1:60">
      <c r="A39" s="133" t="s">
        <v>155</v>
      </c>
      <c r="B39" s="13"/>
      <c r="C39" s="321"/>
      <c r="D39" s="23"/>
      <c r="E39" s="23"/>
      <c r="F39" s="310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307"/>
      <c r="Y39" s="307"/>
      <c r="Z39" s="150"/>
      <c r="AA39" s="150"/>
      <c r="AB39" s="307"/>
      <c r="AC39" s="307"/>
      <c r="AD39" s="307"/>
      <c r="AE39" s="307"/>
      <c r="AF39" s="307"/>
      <c r="AG39" s="307"/>
      <c r="AH39" s="307"/>
      <c r="AI39" s="307"/>
      <c r="AJ39" s="307"/>
      <c r="AK39" s="307"/>
      <c r="AL39" s="307"/>
      <c r="AM39" s="307"/>
      <c r="AN39" s="307"/>
      <c r="AO39" s="307"/>
      <c r="AP39" s="307"/>
      <c r="AQ39" s="307"/>
      <c r="AR39" s="307"/>
      <c r="AS39" s="307"/>
      <c r="AT39" s="307"/>
      <c r="AU39" s="307"/>
      <c r="AV39" s="307"/>
      <c r="AW39" s="307"/>
      <c r="AX39" s="307"/>
      <c r="AY39" s="307"/>
      <c r="AZ39" s="307"/>
      <c r="BA39" s="307"/>
      <c r="BB39" s="307"/>
      <c r="BC39" s="307"/>
      <c r="BD39" s="307"/>
      <c r="BE39" s="307"/>
      <c r="BF39" s="307"/>
      <c r="BG39" s="307"/>
      <c r="BH39" s="307"/>
    </row>
    <row r="40" spans="1:60">
      <c r="A40" s="133"/>
      <c r="B40" s="13"/>
      <c r="C40" s="321"/>
      <c r="D40" s="23"/>
      <c r="E40" s="23"/>
      <c r="F40" s="310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7"/>
      <c r="X40" s="307"/>
      <c r="Y40" s="307"/>
      <c r="Z40" s="150"/>
      <c r="AA40" s="150"/>
      <c r="AB40" s="307"/>
      <c r="AC40" s="307"/>
      <c r="AD40" s="307"/>
      <c r="AE40" s="307"/>
      <c r="AF40" s="307"/>
      <c r="AG40" s="307"/>
      <c r="AH40" s="307"/>
      <c r="AI40" s="307"/>
      <c r="AJ40" s="307"/>
      <c r="AK40" s="307"/>
      <c r="AL40" s="307"/>
      <c r="AM40" s="307"/>
      <c r="AN40" s="307"/>
      <c r="AO40" s="307"/>
      <c r="AP40" s="307"/>
      <c r="AQ40" s="307"/>
      <c r="AR40" s="307"/>
      <c r="AS40" s="307"/>
      <c r="AT40" s="307"/>
      <c r="AU40" s="307"/>
      <c r="AV40" s="307"/>
      <c r="AW40" s="307"/>
      <c r="AX40" s="307"/>
      <c r="AY40" s="307"/>
      <c r="AZ40" s="307"/>
      <c r="BA40" s="307"/>
      <c r="BB40" s="307"/>
      <c r="BC40" s="307"/>
      <c r="BD40" s="307"/>
      <c r="BE40" s="307"/>
      <c r="BF40" s="307"/>
      <c r="BG40" s="307"/>
      <c r="BH40" s="307"/>
    </row>
    <row r="41" spans="1:60">
      <c r="A41" s="23" t="s">
        <v>156</v>
      </c>
      <c r="C41" s="321">
        <f>Assumptions!$C$11</f>
        <v>34423.001156175917</v>
      </c>
      <c r="D41" s="23">
        <f>Assumptions!$C$11</f>
        <v>34423.001156175917</v>
      </c>
      <c r="E41" s="23">
        <f>Assumptions!$C$11</f>
        <v>34423.001156175917</v>
      </c>
      <c r="F41" s="23">
        <f>Assumptions!$C$11</f>
        <v>34423.001156175917</v>
      </c>
      <c r="G41" s="23">
        <f>Assumptions!$C$11</f>
        <v>34423.001156175917</v>
      </c>
      <c r="H41" s="23">
        <f>Assumptions!$C$11</f>
        <v>34423.001156175917</v>
      </c>
      <c r="I41" s="23">
        <f>Assumptions!$C$11</f>
        <v>34423.001156175917</v>
      </c>
      <c r="J41" s="23">
        <f>Assumptions!$C$11</f>
        <v>34423.001156175917</v>
      </c>
      <c r="K41" s="23">
        <f>Assumptions!$C$11</f>
        <v>34423.001156175917</v>
      </c>
      <c r="L41" s="23">
        <f>Assumptions!$C$11</f>
        <v>34423.001156175917</v>
      </c>
      <c r="M41" s="23">
        <f>Assumptions!$C$11</f>
        <v>34423.001156175917</v>
      </c>
      <c r="N41" s="23">
        <f>Assumptions!$C$11</f>
        <v>34423.001156175917</v>
      </c>
      <c r="O41" s="23">
        <f>Assumptions!$C$11</f>
        <v>34423.001156175917</v>
      </c>
      <c r="P41" s="23">
        <f>Assumptions!$C$11</f>
        <v>34423.001156175917</v>
      </c>
      <c r="Q41" s="23">
        <f>Assumptions!$C$11</f>
        <v>34423.001156175917</v>
      </c>
      <c r="R41" s="23">
        <f>Assumptions!$C$11</f>
        <v>34423.001156175917</v>
      </c>
      <c r="S41" s="23">
        <f>Assumptions!$C$11</f>
        <v>34423.001156175917</v>
      </c>
      <c r="T41" s="23">
        <f>Assumptions!$C$11</f>
        <v>34423.001156175917</v>
      </c>
      <c r="U41" s="23">
        <f>Assumptions!$C$11</f>
        <v>34423.001156175917</v>
      </c>
      <c r="V41" s="23">
        <f>Assumptions!$C$11</f>
        <v>34423.001156175917</v>
      </c>
      <c r="W41" s="23">
        <f>Assumptions!$C$11</f>
        <v>34423.001156175917</v>
      </c>
      <c r="X41" s="23">
        <f>Assumptions!$C$11</f>
        <v>34423.001156175917</v>
      </c>
      <c r="Y41" s="23">
        <f>Assumptions!$C$11</f>
        <v>34423.001156175917</v>
      </c>
      <c r="Z41" s="23">
        <f>Assumptions!$C$11</f>
        <v>34423.001156175917</v>
      </c>
      <c r="AA41" s="23">
        <f>Assumptions!$C$11</f>
        <v>34423.001156175917</v>
      </c>
      <c r="AB41" s="23">
        <f>Assumptions!$C$11</f>
        <v>34423.001156175917</v>
      </c>
      <c r="AC41" s="23">
        <f>Assumptions!$C$11</f>
        <v>34423.001156175917</v>
      </c>
      <c r="AD41" s="23">
        <f>Assumptions!$C$11</f>
        <v>34423.001156175917</v>
      </c>
      <c r="AE41" s="23">
        <f>Assumptions!$C$11</f>
        <v>34423.001156175917</v>
      </c>
      <c r="AF41" s="23">
        <f>Assumptions!$C$11</f>
        <v>34423.001156175917</v>
      </c>
      <c r="AG41" s="23">
        <f>Assumptions!$C$11</f>
        <v>34423.001156175917</v>
      </c>
      <c r="AH41" s="23">
        <f>Assumptions!$C$11</f>
        <v>34423.001156175917</v>
      </c>
      <c r="AI41" s="307"/>
      <c r="AJ41" s="307"/>
      <c r="AK41" s="307"/>
      <c r="AL41" s="307"/>
      <c r="AM41" s="307"/>
      <c r="AN41" s="307"/>
      <c r="AO41" s="307"/>
      <c r="AP41" s="307"/>
      <c r="AQ41" s="307"/>
      <c r="AR41" s="307"/>
      <c r="AS41" s="307"/>
      <c r="AT41" s="307"/>
      <c r="AU41" s="307"/>
      <c r="AV41" s="307"/>
      <c r="AW41" s="307"/>
      <c r="AX41" s="307"/>
      <c r="AY41" s="307"/>
      <c r="AZ41" s="307"/>
      <c r="BA41" s="307"/>
      <c r="BB41" s="307"/>
      <c r="BC41" s="307"/>
      <c r="BD41" s="307"/>
      <c r="BE41" s="307"/>
      <c r="BF41" s="307"/>
      <c r="BG41" s="307"/>
      <c r="BH41" s="307"/>
    </row>
    <row r="42" spans="1:60">
      <c r="A42" s="23" t="s">
        <v>157</v>
      </c>
      <c r="C42" s="320" t="e">
        <f>IS!B45-'Returns Analysis'!#REF!</f>
        <v>#REF!</v>
      </c>
      <c r="D42" s="308" t="e">
        <f>IS!C45-'Returns Analysis'!#REF!</f>
        <v>#REF!</v>
      </c>
      <c r="E42" s="308" t="e">
        <f>IS!D45-'Returns Analysis'!#REF!</f>
        <v>#REF!</v>
      </c>
      <c r="F42" s="308" t="e">
        <f>IS!E45-'Returns Analysis'!#REF!</f>
        <v>#REF!</v>
      </c>
      <c r="G42" s="308" t="e">
        <f>IS!F45-'Returns Analysis'!#REF!</f>
        <v>#REF!</v>
      </c>
      <c r="H42" s="308" t="e">
        <f>IS!G45-'Returns Analysis'!#REF!</f>
        <v>#REF!</v>
      </c>
      <c r="I42" s="308" t="e">
        <f>IS!H45-'Returns Analysis'!#REF!</f>
        <v>#REF!</v>
      </c>
      <c r="J42" s="308" t="e">
        <f>IS!I45-'Returns Analysis'!#REF!</f>
        <v>#REF!</v>
      </c>
      <c r="K42" s="308" t="e">
        <f>IS!J45-'Returns Analysis'!#REF!</f>
        <v>#REF!</v>
      </c>
      <c r="L42" s="308" t="e">
        <f>IS!K45-'Returns Analysis'!#REF!</f>
        <v>#REF!</v>
      </c>
      <c r="M42" s="308" t="e">
        <f>IS!L45-'Returns Analysis'!#REF!</f>
        <v>#REF!</v>
      </c>
      <c r="N42" s="308" t="e">
        <f>IS!M45-'Returns Analysis'!#REF!</f>
        <v>#REF!</v>
      </c>
      <c r="O42" s="308" t="e">
        <f>IS!N45-'Returns Analysis'!#REF!</f>
        <v>#REF!</v>
      </c>
      <c r="P42" s="308" t="e">
        <f>IS!O45-'Returns Analysis'!#REF!</f>
        <v>#REF!</v>
      </c>
      <c r="Q42" s="308" t="e">
        <f>IS!P45-'Returns Analysis'!#REF!</f>
        <v>#REF!</v>
      </c>
      <c r="R42" s="308" t="e">
        <f>IS!Q45-'Returns Analysis'!#REF!</f>
        <v>#REF!</v>
      </c>
      <c r="S42" s="308" t="e">
        <f>IS!R45-'Returns Analysis'!#REF!</f>
        <v>#REF!</v>
      </c>
      <c r="T42" s="308" t="e">
        <f>IS!S45-'Returns Analysis'!#REF!</f>
        <v>#REF!</v>
      </c>
      <c r="U42" s="308" t="e">
        <f>IS!T45-'Returns Analysis'!#REF!</f>
        <v>#REF!</v>
      </c>
      <c r="V42" s="308" t="e">
        <f>IS!U45-'Returns Analysis'!#REF!</f>
        <v>#REF!</v>
      </c>
      <c r="W42" s="308" t="e">
        <f>IS!V45-'Returns Analysis'!#REF!</f>
        <v>#REF!</v>
      </c>
      <c r="X42" s="308" t="e">
        <f>IS!W45-'Returns Analysis'!#REF!</f>
        <v>#REF!</v>
      </c>
      <c r="Y42" s="308" t="e">
        <f>IS!X45-'Returns Analysis'!#REF!</f>
        <v>#REF!</v>
      </c>
      <c r="Z42" s="308" t="e">
        <f>IS!Y45-'Returns Analysis'!#REF!</f>
        <v>#REF!</v>
      </c>
      <c r="AA42" s="308" t="e">
        <f>IS!Z45-'Returns Analysis'!#REF!</f>
        <v>#REF!</v>
      </c>
      <c r="AB42" s="308" t="e">
        <f>IS!AA45-'Returns Analysis'!#REF!</f>
        <v>#REF!</v>
      </c>
      <c r="AC42" s="308" t="e">
        <f>IS!AB45-'Returns Analysis'!#REF!</f>
        <v>#REF!</v>
      </c>
      <c r="AD42" s="308" t="e">
        <f>IS!AC45-'Returns Analysis'!#REF!</f>
        <v>#REF!</v>
      </c>
      <c r="AE42" s="308" t="e">
        <f>IS!AD45-'Returns Analysis'!#REF!</f>
        <v>#REF!</v>
      </c>
      <c r="AF42" s="308" t="e">
        <f>IS!AE45-'Returns Analysis'!#REF!</f>
        <v>#REF!</v>
      </c>
      <c r="AG42" s="308" t="e">
        <f>IS!AF45-'Returns Analysis'!#REF!</f>
        <v>#REF!</v>
      </c>
      <c r="AH42" s="308" t="e">
        <f>IS!AG45-'Returns Analysis'!#REF!</f>
        <v>#REF!</v>
      </c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  <c r="AT42" s="307"/>
      <c r="AU42" s="307"/>
      <c r="AV42" s="307"/>
      <c r="AW42" s="307"/>
      <c r="AX42" s="307"/>
      <c r="AY42" s="307"/>
      <c r="AZ42" s="307"/>
      <c r="BA42" s="307"/>
      <c r="BB42" s="307"/>
      <c r="BC42" s="307"/>
      <c r="BD42" s="307"/>
      <c r="BE42" s="307"/>
      <c r="BF42" s="307"/>
      <c r="BG42" s="307"/>
      <c r="BH42" s="307"/>
    </row>
    <row r="43" spans="1:60">
      <c r="A43" s="23" t="s">
        <v>158</v>
      </c>
      <c r="C43" s="321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7"/>
      <c r="AJ43" s="307"/>
      <c r="AK43" s="307"/>
      <c r="AL43" s="307"/>
      <c r="AM43" s="307"/>
      <c r="AN43" s="307"/>
      <c r="AO43" s="307"/>
      <c r="AP43" s="307"/>
      <c r="AQ43" s="307"/>
      <c r="AR43" s="307"/>
      <c r="AS43" s="307"/>
      <c r="AT43" s="307"/>
      <c r="AU43" s="307"/>
      <c r="AV43" s="307"/>
      <c r="AW43" s="307"/>
      <c r="AX43" s="307"/>
      <c r="AY43" s="307"/>
      <c r="AZ43" s="307"/>
      <c r="BA43" s="307"/>
      <c r="BB43" s="307"/>
      <c r="BC43" s="307"/>
      <c r="BD43" s="307"/>
      <c r="BE43" s="307"/>
      <c r="BF43" s="307"/>
      <c r="BG43" s="307"/>
      <c r="BH43" s="307"/>
    </row>
    <row r="44" spans="1:60">
      <c r="A44" s="13"/>
      <c r="B44" s="13"/>
      <c r="C44" s="321"/>
      <c r="D44" s="23"/>
      <c r="E44" s="23"/>
      <c r="F44" s="310"/>
      <c r="G44" s="307"/>
      <c r="H44" s="307"/>
      <c r="I44" s="307"/>
      <c r="J44" s="307"/>
      <c r="K44" s="307"/>
      <c r="L44" s="307"/>
      <c r="M44" s="307"/>
      <c r="N44" s="307"/>
      <c r="O44" s="307"/>
      <c r="P44" s="307"/>
      <c r="Q44" s="307"/>
      <c r="R44" s="307"/>
      <c r="S44" s="307"/>
      <c r="T44" s="307"/>
      <c r="U44" s="307"/>
      <c r="V44" s="307"/>
      <c r="W44" s="307"/>
      <c r="X44" s="307"/>
      <c r="Y44" s="307"/>
      <c r="Z44" s="150"/>
      <c r="AA44" s="150"/>
      <c r="AB44" s="307"/>
      <c r="AC44" s="307"/>
      <c r="AD44" s="307"/>
      <c r="AE44" s="307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  <c r="AT44" s="307"/>
      <c r="AU44" s="307"/>
      <c r="AV44" s="307"/>
      <c r="AW44" s="307"/>
      <c r="AX44" s="307"/>
      <c r="AY44" s="307"/>
      <c r="AZ44" s="307"/>
      <c r="BA44" s="307"/>
      <c r="BB44" s="307"/>
      <c r="BC44" s="307"/>
      <c r="BD44" s="307"/>
      <c r="BE44" s="307"/>
      <c r="BF44" s="307"/>
      <c r="BG44" s="307"/>
      <c r="BH44" s="307"/>
    </row>
    <row r="45" spans="1:60">
      <c r="A45" s="133" t="s">
        <v>159</v>
      </c>
      <c r="B45" s="13"/>
      <c r="C45" s="321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7"/>
      <c r="AJ45" s="307"/>
      <c r="AK45" s="307"/>
      <c r="AL45" s="307"/>
      <c r="AM45" s="307"/>
      <c r="AN45" s="307"/>
      <c r="AO45" s="307"/>
      <c r="AP45" s="307"/>
      <c r="AQ45" s="307"/>
      <c r="AR45" s="307"/>
      <c r="AS45" s="307"/>
      <c r="AT45" s="307"/>
      <c r="AU45" s="307"/>
      <c r="AV45" s="307"/>
      <c r="AW45" s="307"/>
      <c r="AX45" s="307"/>
      <c r="AY45" s="307"/>
      <c r="AZ45" s="307"/>
      <c r="BA45" s="307"/>
      <c r="BB45" s="307"/>
      <c r="BC45" s="307"/>
      <c r="BD45" s="307"/>
      <c r="BE45" s="307"/>
      <c r="BF45" s="307"/>
      <c r="BG45" s="307"/>
      <c r="BH45" s="307"/>
    </row>
    <row r="46" spans="1:60">
      <c r="A46" s="23"/>
      <c r="B46" s="13"/>
      <c r="C46" s="321"/>
      <c r="D46" s="23"/>
      <c r="E46" s="23"/>
      <c r="F46" s="310"/>
      <c r="G46" s="307"/>
      <c r="H46" s="307"/>
      <c r="I46" s="307"/>
      <c r="J46" s="307"/>
      <c r="K46" s="307"/>
      <c r="L46" s="307"/>
      <c r="M46" s="307"/>
      <c r="N46" s="307"/>
      <c r="O46" s="307"/>
      <c r="P46" s="307"/>
      <c r="Q46" s="307"/>
      <c r="R46" s="307"/>
      <c r="S46" s="307"/>
      <c r="T46" s="307"/>
      <c r="U46" s="307"/>
      <c r="V46" s="307"/>
      <c r="W46" s="307"/>
      <c r="X46" s="307"/>
      <c r="Y46" s="307"/>
      <c r="Z46" s="150"/>
      <c r="AA46" s="150"/>
      <c r="AB46" s="307"/>
      <c r="AC46" s="307"/>
      <c r="AD46" s="307"/>
      <c r="AE46" s="307"/>
      <c r="AF46" s="307"/>
      <c r="AG46" s="307"/>
      <c r="AH46" s="307"/>
      <c r="AI46" s="307"/>
      <c r="AJ46" s="307"/>
      <c r="AK46" s="307"/>
      <c r="AL46" s="307"/>
      <c r="AM46" s="307"/>
      <c r="AN46" s="307"/>
      <c r="AO46" s="307"/>
      <c r="AP46" s="307"/>
      <c r="AQ46" s="307"/>
      <c r="AR46" s="307"/>
      <c r="AS46" s="307"/>
      <c r="AT46" s="307"/>
      <c r="AU46" s="307"/>
      <c r="AV46" s="307"/>
      <c r="AW46" s="307"/>
      <c r="AX46" s="307"/>
      <c r="AY46" s="307"/>
      <c r="AZ46" s="307"/>
      <c r="BA46" s="307"/>
      <c r="BB46" s="307"/>
      <c r="BC46" s="307"/>
      <c r="BD46" s="307"/>
      <c r="BE46" s="307"/>
      <c r="BF46" s="307"/>
      <c r="BG46" s="307"/>
      <c r="BH46" s="307"/>
    </row>
    <row r="47" spans="1:60">
      <c r="A47" s="133" t="s">
        <v>160</v>
      </c>
      <c r="B47" s="13"/>
      <c r="C47" s="321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7"/>
      <c r="AJ47" s="307"/>
      <c r="AK47" s="307"/>
      <c r="AL47" s="307"/>
      <c r="AM47" s="307"/>
      <c r="AN47" s="307"/>
      <c r="AO47" s="307"/>
      <c r="AP47" s="307"/>
      <c r="AQ47" s="307"/>
      <c r="AR47" s="307"/>
      <c r="AS47" s="307"/>
      <c r="AT47" s="307"/>
      <c r="AU47" s="307"/>
      <c r="AV47" s="307"/>
      <c r="AW47" s="307"/>
      <c r="AX47" s="307"/>
      <c r="AY47" s="307"/>
      <c r="AZ47" s="307"/>
      <c r="BA47" s="307"/>
      <c r="BB47" s="307"/>
      <c r="BC47" s="307"/>
      <c r="BD47" s="307"/>
      <c r="BE47" s="307"/>
      <c r="BF47" s="307"/>
      <c r="BG47" s="307"/>
      <c r="BH47" s="307"/>
    </row>
    <row r="48" spans="1:60">
      <c r="A48" s="13"/>
      <c r="B48" s="13"/>
      <c r="C48" s="23"/>
      <c r="D48" s="23"/>
      <c r="E48" s="23"/>
      <c r="F48" s="310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307"/>
      <c r="Y48" s="307"/>
      <c r="Z48" s="150"/>
      <c r="AA48" s="150"/>
      <c r="AB48" s="307"/>
      <c r="AC48" s="307"/>
      <c r="AD48" s="307"/>
      <c r="AE48" s="307"/>
      <c r="AF48" s="307"/>
      <c r="AG48" s="307"/>
      <c r="AH48" s="307"/>
      <c r="AI48" s="307"/>
      <c r="AJ48" s="307"/>
      <c r="AK48" s="307"/>
      <c r="AL48" s="307"/>
      <c r="AM48" s="307"/>
      <c r="AN48" s="307"/>
      <c r="AO48" s="307"/>
      <c r="AP48" s="307"/>
      <c r="AQ48" s="307"/>
      <c r="AR48" s="307"/>
      <c r="AS48" s="307"/>
      <c r="AT48" s="307"/>
      <c r="AU48" s="307"/>
      <c r="AV48" s="307"/>
      <c r="AW48" s="307"/>
      <c r="AX48" s="307"/>
      <c r="AY48" s="307"/>
      <c r="AZ48" s="307"/>
      <c r="BA48" s="307"/>
      <c r="BB48" s="307"/>
      <c r="BC48" s="307"/>
      <c r="BD48" s="307"/>
      <c r="BE48" s="307"/>
      <c r="BF48" s="307"/>
      <c r="BG48" s="307"/>
      <c r="BH48" s="307"/>
    </row>
    <row r="49" spans="1:60">
      <c r="A49" s="13"/>
      <c r="B49" s="13"/>
      <c r="C49" s="23"/>
      <c r="D49" s="23"/>
      <c r="E49" s="23"/>
      <c r="F49" s="310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307"/>
      <c r="Y49" s="307"/>
      <c r="Z49" s="150"/>
      <c r="AA49" s="150"/>
      <c r="AB49" s="307"/>
      <c r="AC49" s="307"/>
      <c r="AD49" s="307"/>
      <c r="AE49" s="307"/>
      <c r="AF49" s="307"/>
      <c r="AG49" s="307"/>
      <c r="AH49" s="307"/>
      <c r="AI49" s="307"/>
      <c r="AJ49" s="307"/>
      <c r="AK49" s="307"/>
      <c r="AL49" s="307"/>
      <c r="AM49" s="307"/>
      <c r="AN49" s="307"/>
      <c r="AO49" s="307"/>
      <c r="AP49" s="307"/>
      <c r="AQ49" s="307"/>
      <c r="AR49" s="307"/>
      <c r="AS49" s="307"/>
      <c r="AT49" s="307"/>
      <c r="AU49" s="307"/>
      <c r="AV49" s="307"/>
      <c r="AW49" s="307"/>
      <c r="AX49" s="307"/>
      <c r="AY49" s="307"/>
      <c r="AZ49" s="307"/>
      <c r="BA49" s="307"/>
      <c r="BB49" s="307"/>
      <c r="BC49" s="307"/>
      <c r="BD49" s="307"/>
      <c r="BE49" s="307"/>
      <c r="BF49" s="307"/>
      <c r="BG49" s="307"/>
      <c r="BH49" s="307"/>
    </row>
    <row r="50" spans="1:60">
      <c r="A50" s="13"/>
      <c r="B50" s="13"/>
      <c r="C50" s="23"/>
      <c r="D50" s="23"/>
      <c r="E50" s="23"/>
      <c r="F50" s="310"/>
      <c r="G50" s="307"/>
      <c r="H50" s="307"/>
      <c r="I50" s="307"/>
      <c r="J50" s="307"/>
      <c r="K50" s="307"/>
      <c r="L50" s="307"/>
      <c r="M50" s="307"/>
      <c r="N50" s="307"/>
      <c r="O50" s="307"/>
      <c r="P50" s="307"/>
      <c r="Q50" s="307"/>
      <c r="R50" s="307"/>
      <c r="S50" s="307"/>
      <c r="T50" s="307"/>
      <c r="U50" s="307"/>
      <c r="V50" s="307"/>
      <c r="W50" s="307"/>
      <c r="X50" s="307"/>
      <c r="Y50" s="307"/>
      <c r="Z50" s="150"/>
      <c r="AA50" s="150"/>
      <c r="AB50" s="307"/>
      <c r="AC50" s="307"/>
      <c r="AD50" s="307"/>
      <c r="AE50" s="307"/>
      <c r="AF50" s="307"/>
      <c r="AG50" s="307"/>
      <c r="AH50" s="307"/>
      <c r="AI50" s="307"/>
      <c r="AJ50" s="307"/>
      <c r="AK50" s="307"/>
      <c r="AL50" s="307"/>
      <c r="AM50" s="307"/>
      <c r="AN50" s="307"/>
      <c r="AO50" s="307"/>
      <c r="AP50" s="307"/>
      <c r="AQ50" s="307"/>
      <c r="AR50" s="307"/>
      <c r="AS50" s="307"/>
      <c r="AT50" s="307"/>
      <c r="AU50" s="307"/>
      <c r="AV50" s="307"/>
      <c r="AW50" s="307"/>
      <c r="AX50" s="307"/>
      <c r="AY50" s="307"/>
      <c r="AZ50" s="307"/>
      <c r="BA50" s="307"/>
      <c r="BB50" s="307"/>
      <c r="BC50" s="307"/>
      <c r="BD50" s="307"/>
      <c r="BE50" s="307"/>
      <c r="BF50" s="307"/>
      <c r="BG50" s="307"/>
      <c r="BH50" s="307"/>
    </row>
    <row r="51" spans="1:60">
      <c r="A51" s="13"/>
      <c r="B51" s="13"/>
      <c r="C51" s="23"/>
      <c r="D51" s="23"/>
      <c r="E51" s="23"/>
      <c r="F51" s="310"/>
      <c r="G51" s="307"/>
      <c r="H51" s="307"/>
      <c r="I51" s="307"/>
      <c r="J51" s="307"/>
      <c r="K51" s="307"/>
      <c r="L51" s="307"/>
      <c r="M51" s="307"/>
      <c r="N51" s="307"/>
      <c r="O51" s="307"/>
      <c r="P51" s="307"/>
      <c r="Q51" s="307"/>
      <c r="R51" s="307"/>
      <c r="S51" s="307"/>
      <c r="T51" s="307"/>
      <c r="U51" s="307"/>
      <c r="V51" s="307"/>
      <c r="W51" s="307"/>
      <c r="X51" s="307"/>
      <c r="Y51" s="307"/>
      <c r="Z51" s="150"/>
      <c r="AA51" s="150"/>
      <c r="AB51" s="307"/>
      <c r="AC51" s="307"/>
      <c r="AD51" s="307"/>
      <c r="AE51" s="307"/>
      <c r="AF51" s="307"/>
      <c r="AG51" s="307"/>
      <c r="AH51" s="307"/>
      <c r="AI51" s="307"/>
      <c r="AJ51" s="307"/>
      <c r="AK51" s="307"/>
      <c r="AL51" s="307"/>
      <c r="AM51" s="307"/>
      <c r="AN51" s="307"/>
      <c r="AO51" s="307"/>
      <c r="AP51" s="307"/>
      <c r="AQ51" s="307"/>
      <c r="AR51" s="307"/>
      <c r="AS51" s="307"/>
      <c r="AT51" s="307"/>
      <c r="AU51" s="307"/>
      <c r="AV51" s="307"/>
      <c r="AW51" s="307"/>
      <c r="AX51" s="307"/>
      <c r="AY51" s="307"/>
      <c r="AZ51" s="307"/>
      <c r="BA51" s="307"/>
      <c r="BB51" s="307"/>
      <c r="BC51" s="307"/>
      <c r="BD51" s="307"/>
      <c r="BE51" s="307"/>
      <c r="BF51" s="307"/>
      <c r="BG51" s="307"/>
      <c r="BH51" s="307"/>
    </row>
    <row r="52" spans="1:60">
      <c r="A52" s="13"/>
      <c r="B52" s="13"/>
      <c r="C52" s="23"/>
      <c r="D52" s="23"/>
      <c r="E52" s="23"/>
      <c r="F52" s="310"/>
      <c r="G52" s="307"/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  <c r="U52" s="307"/>
      <c r="V52" s="307"/>
      <c r="W52" s="307"/>
      <c r="X52" s="307"/>
      <c r="Y52" s="307"/>
      <c r="Z52" s="150"/>
      <c r="AA52" s="150"/>
      <c r="AB52" s="307"/>
      <c r="AC52" s="307"/>
      <c r="AD52" s="307"/>
      <c r="AE52" s="307"/>
      <c r="AF52" s="307"/>
      <c r="AG52" s="307"/>
      <c r="AH52" s="307"/>
      <c r="AI52" s="307"/>
      <c r="AJ52" s="307"/>
      <c r="AK52" s="307"/>
      <c r="AL52" s="307"/>
      <c r="AM52" s="307"/>
      <c r="AN52" s="307"/>
      <c r="AO52" s="307"/>
      <c r="AP52" s="307"/>
      <c r="AQ52" s="307"/>
      <c r="AR52" s="307"/>
      <c r="AS52" s="307"/>
      <c r="AT52" s="307"/>
      <c r="AU52" s="307"/>
      <c r="AV52" s="307"/>
      <c r="AW52" s="307"/>
      <c r="AX52" s="307"/>
      <c r="AY52" s="307"/>
      <c r="AZ52" s="307"/>
      <c r="BA52" s="307"/>
      <c r="BB52" s="307"/>
      <c r="BC52" s="307"/>
      <c r="BD52" s="307"/>
      <c r="BE52" s="307"/>
      <c r="BF52" s="307"/>
      <c r="BG52" s="307"/>
      <c r="BH52" s="307"/>
    </row>
    <row r="53" spans="1:60">
      <c r="A53" s="13"/>
      <c r="B53" s="13"/>
      <c r="C53" s="23"/>
      <c r="D53" s="23"/>
      <c r="E53" s="23"/>
      <c r="F53" s="310"/>
      <c r="G53" s="307"/>
      <c r="H53" s="307"/>
      <c r="I53" s="307"/>
      <c r="J53" s="307"/>
      <c r="K53" s="307"/>
      <c r="L53" s="307"/>
      <c r="M53" s="307"/>
      <c r="N53" s="307"/>
      <c r="O53" s="307"/>
      <c r="P53" s="307"/>
      <c r="Q53" s="307"/>
      <c r="R53" s="307"/>
      <c r="S53" s="307"/>
      <c r="T53" s="307"/>
      <c r="U53" s="307"/>
      <c r="V53" s="307"/>
      <c r="W53" s="307"/>
      <c r="X53" s="307"/>
      <c r="Y53" s="307"/>
      <c r="Z53" s="150"/>
      <c r="AA53" s="150"/>
      <c r="AB53" s="307"/>
      <c r="AC53" s="307"/>
      <c r="AD53" s="307"/>
      <c r="AE53" s="307"/>
      <c r="AF53" s="307"/>
      <c r="AG53" s="307"/>
      <c r="AH53" s="307"/>
      <c r="AI53" s="307"/>
      <c r="AJ53" s="307"/>
      <c r="AK53" s="307"/>
      <c r="AL53" s="307"/>
      <c r="AM53" s="307"/>
      <c r="AN53" s="307"/>
      <c r="AO53" s="307"/>
      <c r="AP53" s="307"/>
      <c r="AQ53" s="307"/>
      <c r="AR53" s="307"/>
      <c r="AS53" s="307"/>
      <c r="AT53" s="307"/>
      <c r="AU53" s="307"/>
      <c r="AV53" s="307"/>
      <c r="AW53" s="307"/>
      <c r="AX53" s="307"/>
      <c r="AY53" s="307"/>
      <c r="AZ53" s="307"/>
      <c r="BA53" s="307"/>
      <c r="BB53" s="307"/>
      <c r="BC53" s="307"/>
      <c r="BD53" s="307"/>
      <c r="BE53" s="307"/>
      <c r="BF53" s="307"/>
      <c r="BG53" s="307"/>
      <c r="BH53" s="307"/>
    </row>
    <row r="54" spans="1:60">
      <c r="A54" s="13"/>
      <c r="B54" s="13"/>
      <c r="C54" s="23"/>
      <c r="D54" s="23"/>
      <c r="E54" s="23"/>
      <c r="F54" s="310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307"/>
      <c r="Y54" s="307"/>
      <c r="Z54" s="150"/>
      <c r="AA54" s="150"/>
      <c r="AB54" s="307"/>
      <c r="AC54" s="307"/>
      <c r="AD54" s="307"/>
      <c r="AE54" s="307"/>
      <c r="AF54" s="307"/>
      <c r="AG54" s="307"/>
      <c r="AH54" s="307"/>
      <c r="AI54" s="307"/>
      <c r="AJ54" s="307"/>
      <c r="AK54" s="307"/>
      <c r="AL54" s="307"/>
      <c r="AM54" s="307"/>
      <c r="AN54" s="307"/>
      <c r="AO54" s="307"/>
      <c r="AP54" s="307"/>
      <c r="AQ54" s="307"/>
      <c r="AR54" s="307"/>
      <c r="AS54" s="307"/>
      <c r="AT54" s="307"/>
      <c r="AU54" s="307"/>
      <c r="AV54" s="307"/>
      <c r="AW54" s="307"/>
      <c r="AX54" s="307"/>
      <c r="AY54" s="307"/>
      <c r="AZ54" s="307"/>
      <c r="BA54" s="307"/>
      <c r="BB54" s="307"/>
      <c r="BC54" s="307"/>
      <c r="BD54" s="307"/>
      <c r="BE54" s="307"/>
      <c r="BF54" s="307"/>
      <c r="BG54" s="307"/>
      <c r="BH54" s="307"/>
    </row>
    <row r="55" spans="1:60">
      <c r="A55" s="13"/>
      <c r="B55" s="179"/>
      <c r="C55" s="310"/>
      <c r="D55" s="310"/>
      <c r="E55" s="310"/>
      <c r="F55" s="310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307"/>
      <c r="Y55" s="307"/>
      <c r="Z55" s="150"/>
      <c r="AA55" s="150"/>
      <c r="AB55" s="307"/>
      <c r="AC55" s="307"/>
      <c r="AD55" s="307"/>
      <c r="AE55" s="307"/>
      <c r="AF55" s="307"/>
      <c r="AG55" s="307"/>
      <c r="AH55" s="307"/>
      <c r="AI55" s="307"/>
      <c r="AJ55" s="307"/>
      <c r="AK55" s="307"/>
      <c r="AL55" s="307"/>
      <c r="AM55" s="307"/>
      <c r="AN55" s="307"/>
      <c r="AO55" s="307"/>
      <c r="AP55" s="307"/>
      <c r="AQ55" s="307"/>
      <c r="AR55" s="307"/>
      <c r="AS55" s="307"/>
      <c r="AT55" s="307"/>
      <c r="AU55" s="307"/>
      <c r="AV55" s="307"/>
      <c r="AW55" s="307"/>
      <c r="AX55" s="307"/>
      <c r="AY55" s="307"/>
      <c r="AZ55" s="307"/>
      <c r="BA55" s="307"/>
      <c r="BB55" s="307"/>
      <c r="BC55" s="307"/>
      <c r="BD55" s="307"/>
      <c r="BE55" s="307"/>
      <c r="BF55" s="307"/>
      <c r="BG55" s="307"/>
      <c r="BH55" s="307"/>
    </row>
    <row r="56" spans="1:60">
      <c r="A56" s="13"/>
      <c r="B56" s="179"/>
      <c r="C56" s="310"/>
      <c r="D56" s="310"/>
      <c r="E56" s="310"/>
      <c r="F56" s="310"/>
      <c r="G56" s="307"/>
      <c r="H56" s="307"/>
      <c r="I56" s="307"/>
      <c r="J56" s="307"/>
      <c r="K56" s="307"/>
      <c r="L56" s="307"/>
      <c r="M56" s="307"/>
      <c r="N56" s="307"/>
      <c r="O56" s="307"/>
      <c r="P56" s="307"/>
      <c r="Q56" s="307"/>
      <c r="R56" s="307"/>
      <c r="S56" s="307"/>
      <c r="T56" s="307"/>
      <c r="U56" s="307"/>
      <c r="V56" s="307"/>
      <c r="W56" s="307"/>
      <c r="X56" s="307"/>
      <c r="Y56" s="307"/>
      <c r="Z56" s="150"/>
      <c r="AA56" s="150"/>
      <c r="AB56" s="307"/>
      <c r="AC56" s="307"/>
      <c r="AD56" s="307"/>
      <c r="AE56" s="307"/>
      <c r="AF56" s="307"/>
      <c r="AG56" s="307"/>
      <c r="AH56" s="307"/>
      <c r="AI56" s="307"/>
      <c r="AJ56" s="307"/>
      <c r="AK56" s="307"/>
      <c r="AL56" s="307"/>
      <c r="AM56" s="307"/>
      <c r="AN56" s="307"/>
      <c r="AO56" s="307"/>
      <c r="AP56" s="307"/>
      <c r="AQ56" s="307"/>
      <c r="AR56" s="307"/>
      <c r="AS56" s="307"/>
      <c r="AT56" s="307"/>
      <c r="AU56" s="307"/>
      <c r="AV56" s="307"/>
      <c r="AW56" s="307"/>
      <c r="AX56" s="307"/>
      <c r="AY56" s="307"/>
      <c r="AZ56" s="307"/>
      <c r="BA56" s="307"/>
      <c r="BB56" s="307"/>
      <c r="BC56" s="307"/>
      <c r="BD56" s="307"/>
      <c r="BE56" s="307"/>
      <c r="BF56" s="307"/>
      <c r="BG56" s="307"/>
      <c r="BH56" s="307"/>
    </row>
    <row r="57" spans="1:60">
      <c r="A57" s="13"/>
      <c r="B57" s="179"/>
      <c r="C57" s="310"/>
      <c r="D57" s="310"/>
      <c r="E57" s="310"/>
      <c r="F57" s="310"/>
      <c r="G57" s="307"/>
      <c r="H57" s="307"/>
      <c r="I57" s="307"/>
      <c r="J57" s="307"/>
      <c r="K57" s="307"/>
      <c r="L57" s="307"/>
      <c r="M57" s="307"/>
      <c r="N57" s="307"/>
      <c r="O57" s="307"/>
      <c r="P57" s="307"/>
      <c r="Q57" s="307"/>
      <c r="R57" s="307"/>
      <c r="S57" s="307"/>
      <c r="T57" s="307"/>
      <c r="U57" s="307"/>
      <c r="V57" s="307"/>
      <c r="W57" s="307"/>
      <c r="X57" s="307"/>
      <c r="Y57" s="307"/>
      <c r="Z57" s="150"/>
      <c r="AA57" s="150"/>
      <c r="AB57" s="307"/>
      <c r="AC57" s="307"/>
      <c r="AD57" s="307"/>
      <c r="AE57" s="307"/>
      <c r="AF57" s="307"/>
      <c r="AG57" s="307"/>
      <c r="AH57" s="307"/>
      <c r="AI57" s="307"/>
      <c r="AJ57" s="307"/>
      <c r="AK57" s="307"/>
      <c r="AL57" s="307"/>
      <c r="AM57" s="307"/>
      <c r="AN57" s="307"/>
      <c r="AO57" s="307"/>
      <c r="AP57" s="307"/>
      <c r="AQ57" s="307"/>
      <c r="AR57" s="307"/>
      <c r="AS57" s="307"/>
      <c r="AT57" s="307"/>
      <c r="AU57" s="307"/>
      <c r="AV57" s="307"/>
      <c r="AW57" s="307"/>
      <c r="AX57" s="307"/>
      <c r="AY57" s="307"/>
      <c r="AZ57" s="307"/>
      <c r="BA57" s="307"/>
      <c r="BB57" s="307"/>
      <c r="BC57" s="307"/>
      <c r="BD57" s="307"/>
      <c r="BE57" s="307"/>
      <c r="BF57" s="307"/>
      <c r="BG57" s="307"/>
      <c r="BH57" s="307"/>
    </row>
    <row r="58" spans="1:60">
      <c r="A58" s="13"/>
      <c r="B58" s="179"/>
      <c r="C58" s="310"/>
      <c r="D58" s="310"/>
      <c r="E58" s="310"/>
      <c r="F58" s="310"/>
      <c r="G58" s="307"/>
      <c r="H58" s="307"/>
      <c r="I58" s="307"/>
      <c r="J58" s="307"/>
      <c r="K58" s="307"/>
      <c r="L58" s="307"/>
      <c r="M58" s="307"/>
      <c r="N58" s="307"/>
      <c r="O58" s="307"/>
      <c r="P58" s="307"/>
      <c r="Q58" s="307"/>
      <c r="R58" s="307"/>
      <c r="S58" s="307"/>
      <c r="T58" s="307"/>
      <c r="U58" s="307"/>
      <c r="V58" s="307"/>
      <c r="W58" s="307"/>
      <c r="X58" s="307"/>
      <c r="Y58" s="307"/>
      <c r="Z58" s="150"/>
      <c r="AA58" s="150"/>
      <c r="AB58" s="307"/>
      <c r="AC58" s="307"/>
      <c r="AD58" s="307"/>
      <c r="AE58" s="307"/>
      <c r="AF58" s="307"/>
      <c r="AG58" s="307"/>
      <c r="AH58" s="307"/>
      <c r="AI58" s="307"/>
      <c r="AJ58" s="307"/>
      <c r="AK58" s="307"/>
      <c r="AL58" s="307"/>
      <c r="AM58" s="307"/>
      <c r="AN58" s="307"/>
      <c r="AO58" s="307"/>
      <c r="AP58" s="307"/>
      <c r="AQ58" s="307"/>
      <c r="AR58" s="307"/>
      <c r="AS58" s="307"/>
      <c r="AT58" s="307"/>
      <c r="AU58" s="307"/>
      <c r="AV58" s="307"/>
      <c r="AW58" s="307"/>
      <c r="AX58" s="307"/>
      <c r="AY58" s="307"/>
      <c r="AZ58" s="307"/>
      <c r="BA58" s="307"/>
      <c r="BB58" s="307"/>
      <c r="BC58" s="307"/>
      <c r="BD58" s="307"/>
      <c r="BE58" s="307"/>
      <c r="BF58" s="307"/>
      <c r="BG58" s="307"/>
      <c r="BH58" s="307"/>
    </row>
    <row r="59" spans="1:60">
      <c r="A59" s="13"/>
      <c r="B59" s="179"/>
      <c r="C59" s="310"/>
      <c r="D59" s="310"/>
      <c r="E59" s="310"/>
      <c r="F59" s="310"/>
      <c r="G59" s="307"/>
      <c r="H59" s="307"/>
      <c r="I59" s="307"/>
      <c r="J59" s="307"/>
      <c r="K59" s="307"/>
      <c r="L59" s="307"/>
      <c r="M59" s="307"/>
      <c r="N59" s="307"/>
      <c r="O59" s="307"/>
      <c r="P59" s="307"/>
      <c r="Q59" s="307"/>
      <c r="R59" s="307"/>
      <c r="S59" s="307"/>
      <c r="T59" s="307"/>
      <c r="U59" s="307"/>
      <c r="V59" s="307"/>
      <c r="W59" s="307"/>
      <c r="X59" s="307"/>
      <c r="Y59" s="307"/>
      <c r="Z59" s="150"/>
      <c r="AA59" s="150"/>
      <c r="AB59" s="307"/>
      <c r="AC59" s="307"/>
      <c r="AD59" s="307"/>
      <c r="AE59" s="307"/>
      <c r="AF59" s="307"/>
      <c r="AG59" s="307"/>
      <c r="AH59" s="307"/>
      <c r="AI59" s="307"/>
      <c r="AJ59" s="307"/>
      <c r="AK59" s="307"/>
      <c r="AL59" s="307"/>
      <c r="AM59" s="307"/>
      <c r="AN59" s="307"/>
      <c r="AO59" s="307"/>
      <c r="AP59" s="307"/>
      <c r="AQ59" s="307"/>
      <c r="AR59" s="307"/>
      <c r="AS59" s="307"/>
      <c r="AT59" s="307"/>
      <c r="AU59" s="307"/>
      <c r="AV59" s="307"/>
      <c r="AW59" s="307"/>
      <c r="AX59" s="307"/>
      <c r="AY59" s="307"/>
      <c r="AZ59" s="307"/>
      <c r="BA59" s="307"/>
      <c r="BB59" s="307"/>
      <c r="BC59" s="307"/>
      <c r="BD59" s="307"/>
      <c r="BE59" s="307"/>
      <c r="BF59" s="307"/>
      <c r="BG59" s="307"/>
      <c r="BH59" s="307"/>
    </row>
    <row r="60" spans="1:60">
      <c r="A60" s="13"/>
      <c r="B60" s="179"/>
      <c r="C60" s="310"/>
      <c r="D60" s="310"/>
      <c r="E60" s="310"/>
      <c r="F60" s="310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150"/>
      <c r="AA60" s="150"/>
      <c r="AB60" s="307"/>
      <c r="AC60" s="307"/>
      <c r="AD60" s="307"/>
      <c r="AE60" s="307"/>
      <c r="AF60" s="307"/>
      <c r="AG60" s="307"/>
      <c r="AH60" s="307"/>
      <c r="AI60" s="307"/>
      <c r="AJ60" s="307"/>
      <c r="AK60" s="307"/>
      <c r="AL60" s="307"/>
      <c r="AM60" s="307"/>
      <c r="AN60" s="307"/>
      <c r="AO60" s="307"/>
      <c r="AP60" s="307"/>
      <c r="AQ60" s="307"/>
      <c r="AR60" s="307"/>
      <c r="AS60" s="307"/>
      <c r="AT60" s="307"/>
      <c r="AU60" s="307"/>
      <c r="AV60" s="307"/>
      <c r="AW60" s="307"/>
      <c r="AX60" s="307"/>
      <c r="AY60" s="307"/>
    </row>
    <row r="61" spans="1:60">
      <c r="A61" s="179"/>
      <c r="B61" s="179"/>
      <c r="C61" s="310"/>
      <c r="D61" s="310"/>
      <c r="E61" s="310"/>
      <c r="F61" s="310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307"/>
      <c r="Y61" s="307"/>
      <c r="Z61" s="150"/>
      <c r="AA61" s="150"/>
      <c r="AB61" s="307"/>
      <c r="AC61" s="307"/>
      <c r="AD61" s="307"/>
      <c r="AE61" s="307"/>
      <c r="AF61" s="307"/>
      <c r="AG61" s="307"/>
      <c r="AH61" s="307"/>
      <c r="AI61" s="307"/>
      <c r="AJ61" s="307"/>
      <c r="AK61" s="307"/>
      <c r="AL61" s="307"/>
      <c r="AM61" s="307"/>
      <c r="AN61" s="307"/>
      <c r="AO61" s="307"/>
      <c r="AP61" s="307"/>
      <c r="AQ61" s="307"/>
      <c r="AR61" s="307"/>
      <c r="AS61" s="307"/>
      <c r="AT61" s="307"/>
      <c r="AU61" s="307"/>
      <c r="AV61" s="307"/>
      <c r="AW61" s="307"/>
      <c r="AX61" s="307"/>
      <c r="AY61" s="307"/>
    </row>
    <row r="62" spans="1:60"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307"/>
      <c r="Y62" s="307"/>
      <c r="Z62" s="150"/>
      <c r="AA62" s="150"/>
      <c r="AB62" s="307"/>
      <c r="AC62" s="307"/>
      <c r="AD62" s="307"/>
      <c r="AE62" s="307"/>
      <c r="AF62" s="307"/>
      <c r="AG62" s="307"/>
      <c r="AH62" s="307"/>
      <c r="AI62" s="307"/>
      <c r="AJ62" s="307"/>
      <c r="AK62" s="307"/>
      <c r="AL62" s="307"/>
      <c r="AM62" s="307"/>
      <c r="AN62" s="307"/>
      <c r="AO62" s="307"/>
      <c r="AP62" s="307"/>
      <c r="AQ62" s="307"/>
      <c r="AR62" s="307"/>
      <c r="AS62" s="307"/>
      <c r="AT62" s="307"/>
      <c r="AU62" s="307"/>
      <c r="AV62" s="307"/>
      <c r="AW62" s="307"/>
      <c r="AX62" s="307"/>
      <c r="AY62" s="307"/>
    </row>
    <row r="63" spans="1:60">
      <c r="C63" s="307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7"/>
      <c r="P63" s="307"/>
      <c r="Q63" s="307"/>
      <c r="R63" s="307"/>
      <c r="S63" s="307"/>
      <c r="T63" s="307"/>
      <c r="U63" s="307"/>
      <c r="V63" s="307"/>
      <c r="W63" s="307"/>
      <c r="X63" s="307"/>
      <c r="Y63" s="307"/>
      <c r="Z63" s="150"/>
      <c r="AA63" s="150"/>
      <c r="AB63" s="307"/>
      <c r="AC63" s="307"/>
      <c r="AD63" s="307"/>
      <c r="AE63" s="307"/>
      <c r="AF63" s="307"/>
      <c r="AG63" s="307"/>
      <c r="AH63" s="307"/>
      <c r="AI63" s="307"/>
      <c r="AJ63" s="307"/>
      <c r="AK63" s="307"/>
      <c r="AL63" s="307"/>
      <c r="AM63" s="307"/>
      <c r="AN63" s="307"/>
      <c r="AO63" s="307"/>
      <c r="AP63" s="307"/>
      <c r="AQ63" s="307"/>
      <c r="AR63" s="307"/>
      <c r="AS63" s="307"/>
      <c r="AT63" s="307"/>
      <c r="AU63" s="307"/>
      <c r="AV63" s="307"/>
      <c r="AW63" s="307"/>
      <c r="AX63" s="307"/>
      <c r="AY63" s="307"/>
    </row>
    <row r="64" spans="1:60">
      <c r="C64" s="307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307"/>
      <c r="S64" s="307"/>
      <c r="T64" s="307"/>
      <c r="U64" s="307"/>
      <c r="V64" s="307"/>
      <c r="W64" s="307"/>
      <c r="X64" s="307"/>
      <c r="Y64" s="307"/>
      <c r="Z64" s="150"/>
      <c r="AA64" s="150"/>
      <c r="AB64" s="307"/>
      <c r="AC64" s="307"/>
      <c r="AD64" s="307"/>
      <c r="AE64" s="307"/>
      <c r="AF64" s="307"/>
      <c r="AG64" s="307"/>
      <c r="AH64" s="307"/>
      <c r="AI64" s="307"/>
      <c r="AJ64" s="307"/>
      <c r="AK64" s="307"/>
      <c r="AL64" s="307"/>
      <c r="AM64" s="307"/>
      <c r="AN64" s="307"/>
      <c r="AO64" s="307"/>
      <c r="AP64" s="307"/>
      <c r="AQ64" s="307"/>
      <c r="AR64" s="307"/>
      <c r="AS64" s="307"/>
      <c r="AT64" s="307"/>
      <c r="AU64" s="307"/>
      <c r="AV64" s="307"/>
      <c r="AW64" s="307"/>
      <c r="AX64" s="307"/>
      <c r="AY64" s="307"/>
    </row>
    <row r="65" spans="3:51">
      <c r="C65" s="307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7"/>
      <c r="W65" s="307"/>
      <c r="X65" s="307"/>
      <c r="Y65" s="307"/>
      <c r="Z65" s="150"/>
      <c r="AA65" s="150"/>
      <c r="AB65" s="307"/>
      <c r="AC65" s="307"/>
      <c r="AD65" s="307"/>
      <c r="AE65" s="307"/>
      <c r="AF65" s="307"/>
      <c r="AG65" s="307"/>
      <c r="AH65" s="307"/>
      <c r="AI65" s="307"/>
      <c r="AJ65" s="307"/>
      <c r="AK65" s="307"/>
      <c r="AL65" s="307"/>
      <c r="AM65" s="307"/>
      <c r="AN65" s="307"/>
      <c r="AO65" s="307"/>
      <c r="AP65" s="307"/>
      <c r="AQ65" s="307"/>
      <c r="AR65" s="307"/>
      <c r="AS65" s="307"/>
      <c r="AT65" s="307"/>
      <c r="AU65" s="307"/>
      <c r="AV65" s="307"/>
      <c r="AW65" s="307"/>
      <c r="AX65" s="307"/>
      <c r="AY65" s="307"/>
    </row>
    <row r="66" spans="3:51">
      <c r="C66" s="307"/>
      <c r="D66" s="307"/>
      <c r="E66" s="307"/>
      <c r="F66" s="307"/>
      <c r="G66" s="307"/>
      <c r="H66" s="307"/>
      <c r="I66" s="307"/>
      <c r="J66" s="307"/>
      <c r="K66" s="307"/>
      <c r="L66" s="307"/>
      <c r="M66" s="307"/>
      <c r="N66" s="307"/>
      <c r="O66" s="307"/>
      <c r="P66" s="307"/>
      <c r="Q66" s="307"/>
      <c r="R66" s="307"/>
      <c r="S66" s="307"/>
      <c r="T66" s="307"/>
      <c r="U66" s="307"/>
      <c r="V66" s="307"/>
      <c r="W66" s="307"/>
      <c r="X66" s="307"/>
      <c r="Y66" s="307"/>
      <c r="Z66" s="150"/>
      <c r="AA66" s="150"/>
      <c r="AB66" s="307"/>
      <c r="AC66" s="307"/>
      <c r="AD66" s="307"/>
      <c r="AE66" s="307"/>
      <c r="AF66" s="307"/>
      <c r="AG66" s="307"/>
      <c r="AH66" s="307"/>
      <c r="AI66" s="307"/>
      <c r="AJ66" s="307"/>
      <c r="AK66" s="307"/>
      <c r="AL66" s="307"/>
      <c r="AM66" s="307"/>
      <c r="AN66" s="307"/>
      <c r="AO66" s="307"/>
      <c r="AP66" s="307"/>
      <c r="AQ66" s="307"/>
      <c r="AR66" s="307"/>
      <c r="AS66" s="307"/>
      <c r="AT66" s="307"/>
      <c r="AU66" s="307"/>
      <c r="AV66" s="307"/>
      <c r="AW66" s="307"/>
      <c r="AX66" s="307"/>
      <c r="AY66" s="307"/>
    </row>
    <row r="67" spans="3:51">
      <c r="C67" s="307"/>
      <c r="D67" s="307"/>
      <c r="E67" s="307"/>
      <c r="F67" s="307"/>
      <c r="G67" s="307"/>
      <c r="H67" s="307"/>
      <c r="I67" s="307"/>
      <c r="J67" s="307"/>
      <c r="K67" s="307"/>
      <c r="L67" s="307"/>
      <c r="M67" s="307"/>
      <c r="N67" s="307"/>
      <c r="O67" s="307"/>
      <c r="P67" s="307"/>
      <c r="Q67" s="307"/>
      <c r="R67" s="307"/>
      <c r="S67" s="307"/>
      <c r="T67" s="307"/>
      <c r="U67" s="307"/>
      <c r="V67" s="307"/>
      <c r="W67" s="307"/>
      <c r="X67" s="307"/>
      <c r="Y67" s="307"/>
      <c r="Z67" s="150"/>
      <c r="AA67" s="150"/>
      <c r="AB67" s="307"/>
      <c r="AC67" s="307"/>
      <c r="AD67" s="307"/>
      <c r="AE67" s="307"/>
      <c r="AF67" s="307"/>
      <c r="AG67" s="307"/>
      <c r="AH67" s="307"/>
      <c r="AI67" s="307"/>
      <c r="AJ67" s="307"/>
      <c r="AK67" s="307"/>
      <c r="AL67" s="307"/>
      <c r="AM67" s="307"/>
      <c r="AN67" s="307"/>
      <c r="AO67" s="307"/>
      <c r="AP67" s="307"/>
      <c r="AQ67" s="307"/>
      <c r="AR67" s="307"/>
      <c r="AS67" s="307"/>
      <c r="AT67" s="307"/>
      <c r="AU67" s="307"/>
      <c r="AV67" s="307"/>
      <c r="AW67" s="307"/>
      <c r="AX67" s="307"/>
      <c r="AY67" s="307"/>
    </row>
    <row r="68" spans="3:51">
      <c r="C68" s="307"/>
      <c r="D68" s="307"/>
      <c r="E68" s="307"/>
      <c r="F68" s="307"/>
      <c r="G68" s="307"/>
      <c r="H68" s="307"/>
      <c r="I68" s="307"/>
      <c r="J68" s="307"/>
      <c r="K68" s="307"/>
      <c r="L68" s="307"/>
      <c r="M68" s="307"/>
      <c r="N68" s="307"/>
      <c r="O68" s="307"/>
      <c r="P68" s="307"/>
      <c r="Q68" s="307"/>
      <c r="R68" s="307"/>
      <c r="S68" s="307"/>
      <c r="T68" s="307"/>
      <c r="U68" s="307"/>
      <c r="V68" s="307"/>
      <c r="W68" s="307"/>
      <c r="X68" s="307"/>
      <c r="Y68" s="307"/>
      <c r="Z68" s="150"/>
      <c r="AA68" s="150"/>
      <c r="AB68" s="307"/>
      <c r="AC68" s="307"/>
      <c r="AD68" s="307"/>
      <c r="AE68" s="307"/>
      <c r="AF68" s="307"/>
      <c r="AG68" s="307"/>
      <c r="AH68" s="307"/>
      <c r="AI68" s="307"/>
      <c r="AJ68" s="307"/>
      <c r="AK68" s="307"/>
      <c r="AL68" s="307"/>
      <c r="AM68" s="307"/>
      <c r="AN68" s="307"/>
      <c r="AO68" s="307"/>
      <c r="AP68" s="307"/>
      <c r="AQ68" s="307"/>
      <c r="AR68" s="307"/>
      <c r="AS68" s="307"/>
      <c r="AT68" s="307"/>
      <c r="AU68" s="307"/>
      <c r="AV68" s="307"/>
      <c r="AW68" s="307"/>
      <c r="AX68" s="307"/>
      <c r="AY68" s="307"/>
    </row>
    <row r="69" spans="3:51">
      <c r="C69" s="307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07"/>
      <c r="P69" s="307"/>
      <c r="Q69" s="307"/>
      <c r="R69" s="307"/>
      <c r="S69" s="307"/>
      <c r="T69" s="307"/>
      <c r="U69" s="307"/>
      <c r="V69" s="307"/>
      <c r="W69" s="307"/>
      <c r="X69" s="307"/>
      <c r="Y69" s="307"/>
      <c r="Z69" s="150"/>
      <c r="AA69" s="150"/>
      <c r="AB69" s="307"/>
      <c r="AC69" s="307"/>
      <c r="AD69" s="307"/>
      <c r="AE69" s="307"/>
      <c r="AF69" s="307"/>
      <c r="AG69" s="307"/>
      <c r="AH69" s="307"/>
      <c r="AI69" s="307"/>
      <c r="AJ69" s="307"/>
      <c r="AK69" s="307"/>
      <c r="AL69" s="307"/>
      <c r="AM69" s="307"/>
      <c r="AN69" s="307"/>
      <c r="AO69" s="307"/>
      <c r="AP69" s="307"/>
      <c r="AQ69" s="307"/>
      <c r="AR69" s="307"/>
      <c r="AS69" s="307"/>
      <c r="AT69" s="307"/>
      <c r="AU69" s="307"/>
      <c r="AV69" s="307"/>
      <c r="AW69" s="307"/>
      <c r="AX69" s="307"/>
      <c r="AY69" s="307"/>
    </row>
    <row r="70" spans="3:51">
      <c r="C70" s="307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07"/>
      <c r="P70" s="307"/>
      <c r="Q70" s="307"/>
      <c r="R70" s="307"/>
      <c r="S70" s="307"/>
      <c r="T70" s="307"/>
      <c r="U70" s="307"/>
      <c r="V70" s="307"/>
      <c r="W70" s="307"/>
      <c r="X70" s="307"/>
      <c r="Y70" s="307"/>
      <c r="Z70" s="150"/>
      <c r="AA70" s="150"/>
      <c r="AB70" s="307"/>
      <c r="AC70" s="307"/>
      <c r="AD70" s="307"/>
      <c r="AE70" s="307"/>
      <c r="AF70" s="307"/>
      <c r="AG70" s="307"/>
      <c r="AH70" s="307"/>
      <c r="AI70" s="307"/>
      <c r="AJ70" s="307"/>
      <c r="AK70" s="307"/>
      <c r="AL70" s="307"/>
      <c r="AM70" s="307"/>
      <c r="AN70" s="307"/>
      <c r="AO70" s="307"/>
      <c r="AP70" s="307"/>
      <c r="AQ70" s="307"/>
      <c r="AR70" s="307"/>
      <c r="AS70" s="307"/>
      <c r="AT70" s="307"/>
      <c r="AU70" s="307"/>
      <c r="AV70" s="307"/>
      <c r="AW70" s="307"/>
      <c r="AX70" s="307"/>
      <c r="AY70" s="307"/>
    </row>
    <row r="71" spans="3:51">
      <c r="C71" s="307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150"/>
      <c r="AA71" s="150"/>
      <c r="AB71" s="307"/>
      <c r="AC71" s="307"/>
      <c r="AD71" s="307"/>
      <c r="AE71" s="307"/>
      <c r="AF71" s="307"/>
      <c r="AG71" s="307"/>
      <c r="AH71" s="307"/>
      <c r="AI71" s="307"/>
      <c r="AJ71" s="307"/>
      <c r="AK71" s="307"/>
      <c r="AL71" s="307"/>
      <c r="AM71" s="307"/>
      <c r="AN71" s="307"/>
      <c r="AO71" s="307"/>
      <c r="AP71" s="307"/>
      <c r="AQ71" s="307"/>
      <c r="AR71" s="307"/>
      <c r="AS71" s="307"/>
      <c r="AT71" s="307"/>
      <c r="AU71" s="307"/>
      <c r="AV71" s="307"/>
      <c r="AW71" s="307"/>
      <c r="AX71" s="307"/>
      <c r="AY71" s="307"/>
    </row>
    <row r="72" spans="3:51">
      <c r="C72" s="307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07"/>
      <c r="S72" s="307"/>
      <c r="T72" s="307"/>
      <c r="U72" s="307"/>
      <c r="V72" s="307"/>
      <c r="W72" s="307"/>
      <c r="X72" s="307"/>
      <c r="Y72" s="307"/>
      <c r="Z72" s="150"/>
      <c r="AA72" s="150"/>
      <c r="AB72" s="307"/>
      <c r="AC72" s="307"/>
      <c r="AD72" s="307"/>
      <c r="AE72" s="307"/>
      <c r="AF72" s="307"/>
      <c r="AG72" s="307"/>
      <c r="AH72" s="307"/>
      <c r="AI72" s="307"/>
      <c r="AJ72" s="307"/>
      <c r="AK72" s="307"/>
      <c r="AL72" s="307"/>
      <c r="AM72" s="307"/>
      <c r="AN72" s="307"/>
      <c r="AO72" s="307"/>
      <c r="AP72" s="307"/>
      <c r="AQ72" s="307"/>
      <c r="AR72" s="307"/>
      <c r="AS72" s="307"/>
      <c r="AT72" s="307"/>
      <c r="AU72" s="307"/>
      <c r="AV72" s="307"/>
      <c r="AW72" s="307"/>
      <c r="AX72" s="307"/>
      <c r="AY72" s="307"/>
    </row>
    <row r="73" spans="3:51">
      <c r="C73" s="307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307"/>
      <c r="O73" s="307"/>
      <c r="P73" s="307"/>
      <c r="Q73" s="307"/>
      <c r="R73" s="307"/>
      <c r="S73" s="307"/>
      <c r="T73" s="307"/>
      <c r="U73" s="307"/>
      <c r="V73" s="307"/>
      <c r="W73" s="307"/>
      <c r="X73" s="307"/>
      <c r="Y73" s="307"/>
      <c r="Z73" s="150"/>
      <c r="AA73" s="150"/>
      <c r="AB73" s="307"/>
      <c r="AC73" s="307"/>
      <c r="AD73" s="307"/>
      <c r="AE73" s="307"/>
      <c r="AF73" s="307"/>
      <c r="AG73" s="307"/>
      <c r="AH73" s="307"/>
      <c r="AI73" s="307"/>
      <c r="AJ73" s="307"/>
      <c r="AK73" s="307"/>
      <c r="AL73" s="307"/>
      <c r="AM73" s="307"/>
      <c r="AN73" s="307"/>
      <c r="AO73" s="307"/>
      <c r="AP73" s="307"/>
      <c r="AQ73" s="307"/>
      <c r="AR73" s="307"/>
      <c r="AS73" s="307"/>
      <c r="AT73" s="307"/>
      <c r="AU73" s="307"/>
      <c r="AV73" s="307"/>
      <c r="AW73" s="307"/>
      <c r="AX73" s="307"/>
      <c r="AY73" s="307"/>
    </row>
    <row r="74" spans="3:51">
      <c r="C74" s="307"/>
      <c r="D74" s="307"/>
      <c r="E74" s="307"/>
      <c r="F74" s="307"/>
      <c r="G74" s="307"/>
      <c r="H74" s="307"/>
      <c r="I74" s="307"/>
      <c r="J74" s="307"/>
      <c r="K74" s="307"/>
      <c r="L74" s="307"/>
      <c r="M74" s="307"/>
      <c r="N74" s="307"/>
      <c r="O74" s="307"/>
      <c r="P74" s="307"/>
      <c r="Q74" s="307"/>
      <c r="R74" s="307"/>
      <c r="S74" s="307"/>
      <c r="T74" s="307"/>
      <c r="U74" s="307"/>
      <c r="V74" s="307"/>
      <c r="W74" s="307"/>
      <c r="X74" s="307"/>
      <c r="Y74" s="307"/>
      <c r="Z74" s="150"/>
      <c r="AA74" s="150"/>
      <c r="AB74" s="307"/>
      <c r="AC74" s="307"/>
      <c r="AD74" s="307"/>
      <c r="AE74" s="307"/>
      <c r="AF74" s="307"/>
      <c r="AG74" s="307"/>
      <c r="AH74" s="307"/>
      <c r="AI74" s="307"/>
      <c r="AJ74" s="307"/>
      <c r="AK74" s="307"/>
      <c r="AL74" s="307"/>
      <c r="AM74" s="307"/>
      <c r="AN74" s="307"/>
      <c r="AO74" s="307"/>
      <c r="AP74" s="307"/>
      <c r="AQ74" s="307"/>
      <c r="AR74" s="307"/>
      <c r="AS74" s="307"/>
      <c r="AT74" s="307"/>
      <c r="AU74" s="307"/>
      <c r="AV74" s="307"/>
      <c r="AW74" s="307"/>
      <c r="AX74" s="307"/>
      <c r="AY74" s="307"/>
    </row>
    <row r="75" spans="3:51">
      <c r="C75" s="307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07"/>
      <c r="P75" s="307"/>
      <c r="Q75" s="307"/>
      <c r="R75" s="307"/>
      <c r="S75" s="307"/>
      <c r="T75" s="307"/>
      <c r="U75" s="307"/>
      <c r="V75" s="307"/>
      <c r="W75" s="307"/>
      <c r="X75" s="307"/>
      <c r="Y75" s="307"/>
      <c r="Z75" s="150"/>
      <c r="AA75" s="150"/>
      <c r="AB75" s="307"/>
      <c r="AC75" s="307"/>
      <c r="AD75" s="307"/>
      <c r="AE75" s="307"/>
      <c r="AF75" s="307"/>
      <c r="AG75" s="307"/>
      <c r="AH75" s="307"/>
      <c r="AI75" s="307"/>
      <c r="AJ75" s="307"/>
      <c r="AK75" s="307"/>
      <c r="AL75" s="307"/>
      <c r="AM75" s="307"/>
      <c r="AN75" s="307"/>
      <c r="AO75" s="307"/>
      <c r="AP75" s="307"/>
      <c r="AQ75" s="307"/>
      <c r="AR75" s="307"/>
      <c r="AS75" s="307"/>
      <c r="AT75" s="307"/>
      <c r="AU75" s="307"/>
      <c r="AV75" s="307"/>
      <c r="AW75" s="307"/>
      <c r="AX75" s="307"/>
      <c r="AY75" s="307"/>
    </row>
    <row r="76" spans="3:51">
      <c r="C76" s="307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07"/>
      <c r="P76" s="307"/>
      <c r="Q76" s="307"/>
      <c r="R76" s="307"/>
      <c r="S76" s="307"/>
      <c r="T76" s="307"/>
      <c r="U76" s="307"/>
      <c r="V76" s="307"/>
      <c r="W76" s="307"/>
      <c r="X76" s="307"/>
      <c r="Y76" s="307"/>
      <c r="Z76" s="150"/>
      <c r="AA76" s="150"/>
      <c r="AB76" s="307"/>
      <c r="AC76" s="307"/>
      <c r="AD76" s="307"/>
      <c r="AE76" s="307"/>
      <c r="AF76" s="307"/>
      <c r="AG76" s="307"/>
      <c r="AH76" s="307"/>
      <c r="AI76" s="307"/>
      <c r="AJ76" s="307"/>
      <c r="AK76" s="307"/>
      <c r="AL76" s="307"/>
      <c r="AM76" s="307"/>
      <c r="AN76" s="307"/>
      <c r="AO76" s="307"/>
      <c r="AP76" s="307"/>
      <c r="AQ76" s="307"/>
      <c r="AR76" s="307"/>
      <c r="AS76" s="307"/>
      <c r="AT76" s="307"/>
      <c r="AU76" s="307"/>
      <c r="AV76" s="307"/>
      <c r="AW76" s="307"/>
      <c r="AX76" s="307"/>
      <c r="AY76" s="307"/>
    </row>
    <row r="77" spans="3:51">
      <c r="C77" s="307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150"/>
      <c r="AA77" s="150"/>
      <c r="AB77" s="307"/>
      <c r="AC77" s="307"/>
      <c r="AD77" s="307"/>
      <c r="AE77" s="307"/>
      <c r="AF77" s="307"/>
      <c r="AG77" s="307"/>
      <c r="AH77" s="307"/>
      <c r="AI77" s="307"/>
      <c r="AJ77" s="307"/>
      <c r="AK77" s="307"/>
      <c r="AL77" s="307"/>
      <c r="AM77" s="307"/>
      <c r="AN77" s="307"/>
      <c r="AO77" s="307"/>
      <c r="AP77" s="307"/>
      <c r="AQ77" s="307"/>
      <c r="AR77" s="307"/>
      <c r="AS77" s="307"/>
      <c r="AT77" s="307"/>
      <c r="AU77" s="307"/>
      <c r="AV77" s="307"/>
      <c r="AW77" s="307"/>
      <c r="AX77" s="307"/>
      <c r="AY77" s="307"/>
    </row>
    <row r="78" spans="3:51">
      <c r="C78" s="307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  <c r="Q78" s="307"/>
      <c r="R78" s="307"/>
      <c r="S78" s="307"/>
      <c r="T78" s="307"/>
      <c r="U78" s="307"/>
      <c r="V78" s="307"/>
      <c r="W78" s="307"/>
      <c r="X78" s="307"/>
      <c r="Y78" s="307"/>
      <c r="Z78" s="150"/>
      <c r="AA78" s="150"/>
      <c r="AB78" s="307"/>
      <c r="AC78" s="307"/>
      <c r="AD78" s="307"/>
      <c r="AE78" s="307"/>
      <c r="AF78" s="307"/>
      <c r="AG78" s="307"/>
      <c r="AH78" s="307"/>
      <c r="AI78" s="307"/>
      <c r="AJ78" s="307"/>
      <c r="AK78" s="307"/>
      <c r="AL78" s="307"/>
      <c r="AM78" s="307"/>
      <c r="AN78" s="307"/>
      <c r="AO78" s="307"/>
      <c r="AP78" s="307"/>
      <c r="AQ78" s="307"/>
      <c r="AR78" s="307"/>
      <c r="AS78" s="307"/>
      <c r="AT78" s="307"/>
      <c r="AU78" s="307"/>
      <c r="AV78" s="307"/>
      <c r="AW78" s="307"/>
      <c r="AX78" s="307"/>
      <c r="AY78" s="307"/>
    </row>
    <row r="79" spans="3:51">
      <c r="C79" s="307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/>
      <c r="Q79" s="307"/>
      <c r="R79" s="307"/>
      <c r="S79" s="307"/>
      <c r="T79" s="307"/>
      <c r="U79" s="307"/>
      <c r="V79" s="307"/>
      <c r="W79" s="307"/>
      <c r="X79" s="307"/>
      <c r="Y79" s="307"/>
      <c r="Z79" s="150"/>
      <c r="AA79" s="150"/>
      <c r="AB79" s="307"/>
      <c r="AC79" s="307"/>
      <c r="AD79" s="307"/>
      <c r="AE79" s="307"/>
      <c r="AF79" s="307"/>
      <c r="AG79" s="307"/>
      <c r="AH79" s="307"/>
      <c r="AI79" s="307"/>
      <c r="AJ79" s="307"/>
      <c r="AK79" s="307"/>
      <c r="AL79" s="307"/>
      <c r="AM79" s="307"/>
      <c r="AN79" s="307"/>
      <c r="AO79" s="307"/>
      <c r="AP79" s="307"/>
      <c r="AQ79" s="307"/>
      <c r="AR79" s="307"/>
      <c r="AS79" s="307"/>
      <c r="AT79" s="307"/>
      <c r="AU79" s="307"/>
      <c r="AV79" s="307"/>
      <c r="AW79" s="307"/>
      <c r="AX79" s="307"/>
      <c r="AY79" s="307"/>
    </row>
    <row r="80" spans="3:51">
      <c r="C80" s="307"/>
      <c r="D80" s="307"/>
      <c r="E80" s="307"/>
      <c r="F80" s="307"/>
      <c r="G80" s="307"/>
      <c r="H80" s="307"/>
      <c r="I80" s="307"/>
      <c r="J80" s="307"/>
      <c r="K80" s="307"/>
      <c r="L80" s="307"/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7"/>
      <c r="X80" s="307"/>
      <c r="Y80" s="307"/>
      <c r="Z80" s="150"/>
      <c r="AA80" s="150"/>
      <c r="AB80" s="307"/>
      <c r="AC80" s="307"/>
      <c r="AD80" s="307"/>
      <c r="AE80" s="307"/>
      <c r="AF80" s="307"/>
      <c r="AG80" s="307"/>
      <c r="AH80" s="307"/>
      <c r="AI80" s="307"/>
      <c r="AJ80" s="307"/>
      <c r="AK80" s="307"/>
      <c r="AL80" s="307"/>
      <c r="AM80" s="307"/>
      <c r="AN80" s="307"/>
      <c r="AO80" s="307"/>
      <c r="AP80" s="307"/>
      <c r="AQ80" s="307"/>
      <c r="AR80" s="307"/>
      <c r="AS80" s="307"/>
      <c r="AT80" s="307"/>
      <c r="AU80" s="307"/>
      <c r="AV80" s="307"/>
      <c r="AW80" s="307"/>
      <c r="AX80" s="307"/>
      <c r="AY80" s="307"/>
    </row>
    <row r="81" spans="3:51"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307"/>
      <c r="Y81" s="307"/>
      <c r="Z81" s="150"/>
      <c r="AA81" s="150"/>
      <c r="AB81" s="307"/>
      <c r="AC81" s="307"/>
      <c r="AD81" s="307"/>
      <c r="AE81" s="307"/>
      <c r="AF81" s="307"/>
      <c r="AG81" s="307"/>
      <c r="AH81" s="307"/>
      <c r="AI81" s="307"/>
      <c r="AJ81" s="307"/>
      <c r="AK81" s="307"/>
      <c r="AL81" s="307"/>
      <c r="AM81" s="307"/>
      <c r="AN81" s="307"/>
      <c r="AO81" s="307"/>
      <c r="AP81" s="307"/>
      <c r="AQ81" s="307"/>
      <c r="AR81" s="307"/>
      <c r="AS81" s="307"/>
      <c r="AT81" s="307"/>
      <c r="AU81" s="307"/>
      <c r="AV81" s="307"/>
      <c r="AW81" s="307"/>
      <c r="AX81" s="307"/>
      <c r="AY81" s="307"/>
    </row>
    <row r="82" spans="3:51">
      <c r="C82" s="307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07"/>
      <c r="P82" s="307"/>
      <c r="Q82" s="307"/>
      <c r="R82" s="307"/>
      <c r="S82" s="307"/>
      <c r="T82" s="307"/>
      <c r="U82" s="307"/>
      <c r="V82" s="307"/>
      <c r="W82" s="307"/>
      <c r="X82" s="307"/>
      <c r="Y82" s="307"/>
      <c r="Z82" s="150"/>
      <c r="AA82" s="150"/>
      <c r="AB82" s="307"/>
      <c r="AC82" s="307"/>
      <c r="AD82" s="307"/>
      <c r="AE82" s="307"/>
      <c r="AF82" s="307"/>
      <c r="AG82" s="307"/>
      <c r="AH82" s="307"/>
      <c r="AI82" s="307"/>
      <c r="AJ82" s="307"/>
      <c r="AK82" s="307"/>
      <c r="AL82" s="307"/>
      <c r="AM82" s="307"/>
      <c r="AN82" s="307"/>
      <c r="AO82" s="307"/>
      <c r="AP82" s="307"/>
      <c r="AQ82" s="307"/>
      <c r="AR82" s="307"/>
      <c r="AS82" s="307"/>
      <c r="AT82" s="307"/>
      <c r="AU82" s="307"/>
      <c r="AV82" s="307"/>
      <c r="AW82" s="307"/>
      <c r="AX82" s="307"/>
      <c r="AY82" s="307"/>
    </row>
    <row r="83" spans="3:51">
      <c r="C83" s="307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150"/>
      <c r="AA83" s="150"/>
      <c r="AB83" s="307"/>
      <c r="AC83" s="307"/>
      <c r="AD83" s="307"/>
      <c r="AE83" s="307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  <c r="AT83" s="307"/>
      <c r="AU83" s="307"/>
      <c r="AV83" s="307"/>
      <c r="AW83" s="307"/>
      <c r="AX83" s="307"/>
      <c r="AY83" s="307"/>
    </row>
    <row r="84" spans="3:51">
      <c r="C84" s="307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150"/>
      <c r="AA84" s="150"/>
      <c r="AB84" s="307"/>
      <c r="AC84" s="307"/>
      <c r="AD84" s="307"/>
      <c r="AE84" s="307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  <c r="AT84" s="307"/>
      <c r="AU84" s="307"/>
      <c r="AV84" s="307"/>
      <c r="AW84" s="307"/>
      <c r="AX84" s="307"/>
      <c r="AY84" s="307"/>
    </row>
    <row r="85" spans="3:51">
      <c r="C85" s="307"/>
      <c r="D85" s="307"/>
      <c r="E85" s="307"/>
      <c r="F85" s="307"/>
      <c r="G85" s="307"/>
      <c r="H85" s="307"/>
      <c r="I85" s="307"/>
      <c r="J85" s="307"/>
      <c r="K85" s="307"/>
      <c r="L85" s="307"/>
      <c r="M85" s="307"/>
      <c r="N85" s="307"/>
      <c r="O85" s="307"/>
      <c r="P85" s="307"/>
      <c r="Q85" s="307"/>
      <c r="R85" s="307"/>
      <c r="S85" s="307"/>
      <c r="T85" s="307"/>
      <c r="U85" s="307"/>
      <c r="V85" s="307"/>
      <c r="W85" s="307"/>
      <c r="X85" s="307"/>
      <c r="Y85" s="307"/>
      <c r="Z85" s="150"/>
      <c r="AA85" s="150"/>
      <c r="AB85" s="307"/>
      <c r="AC85" s="307"/>
      <c r="AD85" s="307"/>
      <c r="AE85" s="307"/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  <c r="AT85" s="307"/>
      <c r="AU85" s="307"/>
      <c r="AV85" s="307"/>
      <c r="AW85" s="307"/>
      <c r="AX85" s="307"/>
      <c r="AY85" s="307"/>
    </row>
    <row r="86" spans="3:51">
      <c r="C86" s="307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/>
      <c r="Q86" s="307"/>
      <c r="R86" s="307"/>
      <c r="S86" s="307"/>
      <c r="T86" s="307"/>
      <c r="U86" s="307"/>
      <c r="V86" s="307"/>
      <c r="W86" s="307"/>
      <c r="X86" s="307"/>
      <c r="Y86" s="307"/>
      <c r="Z86" s="150"/>
      <c r="AA86" s="150"/>
      <c r="AB86" s="307"/>
      <c r="AC86" s="307"/>
      <c r="AD86" s="307"/>
      <c r="AE86" s="307"/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  <c r="AT86" s="307"/>
      <c r="AU86" s="307"/>
      <c r="AV86" s="307"/>
      <c r="AW86" s="307"/>
      <c r="AX86" s="307"/>
      <c r="AY86" s="307"/>
    </row>
    <row r="87" spans="3:51">
      <c r="C87" s="307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07"/>
      <c r="P87" s="307"/>
      <c r="Q87" s="307"/>
      <c r="R87" s="307"/>
      <c r="S87" s="307"/>
      <c r="T87" s="307"/>
      <c r="U87" s="307"/>
      <c r="V87" s="307"/>
      <c r="W87" s="307"/>
      <c r="X87" s="307"/>
      <c r="Y87" s="307"/>
      <c r="Z87" s="150"/>
      <c r="AA87" s="150"/>
      <c r="AB87" s="307"/>
      <c r="AC87" s="307"/>
      <c r="AD87" s="307"/>
      <c r="AE87" s="307"/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  <c r="AT87" s="307"/>
      <c r="AU87" s="307"/>
      <c r="AV87" s="307"/>
      <c r="AW87" s="307"/>
      <c r="AX87" s="307"/>
      <c r="AY87" s="307"/>
    </row>
    <row r="88" spans="3:51">
      <c r="C88" s="307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07"/>
      <c r="P88" s="307"/>
      <c r="Q88" s="307"/>
      <c r="R88" s="307"/>
      <c r="S88" s="307"/>
      <c r="T88" s="307"/>
      <c r="U88" s="307"/>
      <c r="V88" s="307"/>
      <c r="W88" s="307"/>
      <c r="X88" s="307"/>
      <c r="Y88" s="307"/>
      <c r="Z88" s="150"/>
      <c r="AA88" s="150"/>
      <c r="AB88" s="307"/>
      <c r="AC88" s="307"/>
      <c r="AD88" s="307"/>
      <c r="AE88" s="307"/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  <c r="AT88" s="307"/>
      <c r="AU88" s="307"/>
      <c r="AV88" s="307"/>
      <c r="AW88" s="307"/>
      <c r="AX88" s="307"/>
      <c r="AY88" s="307"/>
    </row>
    <row r="89" spans="3:51">
      <c r="C89" s="307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307"/>
      <c r="S89" s="307"/>
      <c r="T89" s="307"/>
      <c r="U89" s="307"/>
      <c r="V89" s="307"/>
      <c r="W89" s="307"/>
      <c r="X89" s="307"/>
      <c r="Y89" s="307"/>
      <c r="Z89" s="150"/>
      <c r="AA89" s="150"/>
      <c r="AB89" s="307"/>
      <c r="AC89" s="307"/>
      <c r="AD89" s="307"/>
      <c r="AE89" s="307"/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  <c r="AT89" s="307"/>
      <c r="AU89" s="307"/>
      <c r="AV89" s="307"/>
      <c r="AW89" s="307"/>
      <c r="AX89" s="307"/>
      <c r="AY89" s="307"/>
    </row>
    <row r="90" spans="3:51"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307"/>
      <c r="Y90" s="307"/>
      <c r="Z90" s="150"/>
      <c r="AA90" s="150"/>
      <c r="AB90" s="307"/>
      <c r="AC90" s="307"/>
      <c r="AD90" s="307"/>
      <c r="AE90" s="307"/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  <c r="AT90" s="307"/>
      <c r="AU90" s="307"/>
      <c r="AV90" s="307"/>
      <c r="AW90" s="307"/>
      <c r="AX90" s="307"/>
      <c r="AY90" s="307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topLeftCell="A21" zoomScale="75" zoomScaleNormal="75" workbookViewId="0">
      <selection activeCell="B49" sqref="B49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8" t="str">
        <f>Assumptions!A3</f>
        <v>PROJECT NAME: UAE-Lowell</v>
      </c>
      <c r="C2" s="62"/>
      <c r="D2" s="56"/>
      <c r="E2" s="56"/>
      <c r="F2" s="92"/>
      <c r="G2" s="5"/>
      <c r="H2" s="5"/>
      <c r="I2" s="2"/>
      <c r="J2" s="2"/>
      <c r="K2" s="2"/>
      <c r="L2" s="92"/>
      <c r="M2" s="5"/>
      <c r="N2" s="5"/>
      <c r="O2" s="2"/>
      <c r="P2" s="2"/>
      <c r="Q2" s="2"/>
      <c r="R2" s="92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2"/>
      <c r="G3" s="5"/>
      <c r="H3" s="5"/>
      <c r="I3" s="2"/>
      <c r="J3" s="2"/>
      <c r="K3" s="2"/>
      <c r="L3" s="92"/>
      <c r="M3" s="5"/>
      <c r="N3" s="5"/>
      <c r="O3" s="2"/>
      <c r="P3" s="2"/>
      <c r="Q3" s="2"/>
      <c r="R3" s="92"/>
      <c r="S3" s="5"/>
      <c r="T3" s="5"/>
      <c r="U3" s="5"/>
      <c r="V3" s="5"/>
      <c r="W3" s="5"/>
      <c r="X3" s="5"/>
      <c r="AG3"/>
    </row>
    <row r="4" spans="1:40" ht="18.75">
      <c r="A4" s="60" t="s">
        <v>92</v>
      </c>
      <c r="B4" s="519" t="s">
        <v>403</v>
      </c>
      <c r="C4" s="62"/>
      <c r="D4" s="56"/>
      <c r="E4" s="56"/>
      <c r="F4" s="92"/>
      <c r="I4" s="62"/>
      <c r="J4" s="62"/>
      <c r="K4" s="62"/>
      <c r="L4" s="92"/>
      <c r="O4" s="62"/>
      <c r="P4" s="62"/>
      <c r="Q4" s="62"/>
      <c r="R4" s="92"/>
      <c r="AG4"/>
      <c r="AN4" s="18"/>
    </row>
    <row r="5" spans="1:40" s="13" customFormat="1"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6"/>
      <c r="AB5" s="6"/>
      <c r="AG5"/>
    </row>
    <row r="6" spans="1:40" s="141" customFormat="1" ht="13.5">
      <c r="A6" s="47"/>
      <c r="B6" s="214"/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/>
    </row>
    <row r="7" spans="1:40" ht="13.5" thickBot="1">
      <c r="A7" s="122" t="s">
        <v>38</v>
      </c>
      <c r="B7" s="215">
        <f>IS!C7</f>
        <v>2001</v>
      </c>
      <c r="C7" s="215">
        <f>B7+1</f>
        <v>2002</v>
      </c>
      <c r="D7" s="215">
        <f t="shared" ref="D7:AF7" si="0">C7+1</f>
        <v>2003</v>
      </c>
      <c r="E7" s="215">
        <f t="shared" si="0"/>
        <v>2004</v>
      </c>
      <c r="F7" s="215">
        <f t="shared" si="0"/>
        <v>2005</v>
      </c>
      <c r="G7" s="215">
        <f t="shared" si="0"/>
        <v>2006</v>
      </c>
      <c r="H7" s="215">
        <f t="shared" si="0"/>
        <v>2007</v>
      </c>
      <c r="I7" s="215">
        <f t="shared" si="0"/>
        <v>2008</v>
      </c>
      <c r="J7" s="215">
        <f t="shared" si="0"/>
        <v>2009</v>
      </c>
      <c r="K7" s="215">
        <f t="shared" si="0"/>
        <v>2010</v>
      </c>
      <c r="L7" s="215">
        <f t="shared" si="0"/>
        <v>2011</v>
      </c>
      <c r="M7" s="215">
        <f t="shared" si="0"/>
        <v>2012</v>
      </c>
      <c r="N7" s="215">
        <f t="shared" si="0"/>
        <v>2013</v>
      </c>
      <c r="O7" s="215">
        <f t="shared" si="0"/>
        <v>2014</v>
      </c>
      <c r="P7" s="215">
        <f t="shared" si="0"/>
        <v>2015</v>
      </c>
      <c r="Q7" s="215">
        <f t="shared" si="0"/>
        <v>2016</v>
      </c>
      <c r="R7" s="215">
        <f t="shared" si="0"/>
        <v>2017</v>
      </c>
      <c r="S7" s="215">
        <f t="shared" si="0"/>
        <v>2018</v>
      </c>
      <c r="T7" s="215">
        <f t="shared" si="0"/>
        <v>2019</v>
      </c>
      <c r="U7" s="215">
        <f t="shared" si="0"/>
        <v>2020</v>
      </c>
      <c r="V7" s="215">
        <f t="shared" si="0"/>
        <v>2021</v>
      </c>
      <c r="W7" s="215">
        <f t="shared" si="0"/>
        <v>2022</v>
      </c>
      <c r="X7" s="215">
        <f t="shared" si="0"/>
        <v>2023</v>
      </c>
      <c r="Y7" s="215">
        <f t="shared" si="0"/>
        <v>2024</v>
      </c>
      <c r="Z7" s="215">
        <f t="shared" si="0"/>
        <v>2025</v>
      </c>
      <c r="AA7" s="215">
        <f t="shared" si="0"/>
        <v>2026</v>
      </c>
      <c r="AB7" s="215">
        <f t="shared" si="0"/>
        <v>2027</v>
      </c>
      <c r="AC7" s="215">
        <f t="shared" si="0"/>
        <v>2028</v>
      </c>
      <c r="AD7" s="215">
        <f t="shared" si="0"/>
        <v>2029</v>
      </c>
      <c r="AE7" s="215">
        <f t="shared" si="0"/>
        <v>2030</v>
      </c>
      <c r="AF7" s="215">
        <f t="shared" si="0"/>
        <v>2031</v>
      </c>
      <c r="AG7"/>
      <c r="AH7" s="11"/>
    </row>
    <row r="8" spans="1:40" s="50" customFormat="1">
      <c r="A8" s="395"/>
      <c r="B8" s="394">
        <f>IS!C8</f>
        <v>37256</v>
      </c>
      <c r="C8" s="394">
        <f>IS!D8</f>
        <v>37621</v>
      </c>
      <c r="D8" s="394">
        <f>IS!E8</f>
        <v>37986</v>
      </c>
      <c r="E8" s="394">
        <f>IS!F8</f>
        <v>38352</v>
      </c>
      <c r="F8" s="394">
        <f>IS!G8</f>
        <v>38717</v>
      </c>
      <c r="G8" s="394">
        <f>IS!H8</f>
        <v>39082</v>
      </c>
      <c r="H8" s="394">
        <f>IS!I8</f>
        <v>39447</v>
      </c>
      <c r="I8" s="394">
        <f>IS!J8</f>
        <v>39813</v>
      </c>
      <c r="J8" s="394">
        <f>IS!K8</f>
        <v>40178</v>
      </c>
      <c r="K8" s="394">
        <f>IS!L8</f>
        <v>40543</v>
      </c>
      <c r="L8" s="394">
        <f>IS!M8</f>
        <v>40908</v>
      </c>
      <c r="M8" s="394">
        <f>IS!N8</f>
        <v>41274</v>
      </c>
      <c r="N8" s="394">
        <f>IS!O8</f>
        <v>41639</v>
      </c>
      <c r="O8" s="394">
        <f>IS!P8</f>
        <v>42004</v>
      </c>
      <c r="P8" s="394">
        <f>IS!Q8</f>
        <v>42369</v>
      </c>
      <c r="Q8" s="394">
        <f>IS!R8</f>
        <v>42735</v>
      </c>
      <c r="R8" s="394">
        <f>IS!S8</f>
        <v>43100</v>
      </c>
      <c r="S8" s="394">
        <f>IS!T8</f>
        <v>43465</v>
      </c>
      <c r="T8" s="394">
        <f>IS!U8</f>
        <v>43830</v>
      </c>
      <c r="U8" s="394">
        <f>IS!V8</f>
        <v>44196</v>
      </c>
      <c r="V8" s="394">
        <f>IS!W8</f>
        <v>44561</v>
      </c>
      <c r="W8" s="394">
        <f>IS!X8</f>
        <v>44926</v>
      </c>
      <c r="X8" s="394">
        <f>IS!Y8</f>
        <v>45291</v>
      </c>
      <c r="Y8" s="394">
        <f>IS!Z8</f>
        <v>45657</v>
      </c>
      <c r="Z8" s="394">
        <f>IS!AA8</f>
        <v>46022</v>
      </c>
      <c r="AA8" s="394">
        <f>IS!AB8</f>
        <v>46387</v>
      </c>
      <c r="AB8" s="394">
        <f>IS!AC8</f>
        <v>46752</v>
      </c>
      <c r="AC8" s="394">
        <f>IS!AD8</f>
        <v>47118</v>
      </c>
      <c r="AD8" s="394">
        <f>IS!AE8</f>
        <v>47483</v>
      </c>
      <c r="AE8" s="394">
        <f>IS!AF8</f>
        <v>47848</v>
      </c>
      <c r="AF8" s="394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7" t="s">
        <v>385</v>
      </c>
      <c r="B11" s="388">
        <f>B29+B38</f>
        <v>6512.6247651487911</v>
      </c>
      <c r="C11" s="388">
        <f t="shared" ref="C11:AF11" si="1">C29+C38</f>
        <v>15765.985226655906</v>
      </c>
      <c r="D11" s="388">
        <f t="shared" si="1"/>
        <v>15806.216915749446</v>
      </c>
      <c r="E11" s="388">
        <f t="shared" si="1"/>
        <v>15768.073764288483</v>
      </c>
      <c r="F11" s="388">
        <f t="shared" si="1"/>
        <v>15696.391972531341</v>
      </c>
      <c r="G11" s="388">
        <f t="shared" si="1"/>
        <v>15655.484967356198</v>
      </c>
      <c r="H11" s="388">
        <f t="shared" si="1"/>
        <v>15602.411332935029</v>
      </c>
      <c r="I11" s="388">
        <f t="shared" si="1"/>
        <v>15558.437052914052</v>
      </c>
      <c r="J11" s="388">
        <f t="shared" si="1"/>
        <v>15481.193074096485</v>
      </c>
      <c r="K11" s="388">
        <f t="shared" si="1"/>
        <v>15434.126069905124</v>
      </c>
      <c r="L11" s="388">
        <f t="shared" si="1"/>
        <v>15374.864502818478</v>
      </c>
      <c r="M11" s="388">
        <f t="shared" si="1"/>
        <v>15324.365282651239</v>
      </c>
      <c r="N11" s="388">
        <f t="shared" si="1"/>
        <v>15240.89594464533</v>
      </c>
      <c r="O11" s="388">
        <f t="shared" si="1"/>
        <v>15186.935338936211</v>
      </c>
      <c r="P11" s="464">
        <f t="shared" si="1"/>
        <v>15120.74821228455</v>
      </c>
      <c r="Q11" s="388">
        <f t="shared" si="1"/>
        <v>15062.946297166884</v>
      </c>
      <c r="R11" s="388">
        <f t="shared" si="1"/>
        <v>14972.508073366875</v>
      </c>
      <c r="S11" s="388">
        <f t="shared" si="1"/>
        <v>14910.831448740308</v>
      </c>
      <c r="T11" s="388">
        <f t="shared" si="1"/>
        <v>14836.891772889245</v>
      </c>
      <c r="U11" s="388">
        <f t="shared" si="1"/>
        <v>14770.915187713405</v>
      </c>
      <c r="V11" s="388">
        <f t="shared" si="1"/>
        <v>6138.0600361712204</v>
      </c>
      <c r="W11" s="388">
        <f t="shared" si="1"/>
        <v>-1527.2997502569942</v>
      </c>
      <c r="X11" s="388">
        <f t="shared" si="1"/>
        <v>-3190.9799596404632</v>
      </c>
      <c r="Y11" s="388">
        <f t="shared" si="1"/>
        <v>-3278.1732984838982</v>
      </c>
      <c r="Z11" s="388">
        <f t="shared" si="1"/>
        <v>-3361.0230620788025</v>
      </c>
      <c r="AA11" s="388">
        <f t="shared" si="1"/>
        <v>-3453.0743142477318</v>
      </c>
      <c r="AB11" s="388">
        <f t="shared" si="1"/>
        <v>-3545.4136144671456</v>
      </c>
      <c r="AC11" s="388">
        <f t="shared" si="1"/>
        <v>-3642.8558430645617</v>
      </c>
      <c r="AD11" s="388">
        <f t="shared" si="1"/>
        <v>-3735.4919106586399</v>
      </c>
      <c r="AE11" s="388">
        <f t="shared" si="1"/>
        <v>-3838.374990393665</v>
      </c>
      <c r="AF11" s="464">
        <f t="shared" si="1"/>
        <v>-4930.7613839514579</v>
      </c>
      <c r="AG11"/>
      <c r="AN11" s="524">
        <f>IF(MONTH(C23)=MONTH(Assumptions!G34),1,2)</f>
        <v>1</v>
      </c>
    </row>
    <row r="12" spans="1:40">
      <c r="A12" s="389" t="s">
        <v>0</v>
      </c>
      <c r="B12" s="385">
        <v>1.3</v>
      </c>
      <c r="C12" s="385">
        <v>1.3</v>
      </c>
      <c r="D12" s="385">
        <v>1.3</v>
      </c>
      <c r="E12" s="385">
        <v>1.3</v>
      </c>
      <c r="F12" s="385">
        <v>1.3</v>
      </c>
      <c r="G12" s="385">
        <v>1.3</v>
      </c>
      <c r="H12" s="385">
        <v>1.3</v>
      </c>
      <c r="I12" s="385">
        <v>1.3</v>
      </c>
      <c r="J12" s="385">
        <v>1.3</v>
      </c>
      <c r="K12" s="385">
        <v>1.3</v>
      </c>
      <c r="L12" s="385">
        <v>1.3</v>
      </c>
      <c r="M12" s="385">
        <v>1.3</v>
      </c>
      <c r="N12" s="385">
        <v>1.3</v>
      </c>
      <c r="O12" s="385">
        <v>1.3</v>
      </c>
      <c r="P12" s="390">
        <v>1.3</v>
      </c>
      <c r="Q12" s="385">
        <v>1.3</v>
      </c>
      <c r="R12" s="385">
        <v>1.3</v>
      </c>
      <c r="S12" s="385">
        <v>1.3</v>
      </c>
      <c r="T12" s="385">
        <v>1.3</v>
      </c>
      <c r="U12" s="385">
        <v>1.3</v>
      </c>
      <c r="V12" s="385">
        <v>1.3</v>
      </c>
      <c r="W12" s="385">
        <v>1.3</v>
      </c>
      <c r="X12" s="385">
        <v>1.3</v>
      </c>
      <c r="Y12" s="385">
        <v>1.3</v>
      </c>
      <c r="Z12" s="385">
        <v>1.3</v>
      </c>
      <c r="AA12" s="385">
        <v>1.3</v>
      </c>
      <c r="AB12" s="385">
        <v>1.3</v>
      </c>
      <c r="AC12" s="385">
        <v>1.3</v>
      </c>
      <c r="AD12" s="385">
        <v>1.3</v>
      </c>
      <c r="AE12" s="385">
        <v>1.3</v>
      </c>
      <c r="AF12" s="390">
        <v>1.3</v>
      </c>
      <c r="AG12"/>
      <c r="AN12" s="524">
        <f>IF(AN11=1,6,15)</f>
        <v>6</v>
      </c>
    </row>
    <row r="13" spans="1:40">
      <c r="A13" s="391" t="s">
        <v>320</v>
      </c>
      <c r="B13" s="306">
        <f>B11/B12</f>
        <v>5009.711357806762</v>
      </c>
      <c r="C13" s="306">
        <f t="shared" ref="C13:AF13" si="2">C11/C12</f>
        <v>12127.680943581467</v>
      </c>
      <c r="D13" s="306">
        <f t="shared" si="2"/>
        <v>12158.628396730343</v>
      </c>
      <c r="E13" s="306">
        <f t="shared" si="2"/>
        <v>12129.28751099114</v>
      </c>
      <c r="F13" s="306">
        <f t="shared" si="2"/>
        <v>12074.147671177954</v>
      </c>
      <c r="G13" s="306">
        <f t="shared" si="2"/>
        <v>12042.680744120153</v>
      </c>
      <c r="H13" s="306">
        <f t="shared" si="2"/>
        <v>12001.854871488484</v>
      </c>
      <c r="I13" s="306">
        <f t="shared" si="2"/>
        <v>11968.028502241579</v>
      </c>
      <c r="J13" s="306">
        <f t="shared" si="2"/>
        <v>11908.610056997297</v>
      </c>
      <c r="K13" s="306">
        <f t="shared" si="2"/>
        <v>11872.404669157788</v>
      </c>
      <c r="L13" s="306">
        <f t="shared" si="2"/>
        <v>11826.818848321906</v>
      </c>
      <c r="M13" s="306">
        <f t="shared" si="2"/>
        <v>11787.973294347106</v>
      </c>
      <c r="N13" s="306">
        <f t="shared" si="2"/>
        <v>11723.766111265639</v>
      </c>
      <c r="O13" s="306">
        <f t="shared" si="2"/>
        <v>11682.257953027854</v>
      </c>
      <c r="P13" s="392">
        <f t="shared" si="2"/>
        <v>11631.344778680423</v>
      </c>
      <c r="Q13" s="306">
        <f t="shared" si="2"/>
        <v>11586.881767051449</v>
      </c>
      <c r="R13" s="306">
        <f t="shared" si="2"/>
        <v>11517.313902589904</v>
      </c>
      <c r="S13" s="306">
        <f t="shared" si="2"/>
        <v>11469.870345184852</v>
      </c>
      <c r="T13" s="306">
        <f t="shared" si="2"/>
        <v>11412.993671453265</v>
      </c>
      <c r="U13" s="306">
        <f t="shared" si="2"/>
        <v>11362.242452087234</v>
      </c>
      <c r="V13" s="306">
        <f t="shared" si="2"/>
        <v>4721.584643208631</v>
      </c>
      <c r="W13" s="306">
        <f t="shared" si="2"/>
        <v>-1174.8459617361493</v>
      </c>
      <c r="X13" s="306">
        <f t="shared" si="2"/>
        <v>-2454.5999689542023</v>
      </c>
      <c r="Y13" s="306">
        <f t="shared" si="2"/>
        <v>-2521.671768064537</v>
      </c>
      <c r="Z13" s="306">
        <f t="shared" si="2"/>
        <v>-2585.4023554452324</v>
      </c>
      <c r="AA13" s="306">
        <f t="shared" si="2"/>
        <v>-2656.2110109597934</v>
      </c>
      <c r="AB13" s="306">
        <f t="shared" si="2"/>
        <v>-2727.2412418978042</v>
      </c>
      <c r="AC13" s="306">
        <f t="shared" si="2"/>
        <v>-2802.196802357355</v>
      </c>
      <c r="AD13" s="306">
        <f t="shared" si="2"/>
        <v>-2873.4553158912613</v>
      </c>
      <c r="AE13" s="306">
        <f t="shared" si="2"/>
        <v>-2952.5961464566653</v>
      </c>
      <c r="AF13" s="392">
        <f t="shared" si="2"/>
        <v>-3792.8933722703523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6"/>
      <c r="C16" s="65"/>
      <c r="AG16"/>
    </row>
    <row r="17" spans="1:33">
      <c r="A17" s="53"/>
      <c r="B17" s="226"/>
      <c r="C17" s="526"/>
      <c r="AG17"/>
    </row>
    <row r="18" spans="1:33">
      <c r="A18" s="53"/>
      <c r="B18" s="226"/>
      <c r="AG18"/>
    </row>
    <row r="19" spans="1:33">
      <c r="A19" s="11" t="s">
        <v>344</v>
      </c>
      <c r="B19" s="398">
        <v>81657.998843824083</v>
      </c>
      <c r="S19" s="18"/>
      <c r="AF19" s="65"/>
      <c r="AG19"/>
    </row>
    <row r="20" spans="1:33">
      <c r="A20" s="11" t="s">
        <v>343</v>
      </c>
      <c r="B20" s="403">
        <f>HLOOKUP(Assumptions!G34,B23:AF39,AN12)</f>
        <v>0</v>
      </c>
      <c r="AF20" s="526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93">
        <v>36982</v>
      </c>
      <c r="C23" s="393">
        <v>37347</v>
      </c>
      <c r="D23" s="393">
        <v>37712</v>
      </c>
      <c r="E23" s="393">
        <v>38078</v>
      </c>
      <c r="F23" s="393">
        <v>38443</v>
      </c>
      <c r="G23" s="393">
        <v>38808</v>
      </c>
      <c r="H23" s="393">
        <v>39173</v>
      </c>
      <c r="I23" s="393">
        <v>39539</v>
      </c>
      <c r="J23" s="393">
        <v>39904</v>
      </c>
      <c r="K23" s="393">
        <v>40269</v>
      </c>
      <c r="L23" s="393">
        <v>40634</v>
      </c>
      <c r="M23" s="393">
        <v>41000</v>
      </c>
      <c r="N23" s="393">
        <v>41365</v>
      </c>
      <c r="O23" s="393">
        <v>41730</v>
      </c>
      <c r="P23" s="393">
        <v>42095</v>
      </c>
      <c r="Q23" s="393">
        <v>42461</v>
      </c>
      <c r="R23" s="393">
        <v>42826</v>
      </c>
      <c r="S23" s="393">
        <v>43191</v>
      </c>
      <c r="T23" s="393">
        <v>43556</v>
      </c>
      <c r="U23" s="393">
        <v>43922</v>
      </c>
      <c r="V23" s="393">
        <v>44287</v>
      </c>
      <c r="W23" s="393">
        <v>44652</v>
      </c>
      <c r="X23" s="393">
        <v>45017</v>
      </c>
      <c r="Y23" s="393">
        <v>45383</v>
      </c>
      <c r="Z23" s="393">
        <v>45748</v>
      </c>
      <c r="AA23" s="393">
        <v>46113</v>
      </c>
      <c r="AB23" s="393">
        <v>46478</v>
      </c>
      <c r="AC23" s="393">
        <v>46844</v>
      </c>
      <c r="AD23" s="393">
        <v>47209</v>
      </c>
      <c r="AE23" s="393">
        <v>47574</v>
      </c>
      <c r="AF23" s="393">
        <v>47939</v>
      </c>
      <c r="AG23" s="527">
        <v>47969</v>
      </c>
    </row>
    <row r="24" spans="1:33">
      <c r="A24" s="48" t="s">
        <v>54</v>
      </c>
      <c r="B24"/>
      <c r="C24" s="48">
        <f>B45</f>
        <v>79470.26719965502</v>
      </c>
      <c r="D24" s="48">
        <f t="shared" ref="D24:AF24" si="3">C45</f>
        <v>73782.122106126582</v>
      </c>
      <c r="E24" s="48">
        <f t="shared" si="3"/>
        <v>67584.60397648027</v>
      </c>
      <c r="F24" s="48">
        <f t="shared" si="3"/>
        <v>60899.833963180841</v>
      </c>
      <c r="G24" s="48">
        <f t="shared" si="3"/>
        <v>53700.271106087122</v>
      </c>
      <c r="H24" s="48">
        <f t="shared" si="3"/>
        <v>45930.175625614444</v>
      </c>
      <c r="I24" s="48">
        <f t="shared" si="3"/>
        <v>37547.496277348328</v>
      </c>
      <c r="J24" s="48">
        <f t="shared" si="3"/>
        <v>28496.382180031665</v>
      </c>
      <c r="K24" s="48">
        <f t="shared" si="3"/>
        <v>18739.255981675429</v>
      </c>
      <c r="L24" s="48">
        <f t="shared" si="3"/>
        <v>8199.1864884395764</v>
      </c>
      <c r="M24" s="48">
        <f t="shared" si="3"/>
        <v>0</v>
      </c>
      <c r="N24" s="48">
        <f t="shared" si="3"/>
        <v>0</v>
      </c>
      <c r="O24" s="48">
        <f t="shared" si="3"/>
        <v>0</v>
      </c>
      <c r="P24" s="48">
        <f t="shared" si="3"/>
        <v>0</v>
      </c>
      <c r="Q24" s="48">
        <f t="shared" si="3"/>
        <v>0</v>
      </c>
      <c r="R24" s="48">
        <f t="shared" si="3"/>
        <v>0</v>
      </c>
      <c r="S24" s="48">
        <f t="shared" si="3"/>
        <v>0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1199.1435465406857</v>
      </c>
      <c r="Y24" s="48">
        <f t="shared" si="3"/>
        <v>3805.4780865300831</v>
      </c>
      <c r="Z24" s="48">
        <f t="shared" si="3"/>
        <v>6699.8092180217136</v>
      </c>
      <c r="AA24" s="48">
        <f t="shared" si="3"/>
        <v>9902.4238188387353</v>
      </c>
      <c r="AB24" s="48">
        <f t="shared" si="3"/>
        <v>13447.368707623649</v>
      </c>
      <c r="AC24" s="48">
        <f t="shared" si="3"/>
        <v>17363.302692889931</v>
      </c>
      <c r="AD24" s="48">
        <f t="shared" si="3"/>
        <v>21686.328056368813</v>
      </c>
      <c r="AE24" s="48">
        <f t="shared" si="3"/>
        <v>26443.964048220987</v>
      </c>
      <c r="AF24" s="48">
        <f t="shared" si="3"/>
        <v>31684.247085913041</v>
      </c>
      <c r="AG24"/>
    </row>
    <row r="25" spans="1:33">
      <c r="A25" s="48" t="s">
        <v>321</v>
      </c>
      <c r="B25"/>
      <c r="C25" s="383">
        <v>0</v>
      </c>
      <c r="D25" s="383">
        <v>0</v>
      </c>
      <c r="E25" s="383">
        <v>0</v>
      </c>
      <c r="F25" s="383">
        <v>0</v>
      </c>
      <c r="G25" s="383">
        <v>0</v>
      </c>
      <c r="H25" s="383">
        <v>0</v>
      </c>
      <c r="I25" s="383">
        <v>0</v>
      </c>
      <c r="J25" s="383">
        <v>0</v>
      </c>
      <c r="K25" s="383">
        <v>0</v>
      </c>
      <c r="L25" s="383">
        <v>0</v>
      </c>
      <c r="M25" s="383">
        <v>0</v>
      </c>
      <c r="N25" s="383">
        <v>0</v>
      </c>
      <c r="O25" s="383">
        <v>0</v>
      </c>
      <c r="P25" s="383">
        <v>0</v>
      </c>
      <c r="Q25" s="383">
        <v>0</v>
      </c>
      <c r="R25" s="383">
        <v>0</v>
      </c>
      <c r="S25" s="383">
        <v>0</v>
      </c>
      <c r="T25" s="383">
        <v>0</v>
      </c>
      <c r="U25" s="383">
        <v>0</v>
      </c>
      <c r="V25" s="383">
        <v>0</v>
      </c>
      <c r="W25" s="383">
        <v>0</v>
      </c>
      <c r="X25" s="383">
        <v>0</v>
      </c>
      <c r="Y25" s="383">
        <v>0</v>
      </c>
      <c r="Z25" s="383">
        <v>0</v>
      </c>
      <c r="AA25" s="383">
        <v>0</v>
      </c>
      <c r="AB25" s="383">
        <v>0</v>
      </c>
      <c r="AC25" s="383">
        <v>0</v>
      </c>
      <c r="AD25" s="383">
        <v>0</v>
      </c>
      <c r="AE25" s="383">
        <v>0</v>
      </c>
      <c r="AF25" s="383">
        <v>0</v>
      </c>
      <c r="AG25"/>
    </row>
    <row r="26" spans="1:33">
      <c r="A26" s="48" t="s">
        <v>55</v>
      </c>
      <c r="B26"/>
      <c r="C26" s="48">
        <f t="shared" ref="C26:AF26" si="4">C24-C28</f>
        <v>2795.7919901631831</v>
      </c>
      <c r="D26" s="48">
        <f t="shared" si="4"/>
        <v>3044.1400519994495</v>
      </c>
      <c r="E26" s="48">
        <f t="shared" si="4"/>
        <v>3272.9807172472283</v>
      </c>
      <c r="F26" s="48">
        <f t="shared" si="4"/>
        <v>3535.2606531438723</v>
      </c>
      <c r="G26" s="48">
        <f t="shared" si="4"/>
        <v>3812.2730551891291</v>
      </c>
      <c r="H26" s="48">
        <f t="shared" si="4"/>
        <v>4111.4984302138255</v>
      </c>
      <c r="I26" s="48">
        <f t="shared" si="4"/>
        <v>4433.0699329041963</v>
      </c>
      <c r="J26" s="48">
        <f t="shared" si="4"/>
        <v>4783.6511867640475</v>
      </c>
      <c r="K26" s="48">
        <f t="shared" si="4"/>
        <v>5165.3258179628501</v>
      </c>
      <c r="L26" s="48">
        <f t="shared" si="4"/>
        <v>5576.1196019036361</v>
      </c>
      <c r="M26" s="48">
        <f t="shared" si="4"/>
        <v>0</v>
      </c>
      <c r="N26" s="48">
        <f t="shared" si="4"/>
        <v>0</v>
      </c>
      <c r="O26" s="48">
        <f t="shared" si="4"/>
        <v>0</v>
      </c>
      <c r="P26" s="48">
        <f t="shared" si="4"/>
        <v>0</v>
      </c>
      <c r="Q26" s="48">
        <f t="shared" si="4"/>
        <v>0</v>
      </c>
      <c r="R26" s="48">
        <f t="shared" si="4"/>
        <v>0</v>
      </c>
      <c r="S26" s="48">
        <f t="shared" si="4"/>
        <v>0</v>
      </c>
      <c r="T26" s="48">
        <f t="shared" si="4"/>
        <v>0</v>
      </c>
      <c r="U26" s="48">
        <f t="shared" si="4"/>
        <v>0</v>
      </c>
      <c r="V26" s="48">
        <f t="shared" si="4"/>
        <v>0</v>
      </c>
      <c r="W26" s="48">
        <f t="shared" si="4"/>
        <v>-587.42298086807466</v>
      </c>
      <c r="X26" s="48">
        <f t="shared" si="4"/>
        <v>-1276.6291361245212</v>
      </c>
      <c r="Y26" s="48">
        <f t="shared" si="4"/>
        <v>-1418.0257156206449</v>
      </c>
      <c r="Z26" s="48">
        <f t="shared" si="4"/>
        <v>-1567.9346214073375</v>
      </c>
      <c r="AA26" s="48">
        <f t="shared" si="4"/>
        <v>-1735.461378465825</v>
      </c>
      <c r="AB26" s="48">
        <f t="shared" si="4"/>
        <v>-1916.8048432638861</v>
      </c>
      <c r="AC26" s="48">
        <f t="shared" si="4"/>
        <v>-2118.3104213382903</v>
      </c>
      <c r="AD26" s="48">
        <f t="shared" si="4"/>
        <v>-2327.6191083731428</v>
      </c>
      <c r="AE26" s="48">
        <f t="shared" si="4"/>
        <v>-2564.1230600339186</v>
      </c>
      <c r="AF26" s="48">
        <f t="shared" si="4"/>
        <v>-3199.8411244775998</v>
      </c>
      <c r="AG26"/>
    </row>
    <row r="27" spans="1:33">
      <c r="A27" s="48" t="s">
        <v>56</v>
      </c>
      <c r="B27"/>
      <c r="C27" s="386">
        <f t="shared" ref="C27:AF27" si="5">C24*(C23-B41)/(C41-B41)*$E$64</f>
        <v>1634.5836465792058</v>
      </c>
      <c r="D27" s="386">
        <f t="shared" si="5"/>
        <v>1517.5870731828638</v>
      </c>
      <c r="E27" s="386">
        <f t="shared" si="5"/>
        <v>1401.5495742663531</v>
      </c>
      <c r="F27" s="386">
        <f t="shared" si="5"/>
        <v>1252.6178177495347</v>
      </c>
      <c r="G27" s="386">
        <f t="shared" si="5"/>
        <v>1104.533658435477</v>
      </c>
      <c r="H27" s="386">
        <f t="shared" si="5"/>
        <v>944.71450276520682</v>
      </c>
      <c r="I27" s="386">
        <f t="shared" si="5"/>
        <v>778.64889821058421</v>
      </c>
      <c r="J27" s="386">
        <f t="shared" si="5"/>
        <v>586.12764168928152</v>
      </c>
      <c r="K27" s="386">
        <f t="shared" si="5"/>
        <v>385.43825830802274</v>
      </c>
      <c r="L27" s="386">
        <f t="shared" si="5"/>
        <v>168.64491112865787</v>
      </c>
      <c r="M27" s="386">
        <f t="shared" si="5"/>
        <v>0</v>
      </c>
      <c r="N27" s="386">
        <f t="shared" si="5"/>
        <v>0</v>
      </c>
      <c r="O27" s="386">
        <f t="shared" si="5"/>
        <v>0</v>
      </c>
      <c r="P27" s="386">
        <f t="shared" si="5"/>
        <v>0</v>
      </c>
      <c r="Q27" s="386">
        <f t="shared" si="5"/>
        <v>0</v>
      </c>
      <c r="R27" s="386">
        <f t="shared" si="5"/>
        <v>0</v>
      </c>
      <c r="S27" s="386">
        <f t="shared" si="5"/>
        <v>0</v>
      </c>
      <c r="T27" s="386">
        <f t="shared" si="5"/>
        <v>0</v>
      </c>
      <c r="U27" s="386">
        <f t="shared" si="5"/>
        <v>0</v>
      </c>
      <c r="V27" s="386">
        <f t="shared" si="5"/>
        <v>0</v>
      </c>
      <c r="W27" s="386">
        <f t="shared" si="5"/>
        <v>0</v>
      </c>
      <c r="X27" s="386">
        <f t="shared" si="5"/>
        <v>24.66457582371013</v>
      </c>
      <c r="Y27" s="386">
        <f t="shared" si="5"/>
        <v>78.916881630500896</v>
      </c>
      <c r="Z27" s="386">
        <f t="shared" si="5"/>
        <v>137.80498001177537</v>
      </c>
      <c r="AA27" s="386">
        <f t="shared" si="5"/>
        <v>203.67793649296385</v>
      </c>
      <c r="AB27" s="386">
        <f t="shared" si="5"/>
        <v>276.59211115749196</v>
      </c>
      <c r="AC27" s="386">
        <f t="shared" si="5"/>
        <v>360.07504764763547</v>
      </c>
      <c r="AD27" s="386">
        <f t="shared" si="5"/>
        <v>446.05509009092839</v>
      </c>
      <c r="AE27" s="386">
        <f t="shared" si="5"/>
        <v>543.91249340279194</v>
      </c>
      <c r="AF27" s="386">
        <f t="shared" si="5"/>
        <v>651.69721917121137</v>
      </c>
      <c r="AG27"/>
    </row>
    <row r="28" spans="1:33">
      <c r="A28" s="48" t="s">
        <v>57</v>
      </c>
      <c r="B28"/>
      <c r="C28" s="162">
        <f t="shared" ref="C28:AF28" si="6">MAX(C24+C25+B44+C27-0.5*C13,0)</f>
        <v>76674.475209491837</v>
      </c>
      <c r="D28" s="162">
        <f t="shared" si="6"/>
        <v>70737.982054127133</v>
      </c>
      <c r="E28" s="162">
        <f t="shared" si="6"/>
        <v>64311.623259233042</v>
      </c>
      <c r="F28" s="162">
        <f t="shared" si="6"/>
        <v>57364.573310036969</v>
      </c>
      <c r="G28" s="162">
        <f t="shared" si="6"/>
        <v>49887.998050897993</v>
      </c>
      <c r="H28" s="162">
        <f t="shared" si="6"/>
        <v>41818.677195400618</v>
      </c>
      <c r="I28" s="162">
        <f t="shared" si="6"/>
        <v>33114.426344444131</v>
      </c>
      <c r="J28" s="162">
        <f t="shared" si="6"/>
        <v>23712.730993267618</v>
      </c>
      <c r="K28" s="162">
        <f t="shared" si="6"/>
        <v>13573.930163712579</v>
      </c>
      <c r="L28" s="162">
        <f t="shared" si="6"/>
        <v>2623.0668865359403</v>
      </c>
      <c r="M28" s="162">
        <f t="shared" si="6"/>
        <v>0</v>
      </c>
      <c r="N28" s="162">
        <f t="shared" si="6"/>
        <v>0</v>
      </c>
      <c r="O28" s="162">
        <f t="shared" si="6"/>
        <v>0</v>
      </c>
      <c r="P28" s="162">
        <f t="shared" si="6"/>
        <v>0</v>
      </c>
      <c r="Q28" s="162">
        <f t="shared" si="6"/>
        <v>0</v>
      </c>
      <c r="R28" s="162">
        <f t="shared" si="6"/>
        <v>0</v>
      </c>
      <c r="S28" s="162">
        <f t="shared" si="6"/>
        <v>0</v>
      </c>
      <c r="T28" s="162">
        <f t="shared" si="6"/>
        <v>0</v>
      </c>
      <c r="U28" s="162">
        <f t="shared" si="6"/>
        <v>0</v>
      </c>
      <c r="V28" s="162">
        <f t="shared" si="6"/>
        <v>0</v>
      </c>
      <c r="W28" s="162">
        <f t="shared" si="6"/>
        <v>587.42298086807466</v>
      </c>
      <c r="X28" s="162">
        <f t="shared" si="6"/>
        <v>2475.772682665207</v>
      </c>
      <c r="Y28" s="162">
        <f t="shared" si="6"/>
        <v>5223.503802150728</v>
      </c>
      <c r="Z28" s="162">
        <f t="shared" si="6"/>
        <v>8267.7438394290511</v>
      </c>
      <c r="AA28" s="162">
        <f t="shared" si="6"/>
        <v>11637.88519730456</v>
      </c>
      <c r="AB28" s="162">
        <f t="shared" si="6"/>
        <v>15364.173550887535</v>
      </c>
      <c r="AC28" s="162">
        <f t="shared" si="6"/>
        <v>19481.613114228221</v>
      </c>
      <c r="AD28" s="162">
        <f t="shared" si="6"/>
        <v>24013.947164741956</v>
      </c>
      <c r="AE28" s="162">
        <f t="shared" si="6"/>
        <v>29008.087108254906</v>
      </c>
      <c r="AF28" s="162">
        <f t="shared" si="6"/>
        <v>34884.088210390641</v>
      </c>
      <c r="AG28"/>
    </row>
    <row r="29" spans="1:33">
      <c r="A29" s="48" t="s">
        <v>323</v>
      </c>
      <c r="B29"/>
      <c r="C29" s="162">
        <f>(C23-B41)/(C41-B41)*IS!D32+(B41-B32)/(B41-Assumptions!H17)*IS!C32</f>
        <v>7823.2086380600404</v>
      </c>
      <c r="D29" s="162">
        <f>(D23-C41)/(D41-C41)*IS!E32+(C41-C32)/(C41-B41)*IS!D32</f>
        <v>7887.4394485234434</v>
      </c>
      <c r="E29" s="162">
        <f>(E23-D41)/(E41-D41)*IS!F32+(D41-D32)/(D41-C41)*IS!E32</f>
        <v>7895.5328575712974</v>
      </c>
      <c r="F29" s="162">
        <f>(F23-E41)/(F41-E41)*IS!G32+(E41-E32)/(E41-D41)*IS!F32</f>
        <v>7827.6382920131964</v>
      </c>
      <c r="G29" s="162">
        <f>(G23-F41)/(G41-F41)*IS!H32+(F41-F32)/(F41-E41)*IS!G32</f>
        <v>7812.7945874327188</v>
      </c>
      <c r="H29" s="162">
        <f>(H23-G41)/(H41-G41)*IS!I32+(G41-G32)/(G41-F41)*IS!H32</f>
        <v>7786.5118827376791</v>
      </c>
      <c r="I29" s="162">
        <f>(I23-H41)/(I41-H41)*IS!J32+(H41-H32)/(H41-G41)*IS!I32</f>
        <v>7791.3565775856423</v>
      </c>
      <c r="J29" s="162">
        <f>(J23-I41)/(J41-I41)*IS!K32+(I41-I32)/(I41-H41)*IS!J32</f>
        <v>7721.1419452469545</v>
      </c>
      <c r="K29" s="162">
        <f>(K23-J41)/(K41-J41)*IS!L32+(J41-J32)/(J41-I41)*IS!K32</f>
        <v>7703.1756390024575</v>
      </c>
      <c r="L29" s="162">
        <f>(L23-K41)/(L41-K41)*IS!M32+(K41-K32)/(K41-J41)*IS!L32</f>
        <v>7673.8290473307443</v>
      </c>
      <c r="M29" s="162">
        <f>(M23-L41)/(M41-L41)*IS!N32+(L41-L32)/(L41-K41)*IS!M32</f>
        <v>7675.0393907392645</v>
      </c>
      <c r="N29" s="162">
        <f>(N23-M41)/(N41-M41)*IS!O32+(M41-M32)/(M41-L41)*IS!N32</f>
        <v>7602.2269603164768</v>
      </c>
      <c r="O29" s="162">
        <f>(O23-N41)/(O41-N41)*IS!P32+(N41-N32)/(N41-M41)*IS!O32</f>
        <v>7580.7663993325577</v>
      </c>
      <c r="P29" s="162">
        <f>(P23-O41)/(P41-O41)*IS!Q32+(O41-O32)/(O41-N41)*IS!P32</f>
        <v>7547.9907329263733</v>
      </c>
      <c r="Q29" s="162">
        <f>(Q23-P41)/(Q41-P41)*IS!R32+(P41-P32)/(P41-O41)*IS!Q32</f>
        <v>7545.1345089488996</v>
      </c>
      <c r="R29" s="162">
        <f>(R23-Q41)/(R41-Q41)*IS!S32+(Q41-Q32)/(Q41-P41)*IS!R32</f>
        <v>7469.4128007453364</v>
      </c>
      <c r="S29" s="162">
        <f>(S23-R41)/(S41-R41)*IS!T32+(R41-R32)/(R41-Q41)*IS!S32</f>
        <v>7444.0413563646998</v>
      </c>
      <c r="T29" s="162">
        <f>(T23-S41)/(T41-S41)*IS!U32+(S41-S32)/(S41-R41)*IS!T32</f>
        <v>7407.4271888288376</v>
      </c>
      <c r="U29" s="162">
        <f>(U23-T41)/(U41-T41)*IS!V32+(T41-T32)/(T41-S41)*IS!U32</f>
        <v>7400.0199069786559</v>
      </c>
      <c r="V29" s="162">
        <f>(V23-U41)/(V41-U41)*IS!W32+(U41-U32)/(U41-T41)*IS!V32</f>
        <v>4486.5508534249748</v>
      </c>
      <c r="W29" s="162">
        <f>(W23-V41)/(W41-V41)*IS!X32+(V41-V32)/(V41-U41)*IS!W32</f>
        <v>41.25203779752519</v>
      </c>
      <c r="X29" s="162">
        <f>(X23-W41)/(X41-W41)*IS!Y32+(W41-W32)/(W41-V41)*IS!X32</f>
        <v>-1580.7203979570927</v>
      </c>
      <c r="Y29" s="162">
        <f>(Y23-X41)/(Y41-X41)*IS!Z32+(X41-X32)/(X41-W41)*IS!Y32</f>
        <v>-1629.5475039043831</v>
      </c>
      <c r="Z29" s="162">
        <f>(Z23-Y41)/(Z41-Y41)*IS!AA32+(Y41-Y32)/(Y41-X41)*IS!Z32</f>
        <v>-1663.7884888901713</v>
      </c>
      <c r="AA29" s="162">
        <f>(AA23-Z41)/(AA41-Z41)*IS!AB32+(Z41-Z32)/(Z41-Y41)*IS!AA32</f>
        <v>-1710.5040465573322</v>
      </c>
      <c r="AB29" s="162">
        <f>(AB23-AA41)/(AB41-AA41)*IS!AC32+(AA41-AA32)/(AA41-Z41)*IS!AB32</f>
        <v>-1756.2282236362648</v>
      </c>
      <c r="AC29" s="162">
        <f>(AC23-AB41)/(AC41-AB41)*IS!AD32+(AB41-AB32)/(AB41-AA41)*IS!AC32</f>
        <v>-1810.7585750092719</v>
      </c>
      <c r="AD29" s="162">
        <f>(AD23-AC41)/(AD41-AC41)*IS!AE32+(AC41-AC32)/(AC41-AB41)*IS!AD32</f>
        <v>-1849.0898367261589</v>
      </c>
      <c r="AE29" s="162">
        <f>(AE23-AD41)/(AE41-AD41)*IS!AF32+(AD41-AD32)/(AD41-AC41)*IS!AE32</f>
        <v>-1901.2945724586834</v>
      </c>
      <c r="AF29" s="162">
        <f>(AF23-AE41)/(AG23-AE41)*IS!AG32+(AE41-AE32)/(AE41-AD41)*IS!AF32</f>
        <v>-3947.0802902906621</v>
      </c>
      <c r="AG29"/>
    </row>
    <row r="30" spans="1:33">
      <c r="A30" s="406" t="s">
        <v>0</v>
      </c>
      <c r="B30" s="408"/>
      <c r="C30" s="407">
        <f>IF(C28&gt;0.1,C29/(C27+C26+B44)," ")</f>
        <v>1.290140905661018</v>
      </c>
      <c r="D30" s="407">
        <f t="shared" ref="D30:AF30" si="7">IF(D28&gt;0.1,D29/(D27+D26+C44)," ")</f>
        <v>1.2974225695793944</v>
      </c>
      <c r="E30" s="407">
        <f t="shared" si="7"/>
        <v>1.3018955730774193</v>
      </c>
      <c r="F30" s="407">
        <f t="shared" si="7"/>
        <v>1.2965947585183917</v>
      </c>
      <c r="G30" s="407">
        <f t="shared" si="7"/>
        <v>1.2975175134900609</v>
      </c>
      <c r="H30" s="407">
        <f t="shared" si="7"/>
        <v>1.2975514145293094</v>
      </c>
      <c r="I30" s="407">
        <f t="shared" si="7"/>
        <v>1.3020284128043889</v>
      </c>
      <c r="J30" s="407">
        <f t="shared" si="7"/>
        <v>1.2967326847200171</v>
      </c>
      <c r="K30" s="407">
        <f t="shared" si="7"/>
        <v>1.2976605588611407</v>
      </c>
      <c r="L30" s="407">
        <f t="shared" si="7"/>
        <v>1.2976996005007007</v>
      </c>
      <c r="M30" s="407" t="str">
        <f t="shared" si="7"/>
        <v xml:space="preserve"> </v>
      </c>
      <c r="N30" s="407" t="str">
        <f t="shared" si="7"/>
        <v xml:space="preserve"> </v>
      </c>
      <c r="O30" s="407" t="str">
        <f t="shared" si="7"/>
        <v xml:space="preserve"> </v>
      </c>
      <c r="P30" s="407" t="str">
        <f t="shared" si="7"/>
        <v xml:space="preserve"> </v>
      </c>
      <c r="Q30" s="407" t="str">
        <f t="shared" si="7"/>
        <v xml:space="preserve"> </v>
      </c>
      <c r="R30" s="407" t="str">
        <f t="shared" si="7"/>
        <v xml:space="preserve"> </v>
      </c>
      <c r="S30" s="407" t="str">
        <f t="shared" si="7"/>
        <v xml:space="preserve"> </v>
      </c>
      <c r="T30" s="407" t="str">
        <f t="shared" si="7"/>
        <v xml:space="preserve"> </v>
      </c>
      <c r="U30" s="407" t="str">
        <f t="shared" si="7"/>
        <v xml:space="preserve"> </v>
      </c>
      <c r="V30" s="407" t="str">
        <f t="shared" si="7"/>
        <v xml:space="preserve"> </v>
      </c>
      <c r="W30" s="407">
        <f t="shared" si="7"/>
        <v>-7.0225440851095514E-2</v>
      </c>
      <c r="X30" s="407">
        <f t="shared" si="7"/>
        <v>1.2879657931639008</v>
      </c>
      <c r="Y30" s="407">
        <f t="shared" si="7"/>
        <v>1.2924342688383372</v>
      </c>
      <c r="Z30" s="407">
        <f t="shared" si="7"/>
        <v>1.2870634896622497</v>
      </c>
      <c r="AA30" s="407">
        <f t="shared" si="7"/>
        <v>1.2879278336695543</v>
      </c>
      <c r="AB30" s="407">
        <f t="shared" si="7"/>
        <v>1.2879155658515626</v>
      </c>
      <c r="AC30" s="407">
        <f t="shared" si="7"/>
        <v>1.2923850127057206</v>
      </c>
      <c r="AD30" s="407">
        <f t="shared" si="7"/>
        <v>1.2870148538590533</v>
      </c>
      <c r="AE30" s="407">
        <f t="shared" si="7"/>
        <v>1.287879871238317</v>
      </c>
      <c r="AF30" s="407">
        <f t="shared" si="7"/>
        <v>2.0813030596365087</v>
      </c>
      <c r="AG30"/>
    </row>
    <row r="31" spans="1:33">
      <c r="A31" s="11"/>
      <c r="B31" s="382"/>
      <c r="C31" s="53"/>
      <c r="AG31"/>
    </row>
    <row r="32" spans="1:33">
      <c r="A32" s="405" t="s">
        <v>408</v>
      </c>
      <c r="B32" s="393">
        <v>37165</v>
      </c>
      <c r="C32" s="393">
        <v>37530</v>
      </c>
      <c r="D32" s="393">
        <v>37895</v>
      </c>
      <c r="E32" s="393">
        <v>38261</v>
      </c>
      <c r="F32" s="393">
        <v>38626</v>
      </c>
      <c r="G32" s="393">
        <v>38991</v>
      </c>
      <c r="H32" s="393">
        <v>39356</v>
      </c>
      <c r="I32" s="393">
        <v>39722</v>
      </c>
      <c r="J32" s="393">
        <v>40087</v>
      </c>
      <c r="K32" s="393">
        <v>40452</v>
      </c>
      <c r="L32" s="393">
        <v>40817</v>
      </c>
      <c r="M32" s="393">
        <v>41183</v>
      </c>
      <c r="N32" s="393">
        <v>41548</v>
      </c>
      <c r="O32" s="393">
        <v>41913</v>
      </c>
      <c r="P32" s="393">
        <v>42278</v>
      </c>
      <c r="Q32" s="393">
        <v>42644</v>
      </c>
      <c r="R32" s="393">
        <v>43009</v>
      </c>
      <c r="S32" s="393">
        <v>43374</v>
      </c>
      <c r="T32" s="393">
        <v>43739</v>
      </c>
      <c r="U32" s="393">
        <v>44105</v>
      </c>
      <c r="V32" s="393">
        <v>44470</v>
      </c>
      <c r="W32" s="393">
        <v>44835</v>
      </c>
      <c r="X32" s="393">
        <v>45200</v>
      </c>
      <c r="Y32" s="393">
        <v>45566</v>
      </c>
      <c r="Z32" s="393">
        <v>45931</v>
      </c>
      <c r="AA32" s="393">
        <v>46296</v>
      </c>
      <c r="AB32" s="393">
        <v>46661</v>
      </c>
      <c r="AC32" s="393">
        <v>47027</v>
      </c>
      <c r="AD32" s="393">
        <v>47392</v>
      </c>
      <c r="AE32" s="393">
        <v>47757</v>
      </c>
      <c r="AF32" s="393">
        <v>47969</v>
      </c>
      <c r="AG32"/>
    </row>
    <row r="33" spans="1:39">
      <c r="A33" s="48" t="s">
        <v>54</v>
      </c>
      <c r="B33" s="383">
        <f>B19</f>
        <v>81657.998843824083</v>
      </c>
      <c r="C33" s="48">
        <f>C28</f>
        <v>76674.475209491837</v>
      </c>
      <c r="D33" s="48">
        <f t="shared" ref="D33:AF33" si="8">D28</f>
        <v>70737.982054127133</v>
      </c>
      <c r="E33" s="48">
        <f t="shared" si="8"/>
        <v>64311.623259233042</v>
      </c>
      <c r="F33" s="48">
        <f t="shared" si="8"/>
        <v>57364.573310036969</v>
      </c>
      <c r="G33" s="48">
        <f t="shared" si="8"/>
        <v>49887.998050897993</v>
      </c>
      <c r="H33" s="48">
        <f t="shared" si="8"/>
        <v>41818.677195400618</v>
      </c>
      <c r="I33" s="48">
        <f t="shared" si="8"/>
        <v>33114.426344444131</v>
      </c>
      <c r="J33" s="48">
        <f t="shared" si="8"/>
        <v>23712.730993267618</v>
      </c>
      <c r="K33" s="48">
        <f t="shared" si="8"/>
        <v>13573.930163712579</v>
      </c>
      <c r="L33" s="48">
        <f t="shared" si="8"/>
        <v>2623.0668865359403</v>
      </c>
      <c r="M33" s="48">
        <f t="shared" si="8"/>
        <v>0</v>
      </c>
      <c r="N33" s="48">
        <f t="shared" si="8"/>
        <v>0</v>
      </c>
      <c r="O33" s="48">
        <f t="shared" si="8"/>
        <v>0</v>
      </c>
      <c r="P33" s="48">
        <f t="shared" si="8"/>
        <v>0</v>
      </c>
      <c r="Q33" s="48">
        <f t="shared" si="8"/>
        <v>0</v>
      </c>
      <c r="R33" s="48">
        <f t="shared" si="8"/>
        <v>0</v>
      </c>
      <c r="S33" s="48">
        <f t="shared" si="8"/>
        <v>0</v>
      </c>
      <c r="T33" s="48">
        <f t="shared" si="8"/>
        <v>0</v>
      </c>
      <c r="U33" s="48">
        <f t="shared" si="8"/>
        <v>0</v>
      </c>
      <c r="V33" s="48">
        <f t="shared" si="8"/>
        <v>0</v>
      </c>
      <c r="W33" s="48">
        <f t="shared" si="8"/>
        <v>587.42298086807466</v>
      </c>
      <c r="X33" s="48">
        <f t="shared" si="8"/>
        <v>2475.772682665207</v>
      </c>
      <c r="Y33" s="48">
        <f t="shared" si="8"/>
        <v>5223.503802150728</v>
      </c>
      <c r="Z33" s="48">
        <f t="shared" si="8"/>
        <v>8267.7438394290511</v>
      </c>
      <c r="AA33" s="48">
        <f t="shared" si="8"/>
        <v>11637.88519730456</v>
      </c>
      <c r="AB33" s="48">
        <f t="shared" si="8"/>
        <v>15364.173550887535</v>
      </c>
      <c r="AC33" s="48">
        <f t="shared" si="8"/>
        <v>19481.613114228221</v>
      </c>
      <c r="AD33" s="48">
        <f t="shared" si="8"/>
        <v>24013.947164741956</v>
      </c>
      <c r="AE33" s="48">
        <f t="shared" si="8"/>
        <v>29008.087108254906</v>
      </c>
      <c r="AF33" s="48">
        <f t="shared" si="8"/>
        <v>34884.088210390641</v>
      </c>
      <c r="AG33"/>
    </row>
    <row r="34" spans="1:39">
      <c r="A34" s="48" t="s">
        <v>321</v>
      </c>
      <c r="B34" s="383">
        <v>0</v>
      </c>
      <c r="C34" s="383">
        <v>0</v>
      </c>
      <c r="D34" s="383">
        <v>0</v>
      </c>
      <c r="E34" s="383">
        <v>0</v>
      </c>
      <c r="F34" s="383">
        <v>0</v>
      </c>
      <c r="G34" s="383">
        <v>0</v>
      </c>
      <c r="H34" s="383">
        <v>0</v>
      </c>
      <c r="I34" s="383">
        <v>0</v>
      </c>
      <c r="J34" s="383">
        <v>0</v>
      </c>
      <c r="K34" s="383">
        <v>0</v>
      </c>
      <c r="L34" s="383">
        <v>0</v>
      </c>
      <c r="M34" s="383">
        <v>0</v>
      </c>
      <c r="N34" s="383">
        <v>0</v>
      </c>
      <c r="O34" s="383">
        <v>0</v>
      </c>
      <c r="P34" s="383">
        <v>0</v>
      </c>
      <c r="Q34" s="383">
        <v>0</v>
      </c>
      <c r="R34" s="383">
        <v>0</v>
      </c>
      <c r="S34" s="383">
        <v>0</v>
      </c>
      <c r="T34" s="383">
        <v>0</v>
      </c>
      <c r="U34" s="383">
        <v>0</v>
      </c>
      <c r="V34" s="383">
        <v>0</v>
      </c>
      <c r="W34" s="383">
        <v>0</v>
      </c>
      <c r="X34" s="383">
        <v>0</v>
      </c>
      <c r="Y34" s="383">
        <v>0</v>
      </c>
      <c r="Z34" s="383">
        <v>0</v>
      </c>
      <c r="AA34" s="383">
        <v>0</v>
      </c>
      <c r="AB34" s="383">
        <v>0</v>
      </c>
      <c r="AC34" s="383">
        <v>0</v>
      </c>
      <c r="AD34" s="383">
        <v>0</v>
      </c>
      <c r="AE34" s="383">
        <v>0</v>
      </c>
      <c r="AF34" s="383">
        <v>0</v>
      </c>
      <c r="AG34"/>
    </row>
    <row r="35" spans="1:39">
      <c r="A35" s="48" t="s">
        <v>55</v>
      </c>
      <c r="B35" s="48">
        <f>B33-B37</f>
        <v>2187.7316441690637</v>
      </c>
      <c r="C35" s="48">
        <f>C33-C37</f>
        <v>2892.3531033652544</v>
      </c>
      <c r="D35" s="48">
        <f t="shared" ref="D35:AF35" si="9">D33-D37</f>
        <v>3153.3780776468629</v>
      </c>
      <c r="E35" s="48">
        <f t="shared" si="9"/>
        <v>3411.7892960522004</v>
      </c>
      <c r="F35" s="48">
        <f t="shared" si="9"/>
        <v>3664.3022039498464</v>
      </c>
      <c r="G35" s="48">
        <f t="shared" si="9"/>
        <v>3957.8224252835498</v>
      </c>
      <c r="H35" s="48">
        <f t="shared" si="9"/>
        <v>4271.1809180522905</v>
      </c>
      <c r="I35" s="48">
        <f t="shared" si="9"/>
        <v>4618.0441644124658</v>
      </c>
      <c r="J35" s="48">
        <f t="shared" si="9"/>
        <v>4973.4750115921888</v>
      </c>
      <c r="K35" s="48">
        <f t="shared" si="9"/>
        <v>5374.7436752730027</v>
      </c>
      <c r="L35" s="48">
        <f t="shared" si="9"/>
        <v>2623.0668865359403</v>
      </c>
      <c r="M35" s="48">
        <f t="shared" si="9"/>
        <v>0</v>
      </c>
      <c r="N35" s="48">
        <f t="shared" si="9"/>
        <v>0</v>
      </c>
      <c r="O35" s="48">
        <f t="shared" si="9"/>
        <v>0</v>
      </c>
      <c r="P35" s="48">
        <f t="shared" si="9"/>
        <v>0</v>
      </c>
      <c r="Q35" s="48">
        <f t="shared" si="9"/>
        <v>0</v>
      </c>
      <c r="R35" s="48">
        <f t="shared" si="9"/>
        <v>0</v>
      </c>
      <c r="S35" s="48">
        <f t="shared" si="9"/>
        <v>0</v>
      </c>
      <c r="T35" s="48">
        <f t="shared" si="9"/>
        <v>0</v>
      </c>
      <c r="U35" s="48">
        <f t="shared" si="9"/>
        <v>0</v>
      </c>
      <c r="V35" s="48">
        <f t="shared" si="9"/>
        <v>0</v>
      </c>
      <c r="W35" s="48">
        <f t="shared" si="9"/>
        <v>-611.72056567261109</v>
      </c>
      <c r="X35" s="48">
        <f t="shared" si="9"/>
        <v>-1329.7054038648762</v>
      </c>
      <c r="Y35" s="48">
        <f t="shared" si="9"/>
        <v>-1476.3054158709856</v>
      </c>
      <c r="Z35" s="48">
        <f t="shared" si="9"/>
        <v>-1634.6799794096842</v>
      </c>
      <c r="AA35" s="48">
        <f t="shared" si="9"/>
        <v>-1809.483510319089</v>
      </c>
      <c r="AB35" s="48">
        <f t="shared" si="9"/>
        <v>-1999.1291420023954</v>
      </c>
      <c r="AC35" s="48">
        <f t="shared" si="9"/>
        <v>-2204.714942140592</v>
      </c>
      <c r="AD35" s="48">
        <f t="shared" si="9"/>
        <v>-2430.0168834790311</v>
      </c>
      <c r="AE35" s="48">
        <f t="shared" si="9"/>
        <v>-2676.1599776581352</v>
      </c>
      <c r="AF35" s="48">
        <f t="shared" si="9"/>
        <v>-2132.9894760549505</v>
      </c>
      <c r="AG35"/>
    </row>
    <row r="36" spans="1:39">
      <c r="A36" s="48" t="s">
        <v>56</v>
      </c>
      <c r="B36" s="386">
        <f>B33*(B32-Assumptions!H17)/365.25*$E$64</f>
        <v>2821.9797136376992</v>
      </c>
      <c r="C36" s="386">
        <f t="shared" ref="C36:AF36" si="10">C33*(C32-C23)/(C41-B41)*$E$64</f>
        <v>3171.4873684254881</v>
      </c>
      <c r="D36" s="386">
        <f t="shared" si="10"/>
        <v>2925.9361207183138</v>
      </c>
      <c r="E36" s="386">
        <f t="shared" si="10"/>
        <v>2652.8544594433633</v>
      </c>
      <c r="F36" s="386">
        <f t="shared" si="10"/>
        <v>2372.7716316391316</v>
      </c>
      <c r="G36" s="386">
        <f t="shared" si="10"/>
        <v>2063.5179467765274</v>
      </c>
      <c r="H36" s="386">
        <f t="shared" si="10"/>
        <v>1729.7465176919475</v>
      </c>
      <c r="I36" s="386">
        <f t="shared" si="10"/>
        <v>1365.9700867083204</v>
      </c>
      <c r="J36" s="386">
        <f t="shared" si="10"/>
        <v>980.83001690645995</v>
      </c>
      <c r="K36" s="386">
        <f t="shared" si="10"/>
        <v>561.45865930589218</v>
      </c>
      <c r="L36" s="386">
        <f t="shared" si="10"/>
        <v>108.4979515602092</v>
      </c>
      <c r="M36" s="386">
        <f t="shared" si="10"/>
        <v>0</v>
      </c>
      <c r="N36" s="386">
        <f t="shared" si="10"/>
        <v>0</v>
      </c>
      <c r="O36" s="386">
        <f t="shared" si="10"/>
        <v>0</v>
      </c>
      <c r="P36" s="386">
        <f t="shared" si="10"/>
        <v>0</v>
      </c>
      <c r="Q36" s="386">
        <f t="shared" si="10"/>
        <v>0</v>
      </c>
      <c r="R36" s="386">
        <f t="shared" si="10"/>
        <v>0</v>
      </c>
      <c r="S36" s="386">
        <f t="shared" si="10"/>
        <v>0</v>
      </c>
      <c r="T36" s="386">
        <f t="shared" si="10"/>
        <v>0</v>
      </c>
      <c r="U36" s="386">
        <f t="shared" si="10"/>
        <v>0</v>
      </c>
      <c r="V36" s="386">
        <f t="shared" si="10"/>
        <v>0</v>
      </c>
      <c r="W36" s="386">
        <f t="shared" si="10"/>
        <v>24.297584804536324</v>
      </c>
      <c r="X36" s="386">
        <f t="shared" si="10"/>
        <v>102.40541938777524</v>
      </c>
      <c r="Y36" s="386">
        <f t="shared" si="10"/>
        <v>215.46953183871753</v>
      </c>
      <c r="Z36" s="386">
        <f t="shared" si="10"/>
        <v>341.97880168706882</v>
      </c>
      <c r="AA36" s="386">
        <f t="shared" si="10"/>
        <v>481.37800483919347</v>
      </c>
      <c r="AB36" s="386">
        <f t="shared" si="10"/>
        <v>635.5085210534919</v>
      </c>
      <c r="AC36" s="386">
        <f t="shared" si="10"/>
        <v>803.61654096191421</v>
      </c>
      <c r="AD36" s="386">
        <f t="shared" si="10"/>
        <v>993.2892255334018</v>
      </c>
      <c r="AE36" s="386">
        <f t="shared" si="10"/>
        <v>1199.8619044298039</v>
      </c>
      <c r="AF36" s="386">
        <f t="shared" si="10"/>
        <v>236.54278991977213</v>
      </c>
      <c r="AG36"/>
    </row>
    <row r="37" spans="1:39">
      <c r="A37" s="48" t="s">
        <v>57</v>
      </c>
      <c r="B37" s="162">
        <f>MAX(B33+B34+B36-B13,0)</f>
        <v>79470.26719965502</v>
      </c>
      <c r="C37" s="162">
        <f>MAX(C33+C34+C36-0.5*C13,0)</f>
        <v>73782.122106126582</v>
      </c>
      <c r="D37" s="162">
        <f t="shared" ref="D37:AF37" si="11">MAX(D33+D34+D36-0.5*D13,0)</f>
        <v>67584.60397648027</v>
      </c>
      <c r="E37" s="162">
        <f t="shared" si="11"/>
        <v>60899.833963180841</v>
      </c>
      <c r="F37" s="162">
        <f t="shared" si="11"/>
        <v>53700.271106087122</v>
      </c>
      <c r="G37" s="162">
        <f t="shared" si="11"/>
        <v>45930.175625614444</v>
      </c>
      <c r="H37" s="162">
        <f t="shared" si="11"/>
        <v>37547.496277348328</v>
      </c>
      <c r="I37" s="162">
        <f t="shared" si="11"/>
        <v>28496.382180031665</v>
      </c>
      <c r="J37" s="162">
        <f t="shared" si="11"/>
        <v>18739.255981675429</v>
      </c>
      <c r="K37" s="162">
        <f t="shared" si="11"/>
        <v>8199.1864884395764</v>
      </c>
      <c r="L37" s="162">
        <f t="shared" si="11"/>
        <v>0</v>
      </c>
      <c r="M37" s="162">
        <f t="shared" si="11"/>
        <v>0</v>
      </c>
      <c r="N37" s="162">
        <f t="shared" si="11"/>
        <v>0</v>
      </c>
      <c r="O37" s="162">
        <f t="shared" si="11"/>
        <v>0</v>
      </c>
      <c r="P37" s="162">
        <f t="shared" si="11"/>
        <v>0</v>
      </c>
      <c r="Q37" s="162">
        <f t="shared" si="11"/>
        <v>0</v>
      </c>
      <c r="R37" s="162">
        <f t="shared" si="11"/>
        <v>0</v>
      </c>
      <c r="S37" s="162">
        <f t="shared" si="11"/>
        <v>0</v>
      </c>
      <c r="T37" s="162">
        <f t="shared" si="11"/>
        <v>0</v>
      </c>
      <c r="U37" s="162">
        <f t="shared" si="11"/>
        <v>0</v>
      </c>
      <c r="V37" s="162">
        <f t="shared" si="11"/>
        <v>0</v>
      </c>
      <c r="W37" s="162">
        <f t="shared" si="11"/>
        <v>1199.1435465406857</v>
      </c>
      <c r="X37" s="162">
        <f t="shared" si="11"/>
        <v>3805.4780865300831</v>
      </c>
      <c r="Y37" s="162">
        <f t="shared" si="11"/>
        <v>6699.8092180217136</v>
      </c>
      <c r="Z37" s="162">
        <f t="shared" si="11"/>
        <v>9902.4238188387353</v>
      </c>
      <c r="AA37" s="162">
        <f t="shared" si="11"/>
        <v>13447.368707623649</v>
      </c>
      <c r="AB37" s="162">
        <f t="shared" si="11"/>
        <v>17363.302692889931</v>
      </c>
      <c r="AC37" s="162">
        <f t="shared" si="11"/>
        <v>21686.328056368813</v>
      </c>
      <c r="AD37" s="162">
        <f t="shared" si="11"/>
        <v>26443.964048220987</v>
      </c>
      <c r="AE37" s="162">
        <f t="shared" si="11"/>
        <v>31684.247085913041</v>
      </c>
      <c r="AF37" s="162">
        <f t="shared" si="11"/>
        <v>37017.077686445591</v>
      </c>
      <c r="AG37"/>
    </row>
    <row r="38" spans="1:39">
      <c r="A38" s="48" t="s">
        <v>323</v>
      </c>
      <c r="B38" s="162">
        <f>(B32-Assumptions!H17)/(Debt!B41-Assumptions!H17)*IS!C32</f>
        <v>6512.6247651487911</v>
      </c>
      <c r="C38" s="162">
        <f>(C32-C23)/(C41-B41)*IS!D32</f>
        <v>7942.776588595867</v>
      </c>
      <c r="D38" s="162">
        <f>(D32-D23)/(D41-C41)*IS!E32</f>
        <v>7918.7774672260039</v>
      </c>
      <c r="E38" s="162">
        <f>(E32-E23)/(E41-D41)*IS!F32</f>
        <v>7872.5409067171859</v>
      </c>
      <c r="F38" s="162">
        <f>(F32-F23)/(F41-E41)*IS!G32</f>
        <v>7868.7536805181444</v>
      </c>
      <c r="G38" s="162">
        <f>(G32-G23)/(G41-F41)*IS!H32</f>
        <v>7842.6903799234788</v>
      </c>
      <c r="H38" s="162">
        <f>(H32-H23)/(H41-G41)*IS!I32</f>
        <v>7815.8994501973511</v>
      </c>
      <c r="I38" s="162">
        <f>(I32-I23)/(I41-H41)*IS!J32</f>
        <v>7767.0804753284101</v>
      </c>
      <c r="J38" s="162">
        <f>(J32-J23)/(J41-I41)*IS!K32</f>
        <v>7760.0511288495309</v>
      </c>
      <c r="K38" s="162">
        <f>(K32-K23)/(K41-J41)*IS!L32</f>
        <v>7730.9504309026652</v>
      </c>
      <c r="L38" s="162">
        <f>(L32-L23)/(L41-K41)*IS!M32</f>
        <v>7701.035455487734</v>
      </c>
      <c r="M38" s="162">
        <f>(M32-M23)/(M41-L41)*IS!N32</f>
        <v>7649.3258919119744</v>
      </c>
      <c r="N38" s="162">
        <f>(N32-N23)/(N41-M41)*IS!O32</f>
        <v>7638.6689843288532</v>
      </c>
      <c r="O38" s="162">
        <f>(O32-O23)/(O41-N41)*IS!P32</f>
        <v>7606.1689396036545</v>
      </c>
      <c r="P38" s="162">
        <f>(P32-P23)/(P41-O41)*IS!Q32</f>
        <v>7572.7574793581762</v>
      </c>
      <c r="Q38" s="162">
        <f>(Q32-Q23)/(Q41-P41)*IS!R32</f>
        <v>7517.8117882179849</v>
      </c>
      <c r="R38" s="162">
        <f>(R32-R23)/(R41-Q41)*IS!S32</f>
        <v>7503.0952726215382</v>
      </c>
      <c r="S38" s="162">
        <f>(S32-S23)/(S41-R41)*IS!T32</f>
        <v>7466.7900923756079</v>
      </c>
      <c r="T38" s="162">
        <f>(T32-T23)/(T41-S41)*IS!U32</f>
        <v>7429.4645840604071</v>
      </c>
      <c r="U38" s="162">
        <f>(U32-U23)/(U41-T41)*IS!V32</f>
        <v>7370.8952807347487</v>
      </c>
      <c r="V38" s="162">
        <f>(V32-V23)/(V41-U41)*IS!W32</f>
        <v>1651.5091827462459</v>
      </c>
      <c r="W38" s="162">
        <f>(W32-W23)/(W41-V41)*IS!X32</f>
        <v>-1568.5517880545194</v>
      </c>
      <c r="X38" s="162">
        <f>(X32-X23)/(X41-W41)*IS!Y32</f>
        <v>-1610.2595616833705</v>
      </c>
      <c r="Y38" s="162">
        <f>(Y32-Y23)/(Y41-X41)*IS!Z32</f>
        <v>-1648.6257945795151</v>
      </c>
      <c r="Z38" s="162">
        <f>(Z32-Z23)/(Z41-Y41)*IS!AA32</f>
        <v>-1697.2345731886314</v>
      </c>
      <c r="AA38" s="162">
        <f>(AA32-AA23)/(AA41-Z41)*IS!AB32</f>
        <v>-1742.5702676903995</v>
      </c>
      <c r="AB38" s="162">
        <f>(AB32-AB23)/(AB41-AA41)*IS!AC32</f>
        <v>-1789.1853908308806</v>
      </c>
      <c r="AC38" s="162">
        <f>(AC32-AC23)/(AC41-AB41)*IS!AD32</f>
        <v>-1832.0972680552895</v>
      </c>
      <c r="AD38" s="162">
        <f>(AD32-AD23)/(AD41-AC41)*IS!AE32</f>
        <v>-1886.402073932481</v>
      </c>
      <c r="AE38" s="162">
        <f>(AE32-AE23)/(AE41-AD41)*IS!AF32</f>
        <v>-1937.0804179349816</v>
      </c>
      <c r="AF38" s="162">
        <f>(AF32-AF23)/(AG23-AE41)*IS!AG32</f>
        <v>-983.68109366079602</v>
      </c>
      <c r="AG38"/>
    </row>
    <row r="39" spans="1:39">
      <c r="A39" s="406" t="s">
        <v>0</v>
      </c>
      <c r="B39" s="407">
        <f t="shared" ref="B39:AF39" si="12">IF(B37&gt;0.1,B38/(B36+B35)," ")</f>
        <v>1.2999999999999998</v>
      </c>
      <c r="C39" s="407">
        <f t="shared" si="12"/>
        <v>1.3098590943389787</v>
      </c>
      <c r="D39" s="407">
        <f t="shared" si="12"/>
        <v>1.3025774304206037</v>
      </c>
      <c r="E39" s="407">
        <f t="shared" si="12"/>
        <v>1.2981044269225823</v>
      </c>
      <c r="F39" s="407">
        <f t="shared" si="12"/>
        <v>1.3034052414816071</v>
      </c>
      <c r="G39" s="407">
        <f t="shared" si="12"/>
        <v>1.3024824865099369</v>
      </c>
      <c r="H39" s="407">
        <f t="shared" si="12"/>
        <v>1.3024485854706922</v>
      </c>
      <c r="I39" s="407">
        <f t="shared" si="12"/>
        <v>1.2979715871956123</v>
      </c>
      <c r="J39" s="407">
        <f t="shared" si="12"/>
        <v>1.3032673152799821</v>
      </c>
      <c r="K39" s="407">
        <f t="shared" si="12"/>
        <v>1.3023394411388585</v>
      </c>
      <c r="L39" s="407" t="str">
        <f t="shared" si="12"/>
        <v xml:space="preserve"> </v>
      </c>
      <c r="M39" s="407" t="str">
        <f t="shared" si="12"/>
        <v xml:space="preserve"> </v>
      </c>
      <c r="N39" s="407" t="str">
        <f t="shared" si="12"/>
        <v xml:space="preserve"> </v>
      </c>
      <c r="O39" s="407" t="str">
        <f t="shared" si="12"/>
        <v xml:space="preserve"> </v>
      </c>
      <c r="P39" s="407" t="str">
        <f t="shared" si="12"/>
        <v xml:space="preserve"> </v>
      </c>
      <c r="Q39" s="407" t="str">
        <f t="shared" si="12"/>
        <v xml:space="preserve"> </v>
      </c>
      <c r="R39" s="407" t="str">
        <f t="shared" si="12"/>
        <v xml:space="preserve"> </v>
      </c>
      <c r="S39" s="407" t="str">
        <f t="shared" si="12"/>
        <v xml:space="preserve"> </v>
      </c>
      <c r="T39" s="407" t="str">
        <f t="shared" si="12"/>
        <v xml:space="preserve"> </v>
      </c>
      <c r="U39" s="407" t="str">
        <f t="shared" si="12"/>
        <v xml:space="preserve"> </v>
      </c>
      <c r="V39" s="407" t="str">
        <f t="shared" si="12"/>
        <v xml:space="preserve"> </v>
      </c>
      <c r="W39" s="407">
        <f t="shared" si="12"/>
        <v>2.670225440851095</v>
      </c>
      <c r="X39" s="407">
        <f t="shared" si="12"/>
        <v>1.3120342068360997</v>
      </c>
      <c r="Y39" s="407">
        <f t="shared" si="12"/>
        <v>1.3075657311616635</v>
      </c>
      <c r="Z39" s="407">
        <f t="shared" si="12"/>
        <v>1.3129365103377511</v>
      </c>
      <c r="AA39" s="407">
        <f t="shared" si="12"/>
        <v>1.3120721663304467</v>
      </c>
      <c r="AB39" s="407">
        <f t="shared" si="12"/>
        <v>1.3120844341484357</v>
      </c>
      <c r="AC39" s="407">
        <f t="shared" si="12"/>
        <v>1.3076149872942777</v>
      </c>
      <c r="AD39" s="407">
        <f t="shared" si="12"/>
        <v>1.3129851461409459</v>
      </c>
      <c r="AE39" s="407">
        <f t="shared" si="12"/>
        <v>1.3121201287616824</v>
      </c>
      <c r="AF39" s="407">
        <f t="shared" si="12"/>
        <v>0.51869694036348957</v>
      </c>
    </row>
    <row r="40" spans="1:39">
      <c r="A40" s="48"/>
      <c r="B40" s="162"/>
      <c r="C40" s="162"/>
      <c r="D40" s="162"/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  <c r="AA40" s="162"/>
      <c r="AB40" s="162"/>
      <c r="AC40" s="162"/>
      <c r="AD40" s="162"/>
      <c r="AE40" s="162"/>
      <c r="AF40" s="162"/>
    </row>
    <row r="41" spans="1:39">
      <c r="A41"/>
      <c r="B41" s="396">
        <f>B8</f>
        <v>37256</v>
      </c>
      <c r="C41" s="396">
        <f t="shared" ref="C41:AF41" si="13">C8</f>
        <v>37621</v>
      </c>
      <c r="D41" s="396">
        <f t="shared" si="13"/>
        <v>37986</v>
      </c>
      <c r="E41" s="396">
        <f t="shared" si="13"/>
        <v>38352</v>
      </c>
      <c r="F41" s="396">
        <f t="shared" si="13"/>
        <v>38717</v>
      </c>
      <c r="G41" s="396">
        <f t="shared" si="13"/>
        <v>39082</v>
      </c>
      <c r="H41" s="396">
        <f t="shared" si="13"/>
        <v>39447</v>
      </c>
      <c r="I41" s="396">
        <f t="shared" si="13"/>
        <v>39813</v>
      </c>
      <c r="J41" s="396">
        <f t="shared" si="13"/>
        <v>40178</v>
      </c>
      <c r="K41" s="396">
        <f t="shared" si="13"/>
        <v>40543</v>
      </c>
      <c r="L41" s="396">
        <f t="shared" si="13"/>
        <v>40908</v>
      </c>
      <c r="M41" s="396">
        <f t="shared" si="13"/>
        <v>41274</v>
      </c>
      <c r="N41" s="396">
        <f t="shared" si="13"/>
        <v>41639</v>
      </c>
      <c r="O41" s="396">
        <f t="shared" si="13"/>
        <v>42004</v>
      </c>
      <c r="P41" s="396">
        <f t="shared" si="13"/>
        <v>42369</v>
      </c>
      <c r="Q41" s="396">
        <f t="shared" si="13"/>
        <v>42735</v>
      </c>
      <c r="R41" s="396">
        <f t="shared" si="13"/>
        <v>43100</v>
      </c>
      <c r="S41" s="396">
        <f t="shared" si="13"/>
        <v>43465</v>
      </c>
      <c r="T41" s="396">
        <f t="shared" si="13"/>
        <v>43830</v>
      </c>
      <c r="U41" s="396">
        <f t="shared" si="13"/>
        <v>44196</v>
      </c>
      <c r="V41" s="396">
        <f t="shared" si="13"/>
        <v>44561</v>
      </c>
      <c r="W41" s="396">
        <f t="shared" si="13"/>
        <v>44926</v>
      </c>
      <c r="X41" s="396">
        <f t="shared" si="13"/>
        <v>45291</v>
      </c>
      <c r="Y41" s="396">
        <f t="shared" si="13"/>
        <v>45657</v>
      </c>
      <c r="Z41" s="396">
        <f t="shared" si="13"/>
        <v>46022</v>
      </c>
      <c r="AA41" s="396">
        <f t="shared" si="13"/>
        <v>46387</v>
      </c>
      <c r="AB41" s="396">
        <f t="shared" si="13"/>
        <v>46752</v>
      </c>
      <c r="AC41" s="396">
        <f t="shared" si="13"/>
        <v>47118</v>
      </c>
      <c r="AD41" s="396">
        <f t="shared" si="13"/>
        <v>47483</v>
      </c>
      <c r="AE41" s="396">
        <f t="shared" si="13"/>
        <v>47848</v>
      </c>
      <c r="AF41" s="396">
        <f t="shared" si="13"/>
        <v>48213</v>
      </c>
    </row>
    <row r="42" spans="1:39">
      <c r="A42" s="48" t="s">
        <v>54</v>
      </c>
      <c r="B42" s="48">
        <f>B37</f>
        <v>79470.26719965502</v>
      </c>
      <c r="C42" s="48">
        <f>C37</f>
        <v>73782.122106126582</v>
      </c>
      <c r="D42" s="48">
        <f t="shared" ref="D42:AF42" si="14">D37</f>
        <v>67584.60397648027</v>
      </c>
      <c r="E42" s="48">
        <f t="shared" si="14"/>
        <v>60899.833963180841</v>
      </c>
      <c r="F42" s="48">
        <f t="shared" si="14"/>
        <v>53700.271106087122</v>
      </c>
      <c r="G42" s="48">
        <f t="shared" si="14"/>
        <v>45930.175625614444</v>
      </c>
      <c r="H42" s="48">
        <f t="shared" si="14"/>
        <v>37547.496277348328</v>
      </c>
      <c r="I42" s="48">
        <f t="shared" si="14"/>
        <v>28496.382180031665</v>
      </c>
      <c r="J42" s="48">
        <f t="shared" si="14"/>
        <v>18739.255981675429</v>
      </c>
      <c r="K42" s="48">
        <f t="shared" si="14"/>
        <v>8199.1864884395764</v>
      </c>
      <c r="L42" s="48">
        <f t="shared" si="14"/>
        <v>0</v>
      </c>
      <c r="M42" s="48">
        <f t="shared" si="14"/>
        <v>0</v>
      </c>
      <c r="N42" s="48">
        <f t="shared" si="14"/>
        <v>0</v>
      </c>
      <c r="O42" s="48">
        <f t="shared" si="14"/>
        <v>0</v>
      </c>
      <c r="P42" s="48">
        <f t="shared" si="14"/>
        <v>0</v>
      </c>
      <c r="Q42" s="48">
        <f t="shared" si="14"/>
        <v>0</v>
      </c>
      <c r="R42" s="48">
        <f t="shared" si="14"/>
        <v>0</v>
      </c>
      <c r="S42" s="48">
        <f t="shared" si="14"/>
        <v>0</v>
      </c>
      <c r="T42" s="48">
        <f t="shared" si="14"/>
        <v>0</v>
      </c>
      <c r="U42" s="48">
        <f t="shared" si="14"/>
        <v>0</v>
      </c>
      <c r="V42" s="48">
        <f t="shared" si="14"/>
        <v>0</v>
      </c>
      <c r="W42" s="48">
        <f t="shared" si="14"/>
        <v>1199.1435465406857</v>
      </c>
      <c r="X42" s="48">
        <f t="shared" si="14"/>
        <v>3805.4780865300831</v>
      </c>
      <c r="Y42" s="48">
        <f t="shared" si="14"/>
        <v>6699.8092180217136</v>
      </c>
      <c r="Z42" s="48">
        <f t="shared" si="14"/>
        <v>9902.4238188387353</v>
      </c>
      <c r="AA42" s="48">
        <f t="shared" si="14"/>
        <v>13447.368707623649</v>
      </c>
      <c r="AB42" s="48">
        <f t="shared" si="14"/>
        <v>17363.302692889931</v>
      </c>
      <c r="AC42" s="48">
        <f t="shared" si="14"/>
        <v>21686.328056368813</v>
      </c>
      <c r="AD42" s="48">
        <f t="shared" si="14"/>
        <v>26443.964048220987</v>
      </c>
      <c r="AE42" s="48">
        <f t="shared" si="14"/>
        <v>31684.247085913041</v>
      </c>
      <c r="AF42" s="48">
        <f t="shared" si="14"/>
        <v>37017.077686445591</v>
      </c>
    </row>
    <row r="43" spans="1:39">
      <c r="A43" s="48" t="s">
        <v>321</v>
      </c>
      <c r="B43" s="383">
        <v>0</v>
      </c>
      <c r="C43" s="383">
        <v>0</v>
      </c>
      <c r="D43" s="383">
        <v>0</v>
      </c>
      <c r="E43" s="383">
        <v>0</v>
      </c>
      <c r="F43" s="383">
        <v>0</v>
      </c>
      <c r="G43" s="383">
        <v>0</v>
      </c>
      <c r="H43" s="383">
        <v>0</v>
      </c>
      <c r="I43" s="383">
        <v>0</v>
      </c>
      <c r="J43" s="383">
        <v>0</v>
      </c>
      <c r="K43" s="383">
        <v>0</v>
      </c>
      <c r="L43" s="383">
        <v>0</v>
      </c>
      <c r="M43" s="383">
        <v>0</v>
      </c>
      <c r="N43" s="383">
        <v>0</v>
      </c>
      <c r="O43" s="383">
        <v>0</v>
      </c>
      <c r="P43" s="383">
        <v>0</v>
      </c>
      <c r="Q43" s="383">
        <v>0</v>
      </c>
      <c r="R43" s="383">
        <v>0</v>
      </c>
      <c r="S43" s="383">
        <v>0</v>
      </c>
      <c r="T43" s="383">
        <v>0</v>
      </c>
      <c r="U43" s="383">
        <v>0</v>
      </c>
      <c r="V43" s="383">
        <v>0</v>
      </c>
      <c r="W43" s="383">
        <v>0</v>
      </c>
      <c r="X43" s="383">
        <v>0</v>
      </c>
      <c r="Y43" s="383">
        <v>0</v>
      </c>
      <c r="Z43" s="383">
        <v>0</v>
      </c>
      <c r="AA43" s="383">
        <v>0</v>
      </c>
      <c r="AB43" s="383">
        <v>0</v>
      </c>
      <c r="AC43" s="383">
        <v>0</v>
      </c>
      <c r="AD43" s="383">
        <v>0</v>
      </c>
      <c r="AE43" s="383">
        <v>0</v>
      </c>
      <c r="AF43" s="383">
        <v>0</v>
      </c>
    </row>
    <row r="44" spans="1:39">
      <c r="A44" s="48" t="s">
        <v>56</v>
      </c>
      <c r="B44" s="386">
        <f>B42*(B41-B32)/365.25*$E$64</f>
        <v>1633.4648350483508</v>
      </c>
      <c r="C44" s="386">
        <f t="shared" ref="C44:AF44" si="15">C42*(C41-C32)/(C41-B41)*$E$64</f>
        <v>1517.5870731828638</v>
      </c>
      <c r="D44" s="386">
        <f t="shared" si="15"/>
        <v>1390.1134639819882</v>
      </c>
      <c r="E44" s="386">
        <f t="shared" si="15"/>
        <v>1249.1953646955742</v>
      </c>
      <c r="F44" s="386">
        <f t="shared" si="15"/>
        <v>1104.533658435477</v>
      </c>
      <c r="G44" s="386">
        <f t="shared" si="15"/>
        <v>944.71450276520682</v>
      </c>
      <c r="H44" s="386">
        <f t="shared" si="15"/>
        <v>772.29542000600702</v>
      </c>
      <c r="I44" s="386">
        <f t="shared" si="15"/>
        <v>584.52620004532173</v>
      </c>
      <c r="J44" s="386">
        <f t="shared" si="15"/>
        <v>385.43825830802274</v>
      </c>
      <c r="K44" s="386">
        <f t="shared" si="15"/>
        <v>168.64491112865787</v>
      </c>
      <c r="L44" s="386">
        <f t="shared" si="15"/>
        <v>0</v>
      </c>
      <c r="M44" s="386">
        <f t="shared" si="15"/>
        <v>0</v>
      </c>
      <c r="N44" s="386">
        <f t="shared" si="15"/>
        <v>0</v>
      </c>
      <c r="O44" s="386">
        <f t="shared" si="15"/>
        <v>0</v>
      </c>
      <c r="P44" s="386">
        <f t="shared" si="15"/>
        <v>0</v>
      </c>
      <c r="Q44" s="386">
        <f t="shared" si="15"/>
        <v>0</v>
      </c>
      <c r="R44" s="386">
        <f t="shared" si="15"/>
        <v>0</v>
      </c>
      <c r="S44" s="386">
        <f t="shared" si="15"/>
        <v>0</v>
      </c>
      <c r="T44" s="386">
        <f t="shared" si="15"/>
        <v>0</v>
      </c>
      <c r="U44" s="386">
        <f t="shared" si="15"/>
        <v>0</v>
      </c>
      <c r="V44" s="386">
        <f t="shared" si="15"/>
        <v>0</v>
      </c>
      <c r="W44" s="386">
        <f t="shared" si="15"/>
        <v>24.66457582371013</v>
      </c>
      <c r="X44" s="386">
        <f t="shared" si="15"/>
        <v>78.27294995787561</v>
      </c>
      <c r="Y44" s="386">
        <f t="shared" si="15"/>
        <v>137.42846367294541</v>
      </c>
      <c r="Z44" s="386">
        <f t="shared" si="15"/>
        <v>203.67793649296385</v>
      </c>
      <c r="AA44" s="386">
        <f t="shared" si="15"/>
        <v>276.59211115749196</v>
      </c>
      <c r="AB44" s="386">
        <f t="shared" si="15"/>
        <v>357.13697251197578</v>
      </c>
      <c r="AC44" s="386">
        <f t="shared" si="15"/>
        <v>444.83636033658161</v>
      </c>
      <c r="AD44" s="386">
        <f t="shared" si="15"/>
        <v>543.91249340279194</v>
      </c>
      <c r="AE44" s="386">
        <f t="shared" si="15"/>
        <v>651.69721917121137</v>
      </c>
      <c r="AF44" s="386">
        <f t="shared" si="15"/>
        <v>2041.5171885702732</v>
      </c>
    </row>
    <row r="45" spans="1:39">
      <c r="A45" s="48" t="s">
        <v>57</v>
      </c>
      <c r="B45" s="48">
        <f>B42+B43</f>
        <v>79470.26719965502</v>
      </c>
      <c r="C45" s="48">
        <f t="shared" ref="C45:AF45" si="16">C42+C43</f>
        <v>73782.122106126582</v>
      </c>
      <c r="D45" s="48">
        <f t="shared" si="16"/>
        <v>67584.60397648027</v>
      </c>
      <c r="E45" s="48">
        <f t="shared" si="16"/>
        <v>60899.833963180841</v>
      </c>
      <c r="F45" s="48">
        <f t="shared" si="16"/>
        <v>53700.271106087122</v>
      </c>
      <c r="G45" s="48">
        <f t="shared" si="16"/>
        <v>45930.175625614444</v>
      </c>
      <c r="H45" s="48">
        <f t="shared" si="16"/>
        <v>37547.496277348328</v>
      </c>
      <c r="I45" s="48">
        <f t="shared" si="16"/>
        <v>28496.382180031665</v>
      </c>
      <c r="J45" s="48">
        <f t="shared" si="16"/>
        <v>18739.255981675429</v>
      </c>
      <c r="K45" s="48">
        <f t="shared" si="16"/>
        <v>8199.1864884395764</v>
      </c>
      <c r="L45" s="48">
        <f t="shared" si="16"/>
        <v>0</v>
      </c>
      <c r="M45" s="48">
        <f t="shared" si="16"/>
        <v>0</v>
      </c>
      <c r="N45" s="48">
        <f t="shared" si="16"/>
        <v>0</v>
      </c>
      <c r="O45" s="48">
        <f t="shared" si="16"/>
        <v>0</v>
      </c>
      <c r="P45" s="48">
        <f t="shared" si="16"/>
        <v>0</v>
      </c>
      <c r="Q45" s="48">
        <f t="shared" si="16"/>
        <v>0</v>
      </c>
      <c r="R45" s="48">
        <f t="shared" si="16"/>
        <v>0</v>
      </c>
      <c r="S45" s="48">
        <f t="shared" si="16"/>
        <v>0</v>
      </c>
      <c r="T45" s="48">
        <f t="shared" si="16"/>
        <v>0</v>
      </c>
      <c r="U45" s="48">
        <f t="shared" si="16"/>
        <v>0</v>
      </c>
      <c r="V45" s="48">
        <f t="shared" si="16"/>
        <v>0</v>
      </c>
      <c r="W45" s="48">
        <f t="shared" si="16"/>
        <v>1199.1435465406857</v>
      </c>
      <c r="X45" s="48">
        <f t="shared" si="16"/>
        <v>3805.4780865300831</v>
      </c>
      <c r="Y45" s="48">
        <f t="shared" si="16"/>
        <v>6699.8092180217136</v>
      </c>
      <c r="Z45" s="48">
        <f t="shared" si="16"/>
        <v>9902.4238188387353</v>
      </c>
      <c r="AA45" s="48">
        <f t="shared" si="16"/>
        <v>13447.368707623649</v>
      </c>
      <c r="AB45" s="48">
        <f t="shared" si="16"/>
        <v>17363.302692889931</v>
      </c>
      <c r="AC45" s="48">
        <f t="shared" si="16"/>
        <v>21686.328056368813</v>
      </c>
      <c r="AD45" s="48">
        <f t="shared" si="16"/>
        <v>26443.964048220987</v>
      </c>
      <c r="AE45" s="48">
        <f t="shared" si="16"/>
        <v>31684.247085913041</v>
      </c>
      <c r="AF45" s="48">
        <f t="shared" si="16"/>
        <v>37017.077686445591</v>
      </c>
    </row>
    <row r="46" spans="1:39">
      <c r="A46" s="48"/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2"/>
      <c r="M46" s="382"/>
      <c r="N46" s="382"/>
      <c r="O46" s="382"/>
      <c r="P46" s="382"/>
      <c r="Q46" s="382"/>
      <c r="R46" s="382"/>
      <c r="S46" s="382"/>
      <c r="T46" s="382"/>
      <c r="U46" s="382"/>
      <c r="V46" s="382"/>
      <c r="W46" s="382"/>
      <c r="X46" s="382"/>
      <c r="Y46" s="382"/>
      <c r="Z46" s="382"/>
      <c r="AA46" s="382"/>
      <c r="AB46" s="382"/>
      <c r="AC46" s="382"/>
      <c r="AD46" s="382"/>
      <c r="AE46" s="382"/>
      <c r="AF46" s="382"/>
    </row>
    <row r="47" spans="1:39">
      <c r="A47" s="397" t="s">
        <v>380</v>
      </c>
      <c r="B47" s="382"/>
      <c r="C47" s="382"/>
      <c r="D47" s="382"/>
      <c r="E47" s="382"/>
      <c r="F47" s="382"/>
      <c r="G47" s="382"/>
      <c r="H47" s="382"/>
      <c r="I47" s="382"/>
      <c r="J47" s="382"/>
      <c r="K47" s="382"/>
      <c r="L47" s="382"/>
      <c r="M47" s="382"/>
      <c r="N47" s="382"/>
      <c r="O47" s="382"/>
      <c r="P47" s="382"/>
      <c r="Q47" s="382"/>
      <c r="R47" s="382"/>
      <c r="S47" s="382"/>
      <c r="T47" s="382"/>
      <c r="U47" s="382"/>
      <c r="V47" s="382"/>
      <c r="W47" s="382"/>
      <c r="X47" s="382"/>
      <c r="Y47" s="382"/>
      <c r="Z47" s="382"/>
      <c r="AA47" s="382"/>
      <c r="AB47" s="382"/>
      <c r="AC47" s="382"/>
      <c r="AD47" s="382"/>
      <c r="AE47" s="382"/>
      <c r="AF47" s="382"/>
      <c r="AG47" s="49"/>
      <c r="AH47" s="49"/>
      <c r="AI47" s="49"/>
      <c r="AJ47" s="49"/>
      <c r="AK47" s="49"/>
      <c r="AL47" s="49"/>
      <c r="AM47" s="49"/>
    </row>
    <row r="48" spans="1:39">
      <c r="A48" s="48" t="s">
        <v>132</v>
      </c>
      <c r="B48" s="162">
        <f>SUM(B35,B26)</f>
        <v>2187.7316441690637</v>
      </c>
      <c r="C48" s="162">
        <f t="shared" ref="C48:AF48" si="17">SUM(C35,C26)</f>
        <v>5688.1450935284374</v>
      </c>
      <c r="D48" s="162">
        <f t="shared" si="17"/>
        <v>6197.5181296463124</v>
      </c>
      <c r="E48" s="162">
        <f t="shared" si="17"/>
        <v>6684.7700132994287</v>
      </c>
      <c r="F48" s="162">
        <f t="shared" si="17"/>
        <v>7199.5628570937188</v>
      </c>
      <c r="G48" s="162">
        <f t="shared" si="17"/>
        <v>7770.0954804726789</v>
      </c>
      <c r="H48" s="162">
        <f t="shared" si="17"/>
        <v>8382.679348266116</v>
      </c>
      <c r="I48" s="162">
        <f t="shared" si="17"/>
        <v>9051.1140973166621</v>
      </c>
      <c r="J48" s="162">
        <f t="shared" si="17"/>
        <v>9757.1261983562363</v>
      </c>
      <c r="K48" s="162">
        <f t="shared" si="17"/>
        <v>10540.069493235853</v>
      </c>
      <c r="L48" s="162">
        <f t="shared" si="17"/>
        <v>8199.1864884395764</v>
      </c>
      <c r="M48" s="162">
        <f t="shared" si="17"/>
        <v>0</v>
      </c>
      <c r="N48" s="162">
        <f t="shared" si="17"/>
        <v>0</v>
      </c>
      <c r="O48" s="162">
        <f t="shared" si="17"/>
        <v>0</v>
      </c>
      <c r="P48" s="162">
        <f t="shared" si="17"/>
        <v>0</v>
      </c>
      <c r="Q48" s="162">
        <f t="shared" si="17"/>
        <v>0</v>
      </c>
      <c r="R48" s="162">
        <f t="shared" si="17"/>
        <v>0</v>
      </c>
      <c r="S48" s="162">
        <f t="shared" si="17"/>
        <v>0</v>
      </c>
      <c r="T48" s="162">
        <f t="shared" si="17"/>
        <v>0</v>
      </c>
      <c r="U48" s="162">
        <f t="shared" si="17"/>
        <v>0</v>
      </c>
      <c r="V48" s="162">
        <f t="shared" si="17"/>
        <v>0</v>
      </c>
      <c r="W48" s="162">
        <f t="shared" si="17"/>
        <v>-1199.1435465406857</v>
      </c>
      <c r="X48" s="162">
        <f t="shared" si="17"/>
        <v>-2606.3345399893974</v>
      </c>
      <c r="Y48" s="162">
        <f t="shared" si="17"/>
        <v>-2894.3311314916305</v>
      </c>
      <c r="Z48" s="162">
        <f t="shared" si="17"/>
        <v>-3202.6146008170217</v>
      </c>
      <c r="AA48" s="162">
        <f t="shared" si="17"/>
        <v>-3544.9448887849139</v>
      </c>
      <c r="AB48" s="162">
        <f t="shared" si="17"/>
        <v>-3915.9339852662815</v>
      </c>
      <c r="AC48" s="162">
        <f t="shared" si="17"/>
        <v>-4323.0253634788824</v>
      </c>
      <c r="AD48" s="162">
        <f t="shared" si="17"/>
        <v>-4757.6359918521739</v>
      </c>
      <c r="AE48" s="162">
        <f t="shared" si="17"/>
        <v>-5240.2830376920538</v>
      </c>
      <c r="AF48" s="162">
        <f t="shared" si="17"/>
        <v>-5332.8306005325503</v>
      </c>
      <c r="AG48" s="49"/>
      <c r="AH48" s="49"/>
      <c r="AI48" s="49"/>
      <c r="AJ48" s="49"/>
      <c r="AK48" s="49"/>
      <c r="AL48" s="49"/>
      <c r="AM48" s="49"/>
    </row>
    <row r="49" spans="1:39">
      <c r="A49" s="397" t="s">
        <v>131</v>
      </c>
      <c r="B49" s="386">
        <f>B36</f>
        <v>2821.9797136376992</v>
      </c>
      <c r="C49" s="386">
        <f t="shared" ref="C49:AF49" si="18">C27+C36+B44</f>
        <v>6439.5358500530456</v>
      </c>
      <c r="D49" s="386">
        <f t="shared" si="18"/>
        <v>5961.110267084041</v>
      </c>
      <c r="E49" s="386">
        <f t="shared" si="18"/>
        <v>5444.5174976917051</v>
      </c>
      <c r="F49" s="386">
        <f t="shared" si="18"/>
        <v>4874.5848140842409</v>
      </c>
      <c r="G49" s="386">
        <f t="shared" si="18"/>
        <v>4272.585263647482</v>
      </c>
      <c r="H49" s="386">
        <f t="shared" si="18"/>
        <v>3619.1755232223613</v>
      </c>
      <c r="I49" s="386">
        <f t="shared" si="18"/>
        <v>2916.9144049249117</v>
      </c>
      <c r="J49" s="386">
        <f t="shared" si="18"/>
        <v>2151.4838586410633</v>
      </c>
      <c r="K49" s="386">
        <f t="shared" si="18"/>
        <v>1332.3351759219377</v>
      </c>
      <c r="L49" s="386">
        <f t="shared" si="18"/>
        <v>445.78777381752491</v>
      </c>
      <c r="M49" s="386">
        <f t="shared" si="18"/>
        <v>0</v>
      </c>
      <c r="N49" s="386">
        <f t="shared" si="18"/>
        <v>0</v>
      </c>
      <c r="O49" s="386">
        <f t="shared" si="18"/>
        <v>0</v>
      </c>
      <c r="P49" s="386">
        <f t="shared" si="18"/>
        <v>0</v>
      </c>
      <c r="Q49" s="386">
        <f t="shared" si="18"/>
        <v>0</v>
      </c>
      <c r="R49" s="386">
        <f t="shared" si="18"/>
        <v>0</v>
      </c>
      <c r="S49" s="386">
        <f t="shared" si="18"/>
        <v>0</v>
      </c>
      <c r="T49" s="386">
        <f t="shared" si="18"/>
        <v>0</v>
      </c>
      <c r="U49" s="386">
        <f t="shared" si="18"/>
        <v>0</v>
      </c>
      <c r="V49" s="386">
        <f t="shared" si="18"/>
        <v>0</v>
      </c>
      <c r="W49" s="386">
        <f t="shared" si="18"/>
        <v>24.297584804536324</v>
      </c>
      <c r="X49" s="386">
        <f t="shared" si="18"/>
        <v>151.7345710351955</v>
      </c>
      <c r="Y49" s="386">
        <f t="shared" si="18"/>
        <v>372.65936342709404</v>
      </c>
      <c r="Z49" s="386">
        <f t="shared" si="18"/>
        <v>617.21224537178966</v>
      </c>
      <c r="AA49" s="386">
        <f t="shared" si="18"/>
        <v>888.73387782512123</v>
      </c>
      <c r="AB49" s="386">
        <f t="shared" si="18"/>
        <v>1188.6927433684757</v>
      </c>
      <c r="AC49" s="386">
        <f t="shared" si="18"/>
        <v>1520.8285611215254</v>
      </c>
      <c r="AD49" s="386">
        <f t="shared" si="18"/>
        <v>1884.1806759609117</v>
      </c>
      <c r="AE49" s="386">
        <f t="shared" si="18"/>
        <v>2287.6868912353875</v>
      </c>
      <c r="AF49" s="386">
        <f t="shared" si="18"/>
        <v>1539.9372282621948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58</v>
      </c>
      <c r="B50" s="49">
        <f t="shared" ref="B50:AF50" si="19">SUM(B48:B49)</f>
        <v>5009.7113578067629</v>
      </c>
      <c r="C50" s="49">
        <f t="shared" si="19"/>
        <v>12127.680943581483</v>
      </c>
      <c r="D50" s="49">
        <f t="shared" si="19"/>
        <v>12158.628396730353</v>
      </c>
      <c r="E50" s="49">
        <f t="shared" si="19"/>
        <v>12129.287510991133</v>
      </c>
      <c r="F50" s="49">
        <f t="shared" si="19"/>
        <v>12074.14767117796</v>
      </c>
      <c r="G50" s="49">
        <f t="shared" si="19"/>
        <v>12042.68074412016</v>
      </c>
      <c r="H50" s="49">
        <f t="shared" si="19"/>
        <v>12001.854871488478</v>
      </c>
      <c r="I50" s="49">
        <f t="shared" si="19"/>
        <v>11968.028502241574</v>
      </c>
      <c r="J50" s="49">
        <f t="shared" si="19"/>
        <v>11908.610056997299</v>
      </c>
      <c r="K50" s="49">
        <f t="shared" si="19"/>
        <v>11872.40466915779</v>
      </c>
      <c r="L50" s="49">
        <f t="shared" si="19"/>
        <v>8644.9742622571011</v>
      </c>
      <c r="M50" s="49">
        <f t="shared" si="19"/>
        <v>0</v>
      </c>
      <c r="N50" s="49">
        <f t="shared" si="19"/>
        <v>0</v>
      </c>
      <c r="O50" s="49">
        <f t="shared" si="19"/>
        <v>0</v>
      </c>
      <c r="P50" s="49">
        <f t="shared" si="19"/>
        <v>0</v>
      </c>
      <c r="Q50" s="49">
        <f t="shared" si="19"/>
        <v>0</v>
      </c>
      <c r="R50" s="49">
        <f t="shared" si="19"/>
        <v>0</v>
      </c>
      <c r="S50" s="49">
        <f t="shared" si="19"/>
        <v>0</v>
      </c>
      <c r="T50" s="49">
        <f t="shared" si="19"/>
        <v>0</v>
      </c>
      <c r="U50" s="49">
        <f t="shared" si="19"/>
        <v>0</v>
      </c>
      <c r="V50" s="49">
        <f t="shared" si="19"/>
        <v>0</v>
      </c>
      <c r="W50" s="49">
        <f t="shared" si="19"/>
        <v>-1174.8459617361493</v>
      </c>
      <c r="X50" s="49">
        <f t="shared" si="19"/>
        <v>-2454.5999689542018</v>
      </c>
      <c r="Y50" s="49">
        <f t="shared" si="19"/>
        <v>-2521.6717680645365</v>
      </c>
      <c r="Z50" s="49">
        <f t="shared" si="19"/>
        <v>-2585.4023554452319</v>
      </c>
      <c r="AA50" s="49">
        <f t="shared" si="19"/>
        <v>-2656.2110109597925</v>
      </c>
      <c r="AB50" s="49">
        <f t="shared" si="19"/>
        <v>-2727.2412418978056</v>
      </c>
      <c r="AC50" s="49">
        <f t="shared" si="19"/>
        <v>-2802.1968023573572</v>
      </c>
      <c r="AD50" s="49">
        <f t="shared" si="19"/>
        <v>-2873.4553158912622</v>
      </c>
      <c r="AE50" s="49">
        <f t="shared" si="19"/>
        <v>-2952.5961464566662</v>
      </c>
      <c r="AF50" s="49">
        <f t="shared" si="19"/>
        <v>-3792.8933722703555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5" t="s">
        <v>395</v>
      </c>
      <c r="B52" s="404">
        <f>IF(B33&gt;0.1,(B38+B29)/B50," ")</f>
        <v>1.2999999999999998</v>
      </c>
      <c r="C52" s="404">
        <f t="shared" ref="C52:AF52" si="20">IF(C33&gt;0.1,(C38+C29)/C50," ")</f>
        <v>1.2999999999999983</v>
      </c>
      <c r="D52" s="404">
        <f t="shared" si="20"/>
        <v>1.2999999999999989</v>
      </c>
      <c r="E52" s="404">
        <f t="shared" si="20"/>
        <v>1.3000000000000009</v>
      </c>
      <c r="F52" s="404">
        <f t="shared" si="20"/>
        <v>1.2999999999999994</v>
      </c>
      <c r="G52" s="404">
        <f t="shared" si="20"/>
        <v>1.2999999999999992</v>
      </c>
      <c r="H52" s="404">
        <f t="shared" si="20"/>
        <v>1.3000000000000007</v>
      </c>
      <c r="I52" s="404">
        <f t="shared" si="20"/>
        <v>1.3000000000000005</v>
      </c>
      <c r="J52" s="404">
        <f t="shared" si="20"/>
        <v>1.2999999999999998</v>
      </c>
      <c r="K52" s="404">
        <f t="shared" si="20"/>
        <v>1.2999999999999998</v>
      </c>
      <c r="L52" s="404">
        <f t="shared" si="20"/>
        <v>1.7784742945902401</v>
      </c>
      <c r="M52" s="404" t="str">
        <f t="shared" si="20"/>
        <v xml:space="preserve"> </v>
      </c>
      <c r="N52" s="404" t="str">
        <f t="shared" si="20"/>
        <v xml:space="preserve"> </v>
      </c>
      <c r="O52" s="404" t="str">
        <f t="shared" si="20"/>
        <v xml:space="preserve"> </v>
      </c>
      <c r="P52" s="465" t="str">
        <f t="shared" si="20"/>
        <v xml:space="preserve"> </v>
      </c>
      <c r="Q52" s="404" t="str">
        <f t="shared" si="20"/>
        <v xml:space="preserve"> </v>
      </c>
      <c r="R52" s="404" t="str">
        <f t="shared" si="20"/>
        <v xml:space="preserve"> </v>
      </c>
      <c r="S52" s="404" t="str">
        <f t="shared" si="20"/>
        <v xml:space="preserve"> </v>
      </c>
      <c r="T52" s="404" t="str">
        <f t="shared" si="20"/>
        <v xml:space="preserve"> </v>
      </c>
      <c r="U52" s="404" t="str">
        <f t="shared" si="20"/>
        <v xml:space="preserve"> </v>
      </c>
      <c r="V52" s="404" t="str">
        <f t="shared" si="20"/>
        <v xml:space="preserve"> </v>
      </c>
      <c r="W52" s="404">
        <f t="shared" si="20"/>
        <v>1.3</v>
      </c>
      <c r="X52" s="404">
        <f t="shared" si="20"/>
        <v>1.3000000000000003</v>
      </c>
      <c r="Y52" s="404">
        <f t="shared" si="20"/>
        <v>1.3000000000000003</v>
      </c>
      <c r="Z52" s="404">
        <f t="shared" si="20"/>
        <v>1.3000000000000003</v>
      </c>
      <c r="AA52" s="404">
        <f t="shared" si="20"/>
        <v>1.3000000000000005</v>
      </c>
      <c r="AB52" s="404">
        <f t="shared" si="20"/>
        <v>1.2999999999999994</v>
      </c>
      <c r="AC52" s="404">
        <f t="shared" si="20"/>
        <v>1.2999999999999989</v>
      </c>
      <c r="AD52" s="404">
        <f t="shared" si="20"/>
        <v>1.2999999999999996</v>
      </c>
      <c r="AE52" s="404">
        <f t="shared" si="20"/>
        <v>1.2999999999999996</v>
      </c>
      <c r="AF52" s="465">
        <f t="shared" si="20"/>
        <v>1.2999999999999989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4"/>
      <c r="C53" s="409"/>
      <c r="D53" s="409"/>
      <c r="E53" s="409"/>
      <c r="F53" s="409"/>
      <c r="G53" s="409"/>
      <c r="H53" s="409"/>
      <c r="I53" s="409"/>
      <c r="J53" s="409"/>
      <c r="K53" s="409"/>
      <c r="L53" s="409"/>
      <c r="M53" s="409"/>
      <c r="N53" s="409"/>
      <c r="O53" s="409"/>
      <c r="P53" s="409"/>
      <c r="Q53" s="409"/>
      <c r="R53" s="409"/>
      <c r="S53" s="409"/>
      <c r="T53" s="409"/>
      <c r="U53" s="409"/>
      <c r="V53" s="409"/>
      <c r="W53" s="409"/>
      <c r="X53" s="409"/>
      <c r="Y53" s="409"/>
      <c r="Z53" s="409"/>
      <c r="AA53" s="409"/>
      <c r="AB53" s="409"/>
      <c r="AC53" s="409"/>
      <c r="AD53" s="409"/>
      <c r="AE53" s="409"/>
      <c r="AF53" s="409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4"/>
      <c r="C54" s="409"/>
      <c r="D54" s="409"/>
      <c r="E54" s="409"/>
      <c r="F54" s="409"/>
      <c r="G54" s="409"/>
      <c r="H54" s="409"/>
      <c r="I54" s="409"/>
      <c r="J54" s="409"/>
      <c r="K54" s="409"/>
      <c r="L54" s="409"/>
      <c r="M54" s="409"/>
      <c r="N54" s="409"/>
      <c r="O54" s="409"/>
      <c r="P54" s="409"/>
      <c r="Q54" s="409"/>
      <c r="R54" s="409"/>
      <c r="S54" s="409"/>
      <c r="T54" s="409"/>
      <c r="U54" s="409"/>
      <c r="V54" s="409"/>
      <c r="W54" s="409"/>
      <c r="X54" s="409"/>
      <c r="Y54" s="409"/>
      <c r="Z54" s="409"/>
      <c r="AA54" s="409"/>
      <c r="AB54" s="409"/>
      <c r="AC54" s="409"/>
      <c r="AD54" s="409"/>
      <c r="AE54" s="409"/>
      <c r="AF54" s="409"/>
      <c r="AG54" s="50"/>
      <c r="AH54" s="50"/>
      <c r="AI54" s="50"/>
      <c r="AJ54" s="50"/>
      <c r="AK54" s="50"/>
      <c r="AL54" s="50"/>
      <c r="AM54" s="50"/>
    </row>
    <row r="55" spans="1:39">
      <c r="A55" s="397" t="s">
        <v>379</v>
      </c>
      <c r="B55" s="382"/>
      <c r="C55" s="382"/>
      <c r="D55" s="382"/>
      <c r="E55" s="382"/>
      <c r="F55" s="382"/>
      <c r="G55" s="382"/>
      <c r="H55" s="382"/>
      <c r="I55" s="382"/>
      <c r="J55" s="382"/>
      <c r="K55" s="382"/>
      <c r="L55" s="382"/>
      <c r="M55" s="382"/>
      <c r="N55" s="382"/>
      <c r="O55" s="382"/>
      <c r="P55" s="382"/>
      <c r="Q55" s="382"/>
      <c r="R55" s="382"/>
      <c r="S55" s="382"/>
      <c r="T55" s="382"/>
      <c r="U55" s="382"/>
      <c r="V55" s="382"/>
      <c r="W55" s="382"/>
      <c r="X55" s="382"/>
      <c r="Y55" s="382"/>
      <c r="Z55" s="382"/>
      <c r="AA55" s="382"/>
      <c r="AB55" s="382"/>
      <c r="AC55" s="382"/>
      <c r="AD55" s="382"/>
      <c r="AE55" s="382"/>
      <c r="AF55" s="382"/>
    </row>
    <row r="56" spans="1:39">
      <c r="A56" s="48" t="s">
        <v>132</v>
      </c>
      <c r="B56" s="162">
        <f t="shared" ref="B56:AF56" si="21">B35+B26</f>
        <v>2187.7316441690637</v>
      </c>
      <c r="C56" s="162">
        <f t="shared" si="21"/>
        <v>5688.1450935284374</v>
      </c>
      <c r="D56" s="162">
        <f t="shared" si="21"/>
        <v>6197.5181296463124</v>
      </c>
      <c r="E56" s="162">
        <f t="shared" si="21"/>
        <v>6684.7700132994287</v>
      </c>
      <c r="F56" s="162">
        <f t="shared" si="21"/>
        <v>7199.5628570937188</v>
      </c>
      <c r="G56" s="162">
        <f t="shared" si="21"/>
        <v>7770.0954804726789</v>
      </c>
      <c r="H56" s="162">
        <f t="shared" si="21"/>
        <v>8382.679348266116</v>
      </c>
      <c r="I56" s="162">
        <f t="shared" si="21"/>
        <v>9051.1140973166621</v>
      </c>
      <c r="J56" s="162">
        <f t="shared" si="21"/>
        <v>9757.1261983562363</v>
      </c>
      <c r="K56" s="162">
        <f t="shared" si="21"/>
        <v>10540.069493235853</v>
      </c>
      <c r="L56" s="162">
        <f t="shared" si="21"/>
        <v>8199.1864884395764</v>
      </c>
      <c r="M56" s="162">
        <f t="shared" si="21"/>
        <v>0</v>
      </c>
      <c r="N56" s="162">
        <f t="shared" si="21"/>
        <v>0</v>
      </c>
      <c r="O56" s="162">
        <f t="shared" si="21"/>
        <v>0</v>
      </c>
      <c r="P56" s="162">
        <f t="shared" si="21"/>
        <v>0</v>
      </c>
      <c r="Q56" s="162">
        <f t="shared" si="21"/>
        <v>0</v>
      </c>
      <c r="R56" s="162">
        <f t="shared" si="21"/>
        <v>0</v>
      </c>
      <c r="S56" s="162">
        <f t="shared" si="21"/>
        <v>0</v>
      </c>
      <c r="T56" s="162">
        <f t="shared" si="21"/>
        <v>0</v>
      </c>
      <c r="U56" s="162">
        <f t="shared" si="21"/>
        <v>0</v>
      </c>
      <c r="V56" s="162">
        <f t="shared" si="21"/>
        <v>0</v>
      </c>
      <c r="W56" s="162">
        <f t="shared" si="21"/>
        <v>-1199.1435465406857</v>
      </c>
      <c r="X56" s="162">
        <f t="shared" si="21"/>
        <v>-2606.3345399893974</v>
      </c>
      <c r="Y56" s="162">
        <f t="shared" si="21"/>
        <v>-2894.3311314916305</v>
      </c>
      <c r="Z56" s="162">
        <f t="shared" si="21"/>
        <v>-3202.6146008170217</v>
      </c>
      <c r="AA56" s="162">
        <f t="shared" si="21"/>
        <v>-3544.9448887849139</v>
      </c>
      <c r="AB56" s="162">
        <f t="shared" si="21"/>
        <v>-3915.9339852662815</v>
      </c>
      <c r="AC56" s="162">
        <f t="shared" si="21"/>
        <v>-4323.0253634788824</v>
      </c>
      <c r="AD56" s="162">
        <f t="shared" si="21"/>
        <v>-4757.6359918521739</v>
      </c>
      <c r="AE56" s="162">
        <f t="shared" si="21"/>
        <v>-5240.2830376920538</v>
      </c>
      <c r="AF56" s="162">
        <f t="shared" si="21"/>
        <v>-5332.8306005325503</v>
      </c>
    </row>
    <row r="57" spans="1:39">
      <c r="A57" s="397" t="s">
        <v>131</v>
      </c>
      <c r="B57" s="386">
        <f t="shared" ref="B57:AF57" si="22">B36+B44+B27</f>
        <v>4455.4445486860495</v>
      </c>
      <c r="C57" s="386">
        <f t="shared" si="22"/>
        <v>6323.658088187558</v>
      </c>
      <c r="D57" s="386">
        <f t="shared" si="22"/>
        <v>5833.6366578831658</v>
      </c>
      <c r="E57" s="386">
        <f t="shared" si="22"/>
        <v>5303.5993984052911</v>
      </c>
      <c r="F57" s="386">
        <f t="shared" si="22"/>
        <v>4729.9231078241437</v>
      </c>
      <c r="G57" s="386">
        <f t="shared" si="22"/>
        <v>4112.7661079772115</v>
      </c>
      <c r="H57" s="386">
        <f t="shared" si="22"/>
        <v>3446.7564404631612</v>
      </c>
      <c r="I57" s="386">
        <f t="shared" si="22"/>
        <v>2729.1451849642262</v>
      </c>
      <c r="J57" s="386">
        <f t="shared" si="22"/>
        <v>1952.3959169037641</v>
      </c>
      <c r="K57" s="386">
        <f t="shared" si="22"/>
        <v>1115.5418287425728</v>
      </c>
      <c r="L57" s="386">
        <f t="shared" si="22"/>
        <v>277.14286268886707</v>
      </c>
      <c r="M57" s="386">
        <f t="shared" si="22"/>
        <v>0</v>
      </c>
      <c r="N57" s="386">
        <f t="shared" si="22"/>
        <v>0</v>
      </c>
      <c r="O57" s="386">
        <f t="shared" si="22"/>
        <v>0</v>
      </c>
      <c r="P57" s="386">
        <f t="shared" si="22"/>
        <v>0</v>
      </c>
      <c r="Q57" s="386">
        <f t="shared" si="22"/>
        <v>0</v>
      </c>
      <c r="R57" s="386">
        <f t="shared" si="22"/>
        <v>0</v>
      </c>
      <c r="S57" s="386">
        <f t="shared" si="22"/>
        <v>0</v>
      </c>
      <c r="T57" s="386">
        <f t="shared" si="22"/>
        <v>0</v>
      </c>
      <c r="U57" s="386">
        <f t="shared" si="22"/>
        <v>0</v>
      </c>
      <c r="V57" s="386">
        <f t="shared" si="22"/>
        <v>0</v>
      </c>
      <c r="W57" s="386">
        <f t="shared" si="22"/>
        <v>48.962160628246451</v>
      </c>
      <c r="X57" s="386">
        <f t="shared" si="22"/>
        <v>205.34294516936097</v>
      </c>
      <c r="Y57" s="386">
        <f t="shared" si="22"/>
        <v>431.81487714216382</v>
      </c>
      <c r="Z57" s="386">
        <f t="shared" si="22"/>
        <v>683.46171819180802</v>
      </c>
      <c r="AA57" s="386">
        <f t="shared" si="22"/>
        <v>961.64805248964922</v>
      </c>
      <c r="AB57" s="386">
        <f t="shared" si="22"/>
        <v>1269.2376047229595</v>
      </c>
      <c r="AC57" s="386">
        <f t="shared" si="22"/>
        <v>1608.5279489461313</v>
      </c>
      <c r="AD57" s="386">
        <f t="shared" si="22"/>
        <v>1983.256809027122</v>
      </c>
      <c r="AE57" s="386">
        <f t="shared" si="22"/>
        <v>2395.4716170038073</v>
      </c>
      <c r="AF57" s="386">
        <f t="shared" si="22"/>
        <v>2929.7571976612571</v>
      </c>
    </row>
    <row r="58" spans="1:39">
      <c r="A58" s="49" t="s">
        <v>58</v>
      </c>
      <c r="B58" s="49">
        <f>SUM(B56:B57)</f>
        <v>6643.1761928551132</v>
      </c>
      <c r="C58" s="49">
        <f t="shared" ref="C58:AF58" si="23">SUM(C56:C57)</f>
        <v>12011.803181715995</v>
      </c>
      <c r="D58" s="49">
        <f t="shared" si="23"/>
        <v>12031.154787529478</v>
      </c>
      <c r="E58" s="49">
        <f t="shared" si="23"/>
        <v>11988.36941170472</v>
      </c>
      <c r="F58" s="49">
        <f t="shared" si="23"/>
        <v>11929.485964917862</v>
      </c>
      <c r="G58" s="49">
        <f t="shared" si="23"/>
        <v>11882.86158844989</v>
      </c>
      <c r="H58" s="49">
        <f t="shared" si="23"/>
        <v>11829.435788729277</v>
      </c>
      <c r="I58" s="49">
        <f t="shared" si="23"/>
        <v>11780.259282280887</v>
      </c>
      <c r="J58" s="49">
        <f t="shared" si="23"/>
        <v>11709.522115260001</v>
      </c>
      <c r="K58" s="49">
        <f t="shared" si="23"/>
        <v>11655.611321978426</v>
      </c>
      <c r="L58" s="49">
        <f t="shared" si="23"/>
        <v>8476.3293511284428</v>
      </c>
      <c r="M58" s="49">
        <f t="shared" si="23"/>
        <v>0</v>
      </c>
      <c r="N58" s="49">
        <f t="shared" si="23"/>
        <v>0</v>
      </c>
      <c r="O58" s="49">
        <f t="shared" si="23"/>
        <v>0</v>
      </c>
      <c r="P58" s="49">
        <f t="shared" si="23"/>
        <v>0</v>
      </c>
      <c r="Q58" s="49">
        <f t="shared" si="23"/>
        <v>0</v>
      </c>
      <c r="R58" s="49">
        <f t="shared" si="23"/>
        <v>0</v>
      </c>
      <c r="S58" s="49">
        <f t="shared" si="23"/>
        <v>0</v>
      </c>
      <c r="T58" s="49">
        <f t="shared" si="23"/>
        <v>0</v>
      </c>
      <c r="U58" s="49">
        <f t="shared" si="23"/>
        <v>0</v>
      </c>
      <c r="V58" s="49">
        <f t="shared" si="23"/>
        <v>0</v>
      </c>
      <c r="W58" s="49">
        <f t="shared" si="23"/>
        <v>-1150.1813859124393</v>
      </c>
      <c r="X58" s="49">
        <f t="shared" si="23"/>
        <v>-2400.9915948200364</v>
      </c>
      <c r="Y58" s="49">
        <f t="shared" si="23"/>
        <v>-2462.5162543494666</v>
      </c>
      <c r="Z58" s="49">
        <f t="shared" si="23"/>
        <v>-2519.1528826252138</v>
      </c>
      <c r="AA58" s="49">
        <f t="shared" si="23"/>
        <v>-2583.2968362952647</v>
      </c>
      <c r="AB58" s="49">
        <f t="shared" si="23"/>
        <v>-2646.696380543322</v>
      </c>
      <c r="AC58" s="49">
        <f t="shared" si="23"/>
        <v>-2714.497414532751</v>
      </c>
      <c r="AD58" s="49">
        <f t="shared" si="23"/>
        <v>-2774.3791828250519</v>
      </c>
      <c r="AE58" s="49">
        <f t="shared" si="23"/>
        <v>-2844.8114206882465</v>
      </c>
      <c r="AF58" s="49">
        <f t="shared" si="23"/>
        <v>-2403.0734028712932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4"/>
      <c r="C59" s="409"/>
      <c r="D59" s="409"/>
      <c r="E59" s="409"/>
      <c r="F59" s="409"/>
      <c r="G59" s="409"/>
      <c r="H59" s="409"/>
      <c r="I59" s="409"/>
      <c r="J59" s="409"/>
      <c r="K59" s="409"/>
      <c r="L59" s="409"/>
      <c r="M59" s="409"/>
      <c r="N59" s="409"/>
      <c r="O59" s="409"/>
      <c r="P59" s="409"/>
      <c r="Q59" s="409"/>
      <c r="R59" s="409"/>
      <c r="S59" s="409"/>
      <c r="T59" s="409"/>
      <c r="U59" s="409"/>
      <c r="V59" s="409"/>
      <c r="W59" s="409"/>
      <c r="X59" s="409"/>
      <c r="Y59" s="409"/>
      <c r="Z59" s="409"/>
      <c r="AA59" s="409"/>
      <c r="AB59" s="409"/>
      <c r="AC59" s="409"/>
      <c r="AD59" s="409"/>
      <c r="AE59" s="409"/>
      <c r="AF59" s="409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10"/>
      <c r="C60" s="410"/>
      <c r="D60" s="410"/>
      <c r="E60" s="410"/>
      <c r="F60" s="410"/>
      <c r="G60" s="410"/>
      <c r="H60" s="410"/>
      <c r="I60" s="410"/>
      <c r="J60" s="410"/>
      <c r="K60" s="410"/>
      <c r="L60" s="410"/>
      <c r="M60" s="410"/>
      <c r="N60" s="410"/>
      <c r="O60" s="410"/>
      <c r="P60" s="410"/>
      <c r="Q60" s="410"/>
      <c r="R60" s="410"/>
      <c r="S60" s="410"/>
      <c r="T60" s="410"/>
      <c r="U60" s="410"/>
      <c r="V60" s="410"/>
      <c r="W60" s="410"/>
      <c r="X60" s="410"/>
      <c r="Y60" s="410"/>
      <c r="Z60" s="410"/>
      <c r="AA60" s="410"/>
      <c r="AB60" s="410"/>
      <c r="AC60" s="410"/>
      <c r="AD60" s="410"/>
      <c r="AE60" s="410"/>
      <c r="AF60" s="410"/>
      <c r="AG60" s="50"/>
      <c r="AH60" s="50"/>
      <c r="AI60" s="50"/>
      <c r="AJ60" s="50"/>
      <c r="AK60" s="50"/>
      <c r="AL60" s="50"/>
      <c r="AM60" s="50"/>
    </row>
    <row r="61" spans="1:39">
      <c r="B61" s="697" t="s">
        <v>322</v>
      </c>
      <c r="C61" s="698"/>
      <c r="D61" s="698"/>
      <c r="E61" s="699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56" t="s">
        <v>383</v>
      </c>
      <c r="C62" s="57"/>
      <c r="D62" s="57"/>
      <c r="E62" s="457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60">
        <f>Assumptions!G38</f>
        <v>1.7500000000000002E-2</v>
      </c>
      <c r="AA63" s="12"/>
      <c r="AB63" s="12"/>
    </row>
    <row r="64" spans="1:39">
      <c r="A64" s="48"/>
      <c r="B64" s="333" t="s">
        <v>384</v>
      </c>
      <c r="C64" s="58"/>
      <c r="D64" s="58"/>
      <c r="E64" s="400">
        <f>E63+E62</f>
        <v>8.2500000000000004E-2</v>
      </c>
      <c r="AA64" s="12"/>
      <c r="AB64" s="12"/>
    </row>
    <row r="65" spans="1:43">
      <c r="B65" s="402" t="s">
        <v>382</v>
      </c>
      <c r="C65" s="57"/>
      <c r="D65" s="57"/>
      <c r="E65" s="401">
        <f>Assumptions!G33</f>
        <v>20</v>
      </c>
      <c r="AA65" s="12"/>
      <c r="AB65" s="12"/>
    </row>
    <row r="66" spans="1:43">
      <c r="B66" s="443" t="s">
        <v>381</v>
      </c>
      <c r="C66" s="13"/>
      <c r="D66" s="13"/>
      <c r="E66" s="458">
        <f>B77</f>
        <v>-5.9911254547797466</v>
      </c>
      <c r="AA66" s="12"/>
      <c r="AB66" s="12"/>
    </row>
    <row r="67" spans="1:43">
      <c r="B67" s="333" t="s">
        <v>53</v>
      </c>
      <c r="C67" s="58"/>
      <c r="D67" s="58"/>
      <c r="E67" s="444">
        <f>B19</f>
        <v>81657.998843824083</v>
      </c>
      <c r="AA67" s="12"/>
      <c r="AB67" s="12"/>
    </row>
    <row r="68" spans="1:43">
      <c r="B68" s="330" t="s">
        <v>0</v>
      </c>
      <c r="C68" s="57"/>
      <c r="D68" s="57" t="s">
        <v>377</v>
      </c>
      <c r="E68" s="461">
        <f>AVERAGE(B52:AF52)</f>
        <v>1.3227844902185828</v>
      </c>
      <c r="AA68" s="12"/>
      <c r="AB68" s="12"/>
    </row>
    <row r="69" spans="1:43">
      <c r="B69" s="459"/>
      <c r="C69" s="58"/>
      <c r="D69" s="58" t="s">
        <v>378</v>
      </c>
      <c r="E69" s="462">
        <f>MIN(B52:AF52)</f>
        <v>1.2999999999999983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95</v>
      </c>
      <c r="B74" s="85">
        <v>0</v>
      </c>
      <c r="C74" s="85">
        <f>(C32-$B$32)/365.25</f>
        <v>0.99931553730321698</v>
      </c>
      <c r="D74" s="85">
        <f t="shared" ref="D74:AF74" si="24">(D32-$B$32)/365.25</f>
        <v>1.998631074606434</v>
      </c>
      <c r="E74" s="85">
        <f t="shared" si="24"/>
        <v>3.0006844626967832</v>
      </c>
      <c r="F74" s="85">
        <f t="shared" si="24"/>
        <v>4</v>
      </c>
      <c r="G74" s="85">
        <f t="shared" si="24"/>
        <v>4.9993155373032172</v>
      </c>
      <c r="H74" s="85">
        <f t="shared" si="24"/>
        <v>5.9986310746064335</v>
      </c>
      <c r="I74" s="85">
        <f t="shared" si="24"/>
        <v>7.0006844626967828</v>
      </c>
      <c r="J74" s="85">
        <f t="shared" si="24"/>
        <v>8</v>
      </c>
      <c r="K74" s="85">
        <f t="shared" si="24"/>
        <v>8.9993155373032163</v>
      </c>
      <c r="L74" s="85">
        <f t="shared" si="24"/>
        <v>9.9986310746064344</v>
      </c>
      <c r="M74" s="85">
        <f t="shared" si="24"/>
        <v>11.000684462696784</v>
      </c>
      <c r="N74" s="85">
        <f t="shared" si="24"/>
        <v>12</v>
      </c>
      <c r="O74" s="85">
        <f t="shared" si="24"/>
        <v>12.999315537303216</v>
      </c>
      <c r="P74" s="85">
        <f t="shared" si="24"/>
        <v>13.998631074606434</v>
      </c>
      <c r="Q74" s="85">
        <f t="shared" si="24"/>
        <v>15.000684462696784</v>
      </c>
      <c r="R74" s="85">
        <f t="shared" si="24"/>
        <v>16</v>
      </c>
      <c r="S74" s="85">
        <f t="shared" si="24"/>
        <v>16.999315537303218</v>
      </c>
      <c r="T74" s="85">
        <f t="shared" si="24"/>
        <v>17.998631074606433</v>
      </c>
      <c r="U74" s="85">
        <f t="shared" si="24"/>
        <v>19.000684462696782</v>
      </c>
      <c r="V74" s="85">
        <f t="shared" si="24"/>
        <v>20</v>
      </c>
      <c r="W74" s="85">
        <f t="shared" si="24"/>
        <v>20.999315537303218</v>
      </c>
      <c r="X74" s="85">
        <f t="shared" si="24"/>
        <v>21.998631074606433</v>
      </c>
      <c r="Y74" s="85">
        <f t="shared" si="24"/>
        <v>23.000684462696782</v>
      </c>
      <c r="Z74" s="85">
        <f t="shared" si="24"/>
        <v>24</v>
      </c>
      <c r="AA74" s="85">
        <f t="shared" si="24"/>
        <v>24.999315537303218</v>
      </c>
      <c r="AB74" s="85">
        <f t="shared" si="24"/>
        <v>25.998631074606433</v>
      </c>
      <c r="AC74" s="85">
        <f t="shared" si="24"/>
        <v>27.000684462696782</v>
      </c>
      <c r="AD74" s="85">
        <f t="shared" si="24"/>
        <v>28</v>
      </c>
      <c r="AE74" s="85">
        <f t="shared" si="24"/>
        <v>28.999315537303218</v>
      </c>
      <c r="AF74" s="85">
        <f t="shared" si="24"/>
        <v>29.579739904175224</v>
      </c>
      <c r="AG74" s="180"/>
      <c r="AH74" s="180"/>
      <c r="AI74" s="180"/>
      <c r="AJ74" s="180"/>
      <c r="AK74" s="180"/>
      <c r="AL74" s="180"/>
      <c r="AM74" s="180"/>
      <c r="AN74" s="180"/>
      <c r="AO74" s="180"/>
      <c r="AP74" s="180"/>
      <c r="AQ74" s="180"/>
    </row>
    <row r="75" spans="1:43">
      <c r="B75" s="85">
        <f>(C23-$B$32)/365.25</f>
        <v>0.49828884325804246</v>
      </c>
      <c r="C75" s="85">
        <f>(D23-$B$32)/365.25</f>
        <v>1.4976043805612593</v>
      </c>
      <c r="D75" s="85">
        <f t="shared" ref="D75:AF75" si="25">(E23-$B$32)/365.25</f>
        <v>2.4996577686516086</v>
      </c>
      <c r="E75" s="85">
        <f t="shared" si="25"/>
        <v>3.4989733059548254</v>
      </c>
      <c r="F75" s="85">
        <f t="shared" si="25"/>
        <v>4.4982888432580426</v>
      </c>
      <c r="G75" s="85">
        <f t="shared" si="25"/>
        <v>5.4976043805612598</v>
      </c>
      <c r="H75" s="85">
        <f t="shared" si="25"/>
        <v>6.4996577686516082</v>
      </c>
      <c r="I75" s="85">
        <f t="shared" si="25"/>
        <v>7.4989733059548254</v>
      </c>
      <c r="J75" s="85">
        <f t="shared" si="25"/>
        <v>8.4982888432580417</v>
      </c>
      <c r="K75" s="85">
        <f t="shared" si="25"/>
        <v>9.4976043805612598</v>
      </c>
      <c r="L75" s="85">
        <f t="shared" si="25"/>
        <v>10.499657768651609</v>
      </c>
      <c r="M75" s="85">
        <f t="shared" si="25"/>
        <v>11.498973305954825</v>
      </c>
      <c r="N75" s="85">
        <f t="shared" si="25"/>
        <v>12.498288843258042</v>
      </c>
      <c r="O75" s="85">
        <f t="shared" si="25"/>
        <v>13.49760438056126</v>
      </c>
      <c r="P75" s="85">
        <f t="shared" si="25"/>
        <v>14.499657768651609</v>
      </c>
      <c r="Q75" s="85">
        <f t="shared" si="25"/>
        <v>15.498973305954825</v>
      </c>
      <c r="R75" s="85">
        <f t="shared" si="25"/>
        <v>16.498288843258042</v>
      </c>
      <c r="S75" s="85">
        <f t="shared" si="25"/>
        <v>17.49760438056126</v>
      </c>
      <c r="T75" s="85">
        <f t="shared" si="25"/>
        <v>18.499657768651609</v>
      </c>
      <c r="U75" s="85">
        <f t="shared" si="25"/>
        <v>19.498973305954827</v>
      </c>
      <c r="V75" s="85">
        <f t="shared" si="25"/>
        <v>20.498288843258042</v>
      </c>
      <c r="W75" s="85">
        <f t="shared" si="25"/>
        <v>21.49760438056126</v>
      </c>
      <c r="X75" s="85">
        <f t="shared" si="25"/>
        <v>22.499657768651609</v>
      </c>
      <c r="Y75" s="85">
        <f t="shared" si="25"/>
        <v>23.498973305954827</v>
      </c>
      <c r="Z75" s="85">
        <f t="shared" si="25"/>
        <v>24.498288843258042</v>
      </c>
      <c r="AA75" s="85">
        <f t="shared" si="25"/>
        <v>25.49760438056126</v>
      </c>
      <c r="AB75" s="85">
        <f t="shared" si="25"/>
        <v>26.499657768651609</v>
      </c>
      <c r="AC75" s="85">
        <f t="shared" si="25"/>
        <v>27.498973305954827</v>
      </c>
      <c r="AD75" s="85">
        <f t="shared" si="25"/>
        <v>28.498288843258042</v>
      </c>
      <c r="AE75" s="85">
        <f t="shared" si="25"/>
        <v>29.49760438056126</v>
      </c>
      <c r="AF75" s="85">
        <f t="shared" si="25"/>
        <v>29.579739904175224</v>
      </c>
      <c r="AG75" s="85"/>
      <c r="AH75" s="85"/>
      <c r="AI75" s="85"/>
      <c r="AJ75" s="85"/>
      <c r="AK75" s="85"/>
      <c r="AL75" s="85"/>
      <c r="AM75" s="85"/>
      <c r="AN75" s="85"/>
      <c r="AO75" s="48"/>
      <c r="AP75" s="48"/>
    </row>
    <row r="76" spans="1:43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48"/>
      <c r="AP76" s="48"/>
    </row>
    <row r="77" spans="1:43">
      <c r="A77" s="11" t="s">
        <v>81</v>
      </c>
      <c r="B77" s="463">
        <f>(SUMPRODUCT(B74:AF74,B35:AF35)+SUMPRODUCT(B75:AF75,B26:AF26))/E67</f>
        <v>-5.9911254547797466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8"/>
      <c r="AB78" s="8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84"/>
      <c r="AB79" s="384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view="pageBreakPreview" zoomScale="60" zoomScaleNormal="75" workbookViewId="0">
      <selection activeCell="B50" sqref="B50"/>
    </sheetView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6" t="str">
        <f>Assumptions!A3</f>
        <v>PROJECT NAME: UAE-Lowell</v>
      </c>
    </row>
    <row r="4" spans="1:34" ht="18.75">
      <c r="A4" s="60" t="s">
        <v>93</v>
      </c>
    </row>
    <row r="5" spans="1:34">
      <c r="Z5" s="165"/>
    </row>
    <row r="6" spans="1:34">
      <c r="D6" s="213">
        <f>'Price_Technical Assumption'!D7</f>
        <v>0.66666666666666663</v>
      </c>
      <c r="E6" s="213">
        <f>'Price_Technical Assumption'!E7</f>
        <v>1.6666666666666665</v>
      </c>
      <c r="F6" s="213">
        <f>'Price_Technical Assumption'!F7</f>
        <v>2.6666666666666665</v>
      </c>
      <c r="G6" s="213">
        <f>'Price_Technical Assumption'!G7</f>
        <v>3.6666666666666665</v>
      </c>
      <c r="H6" s="213">
        <f>'Price_Technical Assumption'!H7</f>
        <v>4.6666666666666661</v>
      </c>
      <c r="I6" s="213">
        <f>'Price_Technical Assumption'!I7</f>
        <v>5.6666666666666661</v>
      </c>
      <c r="J6" s="213">
        <f>'Price_Technical Assumption'!J7</f>
        <v>6.6666666666666661</v>
      </c>
      <c r="K6" s="213">
        <f>'Price_Technical Assumption'!K7</f>
        <v>7.6666666666666661</v>
      </c>
      <c r="L6" s="213">
        <f>'Price_Technical Assumption'!L7</f>
        <v>8.6666666666666661</v>
      </c>
      <c r="M6" s="213">
        <f>'Price_Technical Assumption'!M7</f>
        <v>9.6666666666666661</v>
      </c>
      <c r="N6" s="213">
        <f>'Price_Technical Assumption'!N7</f>
        <v>10.666666666666666</v>
      </c>
      <c r="O6" s="213">
        <f>'Price_Technical Assumption'!O7</f>
        <v>11.666666666666666</v>
      </c>
      <c r="P6" s="213">
        <f>'Price_Technical Assumption'!P7</f>
        <v>12.666666666666666</v>
      </c>
      <c r="Q6" s="213">
        <f>'Price_Technical Assumption'!Q7</f>
        <v>13.666666666666666</v>
      </c>
      <c r="R6" s="213">
        <f>'Price_Technical Assumption'!R7</f>
        <v>14.666666666666666</v>
      </c>
      <c r="S6" s="213">
        <f>'Price_Technical Assumption'!S7</f>
        <v>15.666666666666666</v>
      </c>
      <c r="T6" s="213">
        <f>'Price_Technical Assumption'!T7</f>
        <v>16.666666666666664</v>
      </c>
      <c r="U6" s="213">
        <f>'Price_Technical Assumption'!U7</f>
        <v>17.666666666666664</v>
      </c>
      <c r="V6" s="213">
        <f>'Price_Technical Assumption'!V7</f>
        <v>18.666666666666664</v>
      </c>
      <c r="W6" s="213">
        <f>'Price_Technical Assumption'!W7</f>
        <v>19.666666666666664</v>
      </c>
      <c r="X6" s="213">
        <f>'Price_Technical Assumption'!X7</f>
        <v>20.666666666666664</v>
      </c>
      <c r="Y6" s="213">
        <f>'Price_Technical Assumption'!Y7</f>
        <v>21.666666666666664</v>
      </c>
      <c r="Z6" s="213">
        <f>'Price_Technical Assumption'!Z7</f>
        <v>22.666666666666664</v>
      </c>
      <c r="AA6" s="213">
        <f>'Price_Technical Assumption'!AA7</f>
        <v>23.666666666666664</v>
      </c>
      <c r="AB6" s="213">
        <f>'Price_Technical Assumption'!AB7</f>
        <v>24.666666666666664</v>
      </c>
      <c r="AC6" s="213">
        <f>'Price_Technical Assumption'!AC7</f>
        <v>25.666666666666664</v>
      </c>
      <c r="AD6" s="213">
        <f>'Price_Technical Assumption'!AD7</f>
        <v>26.666666666666664</v>
      </c>
      <c r="AE6" s="213">
        <f>'Price_Technical Assumption'!AE7</f>
        <v>27.666666666666664</v>
      </c>
      <c r="AF6" s="213">
        <f>'Price_Technical Assumption'!AF7</f>
        <v>28.666666666666664</v>
      </c>
      <c r="AG6" s="213">
        <f>'Price_Technical Assumption'!AG7</f>
        <v>29.666666666666664</v>
      </c>
      <c r="AH6" s="213">
        <f>'Price_Technical Assumption'!AH7</f>
        <v>30.666666666666664</v>
      </c>
    </row>
    <row r="7" spans="1:34" s="25" customFormat="1" ht="13.5" thickBot="1">
      <c r="A7" s="122" t="s">
        <v>38</v>
      </c>
      <c r="B7" s="142"/>
      <c r="C7" s="142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7"/>
      <c r="B8" s="143"/>
      <c r="C8" s="143"/>
      <c r="D8" s="207">
        <f>IS!C8</f>
        <v>37256</v>
      </c>
      <c r="E8" s="207">
        <f>IS!D8</f>
        <v>37621</v>
      </c>
      <c r="F8" s="207">
        <f>IS!E8</f>
        <v>37986</v>
      </c>
      <c r="G8" s="207">
        <f>IS!F8</f>
        <v>38352</v>
      </c>
      <c r="H8" s="207">
        <f>IS!G8</f>
        <v>38717</v>
      </c>
      <c r="I8" s="207">
        <f>IS!H8</f>
        <v>39082</v>
      </c>
      <c r="J8" s="207">
        <f>IS!I8</f>
        <v>39447</v>
      </c>
      <c r="K8" s="207">
        <f>IS!J8</f>
        <v>39813</v>
      </c>
      <c r="L8" s="207">
        <f>IS!K8</f>
        <v>40178</v>
      </c>
      <c r="M8" s="207">
        <f>IS!L8</f>
        <v>40543</v>
      </c>
      <c r="N8" s="207">
        <f>IS!M8</f>
        <v>40908</v>
      </c>
      <c r="O8" s="207">
        <f>IS!N8</f>
        <v>41274</v>
      </c>
      <c r="P8" s="207">
        <f>IS!O8</f>
        <v>41639</v>
      </c>
      <c r="Q8" s="207">
        <f>IS!P8</f>
        <v>42004</v>
      </c>
      <c r="R8" s="207">
        <f>IS!Q8</f>
        <v>42369</v>
      </c>
      <c r="S8" s="207">
        <f>IS!R8</f>
        <v>42735</v>
      </c>
      <c r="T8" s="207">
        <f>IS!S8</f>
        <v>43100</v>
      </c>
      <c r="U8" s="207">
        <f>IS!T8</f>
        <v>43465</v>
      </c>
      <c r="V8" s="207">
        <f>IS!U8</f>
        <v>43830</v>
      </c>
      <c r="W8" s="207">
        <f>IS!V8</f>
        <v>44196</v>
      </c>
      <c r="X8" s="207">
        <f>IS!W8</f>
        <v>44561</v>
      </c>
      <c r="Y8" s="207">
        <f>IS!X8</f>
        <v>44926</v>
      </c>
      <c r="Z8" s="207">
        <f>IS!Y8</f>
        <v>45291</v>
      </c>
      <c r="AA8" s="207">
        <f>IS!Z8</f>
        <v>45657</v>
      </c>
      <c r="AB8" s="207">
        <f>IS!AA8</f>
        <v>46022</v>
      </c>
      <c r="AC8" s="207">
        <f>IS!AB8</f>
        <v>46387</v>
      </c>
      <c r="AD8" s="207">
        <f>IS!AC8</f>
        <v>46752</v>
      </c>
      <c r="AE8" s="207">
        <f>IS!AD8</f>
        <v>47118</v>
      </c>
      <c r="AF8" s="207">
        <f>IS!AE8</f>
        <v>47483</v>
      </c>
      <c r="AG8" s="207">
        <f>IS!AF8</f>
        <v>47848</v>
      </c>
      <c r="AH8" s="207">
        <f>IS!AG8</f>
        <v>48213</v>
      </c>
    </row>
    <row r="9" spans="1:34" ht="15.75">
      <c r="A9" s="26"/>
    </row>
    <row r="10" spans="1:34" s="10" customFormat="1">
      <c r="A10" s="27" t="s">
        <v>59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60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246</v>
      </c>
      <c r="B12" s="31">
        <f>Assumptions!$N$39</f>
        <v>15</v>
      </c>
      <c r="C12" s="32"/>
      <c r="D12" s="279">
        <v>0.05</v>
      </c>
      <c r="E12" s="279">
        <v>9.5000000000000001E-2</v>
      </c>
      <c r="F12" s="279">
        <v>8.5500000000000007E-2</v>
      </c>
      <c r="G12" s="279">
        <v>7.6999999999999999E-2</v>
      </c>
      <c r="H12" s="279">
        <v>6.93E-2</v>
      </c>
      <c r="I12" s="279">
        <v>6.2300000000000001E-2</v>
      </c>
      <c r="J12" s="279">
        <v>5.8999999999999997E-2</v>
      </c>
      <c r="K12" s="279">
        <v>5.91E-2</v>
      </c>
      <c r="L12" s="279">
        <v>5.8999999999999997E-2</v>
      </c>
      <c r="M12" s="279">
        <v>5.91E-2</v>
      </c>
      <c r="N12" s="279">
        <v>5.8999999999999997E-2</v>
      </c>
      <c r="O12" s="279">
        <v>5.91E-2</v>
      </c>
      <c r="P12" s="279">
        <v>5.8999999999999997E-2</v>
      </c>
      <c r="Q12" s="279">
        <v>5.91E-2</v>
      </c>
      <c r="R12" s="279">
        <v>5.8999999999999997E-2</v>
      </c>
      <c r="S12" s="279">
        <v>2.9499999999999998E-2</v>
      </c>
      <c r="T12" s="279">
        <v>0</v>
      </c>
      <c r="U12" s="279">
        <v>0</v>
      </c>
      <c r="V12" s="279">
        <v>0</v>
      </c>
      <c r="W12" s="279">
        <v>0</v>
      </c>
      <c r="X12" s="279">
        <v>0</v>
      </c>
      <c r="Y12" s="279">
        <v>0</v>
      </c>
      <c r="Z12" s="279">
        <v>0</v>
      </c>
      <c r="AA12" s="279">
        <v>0</v>
      </c>
      <c r="AB12" s="279">
        <v>0</v>
      </c>
      <c r="AC12" s="279">
        <v>0</v>
      </c>
      <c r="AD12" s="279">
        <v>0</v>
      </c>
      <c r="AE12" s="279">
        <v>0</v>
      </c>
      <c r="AF12" s="279">
        <v>0</v>
      </c>
      <c r="AG12" s="279">
        <v>0</v>
      </c>
      <c r="AH12" s="279">
        <v>0</v>
      </c>
    </row>
    <row r="13" spans="1:34" s="10" customFormat="1">
      <c r="A13" s="21" t="s">
        <v>247</v>
      </c>
      <c r="B13" s="31">
        <f>Assumptions!$N$40</f>
        <v>5</v>
      </c>
      <c r="C13" s="32"/>
      <c r="D13" s="279">
        <f>1/$B$13*D6</f>
        <v>0.13333333333333333</v>
      </c>
      <c r="E13" s="279">
        <f>1/$B$13</f>
        <v>0.2</v>
      </c>
      <c r="F13" s="279">
        <f>1/$B$13</f>
        <v>0.2</v>
      </c>
      <c r="G13" s="279">
        <f>1/$B$13</f>
        <v>0.2</v>
      </c>
      <c r="H13" s="279">
        <f>1/$B$13</f>
        <v>0.2</v>
      </c>
      <c r="I13" s="279">
        <f>1/B13-D13</f>
        <v>6.666666666666668E-2</v>
      </c>
      <c r="J13" s="279">
        <v>0</v>
      </c>
      <c r="K13" s="279">
        <v>0</v>
      </c>
      <c r="L13" s="279">
        <v>0</v>
      </c>
      <c r="M13" s="279">
        <v>0</v>
      </c>
      <c r="N13" s="279">
        <v>0</v>
      </c>
      <c r="O13" s="279">
        <v>0</v>
      </c>
      <c r="P13" s="279">
        <v>0</v>
      </c>
      <c r="Q13" s="279">
        <v>0</v>
      </c>
      <c r="R13" s="279">
        <v>0</v>
      </c>
      <c r="S13" s="279">
        <v>0</v>
      </c>
      <c r="T13" s="279">
        <v>0</v>
      </c>
      <c r="U13" s="279">
        <v>0</v>
      </c>
      <c r="V13" s="279">
        <v>0</v>
      </c>
      <c r="W13" s="279">
        <v>0</v>
      </c>
      <c r="X13" s="279">
        <v>0</v>
      </c>
      <c r="Y13" s="279">
        <v>0</v>
      </c>
      <c r="Z13" s="279">
        <v>0</v>
      </c>
      <c r="AA13" s="279">
        <v>0</v>
      </c>
      <c r="AB13" s="279">
        <v>0</v>
      </c>
      <c r="AC13" s="279">
        <v>0</v>
      </c>
      <c r="AD13" s="279">
        <v>0</v>
      </c>
      <c r="AE13" s="279">
        <v>0</v>
      </c>
      <c r="AF13" s="279">
        <v>0</v>
      </c>
      <c r="AG13" s="279">
        <v>0</v>
      </c>
      <c r="AH13" s="279">
        <v>0</v>
      </c>
    </row>
    <row r="14" spans="1:34" s="70" customFormat="1">
      <c r="A14" s="22" t="s">
        <v>312</v>
      </c>
      <c r="B14" s="68">
        <f>Assumptions!$N$41</f>
        <v>20</v>
      </c>
      <c r="C14" s="69"/>
      <c r="D14" s="279">
        <f>1/Assumptions!$N$41*D6</f>
        <v>3.3333333333333333E-2</v>
      </c>
      <c r="E14" s="279">
        <f>IF(AND(E6&gt;=Assumptions!$N$41,D6&lt;Assumptions!$N$41),1/Assumptions!$N$41-Depreciation!$D$14,IF(E6&lt;Assumptions!$N$41,1/Assumptions!$N$41,0))</f>
        <v>0.05</v>
      </c>
      <c r="F14" s="279">
        <f>IF(AND(F6&gt;=Assumptions!$N$41,E6&lt;Assumptions!$N$41),1/Assumptions!$N$41-Depreciation!$D$14,IF(F6&lt;Assumptions!$N$41,1/Assumptions!$N$41,0))</f>
        <v>0.05</v>
      </c>
      <c r="G14" s="279">
        <f>IF(AND(G6&gt;=Assumptions!$N$41,F6&lt;Assumptions!$N$41),1/Assumptions!$N$41-Depreciation!$D$14,IF(G6&lt;Assumptions!$N$41,1/Assumptions!$N$41,0))</f>
        <v>0.05</v>
      </c>
      <c r="H14" s="279">
        <f>IF(AND(H6&gt;=Assumptions!$N$41,G6&lt;Assumptions!$N$41),1/Assumptions!$N$41-Depreciation!$D$14,IF(H6&lt;Assumptions!$N$41,1/Assumptions!$N$41,0))</f>
        <v>0.05</v>
      </c>
      <c r="I14" s="279">
        <f>IF(AND(I6&gt;=Assumptions!$N$41,H6&lt;Assumptions!$N$41),1/Assumptions!$N$41-Depreciation!$D$14,IF(I6&lt;Assumptions!$N$41,1/Assumptions!$N$41,0))</f>
        <v>0.05</v>
      </c>
      <c r="J14" s="279">
        <f>IF(AND(J6&gt;=Assumptions!$N$41,I6&lt;Assumptions!$N$41),1/Assumptions!$N$41-Depreciation!$D$14,IF(J6&lt;Assumptions!$N$41,1/Assumptions!$N$41,0))</f>
        <v>0.05</v>
      </c>
      <c r="K14" s="279">
        <f>IF(AND(K6&gt;=Assumptions!$N$41,J6&lt;Assumptions!$N$41),1/Assumptions!$N$41-Depreciation!$D$14,IF(K6&lt;Assumptions!$N$41,1/Assumptions!$N$41,0))</f>
        <v>0.05</v>
      </c>
      <c r="L14" s="279">
        <f>IF(AND(L6&gt;=Assumptions!$N$41,K6&lt;Assumptions!$N$41),1/Assumptions!$N$41-Depreciation!$D$14,IF(L6&lt;Assumptions!$N$41,1/Assumptions!$N$41,0))</f>
        <v>0.05</v>
      </c>
      <c r="M14" s="279">
        <f>IF(AND(M6&gt;=Assumptions!$N$41,L6&lt;Assumptions!$N$41),1/Assumptions!$N$41-Depreciation!$D$14,IF(M6&lt;Assumptions!$N$41,1/Assumptions!$N$41,0))</f>
        <v>0.05</v>
      </c>
      <c r="N14" s="279">
        <f>IF(AND(N6&gt;=Assumptions!$N$41,M6&lt;Assumptions!$N$41),1/Assumptions!$N$41-Depreciation!$D$14,IF(N6&lt;Assumptions!$N$41,1/Assumptions!$N$41,0))</f>
        <v>0.05</v>
      </c>
      <c r="O14" s="279">
        <f>IF(AND(O6&gt;=Assumptions!$N$41,N6&lt;Assumptions!$N$41),1/Assumptions!$N$41-Depreciation!$D$14,IF(O6&lt;Assumptions!$N$41,1/Assumptions!$N$41,0))</f>
        <v>0.05</v>
      </c>
      <c r="P14" s="279">
        <f>IF(AND(P6&gt;=Assumptions!$N$41,O6&lt;Assumptions!$N$41),1/Assumptions!$N$41-Depreciation!$D$14,IF(P6&lt;Assumptions!$N$41,1/Assumptions!$N$41,0))</f>
        <v>0.05</v>
      </c>
      <c r="Q14" s="279">
        <f>IF(AND(Q6&gt;=Assumptions!$N$41,P6&lt;Assumptions!$N$41),1/Assumptions!$N$41-Depreciation!$D$14,IF(Q6&lt;Assumptions!$N$41,1/Assumptions!$N$41,0))</f>
        <v>0.05</v>
      </c>
      <c r="R14" s="279">
        <f>IF(AND(R6&gt;=Assumptions!$N$41,Q6&lt;Assumptions!$N$41),1/Assumptions!$N$41-Depreciation!$D$14,IF(R6&lt;Assumptions!$N$41,1/Assumptions!$N$41,0))</f>
        <v>0.05</v>
      </c>
      <c r="S14" s="279">
        <f>IF(AND(S6&gt;=Assumptions!$N$41,R6&lt;Assumptions!$N$41),1/Assumptions!$N$41-Depreciation!$D$14,IF(S6&lt;Assumptions!$N$41,1/Assumptions!$N$41,0))</f>
        <v>0.05</v>
      </c>
      <c r="T14" s="279">
        <f>IF(AND(T6&gt;=Assumptions!$N$41,S6&lt;Assumptions!$N$41),1/Assumptions!$N$41-Depreciation!$D$14,IF(T6&lt;Assumptions!$N$41,1/Assumptions!$N$41,0))</f>
        <v>0.05</v>
      </c>
      <c r="U14" s="279">
        <f>IF(AND(U6&gt;=Assumptions!$N$41,T6&lt;Assumptions!$N$41),1/Assumptions!$N$41-Depreciation!$D$14,IF(U6&lt;Assumptions!$N$41,1/Assumptions!$N$41,0))</f>
        <v>0.05</v>
      </c>
      <c r="V14" s="279">
        <f>IF(AND(V6&gt;=Assumptions!$N$41,U6&lt;Assumptions!$N$41),1/Assumptions!$N$41-Depreciation!$D$14,IF(V6&lt;Assumptions!$N$41,1/Assumptions!$N$41,0))</f>
        <v>0.05</v>
      </c>
      <c r="W14" s="279">
        <f>IF(AND(W6&gt;=Assumptions!$N$41,V6&lt;Assumptions!$N$41),1/Assumptions!$N$41-Depreciation!$D$14,IF(W6&lt;Assumptions!$N$41,1/Assumptions!$N$41,0))</f>
        <v>0.05</v>
      </c>
      <c r="X14" s="279">
        <f>IF(AND(X6&gt;=Assumptions!$N$41,W6&lt;Assumptions!$N$41),1/Assumptions!$N$41-Depreciation!$D$14,IF(X6&lt;Assumptions!$N$41,1/Assumptions!$N$41,0))</f>
        <v>1.666666666666667E-2</v>
      </c>
      <c r="Y14" s="279">
        <f>IF(AND(Y6&gt;=Assumptions!$N$41,X6&lt;Assumptions!$N$41),1/Assumptions!$N$41-Depreciation!$D$14,IF(Y6&lt;Assumptions!$N$41,1/Assumptions!$N$41,0))</f>
        <v>0</v>
      </c>
      <c r="Z14" s="279">
        <f>IF(AND(Z6&gt;=Assumptions!$N$41,Y6&lt;Assumptions!$N$41),1/Assumptions!$N$41-Depreciation!$D$14,IF(Z6&lt;Assumptions!$N$41,1/Assumptions!$N$41,0))</f>
        <v>0</v>
      </c>
      <c r="AA14" s="279">
        <f>IF(AND(AA6&gt;=Assumptions!$N$41,Z6&lt;Assumptions!$N$41),1/Assumptions!$N$41-Depreciation!$D$14,IF(AA6&lt;Assumptions!$N$41,1/Assumptions!$N$41,0))</f>
        <v>0</v>
      </c>
      <c r="AB14" s="279">
        <f>IF(AND(AB6&gt;=Assumptions!$N$41,AA6&lt;Assumptions!$N$41),1/Assumptions!$N$41-Depreciation!$D$14,IF(AB6&lt;Assumptions!$N$41,1/Assumptions!$N$41,0))</f>
        <v>0</v>
      </c>
      <c r="AC14" s="279">
        <f>IF(AND(AC6&gt;=Assumptions!$N$41,AB6&lt;Assumptions!$N$41),1/Assumptions!$N$41-Depreciation!$D$14,IF(AC6&lt;Assumptions!$N$41,1/Assumptions!$N$41,0))</f>
        <v>0</v>
      </c>
      <c r="AD14" s="279">
        <f>IF(AND(AD6&gt;=Assumptions!$N$41,AC6&lt;Assumptions!$N$41),1/Assumptions!$N$41-Depreciation!$D$14,IF(AD6&lt;Assumptions!$N$41,1/Assumptions!$N$41,0))</f>
        <v>0</v>
      </c>
      <c r="AE14" s="279">
        <f>IF(AND(AE6&gt;=Assumptions!$N$41,AD6&lt;Assumptions!$N$41),1/Assumptions!$N$41-Depreciation!$D$14,IF(AE6&lt;Assumptions!$N$41,1/Assumptions!$N$41,0))</f>
        <v>0</v>
      </c>
      <c r="AF14" s="279">
        <f>IF(AND(AF6&gt;=Assumptions!$N$41,AE6&lt;Assumptions!$N$41),1/Assumptions!$N$41-Depreciation!$D$14,IF(AF6&lt;Assumptions!$N$41,1/Assumptions!$N$41,0))</f>
        <v>0</v>
      </c>
      <c r="AG14" s="279">
        <f>IF(AND(AG6&gt;=Assumptions!$N$41,AF6&lt;Assumptions!$N$41),1/Assumptions!$N$41-Depreciation!$D$14,IF(AG6&lt;Assumptions!$N$41,1/Assumptions!$N$41,0))</f>
        <v>0</v>
      </c>
      <c r="AH14" s="279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246</v>
      </c>
      <c r="B16" s="374">
        <f>Assumptions!C36+Assumptions!C49+Assumptions!C41</f>
        <v>94670</v>
      </c>
      <c r="C16" s="303"/>
      <c r="D16" s="18">
        <f>$B$16*D12</f>
        <v>4733.5</v>
      </c>
      <c r="E16" s="18">
        <f t="shared" ref="E16:Y16" si="0">$B$16*E12</f>
        <v>8993.65</v>
      </c>
      <c r="F16" s="18">
        <f t="shared" si="0"/>
        <v>8094.2850000000008</v>
      </c>
      <c r="G16" s="18">
        <f t="shared" si="0"/>
        <v>7289.59</v>
      </c>
      <c r="H16" s="18">
        <f t="shared" si="0"/>
        <v>6560.6310000000003</v>
      </c>
      <c r="I16" s="18">
        <f t="shared" si="0"/>
        <v>5897.9409999999998</v>
      </c>
      <c r="J16" s="18">
        <f t="shared" si="0"/>
        <v>5585.53</v>
      </c>
      <c r="K16" s="18">
        <f t="shared" si="0"/>
        <v>5594.9970000000003</v>
      </c>
      <c r="L16" s="18">
        <f t="shared" si="0"/>
        <v>5585.53</v>
      </c>
      <c r="M16" s="18">
        <f t="shared" si="0"/>
        <v>5594.9970000000003</v>
      </c>
      <c r="N16" s="18">
        <f t="shared" si="0"/>
        <v>5585.53</v>
      </c>
      <c r="O16" s="18">
        <f t="shared" si="0"/>
        <v>5594.9970000000003</v>
      </c>
      <c r="P16" s="18">
        <f t="shared" si="0"/>
        <v>5585.53</v>
      </c>
      <c r="Q16" s="18">
        <f t="shared" si="0"/>
        <v>5594.9970000000003</v>
      </c>
      <c r="R16" s="18">
        <f t="shared" si="0"/>
        <v>5585.53</v>
      </c>
      <c r="S16" s="18">
        <f t="shared" si="0"/>
        <v>2792.7649999999999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247</v>
      </c>
      <c r="B17" s="302">
        <f>Assumptions!C53-Assumptions!C49-Assumptions!C50</f>
        <v>21161</v>
      </c>
      <c r="C17" s="303"/>
      <c r="D17" s="300">
        <f>$B$17*D13</f>
        <v>2821.4666666666667</v>
      </c>
      <c r="E17" s="300">
        <f t="shared" ref="E17:AH17" si="2">$B$17*E13</f>
        <v>4232.2</v>
      </c>
      <c r="F17" s="300">
        <f t="shared" si="2"/>
        <v>4232.2</v>
      </c>
      <c r="G17" s="300">
        <f t="shared" si="2"/>
        <v>4232.2</v>
      </c>
      <c r="H17" s="300">
        <f t="shared" si="2"/>
        <v>4232.2</v>
      </c>
      <c r="I17" s="300">
        <f t="shared" si="2"/>
        <v>1410.7333333333336</v>
      </c>
      <c r="J17" s="300">
        <f t="shared" si="2"/>
        <v>0</v>
      </c>
      <c r="K17" s="300">
        <f t="shared" si="2"/>
        <v>0</v>
      </c>
      <c r="L17" s="300">
        <f t="shared" si="2"/>
        <v>0</v>
      </c>
      <c r="M17" s="300">
        <f t="shared" si="2"/>
        <v>0</v>
      </c>
      <c r="N17" s="300">
        <f t="shared" si="2"/>
        <v>0</v>
      </c>
      <c r="O17" s="300">
        <f t="shared" si="2"/>
        <v>0</v>
      </c>
      <c r="P17" s="300">
        <f t="shared" si="2"/>
        <v>0</v>
      </c>
      <c r="Q17" s="300">
        <f t="shared" si="2"/>
        <v>0</v>
      </c>
      <c r="R17" s="300">
        <f t="shared" si="2"/>
        <v>0</v>
      </c>
      <c r="S17" s="300">
        <f t="shared" si="2"/>
        <v>0</v>
      </c>
      <c r="T17" s="300">
        <f t="shared" si="2"/>
        <v>0</v>
      </c>
      <c r="U17" s="300">
        <f t="shared" si="2"/>
        <v>0</v>
      </c>
      <c r="V17" s="300">
        <f t="shared" si="2"/>
        <v>0</v>
      </c>
      <c r="W17" s="300">
        <f t="shared" si="2"/>
        <v>0</v>
      </c>
      <c r="X17" s="300">
        <f t="shared" si="2"/>
        <v>0</v>
      </c>
      <c r="Y17" s="300">
        <f t="shared" si="2"/>
        <v>0</v>
      </c>
      <c r="Z17" s="300">
        <f t="shared" si="2"/>
        <v>0</v>
      </c>
      <c r="AA17" s="300">
        <f t="shared" si="2"/>
        <v>0</v>
      </c>
      <c r="AB17" s="300">
        <f t="shared" si="2"/>
        <v>0</v>
      </c>
      <c r="AC17" s="300">
        <f t="shared" si="2"/>
        <v>0</v>
      </c>
      <c r="AD17" s="300">
        <f t="shared" si="2"/>
        <v>0</v>
      </c>
      <c r="AE17" s="300">
        <f t="shared" si="2"/>
        <v>0</v>
      </c>
      <c r="AF17" s="300">
        <f t="shared" si="2"/>
        <v>0</v>
      </c>
      <c r="AG17" s="300">
        <f t="shared" si="2"/>
        <v>0</v>
      </c>
      <c r="AH17" s="300">
        <f t="shared" si="2"/>
        <v>0</v>
      </c>
    </row>
    <row r="18" spans="1:36" s="10" customFormat="1" ht="15">
      <c r="A18" s="22" t="s">
        <v>312</v>
      </c>
      <c r="B18" s="375">
        <f>Assumptions!$C$59</f>
        <v>0</v>
      </c>
      <c r="C18" s="303"/>
      <c r="D18" s="376">
        <f>$B$18*D14</f>
        <v>0</v>
      </c>
      <c r="E18" s="376">
        <f t="shared" ref="E18:Y18" si="3">$B$18*E14</f>
        <v>0</v>
      </c>
      <c r="F18" s="376">
        <f t="shared" si="3"/>
        <v>0</v>
      </c>
      <c r="G18" s="376">
        <f t="shared" si="3"/>
        <v>0</v>
      </c>
      <c r="H18" s="376">
        <f t="shared" si="3"/>
        <v>0</v>
      </c>
      <c r="I18" s="376">
        <f t="shared" si="3"/>
        <v>0</v>
      </c>
      <c r="J18" s="376">
        <f t="shared" si="3"/>
        <v>0</v>
      </c>
      <c r="K18" s="376">
        <f t="shared" si="3"/>
        <v>0</v>
      </c>
      <c r="L18" s="376">
        <f t="shared" si="3"/>
        <v>0</v>
      </c>
      <c r="M18" s="376">
        <f t="shared" si="3"/>
        <v>0</v>
      </c>
      <c r="N18" s="376">
        <f t="shared" si="3"/>
        <v>0</v>
      </c>
      <c r="O18" s="376">
        <f t="shared" si="3"/>
        <v>0</v>
      </c>
      <c r="P18" s="376">
        <f t="shared" si="3"/>
        <v>0</v>
      </c>
      <c r="Q18" s="376">
        <f t="shared" si="3"/>
        <v>0</v>
      </c>
      <c r="R18" s="376">
        <f t="shared" si="3"/>
        <v>0</v>
      </c>
      <c r="S18" s="376">
        <f t="shared" si="3"/>
        <v>0</v>
      </c>
      <c r="T18" s="376">
        <f t="shared" si="3"/>
        <v>0</v>
      </c>
      <c r="U18" s="376">
        <f t="shared" si="3"/>
        <v>0</v>
      </c>
      <c r="V18" s="376">
        <f t="shared" si="3"/>
        <v>0</v>
      </c>
      <c r="W18" s="376">
        <f t="shared" si="3"/>
        <v>0</v>
      </c>
      <c r="X18" s="376">
        <f t="shared" si="3"/>
        <v>0</v>
      </c>
      <c r="Y18" s="376">
        <f t="shared" si="3"/>
        <v>0</v>
      </c>
      <c r="Z18" s="376">
        <f t="shared" ref="Z18:AH18" si="4">$B$18*Z14</f>
        <v>0</v>
      </c>
      <c r="AA18" s="376">
        <f t="shared" si="4"/>
        <v>0</v>
      </c>
      <c r="AB18" s="376">
        <f t="shared" si="4"/>
        <v>0</v>
      </c>
      <c r="AC18" s="376">
        <f t="shared" si="4"/>
        <v>0</v>
      </c>
      <c r="AD18" s="376">
        <f t="shared" si="4"/>
        <v>0</v>
      </c>
      <c r="AE18" s="376">
        <f t="shared" si="4"/>
        <v>0</v>
      </c>
      <c r="AF18" s="376">
        <f t="shared" si="4"/>
        <v>0</v>
      </c>
      <c r="AG18" s="376">
        <f t="shared" si="4"/>
        <v>0</v>
      </c>
      <c r="AH18" s="376">
        <f t="shared" si="4"/>
        <v>0</v>
      </c>
    </row>
    <row r="19" spans="1:36" s="10" customFormat="1">
      <c r="A19" s="22" t="s">
        <v>61</v>
      </c>
      <c r="B19" s="18">
        <f>SUM(B16:B18)</f>
        <v>115831</v>
      </c>
      <c r="C19" s="303"/>
      <c r="D19" s="18">
        <f t="shared" ref="D19:Y19" si="5">SUM(D16:D18)</f>
        <v>7554.9666666666672</v>
      </c>
      <c r="E19" s="18">
        <f t="shared" si="5"/>
        <v>13225.849999999999</v>
      </c>
      <c r="F19" s="18">
        <f t="shared" si="5"/>
        <v>12326.485000000001</v>
      </c>
      <c r="G19" s="18">
        <f t="shared" si="5"/>
        <v>11521.79</v>
      </c>
      <c r="H19" s="18">
        <f t="shared" si="5"/>
        <v>10792.831</v>
      </c>
      <c r="I19" s="18">
        <f t="shared" si="5"/>
        <v>7308.6743333333334</v>
      </c>
      <c r="J19" s="18">
        <f t="shared" si="5"/>
        <v>5585.53</v>
      </c>
      <c r="K19" s="18">
        <f t="shared" si="5"/>
        <v>5594.9970000000003</v>
      </c>
      <c r="L19" s="18">
        <f t="shared" si="5"/>
        <v>5585.53</v>
      </c>
      <c r="M19" s="18">
        <f t="shared" si="5"/>
        <v>5594.9970000000003</v>
      </c>
      <c r="N19" s="18">
        <f t="shared" si="5"/>
        <v>5585.53</v>
      </c>
      <c r="O19" s="18">
        <f t="shared" si="5"/>
        <v>5594.9970000000003</v>
      </c>
      <c r="P19" s="18">
        <f t="shared" si="5"/>
        <v>5585.53</v>
      </c>
      <c r="Q19" s="18">
        <f t="shared" si="5"/>
        <v>5594.9970000000003</v>
      </c>
      <c r="R19" s="18">
        <f t="shared" si="5"/>
        <v>5585.53</v>
      </c>
      <c r="S19" s="18">
        <f t="shared" si="5"/>
        <v>2792.7649999999999</v>
      </c>
      <c r="T19" s="18">
        <f t="shared" si="5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62</v>
      </c>
      <c r="B21" s="304">
        <f>B19</f>
        <v>115831</v>
      </c>
      <c r="C21" s="377"/>
      <c r="D21" s="304">
        <f>B19-D19</f>
        <v>108276.03333333333</v>
      </c>
      <c r="E21" s="304">
        <f>D21-E19</f>
        <v>95050.18333333332</v>
      </c>
      <c r="F21" s="304">
        <f t="shared" ref="F21:X21" si="7">E21-F19</f>
        <v>82723.698333333319</v>
      </c>
      <c r="G21" s="304">
        <f t="shared" si="7"/>
        <v>71201.908333333326</v>
      </c>
      <c r="H21" s="304">
        <f t="shared" si="7"/>
        <v>60409.077333333327</v>
      </c>
      <c r="I21" s="304">
        <f t="shared" si="7"/>
        <v>53100.402999999991</v>
      </c>
      <c r="J21" s="304">
        <f t="shared" si="7"/>
        <v>47514.872999999992</v>
      </c>
      <c r="K21" s="304">
        <f t="shared" si="7"/>
        <v>41919.875999999989</v>
      </c>
      <c r="L21" s="304">
        <f t="shared" si="7"/>
        <v>36334.34599999999</v>
      </c>
      <c r="M21" s="304">
        <f t="shared" si="7"/>
        <v>30739.348999999991</v>
      </c>
      <c r="N21" s="304">
        <f t="shared" si="7"/>
        <v>25153.818999999992</v>
      </c>
      <c r="O21" s="304">
        <f t="shared" si="7"/>
        <v>19558.821999999993</v>
      </c>
      <c r="P21" s="304">
        <f t="shared" si="7"/>
        <v>13973.291999999994</v>
      </c>
      <c r="Q21" s="304">
        <f t="shared" si="7"/>
        <v>8378.2949999999946</v>
      </c>
      <c r="R21" s="304">
        <f t="shared" si="7"/>
        <v>2792.7649999999949</v>
      </c>
      <c r="S21" s="304">
        <f t="shared" si="7"/>
        <v>-5.0022208597511053E-12</v>
      </c>
      <c r="T21" s="304">
        <f t="shared" si="7"/>
        <v>-5.0022208597511053E-12</v>
      </c>
      <c r="U21" s="304">
        <f t="shared" si="7"/>
        <v>-5.0022208597511053E-12</v>
      </c>
      <c r="V21" s="304">
        <f t="shared" si="7"/>
        <v>-5.0022208597511053E-12</v>
      </c>
      <c r="W21" s="304">
        <f t="shared" si="7"/>
        <v>-5.0022208597511053E-12</v>
      </c>
      <c r="X21" s="304">
        <f t="shared" si="7"/>
        <v>-5.0022208597511053E-12</v>
      </c>
      <c r="Y21" s="304">
        <f>X21-Y19</f>
        <v>-5.0022208597511053E-12</v>
      </c>
      <c r="Z21" s="304">
        <f t="shared" ref="Z21:AH21" si="8">Y21-Z19</f>
        <v>-5.0022208597511053E-12</v>
      </c>
      <c r="AA21" s="304">
        <f t="shared" si="8"/>
        <v>-5.0022208597511053E-12</v>
      </c>
      <c r="AB21" s="304">
        <f t="shared" si="8"/>
        <v>-5.0022208597511053E-12</v>
      </c>
      <c r="AC21" s="304">
        <f t="shared" si="8"/>
        <v>-5.0022208597511053E-12</v>
      </c>
      <c r="AD21" s="304">
        <f t="shared" si="8"/>
        <v>-5.0022208597511053E-12</v>
      </c>
      <c r="AE21" s="304">
        <f t="shared" si="8"/>
        <v>-5.0022208597511053E-12</v>
      </c>
      <c r="AF21" s="304">
        <f t="shared" si="8"/>
        <v>-5.0022208597511053E-12</v>
      </c>
      <c r="AG21" s="304">
        <f t="shared" si="8"/>
        <v>-5.0022208597511053E-12</v>
      </c>
      <c r="AH21" s="304">
        <f t="shared" si="8"/>
        <v>-5.0022208597511053E-12</v>
      </c>
      <c r="AI21" s="301"/>
      <c r="AJ21" s="301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63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60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246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247</v>
      </c>
      <c r="B27" s="31">
        <f>Assumptions!$N$40</f>
        <v>5</v>
      </c>
      <c r="C27" s="32"/>
      <c r="D27" s="279">
        <f>D13</f>
        <v>0.13333333333333333</v>
      </c>
      <c r="E27" s="279">
        <f t="shared" ref="E27:AH27" si="11">E13</f>
        <v>0.2</v>
      </c>
      <c r="F27" s="279">
        <f t="shared" si="11"/>
        <v>0.2</v>
      </c>
      <c r="G27" s="279">
        <f t="shared" si="11"/>
        <v>0.2</v>
      </c>
      <c r="H27" s="279">
        <f t="shared" si="11"/>
        <v>0.2</v>
      </c>
      <c r="I27" s="279">
        <f t="shared" si="11"/>
        <v>6.666666666666668E-2</v>
      </c>
      <c r="J27" s="279">
        <f t="shared" si="11"/>
        <v>0</v>
      </c>
      <c r="K27" s="279">
        <f t="shared" si="11"/>
        <v>0</v>
      </c>
      <c r="L27" s="279">
        <f t="shared" si="11"/>
        <v>0</v>
      </c>
      <c r="M27" s="279">
        <f t="shared" si="11"/>
        <v>0</v>
      </c>
      <c r="N27" s="279">
        <f t="shared" si="11"/>
        <v>0</v>
      </c>
      <c r="O27" s="279">
        <f t="shared" si="11"/>
        <v>0</v>
      </c>
      <c r="P27" s="279">
        <f t="shared" si="11"/>
        <v>0</v>
      </c>
      <c r="Q27" s="279">
        <f t="shared" si="11"/>
        <v>0</v>
      </c>
      <c r="R27" s="279">
        <f t="shared" si="11"/>
        <v>0</v>
      </c>
      <c r="S27" s="279">
        <f t="shared" si="11"/>
        <v>0</v>
      </c>
      <c r="T27" s="279">
        <f t="shared" si="11"/>
        <v>0</v>
      </c>
      <c r="U27" s="279">
        <f t="shared" si="11"/>
        <v>0</v>
      </c>
      <c r="V27" s="279">
        <f t="shared" si="11"/>
        <v>0</v>
      </c>
      <c r="W27" s="279">
        <f t="shared" si="11"/>
        <v>0</v>
      </c>
      <c r="X27" s="279">
        <f t="shared" si="11"/>
        <v>0</v>
      </c>
      <c r="Y27" s="279">
        <f t="shared" si="11"/>
        <v>0</v>
      </c>
      <c r="Z27" s="279">
        <f t="shared" si="11"/>
        <v>0</v>
      </c>
      <c r="AA27" s="279">
        <f t="shared" si="11"/>
        <v>0</v>
      </c>
      <c r="AB27" s="279">
        <f t="shared" si="11"/>
        <v>0</v>
      </c>
      <c r="AC27" s="279">
        <f t="shared" si="11"/>
        <v>0</v>
      </c>
      <c r="AD27" s="279">
        <f t="shared" si="11"/>
        <v>0</v>
      </c>
      <c r="AE27" s="279">
        <f t="shared" si="11"/>
        <v>0</v>
      </c>
      <c r="AF27" s="279">
        <f t="shared" si="11"/>
        <v>0</v>
      </c>
      <c r="AG27" s="279">
        <f t="shared" si="11"/>
        <v>0</v>
      </c>
      <c r="AH27" s="279">
        <f t="shared" si="11"/>
        <v>0</v>
      </c>
    </row>
    <row r="28" spans="1:36" s="10" customFormat="1">
      <c r="A28" s="22" t="s">
        <v>312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246</v>
      </c>
      <c r="B31" s="374">
        <f>B16</f>
        <v>94670</v>
      </c>
      <c r="C31" s="303"/>
      <c r="D31" s="18">
        <f>$B$31*D26</f>
        <v>4733.5</v>
      </c>
      <c r="E31" s="18">
        <f t="shared" ref="E31:Y31" si="14">$B$31*E26</f>
        <v>8993.65</v>
      </c>
      <c r="F31" s="18">
        <f t="shared" si="14"/>
        <v>8094.2850000000008</v>
      </c>
      <c r="G31" s="18">
        <f t="shared" si="14"/>
        <v>7289.59</v>
      </c>
      <c r="H31" s="18">
        <f t="shared" si="14"/>
        <v>6560.6310000000003</v>
      </c>
      <c r="I31" s="18">
        <f t="shared" si="14"/>
        <v>5897.9409999999998</v>
      </c>
      <c r="J31" s="18">
        <f t="shared" si="14"/>
        <v>5585.53</v>
      </c>
      <c r="K31" s="18">
        <f t="shared" si="14"/>
        <v>5594.9970000000003</v>
      </c>
      <c r="L31" s="18">
        <f t="shared" si="14"/>
        <v>5585.53</v>
      </c>
      <c r="M31" s="18">
        <f t="shared" si="14"/>
        <v>5594.9970000000003</v>
      </c>
      <c r="N31" s="18">
        <f t="shared" si="14"/>
        <v>5585.53</v>
      </c>
      <c r="O31" s="18">
        <f t="shared" si="14"/>
        <v>5594.9970000000003</v>
      </c>
      <c r="P31" s="18">
        <f t="shared" si="14"/>
        <v>5585.53</v>
      </c>
      <c r="Q31" s="18">
        <f t="shared" si="14"/>
        <v>5594.9970000000003</v>
      </c>
      <c r="R31" s="18">
        <f t="shared" si="14"/>
        <v>5585.53</v>
      </c>
      <c r="S31" s="18">
        <f t="shared" si="14"/>
        <v>2792.7649999999999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247</v>
      </c>
      <c r="B32" s="302">
        <f>B17</f>
        <v>21161</v>
      </c>
      <c r="C32" s="303"/>
      <c r="D32" s="300">
        <f>D27*$B$32</f>
        <v>2821.4666666666667</v>
      </c>
      <c r="E32" s="300">
        <f t="shared" ref="E32:AH32" si="16">E27*$B$32</f>
        <v>4232.2</v>
      </c>
      <c r="F32" s="300">
        <f t="shared" si="16"/>
        <v>4232.2</v>
      </c>
      <c r="G32" s="300">
        <f t="shared" si="16"/>
        <v>4232.2</v>
      </c>
      <c r="H32" s="300">
        <f t="shared" si="16"/>
        <v>4232.2</v>
      </c>
      <c r="I32" s="300">
        <f t="shared" si="16"/>
        <v>1410.7333333333336</v>
      </c>
      <c r="J32" s="300">
        <f t="shared" si="16"/>
        <v>0</v>
      </c>
      <c r="K32" s="300">
        <f t="shared" si="16"/>
        <v>0</v>
      </c>
      <c r="L32" s="300">
        <f t="shared" si="16"/>
        <v>0</v>
      </c>
      <c r="M32" s="300">
        <f t="shared" si="16"/>
        <v>0</v>
      </c>
      <c r="N32" s="300">
        <f t="shared" si="16"/>
        <v>0</v>
      </c>
      <c r="O32" s="300">
        <f t="shared" si="16"/>
        <v>0</v>
      </c>
      <c r="P32" s="300">
        <f t="shared" si="16"/>
        <v>0</v>
      </c>
      <c r="Q32" s="300">
        <f t="shared" si="16"/>
        <v>0</v>
      </c>
      <c r="R32" s="300">
        <f t="shared" si="16"/>
        <v>0</v>
      </c>
      <c r="S32" s="300">
        <f t="shared" si="16"/>
        <v>0</v>
      </c>
      <c r="T32" s="300">
        <f t="shared" si="16"/>
        <v>0</v>
      </c>
      <c r="U32" s="300">
        <f t="shared" si="16"/>
        <v>0</v>
      </c>
      <c r="V32" s="300">
        <f t="shared" si="16"/>
        <v>0</v>
      </c>
      <c r="W32" s="300">
        <f t="shared" si="16"/>
        <v>0</v>
      </c>
      <c r="X32" s="300">
        <f t="shared" si="16"/>
        <v>0</v>
      </c>
      <c r="Y32" s="300">
        <f t="shared" si="16"/>
        <v>0</v>
      </c>
      <c r="Z32" s="300">
        <f t="shared" si="16"/>
        <v>0</v>
      </c>
      <c r="AA32" s="300">
        <f t="shared" si="16"/>
        <v>0</v>
      </c>
      <c r="AB32" s="300">
        <f t="shared" si="16"/>
        <v>0</v>
      </c>
      <c r="AC32" s="300">
        <f t="shared" si="16"/>
        <v>0</v>
      </c>
      <c r="AD32" s="300">
        <f t="shared" si="16"/>
        <v>0</v>
      </c>
      <c r="AE32" s="300">
        <f t="shared" si="16"/>
        <v>0</v>
      </c>
      <c r="AF32" s="300">
        <f t="shared" si="16"/>
        <v>0</v>
      </c>
      <c r="AG32" s="300">
        <f t="shared" si="16"/>
        <v>0</v>
      </c>
      <c r="AH32" s="300">
        <f t="shared" si="16"/>
        <v>0</v>
      </c>
    </row>
    <row r="33" spans="1:38" s="10" customFormat="1" ht="15">
      <c r="A33" s="22" t="s">
        <v>312</v>
      </c>
      <c r="B33" s="375">
        <f>B18</f>
        <v>0</v>
      </c>
      <c r="C33" s="303"/>
      <c r="D33" s="376">
        <f t="shared" ref="D33:Y33" si="17">$B33*D28</f>
        <v>0</v>
      </c>
      <c r="E33" s="376">
        <f t="shared" si="17"/>
        <v>0</v>
      </c>
      <c r="F33" s="376">
        <f t="shared" si="17"/>
        <v>0</v>
      </c>
      <c r="G33" s="376">
        <f t="shared" si="17"/>
        <v>0</v>
      </c>
      <c r="H33" s="376">
        <f t="shared" si="17"/>
        <v>0</v>
      </c>
      <c r="I33" s="376">
        <f t="shared" si="17"/>
        <v>0</v>
      </c>
      <c r="J33" s="376">
        <f t="shared" si="17"/>
        <v>0</v>
      </c>
      <c r="K33" s="376">
        <f t="shared" si="17"/>
        <v>0</v>
      </c>
      <c r="L33" s="376">
        <f t="shared" si="17"/>
        <v>0</v>
      </c>
      <c r="M33" s="376">
        <f t="shared" si="17"/>
        <v>0</v>
      </c>
      <c r="N33" s="376">
        <f t="shared" si="17"/>
        <v>0</v>
      </c>
      <c r="O33" s="376">
        <f t="shared" si="17"/>
        <v>0</v>
      </c>
      <c r="P33" s="376">
        <f t="shared" si="17"/>
        <v>0</v>
      </c>
      <c r="Q33" s="376">
        <f t="shared" si="17"/>
        <v>0</v>
      </c>
      <c r="R33" s="376">
        <f t="shared" si="17"/>
        <v>0</v>
      </c>
      <c r="S33" s="376">
        <f t="shared" si="17"/>
        <v>0</v>
      </c>
      <c r="T33" s="376">
        <f t="shared" si="17"/>
        <v>0</v>
      </c>
      <c r="U33" s="376">
        <f t="shared" si="17"/>
        <v>0</v>
      </c>
      <c r="V33" s="376">
        <f t="shared" si="17"/>
        <v>0</v>
      </c>
      <c r="W33" s="376">
        <f t="shared" si="17"/>
        <v>0</v>
      </c>
      <c r="X33" s="376">
        <f t="shared" si="17"/>
        <v>0</v>
      </c>
      <c r="Y33" s="376">
        <f t="shared" si="17"/>
        <v>0</v>
      </c>
      <c r="Z33" s="376">
        <f t="shared" ref="Z33:AH33" si="18">$B33*Z28</f>
        <v>0</v>
      </c>
      <c r="AA33" s="376">
        <f t="shared" si="18"/>
        <v>0</v>
      </c>
      <c r="AB33" s="376">
        <f t="shared" si="18"/>
        <v>0</v>
      </c>
      <c r="AC33" s="376">
        <f t="shared" si="18"/>
        <v>0</v>
      </c>
      <c r="AD33" s="376">
        <f t="shared" si="18"/>
        <v>0</v>
      </c>
      <c r="AE33" s="376">
        <f t="shared" si="18"/>
        <v>0</v>
      </c>
      <c r="AF33" s="376">
        <f t="shared" si="18"/>
        <v>0</v>
      </c>
      <c r="AG33" s="376">
        <f t="shared" si="18"/>
        <v>0</v>
      </c>
      <c r="AH33" s="376">
        <f t="shared" si="18"/>
        <v>0</v>
      </c>
    </row>
    <row r="34" spans="1:38" s="10" customFormat="1">
      <c r="A34" s="16" t="s">
        <v>61</v>
      </c>
      <c r="B34" s="18">
        <f>SUM(B31:B33)</f>
        <v>115831</v>
      </c>
      <c r="C34" s="303"/>
      <c r="D34" s="18">
        <f t="shared" ref="D34:Y34" si="19">SUM(D31:D33)</f>
        <v>7554.9666666666672</v>
      </c>
      <c r="E34" s="18">
        <f t="shared" si="19"/>
        <v>13225.849999999999</v>
      </c>
      <c r="F34" s="18">
        <f t="shared" si="19"/>
        <v>12326.485000000001</v>
      </c>
      <c r="G34" s="18">
        <f t="shared" si="19"/>
        <v>11521.79</v>
      </c>
      <c r="H34" s="18">
        <f t="shared" si="19"/>
        <v>10792.831</v>
      </c>
      <c r="I34" s="18">
        <f t="shared" si="19"/>
        <v>7308.6743333333334</v>
      </c>
      <c r="J34" s="18">
        <f t="shared" si="19"/>
        <v>5585.53</v>
      </c>
      <c r="K34" s="18">
        <f t="shared" si="19"/>
        <v>5594.9970000000003</v>
      </c>
      <c r="L34" s="18">
        <f t="shared" si="19"/>
        <v>5585.53</v>
      </c>
      <c r="M34" s="18">
        <f t="shared" si="19"/>
        <v>5594.9970000000003</v>
      </c>
      <c r="N34" s="18">
        <f t="shared" si="19"/>
        <v>5585.53</v>
      </c>
      <c r="O34" s="18">
        <f t="shared" si="19"/>
        <v>5594.9970000000003</v>
      </c>
      <c r="P34" s="18">
        <f t="shared" si="19"/>
        <v>5585.53</v>
      </c>
      <c r="Q34" s="18">
        <f t="shared" si="19"/>
        <v>5594.9970000000003</v>
      </c>
      <c r="R34" s="18">
        <f t="shared" si="19"/>
        <v>5585.53</v>
      </c>
      <c r="S34" s="18">
        <f t="shared" si="19"/>
        <v>2792.7649999999999</v>
      </c>
      <c r="T34" s="18">
        <f t="shared" si="19"/>
        <v>0</v>
      </c>
      <c r="U34" s="18">
        <f t="shared" si="19"/>
        <v>0</v>
      </c>
      <c r="V34" s="18">
        <f t="shared" si="19"/>
        <v>0</v>
      </c>
      <c r="W34" s="18">
        <f t="shared" si="19"/>
        <v>0</v>
      </c>
      <c r="X34" s="18">
        <f t="shared" si="19"/>
        <v>0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62</v>
      </c>
      <c r="B36" s="304">
        <f>B34</f>
        <v>115831</v>
      </c>
      <c r="C36" s="379"/>
      <c r="D36" s="304">
        <f>B34-D34</f>
        <v>108276.03333333333</v>
      </c>
      <c r="E36" s="304">
        <f>D36-E34</f>
        <v>95050.18333333332</v>
      </c>
      <c r="F36" s="304">
        <f t="shared" ref="F36:W36" si="21">E36-F34</f>
        <v>82723.698333333319</v>
      </c>
      <c r="G36" s="304">
        <f t="shared" si="21"/>
        <v>71201.908333333326</v>
      </c>
      <c r="H36" s="304">
        <f t="shared" si="21"/>
        <v>60409.077333333327</v>
      </c>
      <c r="I36" s="304">
        <f t="shared" si="21"/>
        <v>53100.402999999991</v>
      </c>
      <c r="J36" s="304">
        <f t="shared" si="21"/>
        <v>47514.872999999992</v>
      </c>
      <c r="K36" s="304">
        <f t="shared" si="21"/>
        <v>41919.875999999989</v>
      </c>
      <c r="L36" s="304">
        <f t="shared" si="21"/>
        <v>36334.34599999999</v>
      </c>
      <c r="M36" s="304">
        <f t="shared" si="21"/>
        <v>30739.348999999991</v>
      </c>
      <c r="N36" s="304">
        <f t="shared" si="21"/>
        <v>25153.818999999992</v>
      </c>
      <c r="O36" s="304">
        <f t="shared" si="21"/>
        <v>19558.821999999993</v>
      </c>
      <c r="P36" s="304">
        <f t="shared" si="21"/>
        <v>13973.291999999994</v>
      </c>
      <c r="Q36" s="304">
        <f t="shared" si="21"/>
        <v>8378.2949999999946</v>
      </c>
      <c r="R36" s="304">
        <f t="shared" si="21"/>
        <v>2792.7649999999949</v>
      </c>
      <c r="S36" s="304">
        <f t="shared" si="21"/>
        <v>-5.0022208597511053E-12</v>
      </c>
      <c r="T36" s="304">
        <f t="shared" si="21"/>
        <v>-5.0022208597511053E-12</v>
      </c>
      <c r="U36" s="304">
        <f t="shared" si="21"/>
        <v>-5.0022208597511053E-12</v>
      </c>
      <c r="V36" s="304">
        <f t="shared" si="21"/>
        <v>-5.0022208597511053E-12</v>
      </c>
      <c r="W36" s="304">
        <f t="shared" si="21"/>
        <v>-5.0022208597511053E-12</v>
      </c>
      <c r="X36" s="304">
        <f>W36-X34</f>
        <v>-5.0022208597511053E-12</v>
      </c>
      <c r="Y36" s="304">
        <f>X36-Y34</f>
        <v>-5.0022208597511053E-12</v>
      </c>
      <c r="Z36" s="304">
        <f t="shared" ref="Z36:AH36" si="22">Y36-Z34</f>
        <v>-5.0022208597511053E-12</v>
      </c>
      <c r="AA36" s="304">
        <f t="shared" si="22"/>
        <v>-5.0022208597511053E-12</v>
      </c>
      <c r="AB36" s="304">
        <f t="shared" si="22"/>
        <v>-5.0022208597511053E-12</v>
      </c>
      <c r="AC36" s="304">
        <f t="shared" si="22"/>
        <v>-5.0022208597511053E-12</v>
      </c>
      <c r="AD36" s="304">
        <f t="shared" si="22"/>
        <v>-5.0022208597511053E-12</v>
      </c>
      <c r="AE36" s="304">
        <f t="shared" si="22"/>
        <v>-5.0022208597511053E-12</v>
      </c>
      <c r="AF36" s="304">
        <f t="shared" si="22"/>
        <v>-5.0022208597511053E-12</v>
      </c>
      <c r="AG36" s="304">
        <f t="shared" si="22"/>
        <v>-5.0022208597511053E-12</v>
      </c>
      <c r="AH36" s="304">
        <f t="shared" si="22"/>
        <v>-5.0022208597511053E-12</v>
      </c>
      <c r="AI36" s="301"/>
      <c r="AJ36" s="301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64</v>
      </c>
    </row>
    <row r="40" spans="1:38" s="10" customFormat="1">
      <c r="A40" s="27"/>
      <c r="B40" s="29" t="s">
        <v>60</v>
      </c>
      <c r="C40" s="372" t="s">
        <v>65</v>
      </c>
    </row>
    <row r="41" spans="1:38" s="10" customFormat="1">
      <c r="A41" s="21" t="s">
        <v>367</v>
      </c>
      <c r="B41" s="31">
        <f>Assumptions!$N$44</f>
        <v>30</v>
      </c>
      <c r="C41" s="373">
        <f>Assumptions!P44</f>
        <v>0.1</v>
      </c>
      <c r="D41" s="279">
        <f>1/Assumptions!$N$44*D6*(1-$C$41)</f>
        <v>1.9999999999999997E-2</v>
      </c>
      <c r="E41" s="279">
        <f>IF(AND(E6&gt;=Assumptions!$N$44,D6&lt;Assumptions!$N$44),1/Assumptions!$N$44*(1-$C$41)-Depreciation!$D$41,IF(AND(D6&gt;Assumptions!$N$44,E6&lt;Assumptions!$N$44),0,1/Assumptions!$N$44*(1-$C$41)))</f>
        <v>0.03</v>
      </c>
      <c r="F41" s="279">
        <f>IF(AND(F6&gt;=Assumptions!$N$44,E6&lt;Assumptions!$N$44),1/Assumptions!$N$44*(1-$C$41)-Depreciation!$D$41,IF(AND(E6&gt;Assumptions!$N$44,F6&lt;Assumptions!$N$44),0,1/Assumptions!$N$44*(1-$C$41)))</f>
        <v>0.03</v>
      </c>
      <c r="G41" s="279">
        <f>IF(AND(G6&gt;=Assumptions!$N$44,F6&lt;Assumptions!$N$44),1/Assumptions!$N$44*(1-$C$41)-Depreciation!$D$41,IF(AND(F6&gt;Assumptions!$N$44,G6&lt;Assumptions!$N$44),0,1/Assumptions!$N$44*(1-$C$41)))</f>
        <v>0.03</v>
      </c>
      <c r="H41" s="279">
        <f>IF(AND(H6&gt;=Assumptions!$N$44,G6&lt;Assumptions!$N$44),1/Assumptions!$N$44*(1-$C$41)-Depreciation!$D$41,IF(AND(G6&gt;Assumptions!$N$44,H6&lt;Assumptions!$N$44),0,1/Assumptions!$N$44*(1-$C$41)))</f>
        <v>0.03</v>
      </c>
      <c r="I41" s="279">
        <f>IF(AND(I6&gt;=Assumptions!$N$44,H6&lt;Assumptions!$N$44),1/Assumptions!$N$44*(1-$C$41)-Depreciation!$D$41,IF(AND(H6&gt;Assumptions!$N$44,I6&lt;Assumptions!$N$44),0,1/Assumptions!$N$44*(1-$C$41)))</f>
        <v>0.03</v>
      </c>
      <c r="J41" s="279">
        <f>IF(AND(J6&gt;=Assumptions!$N$44,I6&lt;Assumptions!$N$44),1/Assumptions!$N$44*(1-$C$41)-Depreciation!$D$41,IF(AND(I6&gt;Assumptions!$N$44,J6&lt;Assumptions!$N$44),0,1/Assumptions!$N$44*(1-$C$41)))</f>
        <v>0.03</v>
      </c>
      <c r="K41" s="279">
        <f>IF(AND(K6&gt;=Assumptions!$N$44,J6&lt;Assumptions!$N$44),1/Assumptions!$N$44*(1-$C$41)-Depreciation!$D$41,IF(AND(J6&gt;Assumptions!$N$44,K6&lt;Assumptions!$N$44),0,1/Assumptions!$N$44*(1-$C$41)))</f>
        <v>0.03</v>
      </c>
      <c r="L41" s="279">
        <f>IF(AND(L6&gt;=Assumptions!$N$44,K6&lt;Assumptions!$N$44),1/Assumptions!$N$44*(1-$C$41)-Depreciation!$D$41,IF(AND(K6&gt;Assumptions!$N$44,L6&lt;Assumptions!$N$44),0,1/Assumptions!$N$44*(1-$C$41)))</f>
        <v>0.03</v>
      </c>
      <c r="M41" s="279">
        <f>IF(AND(M6&gt;=Assumptions!$N$44,L6&lt;Assumptions!$N$44),1/Assumptions!$N$44*(1-$C$41)-Depreciation!$D$41,IF(AND(L6&gt;Assumptions!$N$44,M6&lt;Assumptions!$N$44),0,1/Assumptions!$N$44*(1-$C$41)))</f>
        <v>0.03</v>
      </c>
      <c r="N41" s="279">
        <f>IF(AND(N6&gt;=Assumptions!$N$44,M6&lt;Assumptions!$N$44),1/Assumptions!$N$44*(1-$C$41)-Depreciation!$D$41,IF(AND(M6&gt;Assumptions!$N$44,N6&lt;Assumptions!$N$44),0,1/Assumptions!$N$44*(1-$C$41)))</f>
        <v>0.03</v>
      </c>
      <c r="O41" s="279">
        <f>IF(AND(O6&gt;=Assumptions!$N$44,N6&lt;Assumptions!$N$44),1/Assumptions!$N$44*(1-$C$41)-Depreciation!$D$41,IF(AND(N6&gt;Assumptions!$N$44,O6&lt;Assumptions!$N$44),0,1/Assumptions!$N$44*(1-$C$41)))</f>
        <v>0.03</v>
      </c>
      <c r="P41" s="279">
        <f>IF(AND(P6&gt;=Assumptions!$N$44,O6&lt;Assumptions!$N$44),1/Assumptions!$N$44*(1-$C$41)-Depreciation!$D$41,IF(AND(O6&gt;Assumptions!$N$44,P6&lt;Assumptions!$N$44),0,1/Assumptions!$N$44*(1-$C$41)))</f>
        <v>0.03</v>
      </c>
      <c r="Q41" s="279">
        <f>IF(AND(Q6&gt;=Assumptions!$N$44,P6&lt;Assumptions!$N$44),1/Assumptions!$N$44*(1-$C$41)-Depreciation!$D$41,IF(AND(P6&gt;Assumptions!$N$44,Q6&lt;Assumptions!$N$44),0,1/Assumptions!$N$44*(1-$C$41)))</f>
        <v>0.03</v>
      </c>
      <c r="R41" s="279">
        <f>IF(AND(R6&gt;=Assumptions!$N$44,Q6&lt;Assumptions!$N$44),1/Assumptions!$N$44*(1-$C$41)-Depreciation!$D$41,IF(AND(Q6&gt;Assumptions!$N$44,R6&lt;Assumptions!$N$44),0,1/Assumptions!$N$44*(1-$C$41)))</f>
        <v>0.03</v>
      </c>
      <c r="S41" s="279">
        <f>IF(AND(S6&gt;=Assumptions!$N$44,R6&lt;Assumptions!$N$44),1/Assumptions!$N$44*(1-$C$41)-Depreciation!$D$41,IF(AND(R6&gt;Assumptions!$N$44,S6&lt;Assumptions!$N$44),0,1/Assumptions!$N$44*(1-$C$41)))</f>
        <v>0.03</v>
      </c>
      <c r="T41" s="279">
        <f>IF(AND(T6&gt;=Assumptions!$N$44,S6&lt;Assumptions!$N$44),1/Assumptions!$N$44*(1-$C$41)-Depreciation!$D$41,IF(AND(S6&gt;Assumptions!$N$44,T6&lt;Assumptions!$N$44),0,1/Assumptions!$N$44*(1-$C$41)))</f>
        <v>0.03</v>
      </c>
      <c r="U41" s="279">
        <f>IF(AND(U6&gt;=Assumptions!$N$44,T6&lt;Assumptions!$N$44),1/Assumptions!$N$44*(1-$C$41)-Depreciation!$D$41,IF(AND(T6&gt;Assumptions!$N$44,U6&lt;Assumptions!$N$44),0,1/Assumptions!$N$44*(1-$C$41)))</f>
        <v>0.03</v>
      </c>
      <c r="V41" s="279">
        <f>IF(AND(V6&gt;=Assumptions!$N$44,U6&lt;Assumptions!$N$44),1/Assumptions!$N$44*(1-$C$41)-Depreciation!$D$41,IF(AND(U6&gt;Assumptions!$N$44,V6&lt;Assumptions!$N$44),0,1/Assumptions!$N$44*(1-$C$41)))</f>
        <v>0.03</v>
      </c>
      <c r="W41" s="279">
        <f>IF(AND(W6&gt;=Assumptions!$N$44,V6&lt;Assumptions!$N$44),1/Assumptions!$N$44*(1-$C$41)-Depreciation!$D$41,IF(AND(V6&gt;Assumptions!$N$44,W6&lt;Assumptions!$N$44),0,1/Assumptions!$N$44*(1-$C$41)))</f>
        <v>0.03</v>
      </c>
      <c r="X41" s="279">
        <f>IF(AND(X6&gt;=Assumptions!$N$44,W6&lt;Assumptions!$N$44),1/Assumptions!$N$44*(1-$C$41)-Depreciation!$D$41,IF(AND(W6&gt;Assumptions!$N$44,X6&lt;Assumptions!$N$44),0,1/Assumptions!$N$44*(1-$C$41)))</f>
        <v>0.03</v>
      </c>
      <c r="Y41" s="279">
        <f>IF(AND(Y6&gt;=Assumptions!$N$44,X6&lt;Assumptions!$N$44),1/Assumptions!$N$44*(1-$C$41)-Depreciation!$D$41,IF(AND(X6&gt;Assumptions!$N$44,Y6&lt;Assumptions!$N$44),0,1/Assumptions!$N$44*(1-$C$41)))</f>
        <v>0.03</v>
      </c>
      <c r="Z41" s="279">
        <f>IF(AND(Z6&gt;=Assumptions!$N$44,Y6&lt;Assumptions!$N$44),1/Assumptions!$N$44*(1-$C$41)-Depreciation!$D$41,IF(AND(Y6&gt;Assumptions!$N$44,Z6&lt;Assumptions!$N$44),0,1/Assumptions!$N$44*(1-$C$41)))</f>
        <v>0.03</v>
      </c>
      <c r="AA41" s="279">
        <f>IF(AND(AA6&gt;=Assumptions!$N$44,Z6&lt;Assumptions!$N$44),1/Assumptions!$N$44*(1-$C$41)-Depreciation!$D$41,IF(AND(Z6&gt;Assumptions!$N$44,AA6&lt;Assumptions!$N$44),0,1/Assumptions!$N$44*(1-$C$41)))</f>
        <v>0.03</v>
      </c>
      <c r="AB41" s="279">
        <f>IF(AND(AB6&gt;=Assumptions!$N$44,AA6&lt;Assumptions!$N$44),1/Assumptions!$N$44*(1-$C$41)-Depreciation!$D$41,IF(AND(AA6&gt;Assumptions!$N$44,AB6&lt;Assumptions!$N$44),0,1/Assumptions!$N$44*(1-$C$41)))</f>
        <v>0.03</v>
      </c>
      <c r="AC41" s="279">
        <f>IF(AND(AC6&gt;=Assumptions!$N$44,AB6&lt;Assumptions!$N$44),1/Assumptions!$N$44*(1-$C$41)-Depreciation!$D$41,IF(AND(AB6&gt;Assumptions!$N$44,AC6&lt;Assumptions!$N$44),0,1/Assumptions!$N$44*(1-$C$41)))</f>
        <v>0.03</v>
      </c>
      <c r="AD41" s="279">
        <f>IF(AND(AD6&gt;=Assumptions!$N$44,AC6&lt;Assumptions!$N$44),1/Assumptions!$N$44*(1-$C$41)-Depreciation!$D$41,IF(AND(AC6&gt;Assumptions!$N$44,AD6&lt;Assumptions!$N$44),0,1/Assumptions!$N$44*(1-$C$41)))</f>
        <v>0.03</v>
      </c>
      <c r="AE41" s="279">
        <f>IF(AND(AE6&gt;=Assumptions!$N$44,AD6&lt;Assumptions!$N$44),1/Assumptions!$N$44*(1-$C$41)-Depreciation!$D$41,IF(AND(AD6&gt;Assumptions!$N$44,AE6&lt;Assumptions!$N$44),0,1/Assumptions!$N$44*(1-$C$41)))</f>
        <v>0.03</v>
      </c>
      <c r="AF41" s="279">
        <f>IF(AND(AF6&gt;=Assumptions!$N$44,AE6&lt;Assumptions!$N$44),1/Assumptions!$N$44*(1-$C$41)-Depreciation!$D$41,IF(AND(AE6&gt;Assumptions!$N$44,AF6&lt;Assumptions!$N$44),0,1/Assumptions!$N$44*(1-$C$41)))</f>
        <v>0.03</v>
      </c>
      <c r="AG41" s="279">
        <f>IF(AND(AG6&gt;=Assumptions!$N$44,AF6&lt;Assumptions!$N$44),1/Assumptions!$N$44*(1-$C$41)-Depreciation!$D$41,IF(AND(AF6&gt;Assumptions!$N$44,AG6&lt;Assumptions!$N$44),0,1/Assumptions!$N$44*(1-$C$41)))</f>
        <v>0.03</v>
      </c>
      <c r="AH41" s="279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247</v>
      </c>
      <c r="B42" s="31">
        <f>Assumptions!$N$40</f>
        <v>5</v>
      </c>
      <c r="C42" s="32"/>
      <c r="D42" s="279">
        <f>D13</f>
        <v>0.13333333333333333</v>
      </c>
      <c r="E42" s="279">
        <f t="shared" ref="E42:AH42" si="23">E13</f>
        <v>0.2</v>
      </c>
      <c r="F42" s="279">
        <f t="shared" si="23"/>
        <v>0.2</v>
      </c>
      <c r="G42" s="279">
        <f t="shared" si="23"/>
        <v>0.2</v>
      </c>
      <c r="H42" s="279">
        <f t="shared" si="23"/>
        <v>0.2</v>
      </c>
      <c r="I42" s="279">
        <f t="shared" si="23"/>
        <v>6.666666666666668E-2</v>
      </c>
      <c r="J42" s="279">
        <f t="shared" si="23"/>
        <v>0</v>
      </c>
      <c r="K42" s="279">
        <f t="shared" si="23"/>
        <v>0</v>
      </c>
      <c r="L42" s="279">
        <f t="shared" si="23"/>
        <v>0</v>
      </c>
      <c r="M42" s="279">
        <f t="shared" si="23"/>
        <v>0</v>
      </c>
      <c r="N42" s="279">
        <f t="shared" si="23"/>
        <v>0</v>
      </c>
      <c r="O42" s="279">
        <f t="shared" si="23"/>
        <v>0</v>
      </c>
      <c r="P42" s="279">
        <f t="shared" si="23"/>
        <v>0</v>
      </c>
      <c r="Q42" s="279">
        <f t="shared" si="23"/>
        <v>0</v>
      </c>
      <c r="R42" s="279">
        <f t="shared" si="23"/>
        <v>0</v>
      </c>
      <c r="S42" s="279">
        <f t="shared" si="23"/>
        <v>0</v>
      </c>
      <c r="T42" s="279">
        <f t="shared" si="23"/>
        <v>0</v>
      </c>
      <c r="U42" s="279">
        <f t="shared" si="23"/>
        <v>0</v>
      </c>
      <c r="V42" s="279">
        <f t="shared" si="23"/>
        <v>0</v>
      </c>
      <c r="W42" s="279">
        <f t="shared" si="23"/>
        <v>0</v>
      </c>
      <c r="X42" s="279">
        <f t="shared" si="23"/>
        <v>0</v>
      </c>
      <c r="Y42" s="279">
        <f t="shared" si="23"/>
        <v>0</v>
      </c>
      <c r="Z42" s="279">
        <f t="shared" si="23"/>
        <v>0</v>
      </c>
      <c r="AA42" s="279">
        <f t="shared" si="23"/>
        <v>0</v>
      </c>
      <c r="AB42" s="279">
        <f t="shared" si="23"/>
        <v>0</v>
      </c>
      <c r="AC42" s="279">
        <f t="shared" si="23"/>
        <v>0</v>
      </c>
      <c r="AD42" s="279">
        <f t="shared" si="23"/>
        <v>0</v>
      </c>
      <c r="AE42" s="279">
        <f t="shared" si="23"/>
        <v>0</v>
      </c>
      <c r="AF42" s="279">
        <f t="shared" si="23"/>
        <v>0</v>
      </c>
      <c r="AG42" s="279">
        <f t="shared" si="23"/>
        <v>0</v>
      </c>
      <c r="AH42" s="279">
        <f t="shared" si="23"/>
        <v>0</v>
      </c>
    </row>
    <row r="43" spans="1:38" s="10" customFormat="1">
      <c r="A43" s="22" t="s">
        <v>312</v>
      </c>
      <c r="B43" s="34">
        <f>Assumptions!$N$46</f>
        <v>20</v>
      </c>
      <c r="C43" s="24"/>
      <c r="D43" s="279">
        <f>1/Assumptions!$N$46*D6</f>
        <v>3.3333333333333333E-2</v>
      </c>
      <c r="E43" s="279">
        <f>IF(AND(E6&gt;=Assumptions!$N$46, D6&lt;Assumptions!$N$46),1/Assumptions!$N$46-Depreciation!$D$43,IF(E6&lt;Assumptions!$N$46,1/Assumptions!$N$46,0))</f>
        <v>0.05</v>
      </c>
      <c r="F43" s="279">
        <f>IF(AND(F6&gt;=Assumptions!$N$46, E6&lt;Assumptions!$N$46),1/Assumptions!$N$46-Depreciation!$D$43,IF(F6&lt;Assumptions!$N$46,1/Assumptions!$N$46,0))</f>
        <v>0.05</v>
      </c>
      <c r="G43" s="279">
        <f>IF(AND(G6&gt;=Assumptions!$N$46, F6&lt;Assumptions!$N$46),1/Assumptions!$N$46-Depreciation!$D$43,IF(G6&lt;Assumptions!$N$46,1/Assumptions!$N$46,0))</f>
        <v>0.05</v>
      </c>
      <c r="H43" s="279">
        <f>IF(AND(H6&gt;=Assumptions!$N$46, G6&lt;Assumptions!$N$46),1/Assumptions!$N$46-Depreciation!$D$43,IF(H6&lt;Assumptions!$N$46,1/Assumptions!$N$46,0))</f>
        <v>0.05</v>
      </c>
      <c r="I43" s="279">
        <f>IF(AND(I6&gt;=Assumptions!$N$46, H6&lt;Assumptions!$N$46),1/Assumptions!$N$46-Depreciation!$D$43,IF(I6&lt;Assumptions!$N$46,1/Assumptions!$N$46,0))</f>
        <v>0.05</v>
      </c>
      <c r="J43" s="279">
        <f>IF(AND(J6&gt;=Assumptions!$N$46, I6&lt;Assumptions!$N$46),1/Assumptions!$N$46-Depreciation!$D$43,IF(J6&lt;Assumptions!$N$46,1/Assumptions!$N$46,0))</f>
        <v>0.05</v>
      </c>
      <c r="K43" s="279">
        <f>IF(AND(K6&gt;=Assumptions!$N$46, J6&lt;Assumptions!$N$46),1/Assumptions!$N$46-Depreciation!$D$43,IF(K6&lt;Assumptions!$N$46,1/Assumptions!$N$46,0))</f>
        <v>0.05</v>
      </c>
      <c r="L43" s="279">
        <f>IF(AND(L6&gt;=Assumptions!$N$46, K6&lt;Assumptions!$N$46),1/Assumptions!$N$46-Depreciation!$D$43,IF(L6&lt;Assumptions!$N$46,1/Assumptions!$N$46,0))</f>
        <v>0.05</v>
      </c>
      <c r="M43" s="279">
        <f>IF(AND(M6&gt;=Assumptions!$N$46, L6&lt;Assumptions!$N$46),1/Assumptions!$N$46-Depreciation!$D$43,IF(M6&lt;Assumptions!$N$46,1/Assumptions!$N$46,0))</f>
        <v>0.05</v>
      </c>
      <c r="N43" s="279">
        <f>IF(AND(N6&gt;=Assumptions!$N$46, M6&lt;Assumptions!$N$46),1/Assumptions!$N$46-Depreciation!$D$43,IF(N6&lt;Assumptions!$N$46,1/Assumptions!$N$46,0))</f>
        <v>0.05</v>
      </c>
      <c r="O43" s="279">
        <f>IF(AND(O6&gt;=Assumptions!$N$46, N6&lt;Assumptions!$N$46),1/Assumptions!$N$46-Depreciation!$D$43,IF(O6&lt;Assumptions!$N$46,1/Assumptions!$N$46,0))</f>
        <v>0.05</v>
      </c>
      <c r="P43" s="279">
        <f>IF(AND(P6&gt;=Assumptions!$N$46, O6&lt;Assumptions!$N$46),1/Assumptions!$N$46-Depreciation!$D$43,IF(P6&lt;Assumptions!$N$46,1/Assumptions!$N$46,0))</f>
        <v>0.05</v>
      </c>
      <c r="Q43" s="279">
        <f>IF(AND(Q6&gt;=Assumptions!$N$46, P6&lt;Assumptions!$N$46),1/Assumptions!$N$46-Depreciation!$D$43,IF(Q6&lt;Assumptions!$N$46,1/Assumptions!$N$46,0))</f>
        <v>0.05</v>
      </c>
      <c r="R43" s="279">
        <f>IF(AND(R6&gt;=Assumptions!$N$46, Q6&lt;Assumptions!$N$46),1/Assumptions!$N$46-Depreciation!$D$43,IF(R6&lt;Assumptions!$N$46,1/Assumptions!$N$46,0))</f>
        <v>0.05</v>
      </c>
      <c r="S43" s="279">
        <f>IF(AND(S6&gt;=Assumptions!$N$46, R6&lt;Assumptions!$N$46),1/Assumptions!$N$46-Depreciation!$D$43,IF(S6&lt;Assumptions!$N$46,1/Assumptions!$N$46,0))</f>
        <v>0.05</v>
      </c>
      <c r="T43" s="279">
        <f>IF(AND(T6&gt;=Assumptions!$N$46, S6&lt;Assumptions!$N$46),1/Assumptions!$N$46-Depreciation!$D$43,IF(T6&lt;Assumptions!$N$46,1/Assumptions!$N$46,0))</f>
        <v>0.05</v>
      </c>
      <c r="U43" s="279">
        <f>IF(AND(U6&gt;=Assumptions!$N$46, T6&lt;Assumptions!$N$46),1/Assumptions!$N$46-Depreciation!$D$43,IF(U6&lt;Assumptions!$N$46,1/Assumptions!$N$46,0))</f>
        <v>0.05</v>
      </c>
      <c r="V43" s="279">
        <f>IF(AND(V6&gt;=Assumptions!$N$46, U6&lt;Assumptions!$N$46),1/Assumptions!$N$46-Depreciation!$D$43,IF(V6&lt;Assumptions!$N$46,1/Assumptions!$N$46,0))</f>
        <v>0.05</v>
      </c>
      <c r="W43" s="279">
        <f>IF(AND(W6&gt;=Assumptions!$N$46, V6&lt;Assumptions!$N$46),1/Assumptions!$N$46-Depreciation!$D$43,IF(W6&lt;Assumptions!$N$46,1/Assumptions!$N$46,0))</f>
        <v>0.05</v>
      </c>
      <c r="X43" s="279">
        <f>IF(AND(X6&gt;=Assumptions!$N$46, W6&lt;Assumptions!$N$46),1/Assumptions!$N$46-Depreciation!$D$43,IF(X6&lt;Assumptions!$N$46,1/Assumptions!$N$46,0))</f>
        <v>1.666666666666667E-2</v>
      </c>
      <c r="Y43" s="279">
        <f>IF(AND(Y6&gt;=Assumptions!$N$46, X6&lt;Assumptions!$N$46),1/Assumptions!$N$46-Depreciation!$D$43,IF(Y6&lt;Assumptions!$N$46,1/Assumptions!$N$46,0))</f>
        <v>0</v>
      </c>
      <c r="Z43" s="279">
        <f>IF(AND(Z6&gt;=Assumptions!$N$46, Y6&lt;Assumptions!$N$46),1/Assumptions!$N$46-Depreciation!$D$43,IF(Z6&lt;Assumptions!$N$46,1/Assumptions!$N$46,0))</f>
        <v>0</v>
      </c>
      <c r="AA43" s="279">
        <f>IF(AND(AA6&gt;=Assumptions!$N$46, Z6&lt;Assumptions!$N$46),1/Assumptions!$N$46-Depreciation!$D$43,IF(AA6&lt;Assumptions!$N$46,1/Assumptions!$N$46,0))</f>
        <v>0</v>
      </c>
      <c r="AB43" s="279">
        <f>IF(AND(AB6&gt;=Assumptions!$N$46, AA6&lt;Assumptions!$N$46),1/Assumptions!$N$46-Depreciation!$D$43,IF(AB6&lt;Assumptions!$N$46,1/Assumptions!$N$46,0))</f>
        <v>0</v>
      </c>
      <c r="AC43" s="279">
        <f>IF(AND(AC6&gt;=Assumptions!$N$46, AB6&lt;Assumptions!$N$46),1/Assumptions!$N$46-Depreciation!$D$43,IF(AC6&lt;Assumptions!$N$46,1/Assumptions!$N$46,0))</f>
        <v>0</v>
      </c>
      <c r="AD43" s="279">
        <f>IF(AND(AD6&gt;=Assumptions!$N$46, AC6&lt;Assumptions!$N$46),1/Assumptions!$N$46-Depreciation!$D$43,IF(AD6&lt;Assumptions!$N$46,1/Assumptions!$N$46,0))</f>
        <v>0</v>
      </c>
      <c r="AE43" s="279">
        <f>IF(AND(AE6&gt;=Assumptions!$N$46, AD6&lt;Assumptions!$N$46),1/Assumptions!$N$46-Depreciation!$D$43,IF(AE6&lt;Assumptions!$N$46,1/Assumptions!$N$46,0))</f>
        <v>0</v>
      </c>
      <c r="AF43" s="279">
        <f>IF(AND(AF6&gt;=Assumptions!$N$46, AE6&lt;Assumptions!$N$46),1/Assumptions!$N$46-Depreciation!$D$43,IF(AF6&lt;Assumptions!$N$46,1/Assumptions!$N$46,0))</f>
        <v>0</v>
      </c>
      <c r="AG43" s="279">
        <f>IF(AND(AG6&gt;=Assumptions!$N$46, AF6&lt;Assumptions!$N$46),1/Assumptions!$N$46-Depreciation!$D$43,IF(AG6&lt;Assumptions!$N$46,1/Assumptions!$N$46,0))</f>
        <v>0</v>
      </c>
      <c r="AH43" s="279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246</v>
      </c>
      <c r="B45" s="374">
        <f>B16</f>
        <v>94670</v>
      </c>
      <c r="C45" s="303"/>
      <c r="D45" s="18">
        <f t="shared" ref="D45:Y45" si="24">D41*$B$45</f>
        <v>1893.3999999999996</v>
      </c>
      <c r="E45" s="18">
        <f t="shared" si="24"/>
        <v>2840.1</v>
      </c>
      <c r="F45" s="18">
        <f t="shared" si="24"/>
        <v>2840.1</v>
      </c>
      <c r="G45" s="18">
        <f t="shared" si="24"/>
        <v>2840.1</v>
      </c>
      <c r="H45" s="18">
        <f t="shared" si="24"/>
        <v>2840.1</v>
      </c>
      <c r="I45" s="18">
        <f t="shared" si="24"/>
        <v>2840.1</v>
      </c>
      <c r="J45" s="18">
        <f t="shared" si="24"/>
        <v>2840.1</v>
      </c>
      <c r="K45" s="18">
        <f t="shared" si="24"/>
        <v>2840.1</v>
      </c>
      <c r="L45" s="18">
        <f t="shared" si="24"/>
        <v>2840.1</v>
      </c>
      <c r="M45" s="18">
        <f t="shared" si="24"/>
        <v>2840.1</v>
      </c>
      <c r="N45" s="18">
        <f t="shared" si="24"/>
        <v>2840.1</v>
      </c>
      <c r="O45" s="18">
        <f t="shared" si="24"/>
        <v>2840.1</v>
      </c>
      <c r="P45" s="18">
        <f t="shared" si="24"/>
        <v>2840.1</v>
      </c>
      <c r="Q45" s="18">
        <f t="shared" si="24"/>
        <v>2840.1</v>
      </c>
      <c r="R45" s="18">
        <f t="shared" si="24"/>
        <v>2840.1</v>
      </c>
      <c r="S45" s="18">
        <f t="shared" si="24"/>
        <v>2840.1</v>
      </c>
      <c r="T45" s="18">
        <f t="shared" si="24"/>
        <v>2840.1</v>
      </c>
      <c r="U45" s="18">
        <f t="shared" si="24"/>
        <v>2840.1</v>
      </c>
      <c r="V45" s="18">
        <f t="shared" si="24"/>
        <v>2840.1</v>
      </c>
      <c r="W45" s="18">
        <f t="shared" si="24"/>
        <v>2840.1</v>
      </c>
      <c r="X45" s="18">
        <f t="shared" si="24"/>
        <v>2840.1</v>
      </c>
      <c r="Y45" s="18">
        <f t="shared" si="24"/>
        <v>2840.1</v>
      </c>
      <c r="Z45" s="18">
        <f t="shared" ref="Z45:AH45" si="25">Z41*$B$45</f>
        <v>2840.1</v>
      </c>
      <c r="AA45" s="18">
        <f t="shared" si="25"/>
        <v>2840.1</v>
      </c>
      <c r="AB45" s="18">
        <f t="shared" si="25"/>
        <v>2840.1</v>
      </c>
      <c r="AC45" s="18">
        <f t="shared" si="25"/>
        <v>2840.1</v>
      </c>
      <c r="AD45" s="18">
        <f t="shared" si="25"/>
        <v>2840.1</v>
      </c>
      <c r="AE45" s="18">
        <f t="shared" si="25"/>
        <v>2840.1</v>
      </c>
      <c r="AF45" s="18">
        <f t="shared" si="25"/>
        <v>2840.1</v>
      </c>
      <c r="AG45" s="18">
        <f t="shared" si="25"/>
        <v>2840.1</v>
      </c>
      <c r="AH45" s="18">
        <f t="shared" si="25"/>
        <v>946.70000000000016</v>
      </c>
      <c r="AI45" s="20"/>
      <c r="AJ45" s="20"/>
      <c r="AK45" s="20"/>
      <c r="AL45" s="20"/>
    </row>
    <row r="46" spans="1:38" s="10" customFormat="1">
      <c r="A46" s="21" t="s">
        <v>247</v>
      </c>
      <c r="B46" s="302">
        <f>B17</f>
        <v>21161</v>
      </c>
      <c r="C46" s="303"/>
      <c r="D46" s="300">
        <f>D42*$B$46</f>
        <v>2821.4666666666667</v>
      </c>
      <c r="E46" s="300">
        <f t="shared" ref="E46:AH46" si="26">E42*$B$46</f>
        <v>4232.2</v>
      </c>
      <c r="F46" s="300">
        <f t="shared" si="26"/>
        <v>4232.2</v>
      </c>
      <c r="G46" s="300">
        <f t="shared" si="26"/>
        <v>4232.2</v>
      </c>
      <c r="H46" s="300">
        <f t="shared" si="26"/>
        <v>4232.2</v>
      </c>
      <c r="I46" s="300">
        <f t="shared" si="26"/>
        <v>1410.7333333333336</v>
      </c>
      <c r="J46" s="300">
        <f t="shared" si="26"/>
        <v>0</v>
      </c>
      <c r="K46" s="300">
        <f t="shared" si="26"/>
        <v>0</v>
      </c>
      <c r="L46" s="300">
        <f t="shared" si="26"/>
        <v>0</v>
      </c>
      <c r="M46" s="300">
        <f t="shared" si="26"/>
        <v>0</v>
      </c>
      <c r="N46" s="300">
        <f t="shared" si="26"/>
        <v>0</v>
      </c>
      <c r="O46" s="300">
        <f t="shared" si="26"/>
        <v>0</v>
      </c>
      <c r="P46" s="300">
        <f t="shared" si="26"/>
        <v>0</v>
      </c>
      <c r="Q46" s="300">
        <f t="shared" si="26"/>
        <v>0</v>
      </c>
      <c r="R46" s="300">
        <f t="shared" si="26"/>
        <v>0</v>
      </c>
      <c r="S46" s="300">
        <f t="shared" si="26"/>
        <v>0</v>
      </c>
      <c r="T46" s="300">
        <f t="shared" si="26"/>
        <v>0</v>
      </c>
      <c r="U46" s="300">
        <f t="shared" si="26"/>
        <v>0</v>
      </c>
      <c r="V46" s="300">
        <f t="shared" si="26"/>
        <v>0</v>
      </c>
      <c r="W46" s="300">
        <f t="shared" si="26"/>
        <v>0</v>
      </c>
      <c r="X46" s="300">
        <f t="shared" si="26"/>
        <v>0</v>
      </c>
      <c r="Y46" s="300">
        <f t="shared" si="26"/>
        <v>0</v>
      </c>
      <c r="Z46" s="300">
        <f t="shared" si="26"/>
        <v>0</v>
      </c>
      <c r="AA46" s="300">
        <f t="shared" si="26"/>
        <v>0</v>
      </c>
      <c r="AB46" s="300">
        <f t="shared" si="26"/>
        <v>0</v>
      </c>
      <c r="AC46" s="300">
        <f t="shared" si="26"/>
        <v>0</v>
      </c>
      <c r="AD46" s="300">
        <f t="shared" si="26"/>
        <v>0</v>
      </c>
      <c r="AE46" s="300">
        <f t="shared" si="26"/>
        <v>0</v>
      </c>
      <c r="AF46" s="300">
        <f t="shared" si="26"/>
        <v>0</v>
      </c>
      <c r="AG46" s="300">
        <f t="shared" si="26"/>
        <v>0</v>
      </c>
      <c r="AH46" s="300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312</v>
      </c>
      <c r="B47" s="375">
        <f>B18</f>
        <v>0</v>
      </c>
      <c r="C47" s="303"/>
      <c r="D47" s="376">
        <f t="shared" ref="D47:Y47" si="27">D43*$B$47</f>
        <v>0</v>
      </c>
      <c r="E47" s="376">
        <f t="shared" si="27"/>
        <v>0</v>
      </c>
      <c r="F47" s="376">
        <f t="shared" si="27"/>
        <v>0</v>
      </c>
      <c r="G47" s="376">
        <f t="shared" si="27"/>
        <v>0</v>
      </c>
      <c r="H47" s="376">
        <f t="shared" si="27"/>
        <v>0</v>
      </c>
      <c r="I47" s="376">
        <f t="shared" si="27"/>
        <v>0</v>
      </c>
      <c r="J47" s="376">
        <f t="shared" si="27"/>
        <v>0</v>
      </c>
      <c r="K47" s="376">
        <f t="shared" si="27"/>
        <v>0</v>
      </c>
      <c r="L47" s="376">
        <f t="shared" si="27"/>
        <v>0</v>
      </c>
      <c r="M47" s="376">
        <f t="shared" si="27"/>
        <v>0</v>
      </c>
      <c r="N47" s="376">
        <f t="shared" si="27"/>
        <v>0</v>
      </c>
      <c r="O47" s="376">
        <f t="shared" si="27"/>
        <v>0</v>
      </c>
      <c r="P47" s="376">
        <f t="shared" si="27"/>
        <v>0</v>
      </c>
      <c r="Q47" s="376">
        <f t="shared" si="27"/>
        <v>0</v>
      </c>
      <c r="R47" s="376">
        <f t="shared" si="27"/>
        <v>0</v>
      </c>
      <c r="S47" s="376">
        <f t="shared" si="27"/>
        <v>0</v>
      </c>
      <c r="T47" s="376">
        <f t="shared" si="27"/>
        <v>0</v>
      </c>
      <c r="U47" s="376">
        <f t="shared" si="27"/>
        <v>0</v>
      </c>
      <c r="V47" s="376">
        <f t="shared" si="27"/>
        <v>0</v>
      </c>
      <c r="W47" s="376">
        <f t="shared" si="27"/>
        <v>0</v>
      </c>
      <c r="X47" s="376">
        <f t="shared" si="27"/>
        <v>0</v>
      </c>
      <c r="Y47" s="376">
        <f t="shared" si="27"/>
        <v>0</v>
      </c>
      <c r="Z47" s="376">
        <f t="shared" ref="Z47:AH47" si="28">Z43*$B$47</f>
        <v>0</v>
      </c>
      <c r="AA47" s="376">
        <f t="shared" si="28"/>
        <v>0</v>
      </c>
      <c r="AB47" s="376">
        <f t="shared" si="28"/>
        <v>0</v>
      </c>
      <c r="AC47" s="376">
        <f t="shared" si="28"/>
        <v>0</v>
      </c>
      <c r="AD47" s="376">
        <f t="shared" si="28"/>
        <v>0</v>
      </c>
      <c r="AE47" s="376">
        <f t="shared" si="28"/>
        <v>0</v>
      </c>
      <c r="AF47" s="376">
        <f t="shared" si="28"/>
        <v>0</v>
      </c>
      <c r="AG47" s="376">
        <f t="shared" si="28"/>
        <v>0</v>
      </c>
      <c r="AH47" s="376">
        <f t="shared" si="28"/>
        <v>0</v>
      </c>
      <c r="AI47" s="20"/>
      <c r="AJ47" s="20"/>
      <c r="AK47" s="20"/>
      <c r="AL47" s="20"/>
    </row>
    <row r="48" spans="1:38" s="10" customFormat="1">
      <c r="A48" s="16" t="s">
        <v>61</v>
      </c>
      <c r="B48" s="18">
        <f>SUM(B45:B47)</f>
        <v>115831</v>
      </c>
      <c r="C48" s="303"/>
      <c r="D48" s="18">
        <f t="shared" ref="D48:Y48" si="29">SUM(D45:D47)</f>
        <v>4714.8666666666668</v>
      </c>
      <c r="E48" s="18">
        <f t="shared" si="29"/>
        <v>7072.2999999999993</v>
      </c>
      <c r="F48" s="18">
        <f t="shared" si="29"/>
        <v>7072.2999999999993</v>
      </c>
      <c r="G48" s="18">
        <f t="shared" si="29"/>
        <v>7072.2999999999993</v>
      </c>
      <c r="H48" s="18">
        <f t="shared" si="29"/>
        <v>7072.2999999999993</v>
      </c>
      <c r="I48" s="18">
        <f t="shared" si="29"/>
        <v>4250.8333333333339</v>
      </c>
      <c r="J48" s="18">
        <f t="shared" si="29"/>
        <v>2840.1</v>
      </c>
      <c r="K48" s="18">
        <f t="shared" si="29"/>
        <v>2840.1</v>
      </c>
      <c r="L48" s="18">
        <f t="shared" si="29"/>
        <v>2840.1</v>
      </c>
      <c r="M48" s="18">
        <f t="shared" si="29"/>
        <v>2840.1</v>
      </c>
      <c r="N48" s="18">
        <f t="shared" si="29"/>
        <v>2840.1</v>
      </c>
      <c r="O48" s="18">
        <f t="shared" si="29"/>
        <v>2840.1</v>
      </c>
      <c r="P48" s="18">
        <f t="shared" si="29"/>
        <v>2840.1</v>
      </c>
      <c r="Q48" s="18">
        <f t="shared" si="29"/>
        <v>2840.1</v>
      </c>
      <c r="R48" s="18">
        <f t="shared" si="29"/>
        <v>2840.1</v>
      </c>
      <c r="S48" s="18">
        <f t="shared" si="29"/>
        <v>2840.1</v>
      </c>
      <c r="T48" s="18">
        <f t="shared" si="29"/>
        <v>2840.1</v>
      </c>
      <c r="U48" s="18">
        <f t="shared" si="29"/>
        <v>2840.1</v>
      </c>
      <c r="V48" s="18">
        <f t="shared" si="29"/>
        <v>2840.1</v>
      </c>
      <c r="W48" s="18">
        <f t="shared" si="29"/>
        <v>2840.1</v>
      </c>
      <c r="X48" s="18">
        <f t="shared" si="29"/>
        <v>2840.1</v>
      </c>
      <c r="Y48" s="18">
        <f t="shared" si="29"/>
        <v>2840.1</v>
      </c>
      <c r="Z48" s="18">
        <f t="shared" ref="Z48:AH48" si="30">SUM(Z45:Z47)</f>
        <v>2840.1</v>
      </c>
      <c r="AA48" s="18">
        <f t="shared" si="30"/>
        <v>2840.1</v>
      </c>
      <c r="AB48" s="18">
        <f t="shared" si="30"/>
        <v>2840.1</v>
      </c>
      <c r="AC48" s="18">
        <f t="shared" si="30"/>
        <v>2840.1</v>
      </c>
      <c r="AD48" s="18">
        <f t="shared" si="30"/>
        <v>2840.1</v>
      </c>
      <c r="AE48" s="18">
        <f t="shared" si="30"/>
        <v>2840.1</v>
      </c>
      <c r="AF48" s="18">
        <f t="shared" si="30"/>
        <v>2840.1</v>
      </c>
      <c r="AG48" s="18">
        <f t="shared" si="30"/>
        <v>2840.1</v>
      </c>
      <c r="AH48" s="18">
        <f t="shared" si="30"/>
        <v>946.70000000000016</v>
      </c>
      <c r="AI48" s="20"/>
      <c r="AJ48" s="20"/>
      <c r="AK48" s="20"/>
      <c r="AL48" s="20"/>
    </row>
    <row r="49" spans="1:38">
      <c r="A49" s="22"/>
      <c r="B49" s="18"/>
      <c r="C49" s="37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5" t="s">
        <v>66</v>
      </c>
      <c r="B50" s="380">
        <f>B48</f>
        <v>115831</v>
      </c>
      <c r="C50" s="379"/>
      <c r="D50" s="304">
        <f>B48-D48</f>
        <v>111116.13333333333</v>
      </c>
      <c r="E50" s="304">
        <f>D50-E48</f>
        <v>104043.83333333333</v>
      </c>
      <c r="F50" s="304">
        <f t="shared" ref="F50:Y50" si="31">E50-F48</f>
        <v>96971.533333333326</v>
      </c>
      <c r="G50" s="304">
        <f t="shared" si="31"/>
        <v>89899.233333333323</v>
      </c>
      <c r="H50" s="304">
        <f t="shared" si="31"/>
        <v>82826.93333333332</v>
      </c>
      <c r="I50" s="304">
        <f t="shared" si="31"/>
        <v>78576.099999999991</v>
      </c>
      <c r="J50" s="304">
        <f t="shared" si="31"/>
        <v>75735.999999999985</v>
      </c>
      <c r="K50" s="304">
        <f t="shared" si="31"/>
        <v>72895.89999999998</v>
      </c>
      <c r="L50" s="304">
        <f t="shared" si="31"/>
        <v>70055.799999999974</v>
      </c>
      <c r="M50" s="304">
        <f t="shared" si="31"/>
        <v>67215.699999999968</v>
      </c>
      <c r="N50" s="304">
        <f t="shared" si="31"/>
        <v>64375.599999999969</v>
      </c>
      <c r="O50" s="304">
        <f t="shared" si="31"/>
        <v>61535.499999999971</v>
      </c>
      <c r="P50" s="304">
        <f t="shared" si="31"/>
        <v>58695.399999999972</v>
      </c>
      <c r="Q50" s="304">
        <f t="shared" si="31"/>
        <v>55855.299999999974</v>
      </c>
      <c r="R50" s="304">
        <f t="shared" si="31"/>
        <v>53015.199999999975</v>
      </c>
      <c r="S50" s="304">
        <f t="shared" si="31"/>
        <v>50175.099999999977</v>
      </c>
      <c r="T50" s="304">
        <f t="shared" si="31"/>
        <v>47334.999999999978</v>
      </c>
      <c r="U50" s="304">
        <f t="shared" si="31"/>
        <v>44494.89999999998</v>
      </c>
      <c r="V50" s="304">
        <f t="shared" si="31"/>
        <v>41654.799999999981</v>
      </c>
      <c r="W50" s="304">
        <f t="shared" si="31"/>
        <v>38814.699999999983</v>
      </c>
      <c r="X50" s="304">
        <f t="shared" si="31"/>
        <v>35974.599999999984</v>
      </c>
      <c r="Y50" s="304">
        <f t="shared" si="31"/>
        <v>33134.499999999985</v>
      </c>
      <c r="Z50" s="304">
        <f t="shared" ref="Z50:AH50" si="32">Y50-Z48</f>
        <v>30294.399999999987</v>
      </c>
      <c r="AA50" s="304">
        <f t="shared" si="32"/>
        <v>27454.299999999988</v>
      </c>
      <c r="AB50" s="304">
        <f t="shared" si="32"/>
        <v>24614.19999999999</v>
      </c>
      <c r="AC50" s="304">
        <f t="shared" si="32"/>
        <v>21774.099999999991</v>
      </c>
      <c r="AD50" s="304">
        <f t="shared" si="32"/>
        <v>18933.999999999993</v>
      </c>
      <c r="AE50" s="304">
        <f t="shared" si="32"/>
        <v>16093.899999999992</v>
      </c>
      <c r="AF50" s="304">
        <f t="shared" si="32"/>
        <v>13253.799999999992</v>
      </c>
      <c r="AG50" s="304">
        <f t="shared" si="32"/>
        <v>10413.699999999992</v>
      </c>
      <c r="AH50" s="304">
        <f t="shared" si="32"/>
        <v>9466.9999999999909</v>
      </c>
      <c r="AI50" s="241"/>
      <c r="AJ50" s="241"/>
      <c r="AK50" s="241"/>
      <c r="AL50" s="241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49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topLeftCell="A5" zoomScale="75" zoomScaleNormal="75" workbookViewId="0"/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6" t="str">
        <f>Assumptions!A3</f>
        <v>PROJECT NAME: UAE-Lowell</v>
      </c>
    </row>
    <row r="4" spans="1:32" ht="18.75">
      <c r="A4" s="61" t="s">
        <v>94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32">
      <c r="A6" s="127"/>
      <c r="B6" s="216">
        <f>'Price_Technical Assumption'!D7</f>
        <v>0.66666666666666663</v>
      </c>
      <c r="C6" s="216">
        <f>'Price_Technical Assumption'!E7</f>
        <v>1.6666666666666665</v>
      </c>
      <c r="D6" s="216">
        <f>'Price_Technical Assumption'!F7</f>
        <v>2.6666666666666665</v>
      </c>
      <c r="E6" s="216">
        <f>'Price_Technical Assumption'!G7</f>
        <v>3.6666666666666665</v>
      </c>
      <c r="F6" s="216">
        <f>'Price_Technical Assumption'!H7</f>
        <v>4.6666666666666661</v>
      </c>
      <c r="G6" s="216">
        <f>'Price_Technical Assumption'!I7</f>
        <v>5.6666666666666661</v>
      </c>
      <c r="H6" s="216">
        <f>'Price_Technical Assumption'!J7</f>
        <v>6.6666666666666661</v>
      </c>
      <c r="I6" s="216">
        <f>'Price_Technical Assumption'!K7</f>
        <v>7.6666666666666661</v>
      </c>
      <c r="J6" s="216">
        <f>'Price_Technical Assumption'!L7</f>
        <v>8.6666666666666661</v>
      </c>
      <c r="K6" s="216">
        <f>'Price_Technical Assumption'!M7</f>
        <v>9.6666666666666661</v>
      </c>
      <c r="L6" s="216">
        <f>'Price_Technical Assumption'!N7</f>
        <v>10.666666666666666</v>
      </c>
      <c r="M6" s="216">
        <f>'Price_Technical Assumption'!O7</f>
        <v>11.666666666666666</v>
      </c>
      <c r="N6" s="216">
        <f>'Price_Technical Assumption'!P7</f>
        <v>12.666666666666666</v>
      </c>
      <c r="O6" s="216">
        <f>'Price_Technical Assumption'!Q7</f>
        <v>13.666666666666666</v>
      </c>
      <c r="P6" s="216">
        <f>'Price_Technical Assumption'!R7</f>
        <v>14.666666666666666</v>
      </c>
      <c r="Q6" s="216">
        <f>'Price_Technical Assumption'!S7</f>
        <v>15.666666666666666</v>
      </c>
      <c r="R6" s="216">
        <f>'Price_Technical Assumption'!T7</f>
        <v>16.666666666666664</v>
      </c>
      <c r="S6" s="216">
        <f>'Price_Technical Assumption'!U7</f>
        <v>17.666666666666664</v>
      </c>
      <c r="T6" s="216">
        <f>'Price_Technical Assumption'!V7</f>
        <v>18.666666666666664</v>
      </c>
      <c r="U6" s="216">
        <f>'Price_Technical Assumption'!W7</f>
        <v>19.666666666666664</v>
      </c>
      <c r="V6" s="216">
        <f>'Price_Technical Assumption'!X7</f>
        <v>20.666666666666664</v>
      </c>
      <c r="W6" s="216">
        <f>'Price_Technical Assumption'!Y7</f>
        <v>21.666666666666664</v>
      </c>
      <c r="X6" s="216">
        <f>'Price_Technical Assumption'!Z7</f>
        <v>22.666666666666664</v>
      </c>
      <c r="Y6" s="216">
        <f>'Price_Technical Assumption'!AA7</f>
        <v>23.666666666666664</v>
      </c>
      <c r="Z6" s="216">
        <f>'Price_Technical Assumption'!AB7</f>
        <v>24.666666666666664</v>
      </c>
      <c r="AA6" s="216">
        <f>'Price_Technical Assumption'!AC7</f>
        <v>25.666666666666664</v>
      </c>
      <c r="AB6" s="216">
        <f>'Price_Technical Assumption'!AD7</f>
        <v>26.666666666666664</v>
      </c>
      <c r="AC6" s="216">
        <f>'Price_Technical Assumption'!AE7</f>
        <v>27.666666666666664</v>
      </c>
      <c r="AD6" s="216">
        <f>'Price_Technical Assumption'!AF7</f>
        <v>28.666666666666664</v>
      </c>
      <c r="AE6" s="216">
        <f>'Price_Technical Assumption'!AG7</f>
        <v>29.666666666666664</v>
      </c>
      <c r="AF6" s="216">
        <f>'Price_Technical Assumption'!AH7</f>
        <v>30.666666666666664</v>
      </c>
    </row>
    <row r="7" spans="1:32" ht="13.5" thickBot="1">
      <c r="A7" s="122" t="s">
        <v>38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7"/>
      <c r="B8" s="207">
        <f>Depreciation!D8</f>
        <v>37256</v>
      </c>
      <c r="C8" s="207">
        <f>Depreciation!E8</f>
        <v>37621</v>
      </c>
      <c r="D8" s="207">
        <f>Depreciation!F8</f>
        <v>37986</v>
      </c>
      <c r="E8" s="207">
        <f>Depreciation!G8</f>
        <v>38352</v>
      </c>
      <c r="F8" s="207">
        <f>Depreciation!H8</f>
        <v>38717</v>
      </c>
      <c r="G8" s="207">
        <f>Depreciation!I8</f>
        <v>39082</v>
      </c>
      <c r="H8" s="207">
        <f>Depreciation!J8</f>
        <v>39447</v>
      </c>
      <c r="I8" s="207">
        <f>Depreciation!K8</f>
        <v>39813</v>
      </c>
      <c r="J8" s="207">
        <f>Depreciation!L8</f>
        <v>40178</v>
      </c>
      <c r="K8" s="207">
        <f>Depreciation!M8</f>
        <v>40543</v>
      </c>
      <c r="L8" s="207">
        <f>Depreciation!N8</f>
        <v>40908</v>
      </c>
      <c r="M8" s="207">
        <f>Depreciation!O8</f>
        <v>41274</v>
      </c>
      <c r="N8" s="207">
        <f>Depreciation!P8</f>
        <v>41639</v>
      </c>
      <c r="O8" s="207">
        <f>Depreciation!Q8</f>
        <v>42004</v>
      </c>
      <c r="P8" s="207">
        <f>Depreciation!R8</f>
        <v>42369</v>
      </c>
      <c r="Q8" s="207">
        <f>Depreciation!S8</f>
        <v>42735</v>
      </c>
      <c r="R8" s="207">
        <f>Depreciation!T8</f>
        <v>43100</v>
      </c>
      <c r="S8" s="207">
        <f>Depreciation!U8</f>
        <v>43465</v>
      </c>
      <c r="T8" s="207">
        <f>Depreciation!V8</f>
        <v>43830</v>
      </c>
      <c r="U8" s="207">
        <f>Depreciation!W8</f>
        <v>44196</v>
      </c>
      <c r="V8" s="207">
        <f>Depreciation!X8</f>
        <v>44561</v>
      </c>
      <c r="W8" s="207">
        <f>Depreciation!Y8</f>
        <v>44926</v>
      </c>
      <c r="X8" s="207">
        <f>Depreciation!Z8</f>
        <v>45291</v>
      </c>
      <c r="Y8" s="207">
        <f>Depreciation!AA8</f>
        <v>45657</v>
      </c>
      <c r="Z8" s="207">
        <f>Depreciation!AB8</f>
        <v>46022</v>
      </c>
      <c r="AA8" s="207">
        <f>Depreciation!AC8</f>
        <v>46387</v>
      </c>
      <c r="AB8" s="207">
        <f>Depreciation!AD8</f>
        <v>46752</v>
      </c>
      <c r="AC8" s="207">
        <f>Depreciation!AE8</f>
        <v>47118</v>
      </c>
      <c r="AD8" s="207">
        <f>Depreciation!AF8</f>
        <v>47483</v>
      </c>
      <c r="AE8" s="207">
        <f>Depreciation!AG8</f>
        <v>47848</v>
      </c>
      <c r="AF8" s="207">
        <f>Depreciation!AH8</f>
        <v>48213</v>
      </c>
    </row>
    <row r="9" spans="1:32">
      <c r="A9" s="128" t="s">
        <v>67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207</v>
      </c>
      <c r="B10" s="19">
        <f>IS!C40</f>
        <v>1215.8354689368589</v>
      </c>
      <c r="C10" s="19">
        <f>IS!D40</f>
        <v>2446.1919382468204</v>
      </c>
      <c r="D10" s="19">
        <f>IS!E40</f>
        <v>2888.3462685512131</v>
      </c>
      <c r="E10" s="19">
        <f>IS!F40</f>
        <v>3369.1824150290813</v>
      </c>
      <c r="F10" s="19">
        <f>IS!G40</f>
        <v>3892.2855992202412</v>
      </c>
      <c r="G10" s="19">
        <f>IS!H40</f>
        <v>7278.9250869521293</v>
      </c>
      <c r="H10" s="19">
        <f>IS!I40</f>
        <v>9302.2326268703509</v>
      </c>
      <c r="I10" s="19">
        <f>IS!J40</f>
        <v>9964.9157656925927</v>
      </c>
      <c r="J10" s="19">
        <f>IS!K40</f>
        <v>10685.201689817975</v>
      </c>
      <c r="K10" s="19">
        <f>IS!L40</f>
        <v>11464.013402292796</v>
      </c>
      <c r="L10" s="19">
        <f>IS!M40</f>
        <v>12242.74588732765</v>
      </c>
      <c r="M10" s="19">
        <f>IS!N40</f>
        <v>12458.551783823948</v>
      </c>
      <c r="N10" s="19">
        <f>IS!O40</f>
        <v>12395.496608087602</v>
      </c>
      <c r="O10" s="19">
        <f>IS!P40</f>
        <v>12330.674114510019</v>
      </c>
      <c r="P10" s="19">
        <f>IS!Q40</f>
        <v>12264.033770304557</v>
      </c>
      <c r="Q10" s="19">
        <f>IS!R40</f>
        <v>12195.52357643597</v>
      </c>
      <c r="R10" s="19">
        <f>IS!S40</f>
        <v>12125.090024627656</v>
      </c>
      <c r="S10" s="19">
        <f>IS!T40</f>
        <v>12052.678053098889</v>
      </c>
      <c r="T10" s="19">
        <f>IS!U40</f>
        <v>11978.2310009948</v>
      </c>
      <c r="U10" s="19">
        <f>IS!V40</f>
        <v>11901.690561469497</v>
      </c>
      <c r="V10" s="19">
        <f>IS!W40</f>
        <v>453.89372514961588</v>
      </c>
      <c r="W10" s="19">
        <f>IS!X40</f>
        <v>-6017.5944154910858</v>
      </c>
      <c r="X10" s="19">
        <f>IS!Y40</f>
        <v>-6257.1628359585975</v>
      </c>
      <c r="Y10" s="19">
        <f>IS!Z40</f>
        <v>-6569.1664663011943</v>
      </c>
      <c r="Z10" s="19">
        <f>IS!AA40</f>
        <v>-6908.7563587046525</v>
      </c>
      <c r="AA10" s="19">
        <f>IS!AB40</f>
        <v>-7277.3663459705003</v>
      </c>
      <c r="AB10" s="19">
        <f>IS!AC40</f>
        <v>-7677.9314170359175</v>
      </c>
      <c r="AC10" s="19">
        <f>IS!AD40</f>
        <v>-8112.8224850567112</v>
      </c>
      <c r="AD10" s="19">
        <f>IS!AE40</f>
        <v>-8585.8527488378077</v>
      </c>
      <c r="AE10" s="19">
        <f>IS!AF40</f>
        <v>-9099.1473139779519</v>
      </c>
      <c r="AF10" s="19">
        <f>IS!AG40</f>
        <v>-7843.970942093134</v>
      </c>
    </row>
    <row r="11" spans="1:32">
      <c r="A11" s="21" t="s">
        <v>68</v>
      </c>
      <c r="B11" s="19">
        <f>IS!C34</f>
        <v>4714.8666666666668</v>
      </c>
      <c r="C11" s="19">
        <f>IS!D34</f>
        <v>7072.2999999999993</v>
      </c>
      <c r="D11" s="19">
        <f>IS!E34</f>
        <v>7072.2999999999993</v>
      </c>
      <c r="E11" s="19">
        <f>IS!F34</f>
        <v>7072.2999999999993</v>
      </c>
      <c r="F11" s="19">
        <f>IS!G34</f>
        <v>7072.2999999999993</v>
      </c>
      <c r="G11" s="19">
        <f>IS!H34</f>
        <v>4250.8333333333339</v>
      </c>
      <c r="H11" s="19">
        <f>IS!I34</f>
        <v>2840.1</v>
      </c>
      <c r="I11" s="19">
        <f>IS!J34</f>
        <v>2840.1</v>
      </c>
      <c r="J11" s="19">
        <f>IS!K34</f>
        <v>2840.1</v>
      </c>
      <c r="K11" s="19">
        <f>IS!L34</f>
        <v>2840.1</v>
      </c>
      <c r="L11" s="19">
        <f>IS!M34</f>
        <v>2840.1</v>
      </c>
      <c r="M11" s="19">
        <f>IS!N34</f>
        <v>2840.1</v>
      </c>
      <c r="N11" s="19">
        <f>IS!O34</f>
        <v>2840.1</v>
      </c>
      <c r="O11" s="19">
        <f>IS!P34</f>
        <v>2840.1</v>
      </c>
      <c r="P11" s="19">
        <f>IS!Q34</f>
        <v>2840.1</v>
      </c>
      <c r="Q11" s="19">
        <f>IS!R34</f>
        <v>2840.1</v>
      </c>
      <c r="R11" s="19">
        <f>IS!S34</f>
        <v>2840.1</v>
      </c>
      <c r="S11" s="19">
        <f>IS!T34</f>
        <v>2840.1</v>
      </c>
      <c r="T11" s="19">
        <f>IS!U34</f>
        <v>2840.1</v>
      </c>
      <c r="U11" s="19">
        <f>IS!V34</f>
        <v>2840.1</v>
      </c>
      <c r="V11" s="19">
        <f>IS!W34</f>
        <v>2840.1</v>
      </c>
      <c r="W11" s="19">
        <f>IS!X34</f>
        <v>2840.1</v>
      </c>
      <c r="X11" s="19">
        <f>IS!Y34</f>
        <v>2840.1</v>
      </c>
      <c r="Y11" s="19">
        <f>IS!Z34</f>
        <v>2840.1</v>
      </c>
      <c r="Z11" s="19">
        <f>IS!AA34</f>
        <v>2840.1</v>
      </c>
      <c r="AA11" s="19">
        <f>IS!AB34</f>
        <v>2840.1</v>
      </c>
      <c r="AB11" s="19">
        <f>IS!AC34</f>
        <v>2840.1</v>
      </c>
      <c r="AC11" s="19">
        <f>IS!AD34</f>
        <v>2840.1</v>
      </c>
      <c r="AD11" s="19">
        <f>IS!AE34</f>
        <v>2840.1</v>
      </c>
      <c r="AE11" s="19">
        <f>IS!AF34</f>
        <v>2840.1</v>
      </c>
      <c r="AF11" s="19">
        <f>IS!AG34</f>
        <v>946.70000000000016</v>
      </c>
    </row>
    <row r="12" spans="1:32" ht="15">
      <c r="A12" s="21" t="s">
        <v>69</v>
      </c>
      <c r="B12" s="130">
        <f>-Depreciation!D34</f>
        <v>-7554.9666666666672</v>
      </c>
      <c r="C12" s="130">
        <f>-Depreciation!E34</f>
        <v>-13225.849999999999</v>
      </c>
      <c r="D12" s="130">
        <f>-Depreciation!F34</f>
        <v>-12326.485000000001</v>
      </c>
      <c r="E12" s="130">
        <f>-Depreciation!G34</f>
        <v>-11521.79</v>
      </c>
      <c r="F12" s="130">
        <f>-Depreciation!H34</f>
        <v>-10792.831</v>
      </c>
      <c r="G12" s="130">
        <f>-Depreciation!I34</f>
        <v>-7308.6743333333334</v>
      </c>
      <c r="H12" s="130">
        <f>-Depreciation!J34</f>
        <v>-5585.53</v>
      </c>
      <c r="I12" s="130">
        <f>-Depreciation!K34</f>
        <v>-5594.9970000000003</v>
      </c>
      <c r="J12" s="130">
        <f>-Depreciation!L34</f>
        <v>-5585.53</v>
      </c>
      <c r="K12" s="130">
        <f>-Depreciation!M34</f>
        <v>-5594.9970000000003</v>
      </c>
      <c r="L12" s="130">
        <f>-Depreciation!N34</f>
        <v>-5585.53</v>
      </c>
      <c r="M12" s="130">
        <f>-Depreciation!O34</f>
        <v>-5594.9970000000003</v>
      </c>
      <c r="N12" s="130">
        <f>-Depreciation!P34</f>
        <v>-5585.53</v>
      </c>
      <c r="O12" s="130">
        <f>-Depreciation!Q34</f>
        <v>-5594.9970000000003</v>
      </c>
      <c r="P12" s="130">
        <f>-Depreciation!R34</f>
        <v>-5585.53</v>
      </c>
      <c r="Q12" s="130">
        <f>-Depreciation!S34</f>
        <v>-2792.7649999999999</v>
      </c>
      <c r="R12" s="130">
        <f>-Depreciation!T34</f>
        <v>0</v>
      </c>
      <c r="S12" s="130">
        <f>-Depreciation!U34</f>
        <v>0</v>
      </c>
      <c r="T12" s="130">
        <f>-Depreciation!V34</f>
        <v>0</v>
      </c>
      <c r="U12" s="130">
        <f>-Depreciation!W34</f>
        <v>0</v>
      </c>
      <c r="V12" s="130">
        <f>-Depreciation!X34</f>
        <v>0</v>
      </c>
      <c r="W12" s="130">
        <f>-Depreciation!Y34</f>
        <v>0</v>
      </c>
      <c r="X12" s="130">
        <f>-Depreciation!Z34</f>
        <v>0</v>
      </c>
      <c r="Y12" s="130">
        <f>-Depreciation!AA34</f>
        <v>0</v>
      </c>
      <c r="Z12" s="130">
        <f>-Depreciation!AB34</f>
        <v>0</v>
      </c>
      <c r="AA12" s="130">
        <f>-Depreciation!AC34</f>
        <v>0</v>
      </c>
      <c r="AB12" s="130">
        <f>-Depreciation!AD34</f>
        <v>0</v>
      </c>
      <c r="AC12" s="130">
        <f>-Depreciation!AE34</f>
        <v>0</v>
      </c>
      <c r="AD12" s="130">
        <f>-Depreciation!AF34</f>
        <v>0</v>
      </c>
      <c r="AE12" s="130">
        <f>-Depreciation!AG34</f>
        <v>0</v>
      </c>
      <c r="AF12" s="130">
        <f>-Depreciation!AH34</f>
        <v>0</v>
      </c>
    </row>
    <row r="13" spans="1:32">
      <c r="A13" s="129" t="s">
        <v>70</v>
      </c>
      <c r="B13" s="23">
        <f>SUM(B10:B12)</f>
        <v>-1624.2645310631415</v>
      </c>
      <c r="C13" s="23">
        <f t="shared" ref="C13:W13" si="0">SUM(C10:C12)</f>
        <v>-3707.3580617531788</v>
      </c>
      <c r="D13" s="23">
        <f t="shared" si="0"/>
        <v>-2365.8387314487882</v>
      </c>
      <c r="E13" s="23">
        <f t="shared" si="0"/>
        <v>-1080.3075849709203</v>
      </c>
      <c r="F13" s="23">
        <f t="shared" si="0"/>
        <v>171.75459922024129</v>
      </c>
      <c r="G13" s="23">
        <f t="shared" si="0"/>
        <v>4221.0840869521298</v>
      </c>
      <c r="H13" s="23">
        <f t="shared" si="0"/>
        <v>6556.8026268703516</v>
      </c>
      <c r="I13" s="23">
        <f t="shared" si="0"/>
        <v>7210.0187656925928</v>
      </c>
      <c r="J13" s="23">
        <f t="shared" si="0"/>
        <v>7939.771689817976</v>
      </c>
      <c r="K13" s="23">
        <f t="shared" si="0"/>
        <v>8709.1164022927951</v>
      </c>
      <c r="L13" s="23">
        <f t="shared" si="0"/>
        <v>9497.3158873276516</v>
      </c>
      <c r="M13" s="23">
        <f t="shared" si="0"/>
        <v>9703.6547838239494</v>
      </c>
      <c r="N13" s="23">
        <f t="shared" si="0"/>
        <v>9650.0666080876035</v>
      </c>
      <c r="O13" s="23">
        <f t="shared" si="0"/>
        <v>9575.7771145100196</v>
      </c>
      <c r="P13" s="23">
        <f t="shared" si="0"/>
        <v>9518.6037703045586</v>
      </c>
      <c r="Q13" s="23">
        <f t="shared" si="0"/>
        <v>12242.85857643597</v>
      </c>
      <c r="R13" s="23">
        <f t="shared" si="0"/>
        <v>14965.190024627656</v>
      </c>
      <c r="S13" s="23">
        <f t="shared" si="0"/>
        <v>14892.778053098889</v>
      </c>
      <c r="T13" s="23">
        <f t="shared" si="0"/>
        <v>14818.3310009948</v>
      </c>
      <c r="U13" s="23">
        <f t="shared" si="0"/>
        <v>14741.790561469497</v>
      </c>
      <c r="V13" s="23">
        <f t="shared" si="0"/>
        <v>3293.9937251496158</v>
      </c>
      <c r="W13" s="23">
        <f t="shared" si="0"/>
        <v>-3177.4944154910859</v>
      </c>
      <c r="X13" s="23">
        <f t="shared" ref="X13:AF13" si="1">SUM(X10:X12)</f>
        <v>-3417.0628359585976</v>
      </c>
      <c r="Y13" s="23">
        <f t="shared" si="1"/>
        <v>-3729.0664663011944</v>
      </c>
      <c r="Z13" s="23">
        <f t="shared" si="1"/>
        <v>-4068.6563587046526</v>
      </c>
      <c r="AA13" s="23">
        <f t="shared" si="1"/>
        <v>-4437.2663459705</v>
      </c>
      <c r="AB13" s="23">
        <f t="shared" si="1"/>
        <v>-4837.8314170359172</v>
      </c>
      <c r="AC13" s="23">
        <f t="shared" si="1"/>
        <v>-5272.7224850567109</v>
      </c>
      <c r="AD13" s="23">
        <f t="shared" si="1"/>
        <v>-5745.7527488378073</v>
      </c>
      <c r="AE13" s="23">
        <f t="shared" si="1"/>
        <v>-6259.0473139779515</v>
      </c>
      <c r="AF13" s="23">
        <f t="shared" si="1"/>
        <v>-6897.2709420931342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96</v>
      </c>
      <c r="B15" s="131">
        <f>Assumptions!$N$51</f>
        <v>7.0000000000000007E-2</v>
      </c>
      <c r="C15" s="131">
        <f>Assumptions!$N$51</f>
        <v>7.0000000000000007E-2</v>
      </c>
      <c r="D15" s="131">
        <f>Assumptions!$N$51</f>
        <v>7.0000000000000007E-2</v>
      </c>
      <c r="E15" s="131">
        <f>Assumptions!$N$51</f>
        <v>7.0000000000000007E-2</v>
      </c>
      <c r="F15" s="131">
        <f>Assumptions!$N$51</f>
        <v>7.0000000000000007E-2</v>
      </c>
      <c r="G15" s="131">
        <f>Assumptions!$N$51</f>
        <v>7.0000000000000007E-2</v>
      </c>
      <c r="H15" s="131">
        <f>Assumptions!$N$51</f>
        <v>7.0000000000000007E-2</v>
      </c>
      <c r="I15" s="131">
        <f>Assumptions!$N$51</f>
        <v>7.0000000000000007E-2</v>
      </c>
      <c r="J15" s="131">
        <f>Assumptions!$N$51</f>
        <v>7.0000000000000007E-2</v>
      </c>
      <c r="K15" s="131">
        <f>Assumptions!$N$51</f>
        <v>7.0000000000000007E-2</v>
      </c>
      <c r="L15" s="131">
        <f>Assumptions!$N$51</f>
        <v>7.0000000000000007E-2</v>
      </c>
      <c r="M15" s="131">
        <f>Assumptions!$N$51</f>
        <v>7.0000000000000007E-2</v>
      </c>
      <c r="N15" s="131">
        <f>Assumptions!$N$51</f>
        <v>7.0000000000000007E-2</v>
      </c>
      <c r="O15" s="131">
        <f>Assumptions!$N$51</f>
        <v>7.0000000000000007E-2</v>
      </c>
      <c r="P15" s="131">
        <f>Assumptions!$N$51</f>
        <v>7.0000000000000007E-2</v>
      </c>
      <c r="Q15" s="131">
        <f>Assumptions!$N$51</f>
        <v>7.0000000000000007E-2</v>
      </c>
      <c r="R15" s="131">
        <f>Assumptions!$N$51</f>
        <v>7.0000000000000007E-2</v>
      </c>
      <c r="S15" s="131">
        <f>Assumptions!$N$51</f>
        <v>7.0000000000000007E-2</v>
      </c>
      <c r="T15" s="131">
        <f>Assumptions!$N$51</f>
        <v>7.0000000000000007E-2</v>
      </c>
      <c r="U15" s="131">
        <f>Assumptions!$N$51</f>
        <v>7.0000000000000007E-2</v>
      </c>
      <c r="V15" s="131">
        <f>Assumptions!$N$51</f>
        <v>7.0000000000000007E-2</v>
      </c>
      <c r="W15" s="131">
        <f>Assumptions!$N$51</f>
        <v>7.0000000000000007E-2</v>
      </c>
      <c r="X15" s="131">
        <f>Assumptions!$N$51</f>
        <v>7.0000000000000007E-2</v>
      </c>
      <c r="Y15" s="131">
        <f>Assumptions!$N$51</f>
        <v>7.0000000000000007E-2</v>
      </c>
      <c r="Z15" s="131">
        <f>Assumptions!$N$51</f>
        <v>7.0000000000000007E-2</v>
      </c>
      <c r="AA15" s="131">
        <f>Assumptions!$N$51</f>
        <v>7.0000000000000007E-2</v>
      </c>
      <c r="AB15" s="131">
        <f>Assumptions!$N$51</f>
        <v>7.0000000000000007E-2</v>
      </c>
      <c r="AC15" s="131">
        <f>Assumptions!$N$51</f>
        <v>7.0000000000000007E-2</v>
      </c>
      <c r="AD15" s="131">
        <f>Assumptions!$N$51</f>
        <v>7.0000000000000007E-2</v>
      </c>
      <c r="AE15" s="131">
        <f>Assumptions!$N$51</f>
        <v>7.0000000000000007E-2</v>
      </c>
      <c r="AF15" s="131">
        <f>Assumptions!$N$51</f>
        <v>7.0000000000000007E-2</v>
      </c>
    </row>
    <row r="16" spans="1:32">
      <c r="A16" s="21" t="s">
        <v>71</v>
      </c>
      <c r="B16" s="19">
        <f t="shared" ref="B16:AF16" si="2">B13*B15</f>
        <v>-113.69851717441992</v>
      </c>
      <c r="C16" s="19">
        <f t="shared" si="2"/>
        <v>-259.51506432272254</v>
      </c>
      <c r="D16" s="19">
        <f t="shared" si="2"/>
        <v>-165.60871120141519</v>
      </c>
      <c r="E16" s="19">
        <f t="shared" si="2"/>
        <v>-75.62153094796443</v>
      </c>
      <c r="F16" s="19">
        <f t="shared" si="2"/>
        <v>12.022821945416892</v>
      </c>
      <c r="G16" s="19">
        <f t="shared" si="2"/>
        <v>295.4758860866491</v>
      </c>
      <c r="H16" s="19">
        <f t="shared" si="2"/>
        <v>458.97618388092468</v>
      </c>
      <c r="I16" s="19">
        <f t="shared" si="2"/>
        <v>504.70131359848153</v>
      </c>
      <c r="J16" s="19">
        <f t="shared" si="2"/>
        <v>555.78401828725839</v>
      </c>
      <c r="K16" s="19">
        <f t="shared" si="2"/>
        <v>609.63814816049569</v>
      </c>
      <c r="L16" s="19">
        <f t="shared" si="2"/>
        <v>664.81211211293567</v>
      </c>
      <c r="M16" s="19">
        <f t="shared" si="2"/>
        <v>679.25583486767653</v>
      </c>
      <c r="N16" s="19">
        <f t="shared" si="2"/>
        <v>675.50466256613231</v>
      </c>
      <c r="O16" s="19">
        <f t="shared" si="2"/>
        <v>670.30439801570139</v>
      </c>
      <c r="P16" s="19">
        <f t="shared" si="2"/>
        <v>666.3022639213192</v>
      </c>
      <c r="Q16" s="19">
        <f t="shared" si="2"/>
        <v>857.00010035051798</v>
      </c>
      <c r="R16" s="19">
        <f t="shared" si="2"/>
        <v>1047.5633017239361</v>
      </c>
      <c r="S16" s="19">
        <f t="shared" si="2"/>
        <v>1042.4944637169224</v>
      </c>
      <c r="T16" s="19">
        <f t="shared" si="2"/>
        <v>1037.2831700696361</v>
      </c>
      <c r="U16" s="19">
        <f t="shared" si="2"/>
        <v>1031.9253393028648</v>
      </c>
      <c r="V16" s="19">
        <f t="shared" si="2"/>
        <v>230.57956076047313</v>
      </c>
      <c r="W16" s="19">
        <f t="shared" si="2"/>
        <v>-222.42460908437604</v>
      </c>
      <c r="X16" s="19">
        <f t="shared" si="2"/>
        <v>-239.19439851710186</v>
      </c>
      <c r="Y16" s="19">
        <f t="shared" si="2"/>
        <v>-261.03465264108365</v>
      </c>
      <c r="Z16" s="19">
        <f t="shared" si="2"/>
        <v>-284.80594510932571</v>
      </c>
      <c r="AA16" s="19">
        <f t="shared" si="2"/>
        <v>-310.60864421793502</v>
      </c>
      <c r="AB16" s="19">
        <f t="shared" si="2"/>
        <v>-338.64819919251426</v>
      </c>
      <c r="AC16" s="19">
        <f t="shared" si="2"/>
        <v>-369.09057395396979</v>
      </c>
      <c r="AD16" s="19">
        <f t="shared" si="2"/>
        <v>-402.20269241864656</v>
      </c>
      <c r="AE16" s="19">
        <f t="shared" si="2"/>
        <v>-438.13331197845662</v>
      </c>
      <c r="AF16" s="19">
        <f t="shared" si="2"/>
        <v>-482.80896594651944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72</v>
      </c>
      <c r="B18" s="19">
        <v>0</v>
      </c>
      <c r="C18" s="19">
        <f>B22</f>
        <v>113.69851717441992</v>
      </c>
      <c r="D18" s="19">
        <f t="shared" ref="D18:W18" si="3">C22</f>
        <v>373.21358149714246</v>
      </c>
      <c r="E18" s="19">
        <f t="shared" si="3"/>
        <v>538.8222926985577</v>
      </c>
      <c r="F18" s="19">
        <f t="shared" si="3"/>
        <v>614.44382364652211</v>
      </c>
      <c r="G18" s="19">
        <f t="shared" si="3"/>
        <v>602.42100170110518</v>
      </c>
      <c r="H18" s="19">
        <f t="shared" si="3"/>
        <v>306.94511561445609</v>
      </c>
      <c r="I18" s="19">
        <f t="shared" si="3"/>
        <v>0</v>
      </c>
      <c r="J18" s="19">
        <f t="shared" si="3"/>
        <v>0</v>
      </c>
      <c r="K18" s="19">
        <f t="shared" si="3"/>
        <v>0</v>
      </c>
      <c r="L18" s="19">
        <f t="shared" si="3"/>
        <v>0</v>
      </c>
      <c r="M18" s="19">
        <f t="shared" si="3"/>
        <v>0</v>
      </c>
      <c r="N18" s="19">
        <f t="shared" si="3"/>
        <v>0</v>
      </c>
      <c r="O18" s="19">
        <f t="shared" si="3"/>
        <v>0</v>
      </c>
      <c r="P18" s="19">
        <f>O22</f>
        <v>0</v>
      </c>
      <c r="Q18" s="19">
        <f t="shared" si="3"/>
        <v>0</v>
      </c>
      <c r="R18" s="19">
        <f t="shared" si="3"/>
        <v>0</v>
      </c>
      <c r="S18" s="19">
        <f t="shared" si="3"/>
        <v>0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0</v>
      </c>
      <c r="X18" s="19">
        <f t="shared" ref="X18:AF18" si="4">W22</f>
        <v>222.42460908437604</v>
      </c>
      <c r="Y18" s="19">
        <f t="shared" si="4"/>
        <v>461.6190076014779</v>
      </c>
      <c r="Z18" s="19">
        <f t="shared" si="4"/>
        <v>722.6536602425615</v>
      </c>
      <c r="AA18" s="19">
        <f t="shared" si="4"/>
        <v>1007.4596053518871</v>
      </c>
      <c r="AB18" s="19">
        <f t="shared" si="4"/>
        <v>1318.0682495698222</v>
      </c>
      <c r="AC18" s="19">
        <f t="shared" si="4"/>
        <v>1656.7164487623365</v>
      </c>
      <c r="AD18" s="19">
        <f t="shared" si="4"/>
        <v>2025.8070227163064</v>
      </c>
      <c r="AE18" s="19">
        <f t="shared" si="4"/>
        <v>2428.0097151349528</v>
      </c>
      <c r="AF18" s="19">
        <f t="shared" si="4"/>
        <v>2643.7184180290333</v>
      </c>
    </row>
    <row r="19" spans="1:32">
      <c r="A19" s="21" t="s">
        <v>73</v>
      </c>
      <c r="B19" s="139">
        <f>IF(B16&lt;0,-B16,0)</f>
        <v>113.69851717441992</v>
      </c>
      <c r="C19" s="139">
        <f t="shared" ref="C19:W19" si="5">IF(C16&lt;0,-C16,0)</f>
        <v>259.51506432272254</v>
      </c>
      <c r="D19" s="139">
        <f t="shared" si="5"/>
        <v>165.60871120141519</v>
      </c>
      <c r="E19" s="139">
        <f t="shared" si="5"/>
        <v>75.62153094796443</v>
      </c>
      <c r="F19" s="139">
        <f t="shared" si="5"/>
        <v>0</v>
      </c>
      <c r="G19" s="139">
        <f t="shared" si="5"/>
        <v>0</v>
      </c>
      <c r="H19" s="139">
        <f t="shared" si="5"/>
        <v>0</v>
      </c>
      <c r="I19" s="139">
        <f t="shared" si="5"/>
        <v>0</v>
      </c>
      <c r="J19" s="139">
        <f t="shared" si="5"/>
        <v>0</v>
      </c>
      <c r="K19" s="139">
        <f t="shared" si="5"/>
        <v>0</v>
      </c>
      <c r="L19" s="139">
        <f t="shared" si="5"/>
        <v>0</v>
      </c>
      <c r="M19" s="139">
        <f t="shared" si="5"/>
        <v>0</v>
      </c>
      <c r="N19" s="139">
        <f t="shared" si="5"/>
        <v>0</v>
      </c>
      <c r="O19" s="139">
        <f t="shared" si="5"/>
        <v>0</v>
      </c>
      <c r="P19" s="139">
        <f t="shared" si="5"/>
        <v>0</v>
      </c>
      <c r="Q19" s="139">
        <f t="shared" si="5"/>
        <v>0</v>
      </c>
      <c r="R19" s="139">
        <f t="shared" si="5"/>
        <v>0</v>
      </c>
      <c r="S19" s="139">
        <f t="shared" si="5"/>
        <v>0</v>
      </c>
      <c r="T19" s="139">
        <f t="shared" si="5"/>
        <v>0</v>
      </c>
      <c r="U19" s="139">
        <f t="shared" si="5"/>
        <v>0</v>
      </c>
      <c r="V19" s="139">
        <f t="shared" si="5"/>
        <v>0</v>
      </c>
      <c r="W19" s="139">
        <f t="shared" si="5"/>
        <v>222.42460908437604</v>
      </c>
      <c r="X19" s="139">
        <f t="shared" ref="X19:AF19" si="6">IF(X16&lt;0,-X16,0)</f>
        <v>239.19439851710186</v>
      </c>
      <c r="Y19" s="139">
        <f t="shared" si="6"/>
        <v>261.03465264108365</v>
      </c>
      <c r="Z19" s="139">
        <f t="shared" si="6"/>
        <v>284.80594510932571</v>
      </c>
      <c r="AA19" s="139">
        <f t="shared" si="6"/>
        <v>310.60864421793502</v>
      </c>
      <c r="AB19" s="139">
        <f t="shared" si="6"/>
        <v>338.64819919251426</v>
      </c>
      <c r="AC19" s="139">
        <f t="shared" si="6"/>
        <v>369.09057395396979</v>
      </c>
      <c r="AD19" s="139">
        <f t="shared" si="6"/>
        <v>402.20269241864656</v>
      </c>
      <c r="AE19" s="139">
        <f t="shared" si="6"/>
        <v>438.13331197845662</v>
      </c>
      <c r="AF19" s="139">
        <f t="shared" si="6"/>
        <v>482.80896594651944</v>
      </c>
    </row>
    <row r="20" spans="1:32">
      <c r="A20" s="13" t="s">
        <v>284</v>
      </c>
      <c r="B20" s="466">
        <v>0</v>
      </c>
      <c r="C20" s="467">
        <v>0</v>
      </c>
      <c r="D20" s="467">
        <v>0</v>
      </c>
      <c r="E20" s="467">
        <v>0</v>
      </c>
      <c r="F20" s="467">
        <v>0</v>
      </c>
      <c r="G20" s="467">
        <v>0</v>
      </c>
      <c r="H20" s="467">
        <v>0</v>
      </c>
      <c r="I20" s="468">
        <v>0</v>
      </c>
      <c r="J20" s="469">
        <f>IF(-SUM(B21:I21, B20:I20)&gt;B19,0,-B19-SUM(B21:I21,B20:I20))</f>
        <v>0</v>
      </c>
      <c r="K20" s="469">
        <f t="shared" ref="K20:AF20" si="7">IF(-SUM(C21:J21, C20:J20)&gt;C19,0,-C19-SUM(C21:J21,C20:J20))</f>
        <v>0</v>
      </c>
      <c r="L20" s="469">
        <f t="shared" si="7"/>
        <v>0</v>
      </c>
      <c r="M20" s="469">
        <f t="shared" si="7"/>
        <v>0</v>
      </c>
      <c r="N20" s="469">
        <f t="shared" si="7"/>
        <v>0</v>
      </c>
      <c r="O20" s="469">
        <f t="shared" si="7"/>
        <v>0</v>
      </c>
      <c r="P20" s="469">
        <f t="shared" si="7"/>
        <v>0</v>
      </c>
      <c r="Q20" s="469">
        <f t="shared" si="7"/>
        <v>0</v>
      </c>
      <c r="R20" s="469">
        <f t="shared" si="7"/>
        <v>0</v>
      </c>
      <c r="S20" s="469">
        <f t="shared" si="7"/>
        <v>0</v>
      </c>
      <c r="T20" s="469">
        <f t="shared" si="7"/>
        <v>0</v>
      </c>
      <c r="U20" s="469">
        <f t="shared" si="7"/>
        <v>0</v>
      </c>
      <c r="V20" s="469">
        <f t="shared" si="7"/>
        <v>0</v>
      </c>
      <c r="W20" s="469">
        <f t="shared" si="7"/>
        <v>0</v>
      </c>
      <c r="X20" s="469">
        <f t="shared" si="7"/>
        <v>0</v>
      </c>
      <c r="Y20" s="469">
        <f t="shared" si="7"/>
        <v>0</v>
      </c>
      <c r="Z20" s="469">
        <f t="shared" si="7"/>
        <v>0</v>
      </c>
      <c r="AA20" s="469">
        <f t="shared" si="7"/>
        <v>0</v>
      </c>
      <c r="AB20" s="469">
        <f t="shared" si="7"/>
        <v>0</v>
      </c>
      <c r="AC20" s="469">
        <f t="shared" si="7"/>
        <v>0</v>
      </c>
      <c r="AD20" s="469">
        <f t="shared" si="7"/>
        <v>0</v>
      </c>
      <c r="AE20" s="469">
        <f t="shared" si="7"/>
        <v>-222.42460908437604</v>
      </c>
      <c r="AF20" s="469">
        <f t="shared" si="7"/>
        <v>-16.769789432725815</v>
      </c>
    </row>
    <row r="21" spans="1:32">
      <c r="A21" s="13" t="s">
        <v>283</v>
      </c>
      <c r="B21" s="132">
        <f>IF(B16&lt;0,0,IF(B18&gt;B16,-B16,-B18))</f>
        <v>0</v>
      </c>
      <c r="C21" s="132">
        <f t="shared" ref="C21:V21" si="8">IF(C16&lt;0,0,IF(C18&gt;C16,-C16,-C18))</f>
        <v>0</v>
      </c>
      <c r="D21" s="132">
        <f t="shared" si="8"/>
        <v>0</v>
      </c>
      <c r="E21" s="132">
        <f t="shared" si="8"/>
        <v>0</v>
      </c>
      <c r="F21" s="132">
        <f t="shared" si="8"/>
        <v>-12.022821945416892</v>
      </c>
      <c r="G21" s="132">
        <f t="shared" si="8"/>
        <v>-295.4758860866491</v>
      </c>
      <c r="H21" s="132">
        <f t="shared" si="8"/>
        <v>-306.94511561445609</v>
      </c>
      <c r="I21" s="132">
        <f t="shared" si="8"/>
        <v>0</v>
      </c>
      <c r="J21" s="132">
        <f t="shared" si="8"/>
        <v>0</v>
      </c>
      <c r="K21" s="132">
        <f t="shared" si="8"/>
        <v>0</v>
      </c>
      <c r="L21" s="132">
        <f t="shared" si="8"/>
        <v>0</v>
      </c>
      <c r="M21" s="132">
        <f t="shared" si="8"/>
        <v>0</v>
      </c>
      <c r="N21" s="132">
        <f t="shared" si="8"/>
        <v>0</v>
      </c>
      <c r="O21" s="132">
        <f t="shared" si="8"/>
        <v>0</v>
      </c>
      <c r="P21" s="132">
        <f t="shared" si="8"/>
        <v>0</v>
      </c>
      <c r="Q21" s="132">
        <f t="shared" si="8"/>
        <v>0</v>
      </c>
      <c r="R21" s="132">
        <f t="shared" si="8"/>
        <v>0</v>
      </c>
      <c r="S21" s="132">
        <f t="shared" si="8"/>
        <v>0</v>
      </c>
      <c r="T21" s="132">
        <f t="shared" si="8"/>
        <v>0</v>
      </c>
      <c r="U21" s="132">
        <f t="shared" si="8"/>
        <v>0</v>
      </c>
      <c r="V21" s="132">
        <f t="shared" si="8"/>
        <v>0</v>
      </c>
      <c r="W21" s="132">
        <f>IF(W16&lt;0,0,IF(W18&gt;W16,-W16,-W18))</f>
        <v>0</v>
      </c>
      <c r="X21" s="132">
        <f t="shared" ref="X21:AF21" si="9">IF(X16&lt;0,0,IF(X18&gt;X16,-X16,-X18))</f>
        <v>0</v>
      </c>
      <c r="Y21" s="132">
        <f t="shared" si="9"/>
        <v>0</v>
      </c>
      <c r="Z21" s="132">
        <f t="shared" si="9"/>
        <v>0</v>
      </c>
      <c r="AA21" s="132">
        <f t="shared" si="9"/>
        <v>0</v>
      </c>
      <c r="AB21" s="132">
        <f t="shared" si="9"/>
        <v>0</v>
      </c>
      <c r="AC21" s="132">
        <f t="shared" si="9"/>
        <v>0</v>
      </c>
      <c r="AD21" s="132">
        <f t="shared" si="9"/>
        <v>0</v>
      </c>
      <c r="AE21" s="132">
        <f t="shared" si="9"/>
        <v>0</v>
      </c>
      <c r="AF21" s="132">
        <f t="shared" si="9"/>
        <v>0</v>
      </c>
    </row>
    <row r="22" spans="1:32">
      <c r="A22" s="13" t="s">
        <v>74</v>
      </c>
      <c r="B22" s="132">
        <f t="shared" ref="B22:AF22" si="10">SUM(B18:B21)</f>
        <v>113.69851717441992</v>
      </c>
      <c r="C22" s="132">
        <f t="shared" si="10"/>
        <v>373.21358149714246</v>
      </c>
      <c r="D22" s="132">
        <f t="shared" si="10"/>
        <v>538.8222926985577</v>
      </c>
      <c r="E22" s="132">
        <f t="shared" si="10"/>
        <v>614.44382364652211</v>
      </c>
      <c r="F22" s="132">
        <f t="shared" si="10"/>
        <v>602.42100170110518</v>
      </c>
      <c r="G22" s="132">
        <f t="shared" si="10"/>
        <v>306.94511561445609</v>
      </c>
      <c r="H22" s="132">
        <f t="shared" si="10"/>
        <v>0</v>
      </c>
      <c r="I22" s="132">
        <f t="shared" si="10"/>
        <v>0</v>
      </c>
      <c r="J22" s="132">
        <f t="shared" si="10"/>
        <v>0</v>
      </c>
      <c r="K22" s="132">
        <f t="shared" si="10"/>
        <v>0</v>
      </c>
      <c r="L22" s="132">
        <f t="shared" si="10"/>
        <v>0</v>
      </c>
      <c r="M22" s="132">
        <f t="shared" si="10"/>
        <v>0</v>
      </c>
      <c r="N22" s="132">
        <f t="shared" si="10"/>
        <v>0</v>
      </c>
      <c r="O22" s="132">
        <f t="shared" si="10"/>
        <v>0</v>
      </c>
      <c r="P22" s="132">
        <f t="shared" si="10"/>
        <v>0</v>
      </c>
      <c r="Q22" s="132">
        <f t="shared" si="10"/>
        <v>0</v>
      </c>
      <c r="R22" s="132">
        <f t="shared" si="10"/>
        <v>0</v>
      </c>
      <c r="S22" s="132">
        <f t="shared" si="10"/>
        <v>0</v>
      </c>
      <c r="T22" s="132">
        <f t="shared" si="10"/>
        <v>0</v>
      </c>
      <c r="U22" s="132">
        <f t="shared" si="10"/>
        <v>0</v>
      </c>
      <c r="V22" s="132">
        <f t="shared" si="10"/>
        <v>0</v>
      </c>
      <c r="W22" s="132">
        <f t="shared" si="10"/>
        <v>222.42460908437604</v>
      </c>
      <c r="X22" s="132">
        <f t="shared" si="10"/>
        <v>461.6190076014779</v>
      </c>
      <c r="Y22" s="132">
        <f t="shared" si="10"/>
        <v>722.6536602425615</v>
      </c>
      <c r="Z22" s="132">
        <f t="shared" si="10"/>
        <v>1007.4596053518871</v>
      </c>
      <c r="AA22" s="132">
        <f t="shared" si="10"/>
        <v>1318.0682495698222</v>
      </c>
      <c r="AB22" s="132">
        <f t="shared" si="10"/>
        <v>1656.7164487623365</v>
      </c>
      <c r="AC22" s="132">
        <f t="shared" si="10"/>
        <v>2025.8070227163064</v>
      </c>
      <c r="AD22" s="132">
        <f t="shared" si="10"/>
        <v>2428.0097151349528</v>
      </c>
      <c r="AE22" s="132">
        <f t="shared" si="10"/>
        <v>2643.7184180290333</v>
      </c>
      <c r="AF22" s="132">
        <f t="shared" si="10"/>
        <v>3109.7575945428271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209</v>
      </c>
      <c r="B24" s="136">
        <f>IF(B13&lt;0,0,B21+B16)</f>
        <v>0</v>
      </c>
      <c r="C24" s="136">
        <f t="shared" ref="C24:AF24" si="11">IF(C13&lt;0,0,C21+C16)</f>
        <v>0</v>
      </c>
      <c r="D24" s="136">
        <f t="shared" si="11"/>
        <v>0</v>
      </c>
      <c r="E24" s="136">
        <f t="shared" si="11"/>
        <v>0</v>
      </c>
      <c r="F24" s="136">
        <f t="shared" si="11"/>
        <v>0</v>
      </c>
      <c r="G24" s="136">
        <f t="shared" si="11"/>
        <v>0</v>
      </c>
      <c r="H24" s="136">
        <f t="shared" si="11"/>
        <v>152.03106826646859</v>
      </c>
      <c r="I24" s="136">
        <f t="shared" si="11"/>
        <v>504.70131359848153</v>
      </c>
      <c r="J24" s="136">
        <f t="shared" si="11"/>
        <v>555.78401828725839</v>
      </c>
      <c r="K24" s="136">
        <f t="shared" si="11"/>
        <v>609.63814816049569</v>
      </c>
      <c r="L24" s="136">
        <f t="shared" si="11"/>
        <v>664.81211211293567</v>
      </c>
      <c r="M24" s="136">
        <f t="shared" si="11"/>
        <v>679.25583486767653</v>
      </c>
      <c r="N24" s="136">
        <f t="shared" si="11"/>
        <v>675.50466256613231</v>
      </c>
      <c r="O24" s="136">
        <f t="shared" si="11"/>
        <v>670.30439801570139</v>
      </c>
      <c r="P24" s="136">
        <f t="shared" si="11"/>
        <v>666.3022639213192</v>
      </c>
      <c r="Q24" s="136">
        <f t="shared" si="11"/>
        <v>857.00010035051798</v>
      </c>
      <c r="R24" s="136">
        <f t="shared" si="11"/>
        <v>1047.5633017239361</v>
      </c>
      <c r="S24" s="136">
        <f t="shared" si="11"/>
        <v>1042.4944637169224</v>
      </c>
      <c r="T24" s="136">
        <f t="shared" si="11"/>
        <v>1037.2831700696361</v>
      </c>
      <c r="U24" s="136">
        <f t="shared" si="11"/>
        <v>1031.9253393028648</v>
      </c>
      <c r="V24" s="136">
        <f t="shared" si="11"/>
        <v>230.57956076047313</v>
      </c>
      <c r="W24" s="136">
        <f t="shared" si="11"/>
        <v>0</v>
      </c>
      <c r="X24" s="136">
        <f t="shared" si="11"/>
        <v>0</v>
      </c>
      <c r="Y24" s="136">
        <f t="shared" si="11"/>
        <v>0</v>
      </c>
      <c r="Z24" s="136">
        <f t="shared" si="11"/>
        <v>0</v>
      </c>
      <c r="AA24" s="136">
        <f t="shared" si="11"/>
        <v>0</v>
      </c>
      <c r="AB24" s="136">
        <f t="shared" si="11"/>
        <v>0</v>
      </c>
      <c r="AC24" s="136">
        <f t="shared" si="11"/>
        <v>0</v>
      </c>
      <c r="AD24" s="136">
        <f t="shared" si="11"/>
        <v>0</v>
      </c>
      <c r="AE24" s="136">
        <f t="shared" si="11"/>
        <v>0</v>
      </c>
      <c r="AF24" s="136">
        <f t="shared" si="11"/>
        <v>0</v>
      </c>
    </row>
    <row r="25" spans="1:32">
      <c r="A25" s="4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8" t="s">
        <v>75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70</v>
      </c>
      <c r="B28" s="19">
        <f>B13</f>
        <v>-1624.2645310631415</v>
      </c>
      <c r="C28" s="19">
        <f t="shared" ref="C28:AF28" si="12">C13</f>
        <v>-3707.3580617531788</v>
      </c>
      <c r="D28" s="19">
        <f t="shared" si="12"/>
        <v>-2365.8387314487882</v>
      </c>
      <c r="E28" s="19">
        <f t="shared" si="12"/>
        <v>-1080.3075849709203</v>
      </c>
      <c r="F28" s="19">
        <f t="shared" si="12"/>
        <v>171.75459922024129</v>
      </c>
      <c r="G28" s="19">
        <f t="shared" si="12"/>
        <v>4221.0840869521298</v>
      </c>
      <c r="H28" s="19">
        <f t="shared" si="12"/>
        <v>6556.8026268703516</v>
      </c>
      <c r="I28" s="19">
        <f t="shared" si="12"/>
        <v>7210.0187656925928</v>
      </c>
      <c r="J28" s="19">
        <f t="shared" si="12"/>
        <v>7939.771689817976</v>
      </c>
      <c r="K28" s="19">
        <f t="shared" si="12"/>
        <v>8709.1164022927951</v>
      </c>
      <c r="L28" s="19">
        <f t="shared" si="12"/>
        <v>9497.3158873276516</v>
      </c>
      <c r="M28" s="19">
        <f t="shared" si="12"/>
        <v>9703.6547838239494</v>
      </c>
      <c r="N28" s="19">
        <f t="shared" si="12"/>
        <v>9650.0666080876035</v>
      </c>
      <c r="O28" s="19">
        <f t="shared" si="12"/>
        <v>9575.7771145100196</v>
      </c>
      <c r="P28" s="19">
        <f t="shared" si="12"/>
        <v>9518.6037703045586</v>
      </c>
      <c r="Q28" s="19">
        <f t="shared" si="12"/>
        <v>12242.85857643597</v>
      </c>
      <c r="R28" s="19">
        <f t="shared" si="12"/>
        <v>14965.190024627656</v>
      </c>
      <c r="S28" s="19">
        <f t="shared" si="12"/>
        <v>14892.778053098889</v>
      </c>
      <c r="T28" s="19">
        <f t="shared" si="12"/>
        <v>14818.3310009948</v>
      </c>
      <c r="U28" s="19">
        <f t="shared" si="12"/>
        <v>14741.790561469497</v>
      </c>
      <c r="V28" s="19">
        <f t="shared" si="12"/>
        <v>3293.9937251496158</v>
      </c>
      <c r="W28" s="19">
        <f t="shared" si="12"/>
        <v>-3177.4944154910859</v>
      </c>
      <c r="X28" s="19">
        <f t="shared" si="12"/>
        <v>-3417.0628359585976</v>
      </c>
      <c r="Y28" s="19">
        <f t="shared" si="12"/>
        <v>-3729.0664663011944</v>
      </c>
      <c r="Z28" s="19">
        <f t="shared" si="12"/>
        <v>-4068.6563587046526</v>
      </c>
      <c r="AA28" s="19">
        <f t="shared" si="12"/>
        <v>-4437.2663459705</v>
      </c>
      <c r="AB28" s="19">
        <f t="shared" si="12"/>
        <v>-4837.8314170359172</v>
      </c>
      <c r="AC28" s="19">
        <f t="shared" si="12"/>
        <v>-5272.7224850567109</v>
      </c>
      <c r="AD28" s="19">
        <f t="shared" si="12"/>
        <v>-5745.7527488378073</v>
      </c>
      <c r="AE28" s="19">
        <f t="shared" si="12"/>
        <v>-6259.0473139779515</v>
      </c>
      <c r="AF28" s="19">
        <f t="shared" si="12"/>
        <v>-6897.2709420931342</v>
      </c>
    </row>
    <row r="29" spans="1:32" ht="15">
      <c r="A29" s="21" t="s">
        <v>76</v>
      </c>
      <c r="B29" s="134">
        <f>-B24</f>
        <v>0</v>
      </c>
      <c r="C29" s="134">
        <f t="shared" ref="C29:AF29" si="13">-C24</f>
        <v>0</v>
      </c>
      <c r="D29" s="134">
        <f t="shared" si="13"/>
        <v>0</v>
      </c>
      <c r="E29" s="134">
        <f t="shared" si="13"/>
        <v>0</v>
      </c>
      <c r="F29" s="134">
        <f t="shared" si="13"/>
        <v>0</v>
      </c>
      <c r="G29" s="134">
        <f t="shared" si="13"/>
        <v>0</v>
      </c>
      <c r="H29" s="134">
        <f t="shared" si="13"/>
        <v>-152.03106826646859</v>
      </c>
      <c r="I29" s="134">
        <f t="shared" si="13"/>
        <v>-504.70131359848153</v>
      </c>
      <c r="J29" s="134">
        <f t="shared" si="13"/>
        <v>-555.78401828725839</v>
      </c>
      <c r="K29" s="134">
        <f t="shared" si="13"/>
        <v>-609.63814816049569</v>
      </c>
      <c r="L29" s="134">
        <f t="shared" si="13"/>
        <v>-664.81211211293567</v>
      </c>
      <c r="M29" s="134">
        <f t="shared" si="13"/>
        <v>-679.25583486767653</v>
      </c>
      <c r="N29" s="134">
        <f t="shared" si="13"/>
        <v>-675.50466256613231</v>
      </c>
      <c r="O29" s="134">
        <f t="shared" si="13"/>
        <v>-670.30439801570139</v>
      </c>
      <c r="P29" s="134">
        <f t="shared" si="13"/>
        <v>-666.3022639213192</v>
      </c>
      <c r="Q29" s="134">
        <f t="shared" si="13"/>
        <v>-857.00010035051798</v>
      </c>
      <c r="R29" s="134">
        <f t="shared" si="13"/>
        <v>-1047.5633017239361</v>
      </c>
      <c r="S29" s="134">
        <f t="shared" si="13"/>
        <v>-1042.4944637169224</v>
      </c>
      <c r="T29" s="134">
        <f t="shared" si="13"/>
        <v>-1037.2831700696361</v>
      </c>
      <c r="U29" s="134">
        <f t="shared" si="13"/>
        <v>-1031.9253393028648</v>
      </c>
      <c r="V29" s="134">
        <f t="shared" si="13"/>
        <v>-230.57956076047313</v>
      </c>
      <c r="W29" s="134">
        <f t="shared" si="13"/>
        <v>0</v>
      </c>
      <c r="X29" s="134">
        <f t="shared" si="13"/>
        <v>0</v>
      </c>
      <c r="Y29" s="134">
        <f t="shared" si="13"/>
        <v>0</v>
      </c>
      <c r="Z29" s="134">
        <f t="shared" si="13"/>
        <v>0</v>
      </c>
      <c r="AA29" s="134">
        <f t="shared" si="13"/>
        <v>0</v>
      </c>
      <c r="AB29" s="134">
        <f t="shared" si="13"/>
        <v>0</v>
      </c>
      <c r="AC29" s="134">
        <f t="shared" si="13"/>
        <v>0</v>
      </c>
      <c r="AD29" s="134">
        <f t="shared" si="13"/>
        <v>0</v>
      </c>
      <c r="AE29" s="134">
        <f t="shared" si="13"/>
        <v>0</v>
      </c>
      <c r="AF29" s="134">
        <f t="shared" si="13"/>
        <v>0</v>
      </c>
    </row>
    <row r="30" spans="1:32">
      <c r="A30" s="129" t="s">
        <v>208</v>
      </c>
      <c r="B30" s="44">
        <f t="shared" ref="B30:AF30" si="14">SUM(B28:B29)</f>
        <v>-1624.2645310631415</v>
      </c>
      <c r="C30" s="44">
        <f t="shared" si="14"/>
        <v>-3707.3580617531788</v>
      </c>
      <c r="D30" s="44">
        <f t="shared" si="14"/>
        <v>-2365.8387314487882</v>
      </c>
      <c r="E30" s="44">
        <f t="shared" si="14"/>
        <v>-1080.3075849709203</v>
      </c>
      <c r="F30" s="44">
        <f t="shared" si="14"/>
        <v>171.75459922024129</v>
      </c>
      <c r="G30" s="44">
        <f t="shared" si="14"/>
        <v>4221.0840869521298</v>
      </c>
      <c r="H30" s="44">
        <f t="shared" si="14"/>
        <v>6404.771558603883</v>
      </c>
      <c r="I30" s="44">
        <f t="shared" si="14"/>
        <v>6705.3174520941111</v>
      </c>
      <c r="J30" s="44">
        <f t="shared" si="14"/>
        <v>7383.9876715307173</v>
      </c>
      <c r="K30" s="44">
        <f t="shared" si="14"/>
        <v>8099.4782541322993</v>
      </c>
      <c r="L30" s="44">
        <f t="shared" si="14"/>
        <v>8832.5037752147164</v>
      </c>
      <c r="M30" s="44">
        <f t="shared" si="14"/>
        <v>9024.3989489562737</v>
      </c>
      <c r="N30" s="44">
        <f t="shared" si="14"/>
        <v>8974.561945521471</v>
      </c>
      <c r="O30" s="44">
        <f t="shared" si="14"/>
        <v>8905.4727164943179</v>
      </c>
      <c r="P30" s="44">
        <f t="shared" si="14"/>
        <v>8852.301506383239</v>
      </c>
      <c r="Q30" s="44">
        <f t="shared" si="14"/>
        <v>11385.858476085452</v>
      </c>
      <c r="R30" s="44">
        <f t="shared" si="14"/>
        <v>13917.62672290372</v>
      </c>
      <c r="S30" s="44">
        <f t="shared" si="14"/>
        <v>13850.283589381967</v>
      </c>
      <c r="T30" s="44">
        <f t="shared" si="14"/>
        <v>13781.047830925163</v>
      </c>
      <c r="U30" s="44">
        <f t="shared" si="14"/>
        <v>13709.865222166633</v>
      </c>
      <c r="V30" s="44">
        <f t="shared" si="14"/>
        <v>3063.4141643891426</v>
      </c>
      <c r="W30" s="44">
        <f t="shared" si="14"/>
        <v>-3177.4944154910859</v>
      </c>
      <c r="X30" s="44">
        <f t="shared" si="14"/>
        <v>-3417.0628359585976</v>
      </c>
      <c r="Y30" s="44">
        <f t="shared" si="14"/>
        <v>-3729.0664663011944</v>
      </c>
      <c r="Z30" s="44">
        <f t="shared" si="14"/>
        <v>-4068.6563587046526</v>
      </c>
      <c r="AA30" s="44">
        <f t="shared" si="14"/>
        <v>-4437.2663459705</v>
      </c>
      <c r="AB30" s="44">
        <f t="shared" si="14"/>
        <v>-4837.8314170359172</v>
      </c>
      <c r="AC30" s="44">
        <f t="shared" si="14"/>
        <v>-5272.7224850567109</v>
      </c>
      <c r="AD30" s="44">
        <f t="shared" si="14"/>
        <v>-5745.7527488378073</v>
      </c>
      <c r="AE30" s="44">
        <f t="shared" si="14"/>
        <v>-6259.0473139779515</v>
      </c>
      <c r="AF30" s="44">
        <f t="shared" si="14"/>
        <v>-6897.2709420931342</v>
      </c>
    </row>
    <row r="31" spans="1:32">
      <c r="A31" s="129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77</v>
      </c>
      <c r="B32" s="135">
        <f>Assumptions!$N$50</f>
        <v>0.35</v>
      </c>
      <c r="C32" s="135">
        <f>Assumptions!$N$50</f>
        <v>0.35</v>
      </c>
      <c r="D32" s="135">
        <f>Assumptions!$N$50</f>
        <v>0.35</v>
      </c>
      <c r="E32" s="135">
        <f>Assumptions!$N$50</f>
        <v>0.35</v>
      </c>
      <c r="F32" s="135">
        <f>Assumptions!$N$50</f>
        <v>0.35</v>
      </c>
      <c r="G32" s="135">
        <f>Assumptions!$N$50</f>
        <v>0.35</v>
      </c>
      <c r="H32" s="135">
        <f>Assumptions!$N$50</f>
        <v>0.35</v>
      </c>
      <c r="I32" s="135">
        <f>Assumptions!$N$50</f>
        <v>0.35</v>
      </c>
      <c r="J32" s="135">
        <f>Assumptions!$N$50</f>
        <v>0.35</v>
      </c>
      <c r="K32" s="135">
        <f>Assumptions!$N$50</f>
        <v>0.35</v>
      </c>
      <c r="L32" s="135">
        <f>Assumptions!$N$50</f>
        <v>0.35</v>
      </c>
      <c r="M32" s="135">
        <f>Assumptions!$N$50</f>
        <v>0.35</v>
      </c>
      <c r="N32" s="135">
        <f>Assumptions!$N$50</f>
        <v>0.35</v>
      </c>
      <c r="O32" s="135">
        <f>Assumptions!$N$50</f>
        <v>0.35</v>
      </c>
      <c r="P32" s="135">
        <f>Assumptions!$N$50</f>
        <v>0.35</v>
      </c>
      <c r="Q32" s="135">
        <f>Assumptions!$N$50</f>
        <v>0.35</v>
      </c>
      <c r="R32" s="135">
        <f>Assumptions!$N$50</f>
        <v>0.35</v>
      </c>
      <c r="S32" s="135">
        <f>Assumptions!$N$50</f>
        <v>0.35</v>
      </c>
      <c r="T32" s="135">
        <f>Assumptions!$N$50</f>
        <v>0.35</v>
      </c>
      <c r="U32" s="135">
        <f>Assumptions!$N$50</f>
        <v>0.35</v>
      </c>
      <c r="V32" s="135">
        <f>Assumptions!$N$50</f>
        <v>0.35</v>
      </c>
      <c r="W32" s="135">
        <f>Assumptions!$N$50</f>
        <v>0.35</v>
      </c>
      <c r="X32" s="135">
        <f>Assumptions!$N$50</f>
        <v>0.35</v>
      </c>
      <c r="Y32" s="135">
        <f>Assumptions!$N$50</f>
        <v>0.35</v>
      </c>
      <c r="Z32" s="135">
        <f>Assumptions!$N$50</f>
        <v>0.35</v>
      </c>
      <c r="AA32" s="135">
        <f>Assumptions!$N$50</f>
        <v>0.35</v>
      </c>
      <c r="AB32" s="135">
        <f>Assumptions!$N$50</f>
        <v>0.35</v>
      </c>
      <c r="AC32" s="135">
        <f>Assumptions!$N$50</f>
        <v>0.35</v>
      </c>
      <c r="AD32" s="135">
        <f>Assumptions!$N$50</f>
        <v>0.35</v>
      </c>
      <c r="AE32" s="135">
        <f>Assumptions!$N$50</f>
        <v>0.35</v>
      </c>
      <c r="AF32" s="135">
        <f>Assumptions!$N$50</f>
        <v>0.35</v>
      </c>
    </row>
    <row r="33" spans="1:32">
      <c r="A33" s="21" t="s">
        <v>78</v>
      </c>
      <c r="B33" s="19">
        <f>B30*B32</f>
        <v>-568.49258587209943</v>
      </c>
      <c r="C33" s="19">
        <f t="shared" ref="C33:W33" si="15">C30*C32</f>
        <v>-1297.5753216136125</v>
      </c>
      <c r="D33" s="19">
        <f t="shared" si="15"/>
        <v>-828.04355600707584</v>
      </c>
      <c r="E33" s="19">
        <f t="shared" si="15"/>
        <v>-378.10765473982207</v>
      </c>
      <c r="F33" s="19">
        <f t="shared" si="15"/>
        <v>60.114109727084447</v>
      </c>
      <c r="G33" s="19">
        <f t="shared" si="15"/>
        <v>1477.3794304332453</v>
      </c>
      <c r="H33" s="19">
        <f t="shared" si="15"/>
        <v>2241.6700455113587</v>
      </c>
      <c r="I33" s="19">
        <f t="shared" si="15"/>
        <v>2346.8611082329389</v>
      </c>
      <c r="J33" s="19">
        <f t="shared" si="15"/>
        <v>2584.3956850357508</v>
      </c>
      <c r="K33" s="19">
        <f t="shared" si="15"/>
        <v>2834.8173889463046</v>
      </c>
      <c r="L33" s="19">
        <f t="shared" si="15"/>
        <v>3091.3763213251505</v>
      </c>
      <c r="M33" s="19">
        <f t="shared" si="15"/>
        <v>3158.5396321346957</v>
      </c>
      <c r="N33" s="19">
        <f t="shared" si="15"/>
        <v>3141.0966809325146</v>
      </c>
      <c r="O33" s="19">
        <f t="shared" si="15"/>
        <v>3116.9154507730109</v>
      </c>
      <c r="P33" s="19">
        <f t="shared" si="15"/>
        <v>3098.3055272341335</v>
      </c>
      <c r="Q33" s="19">
        <f t="shared" si="15"/>
        <v>3985.050466629908</v>
      </c>
      <c r="R33" s="19">
        <f t="shared" si="15"/>
        <v>4871.169353016302</v>
      </c>
      <c r="S33" s="19">
        <f t="shared" si="15"/>
        <v>4847.5992562836882</v>
      </c>
      <c r="T33" s="19">
        <f t="shared" si="15"/>
        <v>4823.366740823807</v>
      </c>
      <c r="U33" s="19">
        <f t="shared" si="15"/>
        <v>4798.4528277583213</v>
      </c>
      <c r="V33" s="19">
        <f t="shared" si="15"/>
        <v>1072.1949575361998</v>
      </c>
      <c r="W33" s="19">
        <f t="shared" si="15"/>
        <v>-1112.1230454218801</v>
      </c>
      <c r="X33" s="19">
        <f t="shared" ref="X33:AF33" si="16">X30*X32</f>
        <v>-1195.971992585509</v>
      </c>
      <c r="Y33" s="19">
        <f t="shared" si="16"/>
        <v>-1305.1732632054179</v>
      </c>
      <c r="Z33" s="19">
        <f t="shared" si="16"/>
        <v>-1424.0297255466282</v>
      </c>
      <c r="AA33" s="19">
        <f t="shared" si="16"/>
        <v>-1553.0432210896749</v>
      </c>
      <c r="AB33" s="19">
        <f t="shared" si="16"/>
        <v>-1693.2409959625709</v>
      </c>
      <c r="AC33" s="19">
        <f t="shared" si="16"/>
        <v>-1845.4528697698486</v>
      </c>
      <c r="AD33" s="19">
        <f t="shared" si="16"/>
        <v>-2011.0134620932324</v>
      </c>
      <c r="AE33" s="19">
        <f t="shared" si="16"/>
        <v>-2190.6665598922827</v>
      </c>
      <c r="AF33" s="19">
        <f t="shared" si="16"/>
        <v>-2414.044829732597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72</v>
      </c>
      <c r="B35" s="19">
        <v>0</v>
      </c>
      <c r="C35" s="19">
        <f t="shared" ref="C35:S35" si="17">B39</f>
        <v>568.49258587209943</v>
      </c>
      <c r="D35" s="19">
        <f t="shared" si="17"/>
        <v>1866.0679074857119</v>
      </c>
      <c r="E35" s="19">
        <f t="shared" si="17"/>
        <v>2694.1114634927876</v>
      </c>
      <c r="F35" s="19">
        <f t="shared" si="17"/>
        <v>3072.2191182326096</v>
      </c>
      <c r="G35" s="19">
        <f t="shared" si="17"/>
        <v>3012.1050085055253</v>
      </c>
      <c r="H35" s="19">
        <f t="shared" si="17"/>
        <v>1534.7255780722801</v>
      </c>
      <c r="I35" s="19">
        <f t="shared" si="17"/>
        <v>0</v>
      </c>
      <c r="J35" s="19">
        <f t="shared" si="17"/>
        <v>0</v>
      </c>
      <c r="K35" s="19">
        <f t="shared" si="17"/>
        <v>0</v>
      </c>
      <c r="L35" s="19">
        <f t="shared" si="17"/>
        <v>0</v>
      </c>
      <c r="M35" s="19">
        <f t="shared" si="17"/>
        <v>0</v>
      </c>
      <c r="N35" s="19">
        <f t="shared" si="17"/>
        <v>0</v>
      </c>
      <c r="O35" s="19">
        <f t="shared" si="17"/>
        <v>0</v>
      </c>
      <c r="P35" s="19">
        <f t="shared" si="17"/>
        <v>0</v>
      </c>
      <c r="Q35" s="19">
        <f t="shared" si="17"/>
        <v>0</v>
      </c>
      <c r="R35" s="19">
        <f t="shared" si="17"/>
        <v>0</v>
      </c>
      <c r="S35" s="19">
        <f t="shared" si="17"/>
        <v>0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0</v>
      </c>
      <c r="X35" s="19">
        <f t="shared" si="18"/>
        <v>1112.1230454218801</v>
      </c>
      <c r="Y35" s="19">
        <f t="shared" si="18"/>
        <v>2308.0950380073891</v>
      </c>
      <c r="Z35" s="19">
        <f t="shared" si="18"/>
        <v>3613.2683012128073</v>
      </c>
      <c r="AA35" s="19">
        <f t="shared" si="18"/>
        <v>5037.2980267594357</v>
      </c>
      <c r="AB35" s="19">
        <f t="shared" si="18"/>
        <v>6590.3412478491109</v>
      </c>
      <c r="AC35" s="19">
        <f t="shared" si="18"/>
        <v>8283.5822438116811</v>
      </c>
      <c r="AD35" s="19">
        <f t="shared" si="18"/>
        <v>10129.035113581529</v>
      </c>
      <c r="AE35" s="19">
        <f t="shared" si="18"/>
        <v>12140.048575674762</v>
      </c>
      <c r="AF35" s="19">
        <f t="shared" si="18"/>
        <v>14330.715135567045</v>
      </c>
    </row>
    <row r="36" spans="1:32">
      <c r="A36" s="21" t="s">
        <v>73</v>
      </c>
      <c r="B36" s="139">
        <f>IF(B33&lt;0,-B33,0)</f>
        <v>568.49258587209943</v>
      </c>
      <c r="C36" s="139">
        <f t="shared" ref="C36:AF36" si="19">IF(C33&lt;0,-C33,0)</f>
        <v>1297.5753216136125</v>
      </c>
      <c r="D36" s="139">
        <f t="shared" si="19"/>
        <v>828.04355600707584</v>
      </c>
      <c r="E36" s="139">
        <f t="shared" si="19"/>
        <v>378.10765473982207</v>
      </c>
      <c r="F36" s="139">
        <f t="shared" si="19"/>
        <v>0</v>
      </c>
      <c r="G36" s="139">
        <f t="shared" si="19"/>
        <v>0</v>
      </c>
      <c r="H36" s="139">
        <f t="shared" si="19"/>
        <v>0</v>
      </c>
      <c r="I36" s="139">
        <f t="shared" si="19"/>
        <v>0</v>
      </c>
      <c r="J36" s="139">
        <f t="shared" si="19"/>
        <v>0</v>
      </c>
      <c r="K36" s="139">
        <f t="shared" si="19"/>
        <v>0</v>
      </c>
      <c r="L36" s="139">
        <f t="shared" si="19"/>
        <v>0</v>
      </c>
      <c r="M36" s="139">
        <f t="shared" si="19"/>
        <v>0</v>
      </c>
      <c r="N36" s="139">
        <f t="shared" si="19"/>
        <v>0</v>
      </c>
      <c r="O36" s="139">
        <f t="shared" si="19"/>
        <v>0</v>
      </c>
      <c r="P36" s="139">
        <f t="shared" si="19"/>
        <v>0</v>
      </c>
      <c r="Q36" s="139">
        <f t="shared" si="19"/>
        <v>0</v>
      </c>
      <c r="R36" s="139">
        <f t="shared" si="19"/>
        <v>0</v>
      </c>
      <c r="S36" s="139">
        <f t="shared" si="19"/>
        <v>0</v>
      </c>
      <c r="T36" s="139">
        <f t="shared" si="19"/>
        <v>0</v>
      </c>
      <c r="U36" s="139">
        <f t="shared" si="19"/>
        <v>0</v>
      </c>
      <c r="V36" s="139">
        <f t="shared" si="19"/>
        <v>0</v>
      </c>
      <c r="W36" s="139">
        <f t="shared" si="19"/>
        <v>1112.1230454218801</v>
      </c>
      <c r="X36" s="139">
        <f t="shared" si="19"/>
        <v>1195.971992585509</v>
      </c>
      <c r="Y36" s="139">
        <f t="shared" si="19"/>
        <v>1305.1732632054179</v>
      </c>
      <c r="Z36" s="139">
        <f t="shared" si="19"/>
        <v>1424.0297255466282</v>
      </c>
      <c r="AA36" s="139">
        <f t="shared" si="19"/>
        <v>1553.0432210896749</v>
      </c>
      <c r="AB36" s="139">
        <f t="shared" si="19"/>
        <v>1693.2409959625709</v>
      </c>
      <c r="AC36" s="139">
        <f t="shared" si="19"/>
        <v>1845.4528697698486</v>
      </c>
      <c r="AD36" s="139">
        <f t="shared" si="19"/>
        <v>2011.0134620932324</v>
      </c>
      <c r="AE36" s="139">
        <f t="shared" si="19"/>
        <v>2190.6665598922827</v>
      </c>
      <c r="AF36" s="139">
        <f t="shared" si="19"/>
        <v>2414.044829732597</v>
      </c>
    </row>
    <row r="37" spans="1:32">
      <c r="A37" s="13" t="s">
        <v>284</v>
      </c>
      <c r="B37" s="466">
        <v>0</v>
      </c>
      <c r="C37" s="467">
        <v>0</v>
      </c>
      <c r="D37" s="467">
        <v>0</v>
      </c>
      <c r="E37" s="467">
        <v>0</v>
      </c>
      <c r="F37" s="467">
        <v>0</v>
      </c>
      <c r="G37" s="467">
        <v>0</v>
      </c>
      <c r="H37" s="467">
        <v>0</v>
      </c>
      <c r="I37" s="467">
        <v>0</v>
      </c>
      <c r="J37" s="467">
        <v>0</v>
      </c>
      <c r="K37" s="467">
        <v>0</v>
      </c>
      <c r="L37" s="467">
        <v>0</v>
      </c>
      <c r="M37" s="467">
        <v>0</v>
      </c>
      <c r="N37" s="467">
        <v>0</v>
      </c>
      <c r="O37" s="467">
        <v>0</v>
      </c>
      <c r="P37" s="468">
        <v>0</v>
      </c>
      <c r="Q37" s="469">
        <f>IF(-SUM(B38:P38, B37:P37)&gt;B36,0,-B36-SUM(B38:P38,B37:P37))</f>
        <v>0</v>
      </c>
      <c r="R37" s="469">
        <f t="shared" ref="R37:AF37" si="20">IF(-SUM(C38:Q38, C37:Q37)&gt;C36,0,-C36-SUM(C38:Q38,C37:Q37))</f>
        <v>0</v>
      </c>
      <c r="S37" s="469">
        <f t="shared" si="20"/>
        <v>0</v>
      </c>
      <c r="T37" s="469">
        <f t="shared" si="20"/>
        <v>0</v>
      </c>
      <c r="U37" s="469">
        <f t="shared" si="20"/>
        <v>0</v>
      </c>
      <c r="V37" s="469">
        <f t="shared" si="20"/>
        <v>0</v>
      </c>
      <c r="W37" s="469">
        <f t="shared" si="20"/>
        <v>0</v>
      </c>
      <c r="X37" s="469">
        <f t="shared" si="20"/>
        <v>0</v>
      </c>
      <c r="Y37" s="469">
        <f t="shared" si="20"/>
        <v>0</v>
      </c>
      <c r="Z37" s="469">
        <f t="shared" si="20"/>
        <v>0</v>
      </c>
      <c r="AA37" s="469">
        <f t="shared" si="20"/>
        <v>0</v>
      </c>
      <c r="AB37" s="469">
        <f t="shared" si="20"/>
        <v>0</v>
      </c>
      <c r="AC37" s="469">
        <f t="shared" si="20"/>
        <v>0</v>
      </c>
      <c r="AD37" s="469">
        <f t="shared" si="20"/>
        <v>0</v>
      </c>
      <c r="AE37" s="469">
        <f t="shared" si="20"/>
        <v>0</v>
      </c>
      <c r="AF37" s="469">
        <f t="shared" si="20"/>
        <v>0</v>
      </c>
    </row>
    <row r="38" spans="1:32">
      <c r="A38" s="13" t="s">
        <v>285</v>
      </c>
      <c r="B38" s="132">
        <f>IF(B33&lt;0,0,IF(B35&gt;B33,-B33,-B35))</f>
        <v>0</v>
      </c>
      <c r="C38" s="132">
        <f t="shared" ref="C38:V38" si="21">IF(C33&lt;0,0,IF(C35&gt;C33,-C33,-C35))</f>
        <v>0</v>
      </c>
      <c r="D38" s="132">
        <f t="shared" si="21"/>
        <v>0</v>
      </c>
      <c r="E38" s="132">
        <f t="shared" si="21"/>
        <v>0</v>
      </c>
      <c r="F38" s="132">
        <f t="shared" si="21"/>
        <v>-60.114109727084447</v>
      </c>
      <c r="G38" s="132">
        <f t="shared" si="21"/>
        <v>-1477.3794304332453</v>
      </c>
      <c r="H38" s="132">
        <f t="shared" si="21"/>
        <v>-1534.7255780722801</v>
      </c>
      <c r="I38" s="132">
        <f t="shared" si="21"/>
        <v>0</v>
      </c>
      <c r="J38" s="132">
        <f t="shared" si="21"/>
        <v>0</v>
      </c>
      <c r="K38" s="132">
        <f t="shared" si="21"/>
        <v>0</v>
      </c>
      <c r="L38" s="132">
        <f t="shared" si="21"/>
        <v>0</v>
      </c>
      <c r="M38" s="132">
        <f t="shared" si="21"/>
        <v>0</v>
      </c>
      <c r="N38" s="132">
        <f t="shared" si="21"/>
        <v>0</v>
      </c>
      <c r="O38" s="132">
        <f t="shared" si="21"/>
        <v>0</v>
      </c>
      <c r="P38" s="132">
        <f t="shared" si="21"/>
        <v>0</v>
      </c>
      <c r="Q38" s="132">
        <f t="shared" si="21"/>
        <v>0</v>
      </c>
      <c r="R38" s="132">
        <f t="shared" si="21"/>
        <v>0</v>
      </c>
      <c r="S38" s="132">
        <f t="shared" si="21"/>
        <v>0</v>
      </c>
      <c r="T38" s="132">
        <f t="shared" si="21"/>
        <v>0</v>
      </c>
      <c r="U38" s="132">
        <f t="shared" si="21"/>
        <v>0</v>
      </c>
      <c r="V38" s="132">
        <f t="shared" si="21"/>
        <v>0</v>
      </c>
      <c r="W38" s="132">
        <f>IF(W33&lt;0,0,IF(W35&gt;W33,-W33,-W35))</f>
        <v>0</v>
      </c>
      <c r="X38" s="132">
        <f t="shared" ref="X38:AF38" si="22">IF(X33&lt;0,0,IF(X35&gt;X33,-X33,-X35))</f>
        <v>0</v>
      </c>
      <c r="Y38" s="132">
        <f t="shared" si="22"/>
        <v>0</v>
      </c>
      <c r="Z38" s="132">
        <f t="shared" si="22"/>
        <v>0</v>
      </c>
      <c r="AA38" s="132">
        <f t="shared" si="22"/>
        <v>0</v>
      </c>
      <c r="AB38" s="132">
        <f t="shared" si="22"/>
        <v>0</v>
      </c>
      <c r="AC38" s="132">
        <f t="shared" si="22"/>
        <v>0</v>
      </c>
      <c r="AD38" s="132">
        <f t="shared" si="22"/>
        <v>0</v>
      </c>
      <c r="AE38" s="132">
        <f t="shared" si="22"/>
        <v>0</v>
      </c>
      <c r="AF38" s="132">
        <f t="shared" si="22"/>
        <v>0</v>
      </c>
    </row>
    <row r="39" spans="1:32">
      <c r="A39" s="13" t="s">
        <v>74</v>
      </c>
      <c r="B39" s="132">
        <f t="shared" ref="B39:AF39" si="23">SUM(B35:B38)</f>
        <v>568.49258587209943</v>
      </c>
      <c r="C39" s="132">
        <f t="shared" si="23"/>
        <v>1866.0679074857119</v>
      </c>
      <c r="D39" s="132">
        <f t="shared" si="23"/>
        <v>2694.1114634927876</v>
      </c>
      <c r="E39" s="132">
        <f t="shared" si="23"/>
        <v>3072.2191182326096</v>
      </c>
      <c r="F39" s="132">
        <f t="shared" si="23"/>
        <v>3012.1050085055253</v>
      </c>
      <c r="G39" s="132">
        <f t="shared" si="23"/>
        <v>1534.7255780722801</v>
      </c>
      <c r="H39" s="132">
        <f t="shared" si="23"/>
        <v>0</v>
      </c>
      <c r="I39" s="132">
        <f t="shared" si="23"/>
        <v>0</v>
      </c>
      <c r="J39" s="132">
        <f t="shared" si="23"/>
        <v>0</v>
      </c>
      <c r="K39" s="132">
        <f t="shared" si="23"/>
        <v>0</v>
      </c>
      <c r="L39" s="132">
        <f t="shared" si="23"/>
        <v>0</v>
      </c>
      <c r="M39" s="132">
        <f t="shared" si="23"/>
        <v>0</v>
      </c>
      <c r="N39" s="132">
        <f t="shared" si="23"/>
        <v>0</v>
      </c>
      <c r="O39" s="132">
        <f t="shared" si="23"/>
        <v>0</v>
      </c>
      <c r="P39" s="132">
        <f t="shared" si="23"/>
        <v>0</v>
      </c>
      <c r="Q39" s="132">
        <f t="shared" si="23"/>
        <v>0</v>
      </c>
      <c r="R39" s="132">
        <f t="shared" si="23"/>
        <v>0</v>
      </c>
      <c r="S39" s="132">
        <f t="shared" si="23"/>
        <v>0</v>
      </c>
      <c r="T39" s="132">
        <f t="shared" si="23"/>
        <v>0</v>
      </c>
      <c r="U39" s="132">
        <f t="shared" si="23"/>
        <v>0</v>
      </c>
      <c r="V39" s="132">
        <f t="shared" si="23"/>
        <v>0</v>
      </c>
      <c r="W39" s="132">
        <f t="shared" si="23"/>
        <v>1112.1230454218801</v>
      </c>
      <c r="X39" s="132">
        <f t="shared" si="23"/>
        <v>2308.0950380073891</v>
      </c>
      <c r="Y39" s="132">
        <f t="shared" si="23"/>
        <v>3613.2683012128073</v>
      </c>
      <c r="Z39" s="132">
        <f t="shared" si="23"/>
        <v>5037.2980267594357</v>
      </c>
      <c r="AA39" s="132">
        <f t="shared" si="23"/>
        <v>6590.3412478491109</v>
      </c>
      <c r="AB39" s="132">
        <f t="shared" si="23"/>
        <v>8283.5822438116811</v>
      </c>
      <c r="AC39" s="132">
        <f t="shared" si="23"/>
        <v>10129.035113581529</v>
      </c>
      <c r="AD39" s="132">
        <f t="shared" si="23"/>
        <v>12140.048575674762</v>
      </c>
      <c r="AE39" s="132">
        <f t="shared" si="23"/>
        <v>14330.715135567045</v>
      </c>
      <c r="AF39" s="132">
        <f t="shared" si="23"/>
        <v>16744.759965299643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209</v>
      </c>
      <c r="B41" s="136">
        <f>IF(B30&lt;0,0,B38+B33)</f>
        <v>0</v>
      </c>
      <c r="C41" s="136">
        <f t="shared" ref="C41:AF41" si="24">IF(C30&lt;0,0,C38+C33)</f>
        <v>0</v>
      </c>
      <c r="D41" s="136">
        <f t="shared" si="24"/>
        <v>0</v>
      </c>
      <c r="E41" s="136">
        <f t="shared" si="24"/>
        <v>0</v>
      </c>
      <c r="F41" s="136">
        <f t="shared" si="24"/>
        <v>0</v>
      </c>
      <c r="G41" s="136">
        <f t="shared" si="24"/>
        <v>0</v>
      </c>
      <c r="H41" s="136">
        <f t="shared" si="24"/>
        <v>706.94446743907861</v>
      </c>
      <c r="I41" s="136">
        <f t="shared" si="24"/>
        <v>2346.8611082329389</v>
      </c>
      <c r="J41" s="136">
        <f t="shared" si="24"/>
        <v>2584.3956850357508</v>
      </c>
      <c r="K41" s="136">
        <f t="shared" si="24"/>
        <v>2834.8173889463046</v>
      </c>
      <c r="L41" s="136">
        <f t="shared" si="24"/>
        <v>3091.3763213251505</v>
      </c>
      <c r="M41" s="136">
        <f t="shared" si="24"/>
        <v>3158.5396321346957</v>
      </c>
      <c r="N41" s="136">
        <f t="shared" si="24"/>
        <v>3141.0966809325146</v>
      </c>
      <c r="O41" s="136">
        <f t="shared" si="24"/>
        <v>3116.9154507730109</v>
      </c>
      <c r="P41" s="136">
        <f t="shared" si="24"/>
        <v>3098.3055272341335</v>
      </c>
      <c r="Q41" s="136">
        <f t="shared" si="24"/>
        <v>3985.050466629908</v>
      </c>
      <c r="R41" s="136">
        <f t="shared" si="24"/>
        <v>4871.169353016302</v>
      </c>
      <c r="S41" s="136">
        <f t="shared" si="24"/>
        <v>4847.5992562836882</v>
      </c>
      <c r="T41" s="136">
        <f t="shared" si="24"/>
        <v>4823.366740823807</v>
      </c>
      <c r="U41" s="136">
        <f t="shared" si="24"/>
        <v>4798.4528277583213</v>
      </c>
      <c r="V41" s="136">
        <f t="shared" si="24"/>
        <v>1072.1949575361998</v>
      </c>
      <c r="W41" s="136">
        <f t="shared" si="24"/>
        <v>0</v>
      </c>
      <c r="X41" s="136">
        <f t="shared" si="24"/>
        <v>0</v>
      </c>
      <c r="Y41" s="136">
        <f t="shared" si="24"/>
        <v>0</v>
      </c>
      <c r="Z41" s="136">
        <f t="shared" si="24"/>
        <v>0</v>
      </c>
      <c r="AA41" s="136">
        <f t="shared" si="24"/>
        <v>0</v>
      </c>
      <c r="AB41" s="136">
        <f t="shared" si="24"/>
        <v>0</v>
      </c>
      <c r="AC41" s="136">
        <f t="shared" si="24"/>
        <v>0</v>
      </c>
      <c r="AD41" s="136">
        <f t="shared" si="24"/>
        <v>0</v>
      </c>
      <c r="AE41" s="136">
        <f t="shared" si="24"/>
        <v>0</v>
      </c>
      <c r="AF41" s="136">
        <f t="shared" si="24"/>
        <v>0</v>
      </c>
    </row>
    <row r="42" spans="1:32">
      <c r="A42" s="43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91"/>
      <c r="Y42" s="91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0"/>
      <c r="Y43" s="90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topLeftCell="D26" zoomScale="75" zoomScaleNormal="75" workbookViewId="0">
      <selection activeCell="H41" sqref="H41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6" t="str">
        <f>Assumptions!A3</f>
        <v>PROJECT NAME: UAE-Lowell</v>
      </c>
    </row>
    <row r="4" spans="1:25" ht="18.75">
      <c r="A4" s="61" t="s">
        <v>186</v>
      </c>
      <c r="B4" s="217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25">
      <c r="A6" s="63" t="s">
        <v>345</v>
      </c>
      <c r="B6" s="234"/>
      <c r="C6" s="442">
        <f>Assumptions!C22</f>
        <v>10220</v>
      </c>
      <c r="D6" s="235"/>
      <c r="E6" s="235"/>
      <c r="F6" s="235"/>
      <c r="G6" s="235"/>
      <c r="H6" s="235"/>
      <c r="I6" s="236"/>
      <c r="J6" s="235"/>
      <c r="K6" s="235"/>
      <c r="L6" s="235"/>
      <c r="M6" s="235"/>
      <c r="N6" s="235"/>
      <c r="O6" s="236"/>
      <c r="P6" s="235"/>
      <c r="Q6" s="235"/>
      <c r="R6" s="235"/>
      <c r="S6" s="235"/>
      <c r="T6" s="235"/>
      <c r="U6" s="236"/>
      <c r="V6" s="235"/>
      <c r="W6" s="235"/>
      <c r="X6" s="238"/>
      <c r="Y6" s="238"/>
    </row>
    <row r="7" spans="1:25">
      <c r="A7" s="63" t="s">
        <v>193</v>
      </c>
      <c r="B7" s="234"/>
      <c r="C7" s="452">
        <f>Assumptions!H16</f>
        <v>7</v>
      </c>
      <c r="D7" s="235"/>
      <c r="E7" s="235"/>
      <c r="F7" s="235"/>
      <c r="G7" s="235"/>
      <c r="H7" s="235"/>
      <c r="I7" s="236"/>
      <c r="J7" s="235"/>
      <c r="K7" s="235"/>
      <c r="L7" s="235"/>
      <c r="M7" s="235"/>
      <c r="N7" s="235"/>
      <c r="O7" s="236"/>
      <c r="P7" s="235"/>
      <c r="Q7" s="235"/>
      <c r="R7" s="235"/>
      <c r="S7" s="235"/>
      <c r="T7" s="235"/>
      <c r="U7" s="236"/>
      <c r="V7" s="235"/>
      <c r="W7" s="235"/>
      <c r="X7" s="238"/>
      <c r="Y7" s="238"/>
    </row>
    <row r="8" spans="1:25">
      <c r="A8" s="63" t="s">
        <v>191</v>
      </c>
      <c r="B8" s="234"/>
      <c r="C8" s="525">
        <f>Assumptions!H39</f>
        <v>8.2500000000000004E-2</v>
      </c>
      <c r="D8" s="243">
        <f>C8/360</f>
        <v>2.2916666666666669E-4</v>
      </c>
      <c r="E8" s="235"/>
      <c r="F8" s="235"/>
      <c r="G8" s="235"/>
      <c r="H8" s="235"/>
      <c r="I8" s="236"/>
      <c r="J8" s="235"/>
      <c r="K8" s="235"/>
      <c r="L8" s="235"/>
      <c r="M8" s="235"/>
      <c r="N8" s="235"/>
      <c r="O8" s="236"/>
      <c r="P8" s="235"/>
      <c r="Q8" s="235"/>
      <c r="R8" s="235"/>
      <c r="S8" s="235"/>
      <c r="T8" s="235"/>
      <c r="U8" s="236"/>
      <c r="V8" s="235"/>
      <c r="W8" s="235"/>
      <c r="X8" s="238"/>
      <c r="Y8" s="238"/>
    </row>
    <row r="9" spans="1:25">
      <c r="A9" s="63"/>
      <c r="B9" s="234"/>
      <c r="C9" s="242" t="s">
        <v>192</v>
      </c>
      <c r="D9" s="242" t="s">
        <v>228</v>
      </c>
      <c r="E9" s="235"/>
      <c r="F9" s="235"/>
      <c r="G9" s="235"/>
      <c r="H9" s="235"/>
      <c r="I9" s="236"/>
      <c r="J9" s="235"/>
      <c r="K9" s="235"/>
      <c r="L9" s="235"/>
      <c r="M9" s="235"/>
      <c r="N9" s="235"/>
      <c r="O9" s="236"/>
      <c r="P9" s="235"/>
      <c r="Q9" s="235"/>
      <c r="R9" s="235"/>
      <c r="S9" s="235"/>
      <c r="T9" s="235"/>
      <c r="U9" s="236"/>
      <c r="V9" s="235"/>
      <c r="W9" s="235"/>
      <c r="X9" s="238"/>
      <c r="Y9" s="238"/>
    </row>
    <row r="10" spans="1:25">
      <c r="A10" s="63"/>
      <c r="B10" s="234"/>
      <c r="C10" s="242"/>
      <c r="D10" s="242"/>
      <c r="E10" s="235"/>
      <c r="F10" s="235"/>
      <c r="G10" s="235"/>
      <c r="H10" s="235"/>
      <c r="I10" s="236"/>
      <c r="J10" s="235"/>
      <c r="K10" s="235"/>
      <c r="L10" s="235"/>
      <c r="M10" s="235"/>
      <c r="N10" s="235"/>
      <c r="O10" s="236"/>
      <c r="P10" s="235"/>
      <c r="Q10" s="235"/>
      <c r="R10" s="235"/>
      <c r="S10" s="235"/>
      <c r="T10" s="235"/>
      <c r="U10" s="236"/>
      <c r="V10" s="235"/>
      <c r="W10" s="235"/>
      <c r="X10" s="238"/>
      <c r="Y10" s="238"/>
    </row>
    <row r="11" spans="1:25">
      <c r="A11" s="63"/>
      <c r="B11" s="234"/>
      <c r="C11" s="242"/>
      <c r="D11" s="242"/>
      <c r="E11" s="235"/>
      <c r="F11" s="235"/>
      <c r="G11" s="235"/>
      <c r="H11" s="235"/>
      <c r="I11" s="236"/>
      <c r="J11" s="235"/>
      <c r="K11" s="235"/>
      <c r="L11" s="235"/>
      <c r="M11" s="235"/>
      <c r="N11" s="235"/>
      <c r="O11" s="236"/>
      <c r="P11" s="235"/>
      <c r="Q11" s="235"/>
      <c r="R11" s="235"/>
      <c r="S11" s="235"/>
      <c r="T11" s="235"/>
      <c r="U11" s="236"/>
      <c r="V11" s="235"/>
      <c r="W11" s="235"/>
      <c r="X11" s="238"/>
      <c r="Y11" s="238"/>
    </row>
    <row r="12" spans="1:25">
      <c r="A12" s="5"/>
      <c r="B12" s="231"/>
      <c r="C12" s="231"/>
      <c r="D12" s="232" t="s">
        <v>180</v>
      </c>
      <c r="E12" s="230" t="s">
        <v>187</v>
      </c>
      <c r="F12" s="231"/>
      <c r="G12" s="231"/>
      <c r="H12" s="231"/>
      <c r="I12" s="231"/>
      <c r="J12" s="226"/>
    </row>
    <row r="13" spans="1:25">
      <c r="A13" s="230" t="s">
        <v>177</v>
      </c>
      <c r="B13" s="5"/>
      <c r="C13" s="5"/>
      <c r="D13" s="232" t="s">
        <v>188</v>
      </c>
      <c r="E13" s="232" t="s">
        <v>181</v>
      </c>
      <c r="F13" s="232" t="s">
        <v>182</v>
      </c>
      <c r="G13" s="237" t="s">
        <v>183</v>
      </c>
      <c r="H13" s="232" t="s">
        <v>184</v>
      </c>
      <c r="I13" s="232" t="s">
        <v>185</v>
      </c>
      <c r="J13" s="66"/>
    </row>
    <row r="14" spans="1:25">
      <c r="A14" s="227" t="s">
        <v>178</v>
      </c>
      <c r="B14" s="227" t="s">
        <v>129</v>
      </c>
      <c r="C14" s="227" t="s">
        <v>179</v>
      </c>
      <c r="D14" s="227" t="s">
        <v>190</v>
      </c>
      <c r="E14" s="227" t="s">
        <v>190</v>
      </c>
      <c r="F14" s="227" t="s">
        <v>190</v>
      </c>
      <c r="G14" s="227" t="s">
        <v>190</v>
      </c>
      <c r="H14" s="227" t="s">
        <v>190</v>
      </c>
      <c r="I14" s="227" t="s">
        <v>190</v>
      </c>
      <c r="J14" s="66"/>
    </row>
    <row r="15" spans="1:25">
      <c r="A15" s="228">
        <v>1</v>
      </c>
      <c r="B15" s="229">
        <v>36617</v>
      </c>
      <c r="C15" s="268">
        <f>HLOOKUP(Assumptions!$H$12,IDC!$I$40:$M$56,2+F42)</f>
        <v>0.17</v>
      </c>
      <c r="D15" s="239">
        <f>D59*Assumptions!H12</f>
        <v>71302.248036658537</v>
      </c>
      <c r="E15" s="240">
        <f t="shared" ref="E15:E33" si="0">C15*$C$6</f>
        <v>1737.4</v>
      </c>
      <c r="F15" s="240">
        <f t="shared" ref="F15:F33" si="1">+E15+D15</f>
        <v>73039.648036658531</v>
      </c>
      <c r="G15" s="240">
        <f>F15+H15</f>
        <v>73039.648036658531</v>
      </c>
      <c r="H15" s="240">
        <v>0</v>
      </c>
      <c r="I15" s="240">
        <v>0</v>
      </c>
      <c r="K15" s="440"/>
    </row>
    <row r="16" spans="1:25">
      <c r="A16" s="228">
        <f t="shared" ref="A16:A33" si="2">A15+1</f>
        <v>2</v>
      </c>
      <c r="B16" s="229">
        <v>36647</v>
      </c>
      <c r="C16" s="268">
        <f>HLOOKUP(Assumptions!$H$12,IDC!$I$40:$M$56,2+F43)</f>
        <v>0.12</v>
      </c>
      <c r="D16" s="239">
        <v>0</v>
      </c>
      <c r="E16" s="240">
        <f t="shared" si="0"/>
        <v>1226.3999999999999</v>
      </c>
      <c r="F16" s="240">
        <f t="shared" si="1"/>
        <v>1226.3999999999999</v>
      </c>
      <c r="G16" s="240">
        <f t="shared" ref="G16:G33" si="3">F16+G15+H16</f>
        <v>74768.195616910554</v>
      </c>
      <c r="H16" s="240">
        <f>IF(A16&gt;$C$7+1,0,G15*(B16-B15)*$D$8)</f>
        <v>502.14758025202747</v>
      </c>
      <c r="I16" s="240">
        <f>IF(A16&lt;=$C$7+1,H16+I15,I15)</f>
        <v>502.14758025202747</v>
      </c>
      <c r="K16" s="440"/>
    </row>
    <row r="17" spans="1:11">
      <c r="A17" s="228">
        <f t="shared" si="2"/>
        <v>3</v>
      </c>
      <c r="B17" s="229">
        <v>36678</v>
      </c>
      <c r="C17" s="268">
        <f>HLOOKUP(Assumptions!$H$12,IDC!$I$40:$M$56,2+F44)</f>
        <v>0.12</v>
      </c>
      <c r="D17" s="239">
        <v>0</v>
      </c>
      <c r="E17" s="240">
        <f t="shared" si="0"/>
        <v>1226.3999999999999</v>
      </c>
      <c r="F17" s="240">
        <f t="shared" si="1"/>
        <v>1226.3999999999999</v>
      </c>
      <c r="G17" s="240">
        <f t="shared" si="3"/>
        <v>76525.76133993901</v>
      </c>
      <c r="H17" s="240">
        <f t="shared" ref="H17:H33" si="4">IF(A17&gt;$C$7+1,0,G16*(B17-B16)*$D$8)</f>
        <v>531.16572302846873</v>
      </c>
      <c r="I17" s="240">
        <f t="shared" ref="I17:I33" si="5">IF(A17&lt;=$C$7+1,H17+I16,I16)</f>
        <v>1033.3133032804963</v>
      </c>
      <c r="K17" s="440"/>
    </row>
    <row r="18" spans="1:11">
      <c r="A18" s="228">
        <f t="shared" si="2"/>
        <v>4</v>
      </c>
      <c r="B18" s="229">
        <v>36708</v>
      </c>
      <c r="C18" s="268">
        <f>HLOOKUP(Assumptions!$H$12,IDC!$I$40:$M$56,2+F45)</f>
        <v>0.14000000000000001</v>
      </c>
      <c r="D18" s="239">
        <v>0</v>
      </c>
      <c r="E18" s="240">
        <f t="shared" si="0"/>
        <v>1430.8000000000002</v>
      </c>
      <c r="F18" s="240">
        <f t="shared" si="1"/>
        <v>1430.8000000000002</v>
      </c>
      <c r="G18" s="240">
        <f t="shared" si="3"/>
        <v>78482.675949151089</v>
      </c>
      <c r="H18" s="240">
        <f t="shared" si="4"/>
        <v>526.11460921208072</v>
      </c>
      <c r="I18" s="240">
        <f t="shared" si="5"/>
        <v>1559.427912492577</v>
      </c>
      <c r="K18" s="440"/>
    </row>
    <row r="19" spans="1:11">
      <c r="A19" s="228">
        <f t="shared" si="2"/>
        <v>5</v>
      </c>
      <c r="B19" s="229">
        <v>36739</v>
      </c>
      <c r="C19" s="268">
        <f>HLOOKUP(Assumptions!$H$12,IDC!$I$40:$M$56,2+F46)</f>
        <v>0.13</v>
      </c>
      <c r="D19" s="239">
        <v>0</v>
      </c>
      <c r="E19" s="240">
        <f t="shared" si="0"/>
        <v>1328.6000000000001</v>
      </c>
      <c r="F19" s="240">
        <f t="shared" si="1"/>
        <v>1328.6000000000001</v>
      </c>
      <c r="G19" s="240">
        <f t="shared" si="3"/>
        <v>80368.829959539857</v>
      </c>
      <c r="H19" s="240">
        <f t="shared" si="4"/>
        <v>557.55401038876096</v>
      </c>
      <c r="I19" s="240">
        <f t="shared" si="5"/>
        <v>2116.9819228813381</v>
      </c>
      <c r="K19" s="440"/>
    </row>
    <row r="20" spans="1:11">
      <c r="A20" s="228">
        <f t="shared" si="2"/>
        <v>6</v>
      </c>
      <c r="B20" s="229">
        <v>36770</v>
      </c>
      <c r="C20" s="268">
        <f>HLOOKUP(Assumptions!$H$12,IDC!$I$40:$M$56,2+F47)</f>
        <v>0.12</v>
      </c>
      <c r="D20" s="239">
        <v>0</v>
      </c>
      <c r="E20" s="240">
        <f t="shared" si="0"/>
        <v>1226.3999999999999</v>
      </c>
      <c r="F20" s="240">
        <f t="shared" si="1"/>
        <v>1226.3999999999999</v>
      </c>
      <c r="G20" s="240">
        <f t="shared" si="3"/>
        <v>82166.183522377411</v>
      </c>
      <c r="H20" s="240">
        <f t="shared" si="4"/>
        <v>570.9535628375645</v>
      </c>
      <c r="I20" s="240">
        <f t="shared" si="5"/>
        <v>2687.9354857189028</v>
      </c>
      <c r="K20" s="440"/>
    </row>
    <row r="21" spans="1:11">
      <c r="A21" s="228">
        <f t="shared" si="2"/>
        <v>7</v>
      </c>
      <c r="B21" s="229">
        <v>36800</v>
      </c>
      <c r="C21" s="268">
        <f>HLOOKUP(Assumptions!$H$12,IDC!$I$40:$M$56,2+F48)</f>
        <v>0.1</v>
      </c>
      <c r="D21" s="239">
        <v>0</v>
      </c>
      <c r="E21" s="240">
        <f t="shared" si="0"/>
        <v>1022</v>
      </c>
      <c r="F21" s="240">
        <f t="shared" si="1"/>
        <v>1022</v>
      </c>
      <c r="G21" s="240">
        <f t="shared" si="3"/>
        <v>83753.076034093756</v>
      </c>
      <c r="H21" s="240">
        <f t="shared" si="4"/>
        <v>564.89251171634476</v>
      </c>
      <c r="I21" s="240">
        <f t="shared" si="5"/>
        <v>3252.8279974352477</v>
      </c>
      <c r="K21" s="440"/>
    </row>
    <row r="22" spans="1:11">
      <c r="A22" s="228">
        <f t="shared" si="2"/>
        <v>8</v>
      </c>
      <c r="B22" s="229">
        <v>36831</v>
      </c>
      <c r="C22" s="268">
        <f>HLOOKUP(Assumptions!$H$12,IDC!$I$40:$M$56,2+F49)</f>
        <v>0.1</v>
      </c>
      <c r="D22" s="239">
        <v>0</v>
      </c>
      <c r="E22" s="240">
        <f t="shared" si="0"/>
        <v>1022</v>
      </c>
      <c r="F22" s="240">
        <f t="shared" si="1"/>
        <v>1022</v>
      </c>
      <c r="G22" s="240">
        <f t="shared" si="3"/>
        <v>85370.071845085957</v>
      </c>
      <c r="H22" s="240">
        <f t="shared" si="4"/>
        <v>594.99581099220779</v>
      </c>
      <c r="I22" s="240">
        <f t="shared" si="5"/>
        <v>3847.8238084274553</v>
      </c>
      <c r="K22" s="440"/>
    </row>
    <row r="23" spans="1:11">
      <c r="A23" s="228">
        <f t="shared" si="2"/>
        <v>9</v>
      </c>
      <c r="B23" s="229">
        <v>36861</v>
      </c>
      <c r="C23" s="268">
        <f>HLOOKUP(Assumptions!$H$12,IDC!$I$40:$M$56,2+F50)</f>
        <v>0</v>
      </c>
      <c r="D23" s="239">
        <v>0</v>
      </c>
      <c r="E23" s="240">
        <f t="shared" si="0"/>
        <v>0</v>
      </c>
      <c r="F23" s="240">
        <f t="shared" si="1"/>
        <v>0</v>
      </c>
      <c r="G23" s="240">
        <f t="shared" si="3"/>
        <v>85370.071845085957</v>
      </c>
      <c r="H23" s="240">
        <f t="shared" si="4"/>
        <v>0</v>
      </c>
      <c r="I23" s="240">
        <f t="shared" si="5"/>
        <v>3847.8238084274553</v>
      </c>
      <c r="K23" s="440"/>
    </row>
    <row r="24" spans="1:11">
      <c r="A24" s="228">
        <f t="shared" si="2"/>
        <v>10</v>
      </c>
      <c r="B24" s="229">
        <v>36892</v>
      </c>
      <c r="C24" s="268">
        <f>HLOOKUP(Assumptions!$H$12,IDC!$I$40:$M$56,2+F51)</f>
        <v>0</v>
      </c>
      <c r="D24" s="239">
        <v>0</v>
      </c>
      <c r="E24" s="240">
        <f t="shared" si="0"/>
        <v>0</v>
      </c>
      <c r="F24" s="240">
        <f t="shared" si="1"/>
        <v>0</v>
      </c>
      <c r="G24" s="240">
        <f t="shared" si="3"/>
        <v>85370.071845085957</v>
      </c>
      <c r="H24" s="240">
        <f t="shared" si="4"/>
        <v>0</v>
      </c>
      <c r="I24" s="240">
        <f t="shared" si="5"/>
        <v>3847.8238084274553</v>
      </c>
      <c r="K24" s="440"/>
    </row>
    <row r="25" spans="1:11">
      <c r="A25" s="228">
        <f t="shared" si="2"/>
        <v>11</v>
      </c>
      <c r="B25" s="229">
        <v>36923</v>
      </c>
      <c r="C25" s="268">
        <f>HLOOKUP(Assumptions!$H$12,IDC!$I$40:$M$56,2+F52)</f>
        <v>0</v>
      </c>
      <c r="D25" s="239">
        <v>0</v>
      </c>
      <c r="E25" s="240">
        <f t="shared" si="0"/>
        <v>0</v>
      </c>
      <c r="F25" s="240">
        <f t="shared" si="1"/>
        <v>0</v>
      </c>
      <c r="G25" s="240">
        <f t="shared" si="3"/>
        <v>85370.071845085957</v>
      </c>
      <c r="H25" s="240">
        <f t="shared" si="4"/>
        <v>0</v>
      </c>
      <c r="I25" s="240">
        <f t="shared" si="5"/>
        <v>3847.8238084274553</v>
      </c>
      <c r="K25" s="440"/>
    </row>
    <row r="26" spans="1:11">
      <c r="A26" s="228">
        <f t="shared" si="2"/>
        <v>12</v>
      </c>
      <c r="B26" s="229">
        <v>36951</v>
      </c>
      <c r="C26" s="268">
        <f>HLOOKUP(Assumptions!$H$12,IDC!$I$40:$M$56,2+F53)</f>
        <v>0</v>
      </c>
      <c r="D26" s="239">
        <v>0</v>
      </c>
      <c r="E26" s="240">
        <f t="shared" si="0"/>
        <v>0</v>
      </c>
      <c r="F26" s="240">
        <f t="shared" si="1"/>
        <v>0</v>
      </c>
      <c r="G26" s="240">
        <f t="shared" si="3"/>
        <v>85370.071845085957</v>
      </c>
      <c r="H26" s="240">
        <f t="shared" si="4"/>
        <v>0</v>
      </c>
      <c r="I26" s="240">
        <f t="shared" si="5"/>
        <v>3847.8238084274553</v>
      </c>
      <c r="K26" s="440"/>
    </row>
    <row r="27" spans="1:11">
      <c r="A27" s="228">
        <f t="shared" si="2"/>
        <v>13</v>
      </c>
      <c r="B27" s="229">
        <v>36982</v>
      </c>
      <c r="C27" s="268">
        <f>HLOOKUP(Assumptions!$H$12,IDC!$I$40:$M$56,2+F54)</f>
        <v>0</v>
      </c>
      <c r="D27" s="239">
        <v>0</v>
      </c>
      <c r="E27" s="240">
        <f t="shared" si="0"/>
        <v>0</v>
      </c>
      <c r="F27" s="240">
        <f t="shared" si="1"/>
        <v>0</v>
      </c>
      <c r="G27" s="240">
        <f t="shared" si="3"/>
        <v>85370.071845085957</v>
      </c>
      <c r="H27" s="240">
        <f t="shared" si="4"/>
        <v>0</v>
      </c>
      <c r="I27" s="240">
        <f t="shared" si="5"/>
        <v>3847.8238084274553</v>
      </c>
      <c r="K27" s="440"/>
    </row>
    <row r="28" spans="1:11">
      <c r="A28" s="228">
        <f t="shared" si="2"/>
        <v>14</v>
      </c>
      <c r="B28" s="229">
        <v>37012</v>
      </c>
      <c r="C28" s="268">
        <f>HLOOKUP(Assumptions!$H$12,IDC!$I$40:$M$56,2+F55)</f>
        <v>0</v>
      </c>
      <c r="D28" s="239">
        <v>0</v>
      </c>
      <c r="E28" s="240">
        <f t="shared" si="0"/>
        <v>0</v>
      </c>
      <c r="F28" s="240">
        <f t="shared" si="1"/>
        <v>0</v>
      </c>
      <c r="G28" s="240">
        <f t="shared" si="3"/>
        <v>85370.071845085957</v>
      </c>
      <c r="H28" s="240">
        <f t="shared" si="4"/>
        <v>0</v>
      </c>
      <c r="I28" s="240">
        <f t="shared" si="5"/>
        <v>3847.8238084274553</v>
      </c>
      <c r="K28" s="440"/>
    </row>
    <row r="29" spans="1:11">
      <c r="A29" s="228">
        <f t="shared" si="2"/>
        <v>15</v>
      </c>
      <c r="B29" s="229">
        <v>37043</v>
      </c>
      <c r="C29" s="268">
        <f>HLOOKUP(Assumptions!$H$12,IDC!$I$40:$M$56,2+F56)</f>
        <v>0</v>
      </c>
      <c r="D29" s="239">
        <v>0</v>
      </c>
      <c r="E29" s="240">
        <f t="shared" si="0"/>
        <v>0</v>
      </c>
      <c r="F29" s="240">
        <f t="shared" si="1"/>
        <v>0</v>
      </c>
      <c r="G29" s="240">
        <f t="shared" si="3"/>
        <v>85370.071845085957</v>
      </c>
      <c r="H29" s="240">
        <f t="shared" si="4"/>
        <v>0</v>
      </c>
      <c r="I29" s="240">
        <f t="shared" si="5"/>
        <v>3847.8238084274553</v>
      </c>
      <c r="K29" s="440"/>
    </row>
    <row r="30" spans="1:11">
      <c r="A30" s="228">
        <f t="shared" si="2"/>
        <v>16</v>
      </c>
      <c r="B30" s="229">
        <v>37073</v>
      </c>
      <c r="C30" s="268">
        <v>0</v>
      </c>
      <c r="D30" s="239">
        <v>0</v>
      </c>
      <c r="E30" s="240">
        <f t="shared" si="0"/>
        <v>0</v>
      </c>
      <c r="F30" s="240">
        <f t="shared" si="1"/>
        <v>0</v>
      </c>
      <c r="G30" s="240">
        <f t="shared" si="3"/>
        <v>85370.071845085957</v>
      </c>
      <c r="H30" s="240">
        <f t="shared" si="4"/>
        <v>0</v>
      </c>
      <c r="I30" s="240">
        <f t="shared" si="5"/>
        <v>3847.8238084274553</v>
      </c>
      <c r="K30" s="440"/>
    </row>
    <row r="31" spans="1:11">
      <c r="A31" s="228">
        <f t="shared" si="2"/>
        <v>17</v>
      </c>
      <c r="B31" s="229">
        <v>37104</v>
      </c>
      <c r="C31" s="268">
        <v>0</v>
      </c>
      <c r="D31" s="239">
        <v>0</v>
      </c>
      <c r="E31" s="240">
        <f t="shared" si="0"/>
        <v>0</v>
      </c>
      <c r="F31" s="240">
        <f t="shared" si="1"/>
        <v>0</v>
      </c>
      <c r="G31" s="240">
        <f t="shared" si="3"/>
        <v>85370.071845085957</v>
      </c>
      <c r="H31" s="240">
        <f t="shared" si="4"/>
        <v>0</v>
      </c>
      <c r="I31" s="240">
        <f t="shared" si="5"/>
        <v>3847.8238084274553</v>
      </c>
      <c r="K31" s="440"/>
    </row>
    <row r="32" spans="1:11">
      <c r="A32" s="228">
        <f t="shared" si="2"/>
        <v>18</v>
      </c>
      <c r="B32" s="229">
        <v>37135</v>
      </c>
      <c r="C32" s="268">
        <v>0</v>
      </c>
      <c r="D32" s="239">
        <v>0</v>
      </c>
      <c r="E32" s="240">
        <f t="shared" si="0"/>
        <v>0</v>
      </c>
      <c r="F32" s="240">
        <f t="shared" si="1"/>
        <v>0</v>
      </c>
      <c r="G32" s="240">
        <f t="shared" si="3"/>
        <v>85370.071845085957</v>
      </c>
      <c r="H32" s="240">
        <f t="shared" si="4"/>
        <v>0</v>
      </c>
      <c r="I32" s="240">
        <f t="shared" si="5"/>
        <v>3847.8238084274553</v>
      </c>
      <c r="K32" s="440"/>
    </row>
    <row r="33" spans="1:13">
      <c r="A33" s="228">
        <f t="shared" si="2"/>
        <v>19</v>
      </c>
      <c r="B33" s="229">
        <v>37165</v>
      </c>
      <c r="C33" s="439">
        <v>0</v>
      </c>
      <c r="D33" s="244">
        <v>0</v>
      </c>
      <c r="E33" s="245">
        <f t="shared" si="0"/>
        <v>0</v>
      </c>
      <c r="F33" s="245">
        <f t="shared" si="1"/>
        <v>0</v>
      </c>
      <c r="G33" s="245">
        <f t="shared" si="3"/>
        <v>85370.071845085957</v>
      </c>
      <c r="H33" s="245">
        <f t="shared" si="4"/>
        <v>0</v>
      </c>
      <c r="I33" s="245">
        <f t="shared" si="5"/>
        <v>3847.8238084274553</v>
      </c>
      <c r="K33" s="440"/>
    </row>
    <row r="34" spans="1:13">
      <c r="C34" s="233">
        <f>SUM(C15:C33)</f>
        <v>1</v>
      </c>
      <c r="D34" s="241">
        <f>SUM(D15:D33)</f>
        <v>71302.248036658537</v>
      </c>
      <c r="E34" s="241">
        <f>SUM(E15:E33)</f>
        <v>10220</v>
      </c>
      <c r="F34" s="241">
        <f>SUM(F15:F33)</f>
        <v>81522.248036658522</v>
      </c>
      <c r="G34" s="18"/>
      <c r="H34" s="241">
        <f>SUM(H15:H33)</f>
        <v>3847.8238084274553</v>
      </c>
      <c r="I34" s="241"/>
    </row>
    <row r="38" spans="1:13" ht="18.75">
      <c r="A38" s="61" t="s">
        <v>224</v>
      </c>
      <c r="B38" s="283"/>
      <c r="F38"/>
      <c r="G38"/>
      <c r="H38"/>
      <c r="I38"/>
      <c r="J38"/>
      <c r="K38"/>
      <c r="L38"/>
    </row>
    <row r="39" spans="1:13" ht="13.5" thickBot="1">
      <c r="F39" s="405" t="s">
        <v>422</v>
      </c>
    </row>
    <row r="40" spans="1:13">
      <c r="F40" s="422"/>
      <c r="G40" s="419" t="s">
        <v>331</v>
      </c>
      <c r="H40" s="419">
        <v>1</v>
      </c>
      <c r="I40" s="419">
        <v>2</v>
      </c>
      <c r="J40" s="419">
        <v>3</v>
      </c>
      <c r="K40" s="419">
        <v>4</v>
      </c>
      <c r="L40" s="419">
        <v>5</v>
      </c>
      <c r="M40" s="420">
        <v>6</v>
      </c>
    </row>
    <row r="41" spans="1:13" ht="13.5" thickBot="1">
      <c r="A41" s="230" t="s">
        <v>332</v>
      </c>
      <c r="B41" s="230" t="s">
        <v>334</v>
      </c>
      <c r="C41" s="230" t="s">
        <v>336</v>
      </c>
      <c r="D41" s="230" t="s">
        <v>223</v>
      </c>
      <c r="F41" s="423" t="s">
        <v>178</v>
      </c>
      <c r="G41" s="421" t="s">
        <v>341</v>
      </c>
      <c r="H41" s="633">
        <v>5.5</v>
      </c>
      <c r="I41" s="633">
        <v>6</v>
      </c>
      <c r="J41" s="633">
        <v>6.5</v>
      </c>
      <c r="K41" s="633">
        <v>7</v>
      </c>
      <c r="L41" s="633">
        <v>7.5</v>
      </c>
      <c r="M41" s="634">
        <v>8</v>
      </c>
    </row>
    <row r="42" spans="1:13" ht="13.5" thickBot="1">
      <c r="A42" s="230" t="s">
        <v>333</v>
      </c>
      <c r="B42" s="230" t="s">
        <v>335</v>
      </c>
      <c r="C42" s="230" t="s">
        <v>337</v>
      </c>
      <c r="D42" s="230" t="s">
        <v>338</v>
      </c>
      <c r="F42" s="424">
        <v>1</v>
      </c>
      <c r="G42" s="411"/>
      <c r="H42" s="522">
        <v>0.17</v>
      </c>
      <c r="I42" s="522">
        <v>0.17</v>
      </c>
      <c r="J42" s="522">
        <v>0.17</v>
      </c>
      <c r="K42" s="412">
        <v>0.17</v>
      </c>
      <c r="L42" s="412">
        <v>0.17</v>
      </c>
      <c r="M42" s="413">
        <v>0.17</v>
      </c>
    </row>
    <row r="43" spans="1:13">
      <c r="A43" s="428" t="s">
        <v>222</v>
      </c>
      <c r="B43" s="429">
        <v>3</v>
      </c>
      <c r="C43" s="430">
        <v>36737</v>
      </c>
      <c r="D43" s="431">
        <v>36829</v>
      </c>
      <c r="F43" s="425">
        <v>2</v>
      </c>
      <c r="G43" s="179"/>
      <c r="H43" s="523">
        <v>0.16</v>
      </c>
      <c r="I43" s="523">
        <v>0.16</v>
      </c>
      <c r="J43" s="523">
        <v>0.16</v>
      </c>
      <c r="K43" s="414">
        <v>0.12</v>
      </c>
      <c r="L43" s="414">
        <v>0.12</v>
      </c>
      <c r="M43" s="415">
        <v>0.12</v>
      </c>
    </row>
    <row r="44" spans="1:13">
      <c r="A44" s="432" t="s">
        <v>221</v>
      </c>
      <c r="B44" s="426">
        <v>3</v>
      </c>
      <c r="C44" s="427">
        <v>36768</v>
      </c>
      <c r="D44" s="433">
        <v>36829</v>
      </c>
      <c r="F44" s="425">
        <v>3</v>
      </c>
      <c r="G44" s="179"/>
      <c r="H44" s="523">
        <v>0.16</v>
      </c>
      <c r="I44" s="523">
        <v>0.16</v>
      </c>
      <c r="J44" s="523">
        <v>0.13</v>
      </c>
      <c r="K44" s="414">
        <v>0.12</v>
      </c>
      <c r="L44" s="414">
        <v>0.12</v>
      </c>
      <c r="M44" s="415">
        <v>0.12</v>
      </c>
    </row>
    <row r="45" spans="1:13">
      <c r="A45" s="432" t="s">
        <v>220</v>
      </c>
      <c r="B45" s="426">
        <v>2</v>
      </c>
      <c r="C45" s="427">
        <v>36799</v>
      </c>
      <c r="D45" s="433">
        <v>36829</v>
      </c>
      <c r="F45" s="425">
        <v>4</v>
      </c>
      <c r="G45" s="179"/>
      <c r="H45" s="523">
        <v>0.16</v>
      </c>
      <c r="I45" s="523">
        <v>0.16</v>
      </c>
      <c r="J45" s="523">
        <v>0.16</v>
      </c>
      <c r="K45" s="414">
        <v>0.14000000000000001</v>
      </c>
      <c r="L45" s="414">
        <v>0.14000000000000001</v>
      </c>
      <c r="M45" s="415">
        <v>0.14000000000000001</v>
      </c>
    </row>
    <row r="46" spans="1:13">
      <c r="A46" s="432" t="s">
        <v>219</v>
      </c>
      <c r="B46" s="426">
        <v>3</v>
      </c>
      <c r="C46" s="427">
        <v>36829</v>
      </c>
      <c r="D46" s="433">
        <v>36829</v>
      </c>
      <c r="F46" s="425">
        <v>5</v>
      </c>
      <c r="G46" s="179"/>
      <c r="H46" s="523">
        <v>0.17</v>
      </c>
      <c r="I46" s="523">
        <v>0.17</v>
      </c>
      <c r="J46" s="523">
        <v>0.16</v>
      </c>
      <c r="K46" s="414">
        <v>0.18</v>
      </c>
      <c r="L46" s="414">
        <v>0.13</v>
      </c>
      <c r="M46" s="415">
        <v>0.13</v>
      </c>
    </row>
    <row r="47" spans="1:13">
      <c r="A47" s="432" t="s">
        <v>218</v>
      </c>
      <c r="B47" s="426">
        <v>2</v>
      </c>
      <c r="C47" s="427">
        <v>36860</v>
      </c>
      <c r="D47" s="433">
        <v>36860</v>
      </c>
      <c r="F47" s="425">
        <v>6</v>
      </c>
      <c r="G47" s="179"/>
      <c r="H47" s="523">
        <v>0.18</v>
      </c>
      <c r="I47" s="523">
        <v>0.18</v>
      </c>
      <c r="J47" s="523">
        <v>0.12</v>
      </c>
      <c r="K47" s="414">
        <v>0.12</v>
      </c>
      <c r="L47" s="414">
        <v>0.12</v>
      </c>
      <c r="M47" s="415">
        <v>0.12</v>
      </c>
    </row>
    <row r="48" spans="1:13">
      <c r="A48" s="434" t="s">
        <v>217</v>
      </c>
      <c r="B48" s="426">
        <v>2</v>
      </c>
      <c r="C48" s="427">
        <v>36890</v>
      </c>
      <c r="D48" s="433">
        <v>36890</v>
      </c>
      <c r="F48" s="425">
        <v>7</v>
      </c>
      <c r="G48" s="179"/>
      <c r="H48" s="523">
        <v>0</v>
      </c>
      <c r="I48" s="523">
        <v>0</v>
      </c>
      <c r="J48" s="523">
        <v>0.1</v>
      </c>
      <c r="K48" s="414">
        <v>0.15</v>
      </c>
      <c r="L48" s="414">
        <v>0.1</v>
      </c>
      <c r="M48" s="415">
        <v>0.1</v>
      </c>
    </row>
    <row r="49" spans="1:13">
      <c r="A49" s="434" t="s">
        <v>216</v>
      </c>
      <c r="B49" s="426">
        <v>3</v>
      </c>
      <c r="C49" s="427">
        <v>36555</v>
      </c>
      <c r="D49" s="433">
        <v>36555</v>
      </c>
      <c r="F49" s="425">
        <v>8</v>
      </c>
      <c r="G49" s="179"/>
      <c r="H49" s="523">
        <v>0</v>
      </c>
      <c r="I49" s="523">
        <v>0</v>
      </c>
      <c r="J49" s="523">
        <v>0</v>
      </c>
      <c r="K49" s="414">
        <v>0</v>
      </c>
      <c r="L49" s="414">
        <v>0.1</v>
      </c>
      <c r="M49" s="415">
        <v>0.1</v>
      </c>
    </row>
    <row r="50" spans="1:13">
      <c r="A50" s="434" t="s">
        <v>215</v>
      </c>
      <c r="B50" s="426">
        <v>2</v>
      </c>
      <c r="C50" s="427">
        <v>36950</v>
      </c>
      <c r="D50" s="433">
        <v>36950</v>
      </c>
      <c r="F50" s="425">
        <v>9</v>
      </c>
      <c r="G50" s="179"/>
      <c r="H50" s="523">
        <v>0</v>
      </c>
      <c r="I50" s="523">
        <v>0</v>
      </c>
      <c r="J50" s="523">
        <v>0</v>
      </c>
      <c r="K50" s="414">
        <v>0</v>
      </c>
      <c r="L50" s="414">
        <v>0</v>
      </c>
      <c r="M50" s="415">
        <v>0</v>
      </c>
    </row>
    <row r="51" spans="1:13">
      <c r="A51" s="434" t="s">
        <v>214</v>
      </c>
      <c r="B51" s="426">
        <v>2</v>
      </c>
      <c r="C51" s="427">
        <v>36980</v>
      </c>
      <c r="D51" s="433">
        <v>36980</v>
      </c>
      <c r="F51" s="425">
        <v>10</v>
      </c>
      <c r="G51" s="179"/>
      <c r="H51" s="523">
        <v>0</v>
      </c>
      <c r="I51" s="523">
        <v>0</v>
      </c>
      <c r="J51" s="523">
        <v>0</v>
      </c>
      <c r="K51" s="414">
        <v>0</v>
      </c>
      <c r="L51" s="414">
        <v>0</v>
      </c>
      <c r="M51" s="415">
        <v>0</v>
      </c>
    </row>
    <row r="52" spans="1:13" ht="13.5" thickBot="1">
      <c r="A52" s="435" t="s">
        <v>213</v>
      </c>
      <c r="B52" s="436">
        <v>2</v>
      </c>
      <c r="C52" s="437">
        <v>37011</v>
      </c>
      <c r="D52" s="438">
        <v>37011</v>
      </c>
      <c r="F52" s="425">
        <v>11</v>
      </c>
      <c r="G52" s="179"/>
      <c r="H52" s="523">
        <v>0</v>
      </c>
      <c r="I52" s="523">
        <v>0</v>
      </c>
      <c r="J52" s="523">
        <v>0</v>
      </c>
      <c r="K52" s="414">
        <v>0</v>
      </c>
      <c r="L52" s="414">
        <v>0</v>
      </c>
      <c r="M52" s="415">
        <v>0</v>
      </c>
    </row>
    <row r="53" spans="1:13">
      <c r="F53" s="425">
        <v>12</v>
      </c>
      <c r="G53" s="179"/>
      <c r="H53" s="523">
        <v>0</v>
      </c>
      <c r="I53" s="523">
        <v>0</v>
      </c>
      <c r="J53" s="523">
        <v>0</v>
      </c>
      <c r="K53" s="414">
        <v>0</v>
      </c>
      <c r="L53" s="414">
        <v>0</v>
      </c>
      <c r="M53" s="415">
        <v>0</v>
      </c>
    </row>
    <row r="54" spans="1:13" ht="13.5" thickBot="1">
      <c r="F54" s="425">
        <v>13</v>
      </c>
      <c r="G54" s="179"/>
      <c r="H54" s="523">
        <v>0</v>
      </c>
      <c r="I54" s="523">
        <v>0</v>
      </c>
      <c r="J54" s="523">
        <v>0</v>
      </c>
      <c r="K54" s="414">
        <v>0</v>
      </c>
      <c r="L54" s="414">
        <v>0</v>
      </c>
      <c r="M54" s="415">
        <v>0</v>
      </c>
    </row>
    <row r="55" spans="1:13">
      <c r="A55" s="287" t="s">
        <v>339</v>
      </c>
      <c r="B55" s="38"/>
      <c r="C55" s="38"/>
      <c r="D55" s="284"/>
      <c r="F55" s="425">
        <v>14</v>
      </c>
      <c r="G55" s="179"/>
      <c r="H55" s="414">
        <v>0</v>
      </c>
      <c r="I55" s="414">
        <v>0</v>
      </c>
      <c r="J55" s="414">
        <v>0</v>
      </c>
      <c r="K55" s="414">
        <v>0</v>
      </c>
      <c r="L55" s="414">
        <v>0</v>
      </c>
      <c r="M55" s="415">
        <v>0</v>
      </c>
    </row>
    <row r="56" spans="1:13" ht="13.5" thickBot="1">
      <c r="A56" s="41" t="s">
        <v>226</v>
      </c>
      <c r="B56" s="13"/>
      <c r="C56" s="13"/>
      <c r="D56" s="285">
        <v>13950</v>
      </c>
      <c r="F56" s="470">
        <v>15</v>
      </c>
      <c r="G56" s="416"/>
      <c r="H56" s="417">
        <v>0</v>
      </c>
      <c r="I56" s="417">
        <v>0</v>
      </c>
      <c r="J56" s="417">
        <v>0</v>
      </c>
      <c r="K56" s="417">
        <v>0</v>
      </c>
      <c r="L56" s="417">
        <v>0</v>
      </c>
      <c r="M56" s="418">
        <v>0</v>
      </c>
    </row>
    <row r="57" spans="1:13" ht="13.5" thickBot="1">
      <c r="A57" s="41" t="s">
        <v>227</v>
      </c>
      <c r="B57" s="13"/>
      <c r="C57" s="13"/>
      <c r="D57" s="285">
        <v>289.6162739983738</v>
      </c>
      <c r="F57" s="441" t="s">
        <v>342</v>
      </c>
      <c r="G57" s="416"/>
      <c r="H57" s="417">
        <f t="shared" ref="H57:M57" si="6">SUM(H42:H56)</f>
        <v>1</v>
      </c>
      <c r="I57" s="417">
        <f t="shared" si="6"/>
        <v>1</v>
      </c>
      <c r="J57" s="417">
        <f t="shared" si="6"/>
        <v>1</v>
      </c>
      <c r="K57" s="417">
        <f t="shared" si="6"/>
        <v>1</v>
      </c>
      <c r="L57" s="417">
        <f t="shared" si="6"/>
        <v>1</v>
      </c>
      <c r="M57" s="418">
        <f t="shared" si="6"/>
        <v>1</v>
      </c>
    </row>
    <row r="58" spans="1:13" ht="13.5" thickBot="1">
      <c r="A58" s="172" t="s">
        <v>225</v>
      </c>
      <c r="B58" s="42"/>
      <c r="C58" s="42"/>
      <c r="D58" s="286">
        <v>20.833333333333314</v>
      </c>
      <c r="E58" s="66"/>
    </row>
    <row r="59" spans="1:13" ht="13.5" thickBot="1">
      <c r="A59" s="288" t="s">
        <v>340</v>
      </c>
      <c r="B59" s="289"/>
      <c r="C59" s="289"/>
      <c r="D59" s="290">
        <f>SUM(D56:D58)</f>
        <v>14260.449607331708</v>
      </c>
    </row>
    <row r="60" spans="1:13">
      <c r="C60" s="18"/>
      <c r="D60" s="18"/>
    </row>
    <row r="61" spans="1:13">
      <c r="B61" s="18"/>
      <c r="C61" s="18"/>
      <c r="D61" s="18"/>
    </row>
    <row r="62" spans="1:13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6" t="str">
        <f>Assumptions!A3</f>
        <v>PROJECT NAME: UAE-Lowell</v>
      </c>
    </row>
    <row r="4" spans="1:4" ht="18.75">
      <c r="A4" s="170" t="s">
        <v>120</v>
      </c>
    </row>
    <row r="6" spans="1:4" ht="13.5" thickBot="1"/>
    <row r="7" spans="1:4" ht="13.5" thickBot="1">
      <c r="A7" s="520"/>
      <c r="B7" s="476" t="s">
        <v>404</v>
      </c>
      <c r="C7" s="477" t="s">
        <v>0</v>
      </c>
      <c r="D7" s="478"/>
    </row>
    <row r="8" spans="1:4">
      <c r="A8" s="479"/>
      <c r="B8" s="293" t="s">
        <v>122</v>
      </c>
      <c r="C8" s="293" t="s">
        <v>2</v>
      </c>
      <c r="D8" s="480" t="s">
        <v>411</v>
      </c>
    </row>
    <row r="9" spans="1:4" ht="13.5" thickBot="1">
      <c r="A9" s="481" t="s">
        <v>119</v>
      </c>
      <c r="B9" s="482">
        <f>'Returns Analysis'!C39</f>
        <v>0.11534275412559511</v>
      </c>
      <c r="C9" s="483">
        <f>Debt!E69</f>
        <v>1.2999999999999983</v>
      </c>
      <c r="D9" s="484">
        <f>Debt!E68</f>
        <v>1.3227844902185828</v>
      </c>
    </row>
    <row r="10" spans="1:4">
      <c r="A10" s="63"/>
      <c r="C10" s="485"/>
      <c r="D10" s="485"/>
    </row>
    <row r="11" spans="1:4" ht="13.5" thickBot="1"/>
    <row r="12" spans="1:4">
      <c r="A12" s="486" t="s">
        <v>370</v>
      </c>
      <c r="B12" s="487">
        <f>B9</f>
        <v>0.11534275412559511</v>
      </c>
      <c r="C12" s="488">
        <f>C9</f>
        <v>1.2999999999999983</v>
      </c>
      <c r="D12" s="489">
        <f>D9</f>
        <v>1.3227844902185828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2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A34" zoomScale="75" zoomScaleNormal="75" workbookViewId="0">
      <selection activeCell="C11" sqref="C11"/>
    </sheetView>
  </sheetViews>
  <sheetFormatPr defaultRowHeight="12.75"/>
  <cols>
    <col min="1" max="1" width="52.71093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29" width="14.140625" style="12" customWidth="1"/>
    <col min="30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6" t="s">
        <v>82</v>
      </c>
      <c r="I1" s="80"/>
      <c r="AL1" s="80"/>
    </row>
    <row r="2" spans="1:38" ht="13.5" customHeight="1" thickBot="1">
      <c r="A2" s="246"/>
      <c r="I2" s="80"/>
      <c r="AL2" s="80"/>
    </row>
    <row r="3" spans="1:38" ht="19.5" customHeight="1">
      <c r="A3" s="631" t="s">
        <v>423</v>
      </c>
      <c r="I3" s="80"/>
      <c r="AL3" s="80"/>
    </row>
    <row r="4" spans="1:38" s="5" customFormat="1" ht="19.5" customHeight="1" thickBot="1">
      <c r="A4" s="632" t="s">
        <v>620</v>
      </c>
      <c r="I4" s="177"/>
      <c r="AL4" s="177"/>
    </row>
    <row r="5" spans="1:38" ht="19.5" customHeight="1">
      <c r="A5" s="170" t="s">
        <v>3</v>
      </c>
      <c r="C5" s="5"/>
      <c r="D5" s="5"/>
    </row>
    <row r="7" spans="1:38" ht="13.5" thickBot="1"/>
    <row r="8" spans="1:38" ht="15.75">
      <c r="A8" s="94" t="s">
        <v>4</v>
      </c>
      <c r="B8" s="38"/>
      <c r="C8" s="38"/>
      <c r="D8" s="184"/>
      <c r="E8" s="13"/>
      <c r="F8" s="93" t="s">
        <v>90</v>
      </c>
      <c r="G8" s="113"/>
      <c r="H8" s="114"/>
      <c r="I8" s="201"/>
      <c r="J8" s="39"/>
      <c r="L8" s="94" t="s">
        <v>199</v>
      </c>
      <c r="M8" s="119"/>
      <c r="N8" s="38"/>
      <c r="O8" s="38"/>
      <c r="P8" s="39"/>
      <c r="U8" s="336" t="s">
        <v>232</v>
      </c>
      <c r="V8" s="337" t="s">
        <v>237</v>
      </c>
      <c r="W8" s="337" t="s">
        <v>241</v>
      </c>
      <c r="X8" s="337" t="s">
        <v>121</v>
      </c>
      <c r="Y8" s="337" t="s">
        <v>255</v>
      </c>
      <c r="Z8" s="337" t="s">
        <v>256</v>
      </c>
      <c r="AA8" s="337" t="s">
        <v>257</v>
      </c>
      <c r="AB8" s="359" t="s">
        <v>315</v>
      </c>
      <c r="AC8" s="664" t="s">
        <v>655</v>
      </c>
      <c r="AD8" s="664" t="s">
        <v>659</v>
      </c>
    </row>
    <row r="9" spans="1:38" ht="15.75">
      <c r="A9" s="41"/>
      <c r="B9" s="13"/>
      <c r="C9" s="13"/>
      <c r="D9" s="40"/>
      <c r="E9" s="13"/>
      <c r="F9" s="116"/>
      <c r="G9" s="176"/>
      <c r="H9" s="176"/>
      <c r="I9" s="13"/>
      <c r="J9" s="40"/>
      <c r="L9" s="118" t="s">
        <v>303</v>
      </c>
      <c r="M9" s="13"/>
      <c r="N9" s="13"/>
      <c r="O9" s="13"/>
      <c r="P9" s="40"/>
      <c r="U9" s="326" t="s">
        <v>236</v>
      </c>
      <c r="V9" s="327" t="s">
        <v>238</v>
      </c>
      <c r="W9" s="327" t="s">
        <v>309</v>
      </c>
      <c r="X9" s="327" t="s">
        <v>252</v>
      </c>
      <c r="Y9" s="327" t="s">
        <v>260</v>
      </c>
      <c r="Z9" s="327" t="s">
        <v>258</v>
      </c>
      <c r="AA9" s="327" t="s">
        <v>258</v>
      </c>
      <c r="AB9" s="360" t="s">
        <v>318</v>
      </c>
      <c r="AC9" s="667" t="s">
        <v>656</v>
      </c>
      <c r="AD9" s="667" t="s">
        <v>660</v>
      </c>
    </row>
    <row r="10" spans="1:38" ht="15.75">
      <c r="A10" s="95" t="s">
        <v>6</v>
      </c>
      <c r="B10" s="96" t="s">
        <v>7</v>
      </c>
      <c r="C10" s="194" t="s">
        <v>8</v>
      </c>
      <c r="D10" s="345" t="s">
        <v>194</v>
      </c>
      <c r="E10" s="13"/>
      <c r="F10" s="116" t="s">
        <v>103</v>
      </c>
      <c r="G10" s="13"/>
      <c r="H10" s="220" t="s">
        <v>114</v>
      </c>
      <c r="I10" s="13"/>
      <c r="J10" s="40"/>
      <c r="L10" s="41"/>
      <c r="M10" s="13"/>
      <c r="N10" s="13"/>
      <c r="O10" s="13"/>
      <c r="P10" s="40"/>
      <c r="U10" s="291" t="s">
        <v>233</v>
      </c>
      <c r="V10" s="206" t="s">
        <v>239</v>
      </c>
      <c r="W10" s="206" t="s">
        <v>310</v>
      </c>
      <c r="X10" s="206" t="s">
        <v>251</v>
      </c>
      <c r="Y10" s="206" t="s">
        <v>324</v>
      </c>
      <c r="Z10" s="206" t="s">
        <v>259</v>
      </c>
      <c r="AA10" s="206" t="s">
        <v>259</v>
      </c>
      <c r="AB10" s="361" t="s">
        <v>316</v>
      </c>
      <c r="AC10" s="668" t="s">
        <v>657</v>
      </c>
      <c r="AD10" s="668" t="s">
        <v>655</v>
      </c>
    </row>
    <row r="11" spans="1:38" ht="15.75">
      <c r="A11" s="98" t="s">
        <v>9</v>
      </c>
      <c r="B11" s="269">
        <f>C11/C14</f>
        <v>0.29654294118913443</v>
      </c>
      <c r="C11" s="195">
        <f>C61-C12</f>
        <v>34423.001156175917</v>
      </c>
      <c r="D11" s="346">
        <f>C11/$H$68</f>
        <v>149.66522241815616</v>
      </c>
      <c r="E11" s="13"/>
      <c r="F11" s="116" t="s">
        <v>211</v>
      </c>
      <c r="G11" s="13"/>
      <c r="H11" s="539">
        <v>14260</v>
      </c>
      <c r="I11" s="13"/>
      <c r="J11" s="40"/>
      <c r="L11" s="118" t="s">
        <v>127</v>
      </c>
      <c r="M11" s="13"/>
      <c r="N11" s="261">
        <v>0.03</v>
      </c>
      <c r="O11" s="222"/>
      <c r="P11" s="40"/>
      <c r="U11" s="291" t="s">
        <v>37</v>
      </c>
      <c r="V11" s="206" t="s">
        <v>236</v>
      </c>
      <c r="W11" s="206"/>
      <c r="X11" s="206" t="s">
        <v>311</v>
      </c>
      <c r="Y11" s="206"/>
      <c r="Z11" s="206"/>
      <c r="AA11" s="206"/>
      <c r="AB11" s="361" t="s">
        <v>317</v>
      </c>
      <c r="AC11" s="668" t="s">
        <v>621</v>
      </c>
      <c r="AD11" s="665"/>
    </row>
    <row r="12" spans="1:38" ht="15.75">
      <c r="A12" s="98" t="s">
        <v>85</v>
      </c>
      <c r="B12" s="151">
        <f>C12/C14</f>
        <v>0.70345705881086551</v>
      </c>
      <c r="C12" s="195">
        <f>Debt!B19</f>
        <v>81657.998843824083</v>
      </c>
      <c r="D12" s="346">
        <f>C12/$H$68</f>
        <v>355.03477758184385</v>
      </c>
      <c r="E12" s="13"/>
      <c r="F12" s="116" t="s">
        <v>11</v>
      </c>
      <c r="G12" s="176"/>
      <c r="H12" s="251">
        <v>5</v>
      </c>
      <c r="I12" s="110"/>
      <c r="J12" s="40"/>
      <c r="L12" s="101"/>
      <c r="M12" s="13"/>
      <c r="N12" s="13"/>
      <c r="O12" s="222"/>
      <c r="P12" s="40"/>
      <c r="U12" s="338"/>
      <c r="V12" s="206" t="s">
        <v>37</v>
      </c>
      <c r="W12" s="13"/>
      <c r="X12" s="206" t="s">
        <v>254</v>
      </c>
      <c r="Y12" s="13"/>
      <c r="Z12" s="13"/>
      <c r="AA12" s="13"/>
      <c r="AB12" s="332"/>
      <c r="AC12" s="666"/>
      <c r="AD12" s="666"/>
    </row>
    <row r="13" spans="1:38" ht="15.75">
      <c r="A13" s="99"/>
      <c r="B13" s="247"/>
      <c r="C13" s="195"/>
      <c r="D13" s="346"/>
      <c r="E13" s="13"/>
      <c r="F13" s="116" t="s">
        <v>263</v>
      </c>
      <c r="G13" s="176"/>
      <c r="H13" s="252">
        <v>46</v>
      </c>
      <c r="I13" s="110"/>
      <c r="J13" s="40"/>
      <c r="L13" s="118" t="s">
        <v>87</v>
      </c>
      <c r="M13" s="13"/>
      <c r="N13" s="97"/>
      <c r="O13" s="222"/>
      <c r="P13" s="40"/>
      <c r="U13" s="326">
        <v>1</v>
      </c>
      <c r="V13" s="327">
        <v>1</v>
      </c>
      <c r="W13" s="327">
        <v>1</v>
      </c>
      <c r="X13" s="327">
        <v>1</v>
      </c>
      <c r="Y13" s="327">
        <v>2</v>
      </c>
      <c r="Z13" s="327">
        <v>1</v>
      </c>
      <c r="AA13" s="327">
        <f>IF(C28&gt;0,1,2)</f>
        <v>1</v>
      </c>
      <c r="AB13" s="360">
        <v>1</v>
      </c>
      <c r="AC13" s="667">
        <v>3</v>
      </c>
      <c r="AD13" s="667">
        <v>1</v>
      </c>
    </row>
    <row r="14" spans="1:38" ht="15.75">
      <c r="A14" s="100" t="s">
        <v>10</v>
      </c>
      <c r="B14" s="148">
        <f>C14/$C$14</f>
        <v>1</v>
      </c>
      <c r="C14" s="196">
        <f>SUM(C11:C12)</f>
        <v>116081</v>
      </c>
      <c r="D14" s="451">
        <f>C14/$H$68</f>
        <v>504.7</v>
      </c>
      <c r="E14" s="13"/>
      <c r="F14" s="116" t="s">
        <v>372</v>
      </c>
      <c r="G14" s="176"/>
      <c r="H14" s="251">
        <v>10100</v>
      </c>
      <c r="I14" s="13"/>
      <c r="J14" s="40"/>
      <c r="L14" s="41"/>
      <c r="M14" s="13"/>
      <c r="N14" s="272" t="s">
        <v>196</v>
      </c>
      <c r="O14" s="205" t="s">
        <v>170</v>
      </c>
      <c r="P14" s="202" t="s">
        <v>419</v>
      </c>
      <c r="U14" s="292" t="str">
        <f>CHOOSE(U13,U9,U10,U11)</f>
        <v>Index</v>
      </c>
      <c r="V14" s="293" t="str">
        <f>CHOOSE(V13,V9,V10,V11,V12)</f>
        <v>Base</v>
      </c>
      <c r="W14" s="293" t="str">
        <f>CHOOSE(W13,W9,W10,W11,W12)</f>
        <v>Pass-through</v>
      </c>
      <c r="X14" s="293" t="str">
        <f>CHOOSE(X13,X9,X10,X11,X12)</f>
        <v>EBITDA Exit Multiple</v>
      </c>
      <c r="Y14" s="293">
        <f>IF(Y13=1,1,2)</f>
        <v>2</v>
      </c>
      <c r="Z14" s="293">
        <f>IF(C35&gt;0,10,20)</f>
        <v>20</v>
      </c>
      <c r="AA14" s="293" t="str">
        <f>CHOOSE(AA13,AA9,AA10,AA11,AA12)</f>
        <v>Yes</v>
      </c>
      <c r="AB14" s="328" t="str">
        <f>CHOOSE(AB13,AB9,AB10,AB11,AB12)</f>
        <v>Bank LT Debt</v>
      </c>
      <c r="AC14" s="328" t="str">
        <f>CHOOSE(AC13,AC9,AC10,AC11,AC12)</f>
        <v>Lease</v>
      </c>
      <c r="AD14" s="328">
        <v>1</v>
      </c>
    </row>
    <row r="15" spans="1:38" ht="15.75">
      <c r="A15" s="41"/>
      <c r="B15" s="13"/>
      <c r="C15" s="13"/>
      <c r="D15" s="348"/>
      <c r="E15" s="13"/>
      <c r="F15" s="116" t="s">
        <v>373</v>
      </c>
      <c r="G15" s="176"/>
      <c r="H15" s="251">
        <v>10200</v>
      </c>
      <c r="I15" s="110"/>
      <c r="J15" s="40"/>
      <c r="L15" s="101" t="s">
        <v>197</v>
      </c>
      <c r="M15" s="13"/>
      <c r="N15" s="529"/>
      <c r="O15" s="223"/>
      <c r="P15" s="637">
        <v>0.3</v>
      </c>
    </row>
    <row r="16" spans="1:38" ht="15.75">
      <c r="A16" s="41"/>
      <c r="B16" s="13"/>
      <c r="C16" s="13"/>
      <c r="D16" s="348"/>
      <c r="E16" s="13"/>
      <c r="F16" s="116" t="s">
        <v>189</v>
      </c>
      <c r="G16" s="13"/>
      <c r="H16" s="531">
        <v>7</v>
      </c>
      <c r="I16" s="13"/>
      <c r="J16" s="40"/>
      <c r="L16" s="104" t="s">
        <v>245</v>
      </c>
      <c r="M16" s="13"/>
      <c r="N16" s="530"/>
      <c r="O16" s="296"/>
      <c r="P16" s="638">
        <v>1.9</v>
      </c>
      <c r="U16" s="330"/>
      <c r="V16" s="57" t="s">
        <v>264</v>
      </c>
      <c r="W16" s="331" t="s">
        <v>265</v>
      </c>
    </row>
    <row r="17" spans="1:23" ht="15.75">
      <c r="A17" s="95" t="s">
        <v>102</v>
      </c>
      <c r="B17" s="96"/>
      <c r="C17" s="197"/>
      <c r="D17" s="346"/>
      <c r="E17" s="13"/>
      <c r="F17" s="116" t="s">
        <v>105</v>
      </c>
      <c r="G17" s="176"/>
      <c r="H17" s="254">
        <v>37012</v>
      </c>
      <c r="I17" s="13"/>
      <c r="J17" s="40"/>
      <c r="L17" s="116" t="s">
        <v>242</v>
      </c>
      <c r="M17" s="6"/>
      <c r="N17" s="275">
        <f>SUM(N15:N16)</f>
        <v>0</v>
      </c>
      <c r="O17" s="224"/>
      <c r="P17" s="297">
        <f>SUM(P15:P16)</f>
        <v>2.1999999999999997</v>
      </c>
      <c r="U17" s="55" t="s">
        <v>260</v>
      </c>
      <c r="V17" s="13">
        <v>11</v>
      </c>
      <c r="W17" s="332">
        <v>21</v>
      </c>
    </row>
    <row r="18" spans="1:23" ht="15.75">
      <c r="A18" s="185"/>
      <c r="B18" s="167"/>
      <c r="C18" s="13"/>
      <c r="D18" s="348"/>
      <c r="E18" s="13"/>
      <c r="F18" s="101" t="s">
        <v>130</v>
      </c>
      <c r="G18" s="97"/>
      <c r="H18" s="275">
        <v>8</v>
      </c>
      <c r="I18" s="110"/>
      <c r="J18" s="40"/>
      <c r="L18" s="41"/>
      <c r="M18" s="13"/>
      <c r="N18" s="13"/>
      <c r="O18" s="13"/>
      <c r="P18" s="188" t="s">
        <v>426</v>
      </c>
      <c r="U18" s="333" t="s">
        <v>261</v>
      </c>
      <c r="V18" s="58">
        <v>12</v>
      </c>
      <c r="W18" s="294">
        <v>22</v>
      </c>
    </row>
    <row r="19" spans="1:23" ht="15.75">
      <c r="A19" s="98" t="s">
        <v>413</v>
      </c>
      <c r="B19" s="13"/>
      <c r="C19" s="630" t="s">
        <v>616</v>
      </c>
      <c r="D19" s="348"/>
      <c r="E19" s="13"/>
      <c r="F19" s="116" t="s">
        <v>104</v>
      </c>
      <c r="G19" s="13"/>
      <c r="H19" s="251">
        <v>20</v>
      </c>
      <c r="I19" s="110"/>
      <c r="J19" s="40"/>
      <c r="L19" s="101" t="s">
        <v>608</v>
      </c>
      <c r="M19" s="13"/>
      <c r="N19" s="253">
        <v>494</v>
      </c>
      <c r="O19" s="271">
        <f t="shared" ref="O19:O25" si="0">N19/$H$68</f>
        <v>2.1478260869565218</v>
      </c>
      <c r="P19" s="40"/>
    </row>
    <row r="20" spans="1:23" ht="15.75">
      <c r="A20" s="101" t="s">
        <v>414</v>
      </c>
      <c r="B20" s="168">
        <f t="shared" ref="B20:B35" si="1">C20/$C$61</f>
        <v>0.6142262730334852</v>
      </c>
      <c r="C20" s="198">
        <f>H11*H12</f>
        <v>71300</v>
      </c>
      <c r="D20" s="346">
        <f t="shared" ref="D20:D34" si="2">C20/$H$68</f>
        <v>310</v>
      </c>
      <c r="E20" s="13"/>
      <c r="F20" s="116" t="s">
        <v>297</v>
      </c>
      <c r="G20" s="13"/>
      <c r="H20" s="335" t="s">
        <v>424</v>
      </c>
      <c r="I20" s="110"/>
      <c r="J20" s="40"/>
      <c r="L20" s="101" t="s">
        <v>588</v>
      </c>
      <c r="M20" s="13"/>
      <c r="N20" s="253">
        <v>400</v>
      </c>
      <c r="O20" s="271">
        <f t="shared" si="0"/>
        <v>1.7391304347826086</v>
      </c>
      <c r="P20" s="40"/>
    </row>
    <row r="21" spans="1:23" ht="15.75">
      <c r="A21" s="101" t="s">
        <v>436</v>
      </c>
      <c r="B21" s="168">
        <f t="shared" si="1"/>
        <v>0</v>
      </c>
      <c r="C21" s="198">
        <v>0</v>
      </c>
      <c r="D21" s="346">
        <f t="shared" si="2"/>
        <v>0</v>
      </c>
      <c r="E21" s="13"/>
      <c r="F21" s="41"/>
      <c r="G21" s="13"/>
      <c r="H21" s="13"/>
      <c r="I21" s="13"/>
      <c r="J21" s="40"/>
      <c r="L21" s="101" t="s">
        <v>609</v>
      </c>
      <c r="M21" s="13"/>
      <c r="N21" s="253">
        <v>0</v>
      </c>
      <c r="O21" s="271">
        <f t="shared" si="0"/>
        <v>0</v>
      </c>
      <c r="P21" s="40"/>
    </row>
    <row r="22" spans="1:23" ht="15.75">
      <c r="A22" s="101" t="s">
        <v>172</v>
      </c>
      <c r="B22" s="168">
        <f t="shared" si="1"/>
        <v>8.8041970692878252E-2</v>
      </c>
      <c r="C22" s="249">
        <v>10220</v>
      </c>
      <c r="D22" s="346">
        <f t="shared" si="2"/>
        <v>44.434782608695649</v>
      </c>
      <c r="E22" s="13"/>
      <c r="F22" s="115" t="s">
        <v>427</v>
      </c>
      <c r="G22" s="13"/>
      <c r="H22" s="325"/>
      <c r="I22" s="13"/>
      <c r="J22" s="40"/>
      <c r="L22" s="101" t="s">
        <v>607</v>
      </c>
      <c r="M22" s="13"/>
      <c r="N22" s="253">
        <v>125</v>
      </c>
      <c r="O22" s="271">
        <f t="shared" si="0"/>
        <v>0.54347826086956519</v>
      </c>
      <c r="P22" s="40"/>
    </row>
    <row r="23" spans="1:23" ht="15.75">
      <c r="A23" s="101" t="s">
        <v>107</v>
      </c>
      <c r="B23" s="168">
        <f t="shared" si="1"/>
        <v>1.2922011354140643E-2</v>
      </c>
      <c r="C23" s="249">
        <v>1500</v>
      </c>
      <c r="D23" s="346">
        <f t="shared" si="2"/>
        <v>6.5217391304347823</v>
      </c>
      <c r="E23" s="13"/>
      <c r="F23" s="324" t="s">
        <v>252</v>
      </c>
      <c r="G23" s="176"/>
      <c r="H23" s="323">
        <v>5</v>
      </c>
      <c r="I23" s="357"/>
      <c r="J23" s="40"/>
      <c r="L23" s="101" t="s">
        <v>605</v>
      </c>
      <c r="M23" s="13"/>
      <c r="N23" s="253">
        <v>100</v>
      </c>
      <c r="O23" s="271">
        <f t="shared" si="0"/>
        <v>0.43478260869565216</v>
      </c>
      <c r="P23" s="40"/>
    </row>
    <row r="24" spans="1:23" ht="15.75">
      <c r="A24" s="101" t="s">
        <v>611</v>
      </c>
      <c r="B24" s="168">
        <f t="shared" si="1"/>
        <v>1.0768342795117203E-2</v>
      </c>
      <c r="C24" s="249">
        <v>1250</v>
      </c>
      <c r="D24" s="346">
        <f t="shared" si="2"/>
        <v>5.4347826086956523</v>
      </c>
      <c r="E24" s="13"/>
      <c r="F24" s="324" t="s">
        <v>371</v>
      </c>
      <c r="G24" s="13"/>
      <c r="H24" s="356">
        <v>0.2</v>
      </c>
      <c r="I24" s="110"/>
      <c r="J24" s="40"/>
      <c r="L24" s="101" t="s">
        <v>606</v>
      </c>
      <c r="M24" s="13"/>
      <c r="N24" s="253">
        <v>100</v>
      </c>
      <c r="O24" s="271">
        <f t="shared" si="0"/>
        <v>0.43478260869565216</v>
      </c>
      <c r="P24" s="40"/>
    </row>
    <row r="25" spans="1:23" ht="16.5" thickBot="1">
      <c r="A25" s="101" t="s">
        <v>612</v>
      </c>
      <c r="B25" s="168">
        <f t="shared" si="1"/>
        <v>5.298024655197664E-2</v>
      </c>
      <c r="C25" s="249">
        <v>6150</v>
      </c>
      <c r="D25" s="346">
        <f t="shared" si="2"/>
        <v>26.739130434782609</v>
      </c>
      <c r="E25" s="13"/>
      <c r="F25" s="248" t="s">
        <v>194</v>
      </c>
      <c r="G25" s="42"/>
      <c r="H25" s="355">
        <v>200</v>
      </c>
      <c r="I25" s="42"/>
      <c r="J25" s="81"/>
      <c r="L25" s="104" t="s">
        <v>610</v>
      </c>
      <c r="M25" s="218"/>
      <c r="N25" s="295">
        <v>100</v>
      </c>
      <c r="O25" s="298">
        <f t="shared" si="0"/>
        <v>0.43478260869565216</v>
      </c>
      <c r="P25" s="40"/>
    </row>
    <row r="26" spans="1:23" ht="16.5" thickBot="1">
      <c r="A26" s="101" t="s">
        <v>108</v>
      </c>
      <c r="B26" s="168">
        <f t="shared" si="1"/>
        <v>0</v>
      </c>
      <c r="C26" s="249">
        <v>0</v>
      </c>
      <c r="D26" s="346">
        <f t="shared" si="2"/>
        <v>0</v>
      </c>
      <c r="E26" s="13"/>
      <c r="L26" s="116" t="s">
        <v>243</v>
      </c>
      <c r="M26" s="6"/>
      <c r="N26" s="275">
        <f>SUM(N19:N25)</f>
        <v>1319</v>
      </c>
      <c r="O26" s="299">
        <f>SUM(O19:O25)</f>
        <v>5.734782608695653</v>
      </c>
      <c r="P26" s="362"/>
    </row>
    <row r="27" spans="1:23" ht="15.75">
      <c r="A27" s="101" t="s">
        <v>109</v>
      </c>
      <c r="B27" s="168">
        <f t="shared" si="1"/>
        <v>0</v>
      </c>
      <c r="C27" s="249">
        <v>0</v>
      </c>
      <c r="D27" s="346">
        <f t="shared" si="2"/>
        <v>0</v>
      </c>
      <c r="E27" s="13"/>
      <c r="F27" s="94" t="s">
        <v>113</v>
      </c>
      <c r="G27" s="38"/>
      <c r="H27" s="38"/>
      <c r="I27" s="83"/>
      <c r="J27" s="39"/>
      <c r="L27" s="41"/>
      <c r="M27" s="13"/>
      <c r="N27" s="13"/>
      <c r="O27" s="13"/>
      <c r="P27" s="40"/>
      <c r="R27" s="3"/>
    </row>
    <row r="28" spans="1:23" ht="15.75">
      <c r="A28" s="101" t="s">
        <v>329</v>
      </c>
      <c r="B28" s="168">
        <f t="shared" si="1"/>
        <v>1.2922011354140643E-2</v>
      </c>
      <c r="C28" s="249">
        <v>1500</v>
      </c>
      <c r="D28" s="346">
        <f t="shared" si="2"/>
        <v>6.5217391304347823</v>
      </c>
      <c r="E28" s="13"/>
      <c r="F28" s="353" t="s">
        <v>111</v>
      </c>
      <c r="G28" s="354"/>
      <c r="H28" s="354" t="s">
        <v>314</v>
      </c>
      <c r="I28" s="13"/>
      <c r="J28" s="40"/>
      <c r="L28" s="118" t="s">
        <v>88</v>
      </c>
      <c r="M28" s="13"/>
      <c r="N28" s="161"/>
      <c r="O28" s="224"/>
      <c r="P28" s="40"/>
      <c r="R28" s="3"/>
    </row>
    <row r="29" spans="1:23" ht="15.75">
      <c r="A29" s="101" t="s">
        <v>110</v>
      </c>
      <c r="B29" s="168">
        <f t="shared" si="1"/>
        <v>0</v>
      </c>
      <c r="C29" s="249">
        <v>0</v>
      </c>
      <c r="D29" s="346">
        <f t="shared" si="2"/>
        <v>0</v>
      </c>
      <c r="E29" s="13"/>
      <c r="F29" s="324" t="s">
        <v>83</v>
      </c>
      <c r="G29" s="254">
        <v>36800</v>
      </c>
      <c r="H29" s="352"/>
      <c r="I29" s="654" t="s">
        <v>666</v>
      </c>
      <c r="J29" s="329"/>
      <c r="L29" s="101" t="s">
        <v>232</v>
      </c>
      <c r="M29" s="13"/>
      <c r="N29" s="275">
        <f>IS!C16</f>
        <v>18727.794889085621</v>
      </c>
      <c r="O29" s="224">
        <f>N29/$H$68</f>
        <v>81.425195169937481</v>
      </c>
      <c r="P29" s="40"/>
      <c r="R29" s="340"/>
    </row>
    <row r="30" spans="1:23" ht="15.75">
      <c r="A30" s="101" t="s">
        <v>613</v>
      </c>
      <c r="B30" s="168">
        <f t="shared" si="1"/>
        <v>1.2922011354140643E-2</v>
      </c>
      <c r="C30" s="249">
        <v>1500</v>
      </c>
      <c r="D30" s="346">
        <f t="shared" si="2"/>
        <v>6.5217391304347823</v>
      </c>
      <c r="E30" s="13"/>
      <c r="F30" s="324" t="s">
        <v>123</v>
      </c>
      <c r="G30" s="254">
        <v>36571</v>
      </c>
      <c r="H30" s="352"/>
      <c r="I30" s="179"/>
      <c r="J30" s="329"/>
      <c r="L30" s="101" t="s">
        <v>210</v>
      </c>
      <c r="M30" s="13"/>
      <c r="N30" s="636">
        <v>500</v>
      </c>
      <c r="O30" s="224">
        <f>N30/$H$68</f>
        <v>2.1739130434782608</v>
      </c>
      <c r="P30" s="528">
        <v>0.02</v>
      </c>
      <c r="R30" s="3"/>
    </row>
    <row r="31" spans="1:23" ht="15.75">
      <c r="A31" s="101" t="s">
        <v>614</v>
      </c>
      <c r="B31" s="168">
        <f t="shared" si="1"/>
        <v>4.3073371180468809E-3</v>
      </c>
      <c r="C31" s="249">
        <v>500</v>
      </c>
      <c r="D31" s="346">
        <f t="shared" si="2"/>
        <v>2.1739130434782608</v>
      </c>
      <c r="E31" s="13"/>
      <c r="F31" s="41"/>
      <c r="G31" s="13"/>
      <c r="H31" s="6"/>
      <c r="I31" s="179"/>
      <c r="J31" s="329"/>
      <c r="L31" s="101" t="s">
        <v>200</v>
      </c>
      <c r="M31" s="13"/>
      <c r="N31" s="275">
        <f>IS!C24/IS!C6</f>
        <v>0</v>
      </c>
      <c r="O31" s="224">
        <f>N31/$H$68</f>
        <v>0</v>
      </c>
      <c r="P31" s="40"/>
      <c r="R31" s="3"/>
    </row>
    <row r="32" spans="1:23" ht="15.75">
      <c r="A32" s="101" t="s">
        <v>173</v>
      </c>
      <c r="B32" s="168">
        <f t="shared" si="1"/>
        <v>0</v>
      </c>
      <c r="C32" s="249">
        <v>0</v>
      </c>
      <c r="D32" s="346">
        <f t="shared" si="2"/>
        <v>0</v>
      </c>
      <c r="E32" s="13"/>
      <c r="F32" s="105" t="s">
        <v>14</v>
      </c>
      <c r="G32" s="106">
        <f>Debt!B19</f>
        <v>81657.998843824083</v>
      </c>
      <c r="H32" s="106"/>
      <c r="I32" s="646" t="s">
        <v>654</v>
      </c>
      <c r="J32" s="329"/>
      <c r="L32" s="101" t="s">
        <v>204</v>
      </c>
      <c r="M32" s="13"/>
      <c r="N32" s="275">
        <f>IS!C25/IS!C6</f>
        <v>0</v>
      </c>
      <c r="O32" s="224">
        <f>N32/$H$68</f>
        <v>0</v>
      </c>
      <c r="P32" s="40"/>
      <c r="Q32" s="66"/>
      <c r="R32" s="3"/>
    </row>
    <row r="33" spans="1:18" ht="16.5" thickBot="1">
      <c r="A33" s="101" t="s">
        <v>174</v>
      </c>
      <c r="B33" s="168">
        <f t="shared" si="1"/>
        <v>0</v>
      </c>
      <c r="C33" s="249">
        <v>0</v>
      </c>
      <c r="D33" s="346">
        <f t="shared" si="2"/>
        <v>0</v>
      </c>
      <c r="E33" s="13"/>
      <c r="F33" s="105" t="s">
        <v>15</v>
      </c>
      <c r="G33" s="255">
        <v>20</v>
      </c>
      <c r="H33" s="106"/>
      <c r="I33" s="179"/>
      <c r="J33" s="329"/>
      <c r="L33" s="103" t="s">
        <v>421</v>
      </c>
      <c r="M33" s="42"/>
      <c r="N33" s="278">
        <f>IS!C26/IS!C6</f>
        <v>0</v>
      </c>
      <c r="O33" s="225">
        <f>N33/$H$68</f>
        <v>0</v>
      </c>
      <c r="P33" s="81"/>
      <c r="R33" s="3"/>
    </row>
    <row r="34" spans="1:18" ht="16.5" thickBot="1">
      <c r="A34" s="101" t="s">
        <v>615</v>
      </c>
      <c r="B34" s="168">
        <f t="shared" si="1"/>
        <v>0</v>
      </c>
      <c r="C34" s="249">
        <f>IF(B15="Yes",[8]Turbo!F16,0)</f>
        <v>0</v>
      </c>
      <c r="D34" s="346">
        <f t="shared" si="2"/>
        <v>0</v>
      </c>
      <c r="E34" s="13"/>
      <c r="F34" s="105" t="s">
        <v>16</v>
      </c>
      <c r="G34" s="352">
        <v>42826</v>
      </c>
      <c r="H34" s="352"/>
      <c r="J34" s="329"/>
      <c r="N34" s="200"/>
      <c r="R34" s="3"/>
    </row>
    <row r="35" spans="1:18" ht="15.75">
      <c r="A35" s="101" t="s">
        <v>420</v>
      </c>
      <c r="B35" s="183">
        <f t="shared" si="1"/>
        <v>0</v>
      </c>
      <c r="C35" s="250">
        <v>0</v>
      </c>
      <c r="D35" s="347">
        <f>C35/$H$68</f>
        <v>0</v>
      </c>
      <c r="E35" s="13"/>
      <c r="F35" s="105" t="s">
        <v>17</v>
      </c>
      <c r="G35" s="121">
        <f>Debt!E66</f>
        <v>-5.9911254547797466</v>
      </c>
      <c r="H35" s="381" t="str">
        <f>IF(H32,Debt!#REF!," ")</f>
        <v xml:space="preserve"> </v>
      </c>
      <c r="I35" s="179"/>
      <c r="J35" s="329"/>
      <c r="L35" s="93" t="s">
        <v>22</v>
      </c>
      <c r="M35" s="114"/>
      <c r="N35" s="262"/>
      <c r="O35" s="119"/>
      <c r="P35" s="39"/>
      <c r="R35" s="5"/>
    </row>
    <row r="36" spans="1:18" ht="15.75">
      <c r="A36" s="101" t="s">
        <v>106</v>
      </c>
      <c r="B36" s="168">
        <f>SUM(B20:B35)</f>
        <v>0.80909020425392597</v>
      </c>
      <c r="C36" s="198">
        <f>SUM(C20:C35)</f>
        <v>93920</v>
      </c>
      <c r="D36" s="346">
        <f>SUM(D20:D35)</f>
        <v>408.34782608695656</v>
      </c>
      <c r="E36" s="13"/>
      <c r="F36" s="105"/>
      <c r="G36" s="13"/>
      <c r="H36" s="13"/>
      <c r="I36" s="179"/>
      <c r="J36" s="329"/>
      <c r="L36" s="41"/>
      <c r="M36" s="169"/>
      <c r="N36" s="13"/>
      <c r="O36" s="13"/>
      <c r="P36" s="40"/>
      <c r="R36" s="5"/>
    </row>
    <row r="37" spans="1:18" ht="15.75">
      <c r="E37" s="13"/>
      <c r="F37" s="101" t="s">
        <v>18</v>
      </c>
      <c r="G37" s="256">
        <v>6.5000000000000002E-2</v>
      </c>
      <c r="H37" s="256">
        <v>6.5000000000000002E-2</v>
      </c>
      <c r="I37" s="179"/>
      <c r="J37" s="329"/>
      <c r="L37" s="101"/>
      <c r="M37" s="13"/>
      <c r="N37" s="147" t="s">
        <v>23</v>
      </c>
      <c r="O37" s="147" t="s">
        <v>24</v>
      </c>
      <c r="P37" s="171" t="s">
        <v>25</v>
      </c>
      <c r="R37" s="13"/>
    </row>
    <row r="38" spans="1:18" ht="15.75">
      <c r="A38" s="98" t="s">
        <v>374</v>
      </c>
      <c r="B38" s="13"/>
      <c r="C38" s="13"/>
      <c r="D38" s="349"/>
      <c r="E38" s="13"/>
      <c r="F38" s="101" t="s">
        <v>19</v>
      </c>
      <c r="G38" s="257">
        <v>1.7500000000000002E-2</v>
      </c>
      <c r="H38" s="257">
        <v>1.7500000000000002E-2</v>
      </c>
      <c r="I38" s="179"/>
      <c r="J38" s="329"/>
      <c r="L38" s="115" t="s">
        <v>26</v>
      </c>
      <c r="M38" s="13"/>
      <c r="N38" s="263"/>
      <c r="O38" s="263"/>
      <c r="P38" s="102"/>
      <c r="R38" s="13"/>
    </row>
    <row r="39" spans="1:18" ht="15.75">
      <c r="A39" s="101" t="s">
        <v>617</v>
      </c>
      <c r="B39" s="168">
        <f t="shared" ref="B39:B52" si="3">C39/$C$61</f>
        <v>3.0151359826328166E-3</v>
      </c>
      <c r="C39" s="249">
        <v>350</v>
      </c>
      <c r="D39" s="346">
        <f>C39/$H$68</f>
        <v>1.5217391304347827</v>
      </c>
      <c r="E39" s="13"/>
      <c r="F39" s="105" t="s">
        <v>319</v>
      </c>
      <c r="G39" s="107">
        <f>Debt!E64</f>
        <v>8.2500000000000004E-2</v>
      </c>
      <c r="H39" s="107">
        <f>SUM(H37:H38)</f>
        <v>8.2500000000000004E-2</v>
      </c>
      <c r="I39" s="179"/>
      <c r="J39" s="329"/>
      <c r="L39" s="116" t="s">
        <v>27</v>
      </c>
      <c r="M39" s="13"/>
      <c r="N39" s="273">
        <v>15</v>
      </c>
      <c r="O39" s="264" t="s">
        <v>28</v>
      </c>
      <c r="P39" s="189">
        <v>0</v>
      </c>
      <c r="R39" s="3"/>
    </row>
    <row r="40" spans="1:18" ht="15.75">
      <c r="A40" s="98" t="s">
        <v>618</v>
      </c>
      <c r="B40" s="168">
        <f t="shared" si="3"/>
        <v>0.13370835881841128</v>
      </c>
      <c r="C40" s="249">
        <v>15521</v>
      </c>
      <c r="D40" s="346">
        <f t="shared" ref="D40:D53" si="4">C40/$H$68</f>
        <v>67.482608695652175</v>
      </c>
      <c r="E40" s="13"/>
      <c r="F40" s="101"/>
      <c r="G40" s="97"/>
      <c r="H40" s="97"/>
      <c r="I40" s="97"/>
      <c r="J40" s="187"/>
      <c r="L40" s="116" t="s">
        <v>248</v>
      </c>
      <c r="M40" s="13"/>
      <c r="N40" s="273">
        <v>5</v>
      </c>
      <c r="O40" s="264" t="s">
        <v>30</v>
      </c>
      <c r="P40" s="189">
        <v>0</v>
      </c>
      <c r="R40" s="3"/>
    </row>
    <row r="41" spans="1:18" ht="15.75">
      <c r="A41" s="98" t="s">
        <v>619</v>
      </c>
      <c r="B41" s="168">
        <f t="shared" si="3"/>
        <v>6.4610056770703214E-3</v>
      </c>
      <c r="C41" s="249">
        <v>750</v>
      </c>
      <c r="D41" s="346">
        <f t="shared" si="4"/>
        <v>3.2608695652173911</v>
      </c>
      <c r="E41" s="13"/>
      <c r="F41" s="101" t="s">
        <v>124</v>
      </c>
      <c r="G41" s="255">
        <v>0</v>
      </c>
      <c r="H41" s="255">
        <v>0</v>
      </c>
      <c r="I41" s="97" t="s">
        <v>125</v>
      </c>
      <c r="J41" s="188"/>
      <c r="L41" s="116" t="s">
        <v>29</v>
      </c>
      <c r="M41" s="13"/>
      <c r="N41" s="273">
        <v>20</v>
      </c>
      <c r="O41" s="264" t="s">
        <v>30</v>
      </c>
      <c r="P41" s="189">
        <v>0</v>
      </c>
      <c r="R41" s="340"/>
    </row>
    <row r="42" spans="1:18" ht="15.75">
      <c r="A42" s="98" t="s">
        <v>162</v>
      </c>
      <c r="B42" s="168">
        <f t="shared" si="3"/>
        <v>0</v>
      </c>
      <c r="C42" s="249">
        <v>0</v>
      </c>
      <c r="D42" s="346">
        <f t="shared" si="4"/>
        <v>0</v>
      </c>
      <c r="E42" s="13"/>
      <c r="F42" s="101" t="s">
        <v>20</v>
      </c>
      <c r="G42" s="258">
        <v>0.02</v>
      </c>
      <c r="H42" s="97"/>
      <c r="I42" s="97"/>
      <c r="J42" s="188"/>
      <c r="L42" s="116"/>
      <c r="M42" s="13"/>
      <c r="N42" s="265"/>
      <c r="O42" s="265"/>
      <c r="P42" s="266"/>
      <c r="R42" s="226"/>
    </row>
    <row r="43" spans="1:18" ht="15.75">
      <c r="A43" s="101" t="s">
        <v>429</v>
      </c>
      <c r="B43" s="168">
        <f t="shared" si="3"/>
        <v>0</v>
      </c>
      <c r="C43" s="249">
        <v>0</v>
      </c>
      <c r="D43" s="346">
        <f t="shared" si="4"/>
        <v>0</v>
      </c>
      <c r="E43" s="13"/>
      <c r="F43" s="101" t="s">
        <v>21</v>
      </c>
      <c r="G43" s="258">
        <v>0</v>
      </c>
      <c r="H43" s="13"/>
      <c r="I43" s="13"/>
      <c r="J43" s="40"/>
      <c r="L43" s="115" t="s">
        <v>31</v>
      </c>
      <c r="M43" s="13"/>
      <c r="N43" s="265"/>
      <c r="O43" s="265"/>
      <c r="P43" s="190"/>
    </row>
    <row r="44" spans="1:18" ht="15.75">
      <c r="A44" s="98" t="s">
        <v>163</v>
      </c>
      <c r="B44" s="168">
        <f t="shared" si="3"/>
        <v>0</v>
      </c>
      <c r="C44" s="249">
        <v>0</v>
      </c>
      <c r="D44" s="346">
        <f t="shared" si="4"/>
        <v>0</v>
      </c>
      <c r="E44" s="13"/>
      <c r="F44" s="41"/>
      <c r="G44" s="13"/>
      <c r="H44" s="13"/>
      <c r="I44" s="13"/>
      <c r="J44" s="40"/>
      <c r="L44" s="116" t="s">
        <v>27</v>
      </c>
      <c r="M44" s="13"/>
      <c r="N44" s="273">
        <v>30</v>
      </c>
      <c r="O44" s="264" t="s">
        <v>30</v>
      </c>
      <c r="P44" s="190">
        <v>0.1</v>
      </c>
    </row>
    <row r="45" spans="1:18" ht="15.75">
      <c r="A45" s="98" t="s">
        <v>171</v>
      </c>
      <c r="B45" s="168">
        <f t="shared" si="3"/>
        <v>0</v>
      </c>
      <c r="C45" s="249">
        <v>0</v>
      </c>
      <c r="D45" s="346">
        <f t="shared" si="4"/>
        <v>0</v>
      </c>
      <c r="E45" s="13"/>
      <c r="F45" s="353" t="s">
        <v>112</v>
      </c>
      <c r="G45" s="13"/>
      <c r="H45" s="13"/>
      <c r="I45" s="13"/>
      <c r="J45" s="40"/>
      <c r="L45" s="116" t="s">
        <v>248</v>
      </c>
      <c r="M45" s="13"/>
      <c r="N45" s="273">
        <v>5</v>
      </c>
      <c r="O45" s="264" t="s">
        <v>30</v>
      </c>
      <c r="P45" s="189">
        <v>0</v>
      </c>
    </row>
    <row r="46" spans="1:18" ht="16.5" thickBot="1">
      <c r="A46" s="98" t="s">
        <v>164</v>
      </c>
      <c r="B46" s="168">
        <f t="shared" si="3"/>
        <v>0</v>
      </c>
      <c r="C46" s="249">
        <v>0</v>
      </c>
      <c r="D46" s="346">
        <f t="shared" si="4"/>
        <v>0</v>
      </c>
      <c r="E46" s="13"/>
      <c r="F46" s="324" t="s">
        <v>84</v>
      </c>
      <c r="G46" s="254">
        <v>36678</v>
      </c>
      <c r="H46" s="13"/>
      <c r="I46" s="13"/>
      <c r="J46" s="40"/>
      <c r="L46" s="117" t="s">
        <v>29</v>
      </c>
      <c r="M46" s="42"/>
      <c r="N46" s="274">
        <v>20</v>
      </c>
      <c r="O46" s="267" t="s">
        <v>30</v>
      </c>
      <c r="P46" s="191">
        <v>0</v>
      </c>
    </row>
    <row r="47" spans="1:18" ht="16.5" thickBot="1">
      <c r="A47" s="98" t="s">
        <v>165</v>
      </c>
      <c r="B47" s="168">
        <f t="shared" si="3"/>
        <v>0</v>
      </c>
      <c r="C47" s="249">
        <v>0</v>
      </c>
      <c r="D47" s="346">
        <f t="shared" si="4"/>
        <v>0</v>
      </c>
      <c r="E47" s="13"/>
      <c r="F47" s="101" t="s">
        <v>12</v>
      </c>
      <c r="G47" s="259">
        <v>0</v>
      </c>
      <c r="H47" s="144">
        <f>G47*C11</f>
        <v>0</v>
      </c>
      <c r="I47" s="13"/>
      <c r="J47" s="40"/>
    </row>
    <row r="48" spans="1:18" ht="16.5" thickBot="1">
      <c r="A48" s="98" t="s">
        <v>168</v>
      </c>
      <c r="B48" s="168">
        <f t="shared" si="3"/>
        <v>0</v>
      </c>
      <c r="C48" s="249">
        <v>0</v>
      </c>
      <c r="D48" s="346">
        <f t="shared" si="4"/>
        <v>0</v>
      </c>
      <c r="E48" s="64"/>
      <c r="F48" s="103" t="s">
        <v>13</v>
      </c>
      <c r="G48" s="270">
        <f>1-G47</f>
        <v>1</v>
      </c>
      <c r="H48" s="145">
        <f>G48*C11</f>
        <v>34423.001156175917</v>
      </c>
      <c r="I48" s="42"/>
      <c r="J48" s="81"/>
      <c r="L48" s="93" t="s">
        <v>375</v>
      </c>
      <c r="M48" s="114"/>
      <c r="N48" s="280"/>
      <c r="O48" s="281"/>
      <c r="P48" s="363"/>
    </row>
    <row r="49" spans="1:16" ht="16.5" thickBot="1">
      <c r="A49" s="101" t="s">
        <v>212</v>
      </c>
      <c r="B49" s="168">
        <f t="shared" si="3"/>
        <v>0</v>
      </c>
      <c r="C49" s="198">
        <v>0</v>
      </c>
      <c r="D49" s="346">
        <f t="shared" si="4"/>
        <v>0</v>
      </c>
      <c r="E49" s="43"/>
      <c r="L49" s="181"/>
      <c r="M49" s="176"/>
      <c r="N49" s="157"/>
      <c r="O49" s="6"/>
      <c r="P49" s="362"/>
    </row>
    <row r="50" spans="1:16" ht="15.75">
      <c r="A50" s="101" t="s">
        <v>175</v>
      </c>
      <c r="B50" s="168">
        <f t="shared" si="3"/>
        <v>8.6146742360937618E-3</v>
      </c>
      <c r="C50" s="249">
        <v>1000</v>
      </c>
      <c r="D50" s="346">
        <f t="shared" si="4"/>
        <v>4.3478260869565215</v>
      </c>
      <c r="E50" s="13"/>
      <c r="F50" s="93" t="s">
        <v>195</v>
      </c>
      <c r="G50" s="113"/>
      <c r="H50" s="119"/>
      <c r="I50" s="203"/>
      <c r="J50" s="39"/>
      <c r="L50" s="116" t="s">
        <v>128</v>
      </c>
      <c r="M50" s="6"/>
      <c r="N50" s="263">
        <v>0.35</v>
      </c>
      <c r="O50" s="6"/>
      <c r="P50" s="362"/>
    </row>
    <row r="51" spans="1:16" ht="15.75">
      <c r="A51" s="101" t="s">
        <v>268</v>
      </c>
      <c r="B51" s="168">
        <f t="shared" si="3"/>
        <v>3.9110621031865682E-2</v>
      </c>
      <c r="C51" s="635">
        <v>4540</v>
      </c>
      <c r="D51" s="346">
        <f t="shared" si="4"/>
        <v>19.739130434782609</v>
      </c>
      <c r="E51" s="84"/>
      <c r="F51" s="41"/>
      <c r="G51" s="13"/>
      <c r="H51" s="13"/>
      <c r="I51" s="110"/>
      <c r="J51" s="40"/>
      <c r="L51" s="116" t="s">
        <v>282</v>
      </c>
      <c r="M51" s="6"/>
      <c r="N51" s="261">
        <v>7.0000000000000007E-2</v>
      </c>
      <c r="O51" s="364" t="s">
        <v>230</v>
      </c>
      <c r="P51" s="362"/>
    </row>
    <row r="52" spans="1:16" ht="15.75">
      <c r="A52" s="95" t="s">
        <v>176</v>
      </c>
      <c r="B52" s="183">
        <f t="shared" si="3"/>
        <v>0</v>
      </c>
      <c r="C52" s="250">
        <v>0</v>
      </c>
      <c r="D52" s="347">
        <f t="shared" si="4"/>
        <v>0</v>
      </c>
      <c r="E52" s="84"/>
      <c r="F52" s="104" t="s">
        <v>298</v>
      </c>
      <c r="G52" s="13"/>
      <c r="H52" s="13"/>
      <c r="I52" s="13"/>
      <c r="J52" s="40"/>
      <c r="L52" s="116" t="s">
        <v>250</v>
      </c>
      <c r="M52" s="6"/>
      <c r="N52" s="261">
        <v>0</v>
      </c>
      <c r="O52" s="364" t="s">
        <v>230</v>
      </c>
      <c r="P52" s="362"/>
    </row>
    <row r="53" spans="1:16" ht="15.75">
      <c r="A53" s="101" t="s">
        <v>106</v>
      </c>
      <c r="B53" s="168">
        <f>SUM(B39:B52)</f>
        <v>0.19090979574607386</v>
      </c>
      <c r="C53" s="198">
        <f>SUM(C39:C52)</f>
        <v>22161</v>
      </c>
      <c r="D53" s="346">
        <f t="shared" si="4"/>
        <v>96.352173913043472</v>
      </c>
      <c r="E53" s="13"/>
      <c r="F53" s="101" t="s">
        <v>300</v>
      </c>
      <c r="G53" s="13"/>
      <c r="H53" s="253">
        <v>20</v>
      </c>
      <c r="I53" s="110"/>
      <c r="J53" s="40"/>
      <c r="L53" s="116" t="s">
        <v>205</v>
      </c>
      <c r="M53" s="6"/>
      <c r="N53" s="261">
        <v>0</v>
      </c>
      <c r="O53" s="364" t="s">
        <v>230</v>
      </c>
      <c r="P53" s="362"/>
    </row>
    <row r="54" spans="1:16" ht="15.75">
      <c r="E54" s="13"/>
      <c r="F54" s="101" t="s">
        <v>410</v>
      </c>
      <c r="G54" s="13"/>
      <c r="H54" s="252">
        <v>6.4169275458095569</v>
      </c>
      <c r="I54" s="13"/>
      <c r="J54" s="40"/>
      <c r="L54" s="116" t="s">
        <v>235</v>
      </c>
      <c r="M54" s="13"/>
      <c r="N54" s="261">
        <v>1.4999999999999999E-2</v>
      </c>
      <c r="O54" s="364" t="s">
        <v>230</v>
      </c>
      <c r="P54" s="40"/>
    </row>
    <row r="55" spans="1:16" ht="16.5" thickBot="1">
      <c r="A55" s="98" t="s">
        <v>100</v>
      </c>
      <c r="B55" s="13"/>
      <c r="C55" s="198"/>
      <c r="D55" s="348"/>
      <c r="E55" s="13"/>
      <c r="F55" s="41"/>
      <c r="G55" s="13"/>
      <c r="H55" s="13"/>
      <c r="I55" s="13"/>
      <c r="J55" s="40"/>
      <c r="L55" s="117" t="s">
        <v>269</v>
      </c>
      <c r="M55" s="42"/>
      <c r="N55" s="276">
        <v>0.05</v>
      </c>
      <c r="O55" s="365" t="s">
        <v>230</v>
      </c>
      <c r="P55" s="81"/>
    </row>
    <row r="56" spans="1:16" ht="15.75">
      <c r="A56" s="98" t="s">
        <v>166</v>
      </c>
      <c r="B56" s="168">
        <f>C56/$C$61</f>
        <v>0</v>
      </c>
      <c r="C56" s="249">
        <v>0</v>
      </c>
      <c r="D56" s="346">
        <f>C56/$H$68</f>
        <v>0</v>
      </c>
      <c r="E56" s="13"/>
      <c r="F56" s="104" t="s">
        <v>301</v>
      </c>
      <c r="G56" s="13"/>
      <c r="H56" s="13"/>
      <c r="I56" s="13"/>
      <c r="J56" s="40"/>
    </row>
    <row r="57" spans="1:16" ht="15.75">
      <c r="A57" s="98" t="s">
        <v>167</v>
      </c>
      <c r="B57" s="168">
        <f>C57/$C$61</f>
        <v>0</v>
      </c>
      <c r="C57" s="249">
        <v>0</v>
      </c>
      <c r="D57" s="346">
        <f>C57/$H$68</f>
        <v>0</v>
      </c>
      <c r="E57" s="13"/>
      <c r="F57" s="101" t="s">
        <v>300</v>
      </c>
      <c r="G57" s="13"/>
      <c r="H57" s="275">
        <f>H19-H53</f>
        <v>0</v>
      </c>
      <c r="I57" s="110"/>
      <c r="J57" s="40"/>
    </row>
    <row r="58" spans="1:16" ht="15.75">
      <c r="A58" s="104" t="s">
        <v>428</v>
      </c>
      <c r="B58" s="183">
        <f>C58/$C$61</f>
        <v>0</v>
      </c>
      <c r="C58" s="250">
        <v>0</v>
      </c>
      <c r="D58" s="346">
        <f>C58/$H$68</f>
        <v>0</v>
      </c>
      <c r="E58" s="13"/>
      <c r="F58" s="101" t="s">
        <v>410</v>
      </c>
      <c r="G58" s="97"/>
      <c r="H58" s="154"/>
      <c r="I58" s="110"/>
      <c r="J58" s="40"/>
    </row>
    <row r="59" spans="1:16" ht="15.75">
      <c r="A59" s="101" t="s">
        <v>106</v>
      </c>
      <c r="B59" s="168">
        <f>SUM(B56:B58)</f>
        <v>0</v>
      </c>
      <c r="C59" s="111">
        <f>SUM(C56:C58)</f>
        <v>0</v>
      </c>
      <c r="D59" s="346">
        <f>C59/$H$68</f>
        <v>0</v>
      </c>
      <c r="E59" s="13"/>
      <c r="F59" s="41"/>
      <c r="G59" s="13"/>
      <c r="H59" s="13"/>
      <c r="I59" s="13"/>
      <c r="J59" s="40"/>
    </row>
    <row r="60" spans="1:16" ht="15.75">
      <c r="A60" s="41"/>
      <c r="B60" s="13"/>
      <c r="C60" s="13"/>
      <c r="D60" s="349"/>
      <c r="E60" s="13"/>
      <c r="F60" s="101" t="s">
        <v>418</v>
      </c>
      <c r="G60" s="97"/>
      <c r="H60" s="154">
        <f>P17</f>
        <v>2.1999999999999997</v>
      </c>
      <c r="I60" s="110"/>
      <c r="J60" s="40"/>
    </row>
    <row r="61" spans="1:16" ht="16.5" thickBot="1">
      <c r="A61" s="186" t="s">
        <v>101</v>
      </c>
      <c r="B61" s="182">
        <f>B59+B53+B36</f>
        <v>0.99999999999999978</v>
      </c>
      <c r="C61" s="199">
        <f>C59+C53+C36</f>
        <v>116081</v>
      </c>
      <c r="D61" s="350">
        <f>C61/$H$68</f>
        <v>504.7</v>
      </c>
      <c r="E61" s="13"/>
      <c r="F61" s="101"/>
      <c r="G61" s="13"/>
      <c r="H61" s="263"/>
      <c r="I61" s="110"/>
      <c r="J61" s="40"/>
    </row>
    <row r="62" spans="1:16" ht="16.5" thickBot="1">
      <c r="E62" s="13"/>
      <c r="F62" s="103" t="s">
        <v>425</v>
      </c>
      <c r="G62" s="42"/>
      <c r="H62" s="277">
        <f>H68*H72</f>
        <v>563500</v>
      </c>
      <c r="I62" s="204"/>
      <c r="J62" s="81"/>
    </row>
    <row r="63" spans="1:16" ht="16.5" thickBot="1">
      <c r="A63" s="94" t="s">
        <v>32</v>
      </c>
      <c r="B63" s="119"/>
      <c r="C63" s="203"/>
      <c r="D63" s="120"/>
      <c r="E63" s="13"/>
    </row>
    <row r="64" spans="1:16" ht="15.75">
      <c r="A64" s="41"/>
      <c r="B64" s="13"/>
      <c r="C64" s="13"/>
      <c r="D64" s="40"/>
      <c r="E64" s="13"/>
      <c r="F64" s="93" t="s">
        <v>5</v>
      </c>
      <c r="G64" s="201"/>
      <c r="H64" s="203"/>
      <c r="I64" s="38"/>
      <c r="J64" s="39"/>
    </row>
    <row r="65" spans="1:10" ht="15.75">
      <c r="A65" s="341" t="s">
        <v>266</v>
      </c>
      <c r="B65" s="342"/>
      <c r="C65" s="343">
        <f>D61</f>
        <v>504.7</v>
      </c>
      <c r="D65" s="40"/>
      <c r="E65" s="13"/>
      <c r="F65" s="181"/>
      <c r="G65" s="152"/>
      <c r="H65" s="110"/>
      <c r="I65" s="13"/>
      <c r="J65" s="40"/>
    </row>
    <row r="66" spans="1:10" ht="15.75">
      <c r="A66" s="521"/>
      <c r="B66" s="179"/>
      <c r="C66" s="179"/>
      <c r="D66" s="40"/>
      <c r="E66" s="13"/>
      <c r="F66" s="101" t="s">
        <v>126</v>
      </c>
      <c r="G66" s="13"/>
      <c r="H66" s="221">
        <f>H12*H13</f>
        <v>230</v>
      </c>
      <c r="I66" s="13"/>
      <c r="J66" s="40"/>
    </row>
    <row r="67" spans="1:10" ht="15.75">
      <c r="A67" s="101"/>
      <c r="B67" s="97"/>
      <c r="C67" s="96" t="s">
        <v>34</v>
      </c>
      <c r="D67" s="171" t="s">
        <v>33</v>
      </c>
      <c r="E67" s="13"/>
      <c r="F67" s="104" t="s">
        <v>89</v>
      </c>
      <c r="G67" s="13"/>
      <c r="H67" s="339">
        <v>0</v>
      </c>
      <c r="I67" s="13"/>
      <c r="J67" s="40"/>
    </row>
    <row r="68" spans="1:10" ht="15.75">
      <c r="A68" s="104" t="s">
        <v>0</v>
      </c>
      <c r="B68" s="108"/>
      <c r="C68" s="109">
        <f>Debt!E68</f>
        <v>1.3227844902185828</v>
      </c>
      <c r="D68" s="351">
        <f>Debt!E69</f>
        <v>1.2999999999999983</v>
      </c>
      <c r="E68" s="13"/>
      <c r="F68" s="118" t="s">
        <v>304</v>
      </c>
      <c r="G68" s="43"/>
      <c r="H68" s="358">
        <f>SUM(H66:H67)</f>
        <v>230</v>
      </c>
      <c r="I68" s="13"/>
      <c r="J68" s="40"/>
    </row>
    <row r="69" spans="1:10" ht="15.75">
      <c r="A69" s="41"/>
      <c r="B69" s="97"/>
      <c r="C69" s="13"/>
      <c r="D69" s="40"/>
      <c r="E69" s="13"/>
      <c r="F69" s="41"/>
      <c r="G69" s="13"/>
      <c r="H69" s="13"/>
      <c r="I69" s="13"/>
      <c r="J69" s="40"/>
    </row>
    <row r="70" spans="1:10" ht="15.75">
      <c r="A70" s="104" t="s">
        <v>330</v>
      </c>
      <c r="B70" s="13"/>
      <c r="C70" s="13"/>
      <c r="D70" s="40"/>
      <c r="E70" s="13"/>
      <c r="F70" s="101" t="s">
        <v>347</v>
      </c>
      <c r="G70" s="13"/>
      <c r="H70" s="251">
        <v>140</v>
      </c>
      <c r="I70" s="13"/>
      <c r="J70" s="40"/>
    </row>
    <row r="71" spans="1:10" ht="15.75">
      <c r="A71" s="101" t="s">
        <v>435</v>
      </c>
      <c r="B71" s="97"/>
      <c r="C71" s="146">
        <f>'Returns Analysis'!C39</f>
        <v>0.11534275412559511</v>
      </c>
      <c r="D71" s="40"/>
      <c r="E71" s="13"/>
      <c r="F71" s="101" t="s">
        <v>262</v>
      </c>
      <c r="G71" s="13"/>
      <c r="H71" s="251">
        <v>400</v>
      </c>
      <c r="I71" s="13"/>
      <c r="J71" s="40"/>
    </row>
    <row r="72" spans="1:10" ht="16.5" thickBot="1">
      <c r="A72" s="101" t="str">
        <f>CONCATENATE("20 Yrs After-Tax Cashflow with ",H23,"x EBITDA Exit Multiple Residual Value")</f>
        <v>20 Yrs After-Tax Cashflow with 5x EBITDA Exit Multiple Residual Value</v>
      </c>
      <c r="B72" s="13"/>
      <c r="C72" s="146">
        <f>'Returns Analysis'!C46</f>
        <v>0.12024084925651551</v>
      </c>
      <c r="D72" s="171" t="s">
        <v>434</v>
      </c>
      <c r="E72" s="13"/>
      <c r="F72" s="103" t="s">
        <v>169</v>
      </c>
      <c r="G72" s="42"/>
      <c r="H72" s="260">
        <v>2450</v>
      </c>
      <c r="I72" s="42"/>
      <c r="J72" s="81"/>
    </row>
    <row r="73" spans="1:10" ht="15.75">
      <c r="A73" s="101" t="str">
        <f>CONCATENATE("20 Yrs After-Tax Cashflow with ",H24*100,"% Initial Project Cost Residual Value")</f>
        <v>20 Yrs After-Tax Cashflow with 20% Initial Project Cost Residual Value</v>
      </c>
      <c r="B73" s="13"/>
      <c r="C73" s="146">
        <f>'Returns Analysis'!C53</f>
        <v>0.12208576798439025</v>
      </c>
      <c r="D73" s="538">
        <v>0.12</v>
      </c>
    </row>
    <row r="74" spans="1:10" ht="15.75">
      <c r="A74" s="101" t="str">
        <f>CONCATENATE("20 Yrs After-Tax Cashflow with $",H25,"/kW Residual Value")</f>
        <v>20 Yrs After-Tax Cashflow with $200/kW Residual Value</v>
      </c>
      <c r="B74" s="13"/>
      <c r="C74" s="146">
        <f>'Returns Analysis'!C60</f>
        <v>0.12776338458061215</v>
      </c>
      <c r="D74" s="102"/>
      <c r="E74" s="97"/>
    </row>
    <row r="75" spans="1:10" ht="15.75">
      <c r="A75" s="41"/>
      <c r="B75" s="13"/>
      <c r="C75" s="13"/>
      <c r="D75" s="40"/>
      <c r="E75" s="97"/>
    </row>
    <row r="76" spans="1:10" ht="15.75">
      <c r="A76" s="104" t="s">
        <v>86</v>
      </c>
      <c r="B76" s="96">
        <f>IS!C7</f>
        <v>2001</v>
      </c>
      <c r="C76" s="96">
        <f>IS!D7</f>
        <v>2002</v>
      </c>
      <c r="D76" s="171">
        <f>IS!E7</f>
        <v>2003</v>
      </c>
      <c r="E76" s="13"/>
    </row>
    <row r="77" spans="1:10" ht="15.75">
      <c r="A77" s="101" t="s">
        <v>97</v>
      </c>
      <c r="B77" s="111">
        <f>IS!C32</f>
        <v>10386.146684289575</v>
      </c>
      <c r="C77" s="111">
        <f>IS!D32</f>
        <v>15842.150026434378</v>
      </c>
      <c r="D77" s="166">
        <f>IS!E32</f>
        <v>15794.282926434378</v>
      </c>
      <c r="E77" s="13"/>
    </row>
    <row r="78" spans="1:10" ht="15.75">
      <c r="A78" s="101" t="s">
        <v>98</v>
      </c>
      <c r="B78" s="111">
        <f>IS!C45</f>
        <v>734.97254097233122</v>
      </c>
      <c r="C78" s="111">
        <f>IS!D45</f>
        <v>1478.7230266702029</v>
      </c>
      <c r="D78" s="166">
        <f>IS!E45</f>
        <v>1746.0053193392084</v>
      </c>
      <c r="E78" s="13"/>
    </row>
    <row r="79" spans="1:10" ht="15.75">
      <c r="A79" s="101" t="s">
        <v>99</v>
      </c>
      <c r="B79" s="111">
        <f>'Returns Analysis'!C13</f>
        <v>7564.166970651876</v>
      </c>
      <c r="C79" s="111">
        <f>'Returns Analysis'!D13</f>
        <v>9402.6141763813321</v>
      </c>
      <c r="D79" s="166">
        <f>'Returns Analysis'!E13</f>
        <v>9833.1726593503372</v>
      </c>
      <c r="E79" s="13"/>
    </row>
    <row r="80" spans="1:10" ht="16.5" thickBot="1">
      <c r="A80" s="103" t="s">
        <v>360</v>
      </c>
      <c r="B80" s="112">
        <f>'Returns Analysis'!C21</f>
        <v>5376.4353264828123</v>
      </c>
      <c r="C80" s="112">
        <f>'Returns Analysis'!D21</f>
        <v>3714.4690828528946</v>
      </c>
      <c r="D80" s="192">
        <f>'Returns Analysis'!E21</f>
        <v>3635.6545297040248</v>
      </c>
      <c r="E80" s="13"/>
    </row>
    <row r="81" spans="5:9">
      <c r="E81" s="13"/>
    </row>
    <row r="82" spans="5:9">
      <c r="E82" s="13"/>
    </row>
    <row r="83" spans="5:9">
      <c r="E83" s="13"/>
    </row>
    <row r="84" spans="5:9" ht="15.75">
      <c r="E84" s="46"/>
    </row>
    <row r="86" spans="5:9" ht="15.75">
      <c r="E86" s="97"/>
    </row>
    <row r="87" spans="5:9" ht="15.75">
      <c r="E87" s="97"/>
    </row>
    <row r="88" spans="5:9" ht="15.75">
      <c r="E88" s="97"/>
    </row>
    <row r="89" spans="5:9" ht="15.75">
      <c r="E89" s="97"/>
    </row>
    <row r="90" spans="5:9">
      <c r="E90" s="13"/>
    </row>
    <row r="91" spans="5:9" ht="15.75">
      <c r="E91" s="97"/>
    </row>
    <row r="92" spans="5:9" ht="15.75">
      <c r="E92" s="97"/>
    </row>
    <row r="93" spans="5:9">
      <c r="E93" s="13"/>
    </row>
    <row r="94" spans="5:9" ht="15.75">
      <c r="E94" s="13"/>
      <c r="I94" s="159"/>
    </row>
    <row r="95" spans="5:9" ht="15.75">
      <c r="E95" s="97"/>
    </row>
    <row r="96" spans="5:9" ht="15.75">
      <c r="E96" s="97"/>
    </row>
    <row r="97" spans="5:5" ht="15.75">
      <c r="E97" s="97"/>
    </row>
    <row r="98" spans="5:5" ht="15.75">
      <c r="E98" s="96"/>
    </row>
    <row r="99" spans="5:5" ht="15.75">
      <c r="E99" s="111"/>
    </row>
    <row r="100" spans="5:5" ht="15.75">
      <c r="E100" s="111"/>
    </row>
    <row r="101" spans="5:5" ht="15.75">
      <c r="E101" s="111"/>
    </row>
    <row r="102" spans="5:5" ht="15.75">
      <c r="E102" s="111"/>
    </row>
    <row r="118" spans="9:9" ht="15.75">
      <c r="I118" s="159"/>
    </row>
    <row r="119" spans="9:9" ht="15.75">
      <c r="I119" s="159"/>
    </row>
    <row r="120" spans="9:9" ht="15.75">
      <c r="I120" s="159"/>
    </row>
    <row r="121" spans="9:9" ht="15.75">
      <c r="I121" s="159"/>
    </row>
    <row r="122" spans="9:9" ht="15.75">
      <c r="I122" s="159"/>
    </row>
    <row r="123" spans="9:9" ht="15.75">
      <c r="I123" s="159"/>
    </row>
    <row r="124" spans="9:9" ht="15.75">
      <c r="I124" s="159"/>
    </row>
    <row r="125" spans="9:9" ht="15.75">
      <c r="I125" s="159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60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2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2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2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5"/>
      <c r="M136" s="154"/>
      <c r="N136" s="154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4"/>
      <c r="K137" s="154"/>
      <c r="L137" s="153"/>
      <c r="M137" s="156"/>
      <c r="N137" s="156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6"/>
      <c r="K138" s="156"/>
      <c r="L138" s="158"/>
      <c r="M138" s="157"/>
      <c r="N138" s="157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7"/>
      <c r="K139" s="157"/>
      <c r="L139" s="158"/>
      <c r="M139" s="157"/>
      <c r="N139" s="157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7"/>
      <c r="K140" s="157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60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4"/>
    </row>
    <row r="151" spans="10:10" ht="15.75">
      <c r="J151" s="156"/>
    </row>
    <row r="152" spans="10:10" ht="15.75">
      <c r="J152" s="157"/>
    </row>
    <row r="153" spans="10:10" ht="15.75">
      <c r="J153" s="157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9525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8" name="Drop Down 205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200025</xdr:rowOff>
                  </from>
                  <to>
                    <xdr:col>9</xdr:col>
                    <xdr:colOff>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9" name="Drop Down 216">
              <controlPr defaultSize="0" autoFill="0" autoLine="0" autoPict="0">
                <anchor moveWithCells="1">
                  <from>
                    <xdr:col>7</xdr:col>
                    <xdr:colOff>1209675</xdr:colOff>
                    <xdr:row>29</xdr:row>
                    <xdr:rowOff>0</xdr:rowOff>
                  </from>
                  <to>
                    <xdr:col>8</xdr:col>
                    <xdr:colOff>1181100</xdr:colOff>
                    <xdr:row>30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2:AU64"/>
  <sheetViews>
    <sheetView zoomScale="75" zoomScaleNormal="75" workbookViewId="0">
      <selection activeCell="C32" sqref="C32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33" ht="18.75">
      <c r="A2" s="86" t="str">
        <f>Assumptions!A3</f>
        <v>PROJECT NAME: UAE-Lowell</v>
      </c>
    </row>
    <row r="4" spans="1:33" ht="18.75">
      <c r="A4" s="60" t="s">
        <v>91</v>
      </c>
      <c r="B4" s="5"/>
    </row>
    <row r="6" spans="1:33">
      <c r="C6" s="213">
        <f>'Price_Technical Assumption'!D7</f>
        <v>0.66666666666666663</v>
      </c>
      <c r="D6" s="213">
        <f>'Price_Technical Assumption'!E7</f>
        <v>1.6666666666666665</v>
      </c>
      <c r="E6" s="213">
        <f>'Price_Technical Assumption'!F7</f>
        <v>2.6666666666666665</v>
      </c>
      <c r="F6" s="213">
        <f>'Price_Technical Assumption'!G7</f>
        <v>3.6666666666666665</v>
      </c>
      <c r="G6" s="213">
        <f>'Price_Technical Assumption'!H7</f>
        <v>4.6666666666666661</v>
      </c>
      <c r="H6" s="213">
        <f>'Price_Technical Assumption'!I7</f>
        <v>5.6666666666666661</v>
      </c>
      <c r="I6" s="213">
        <f>'Price_Technical Assumption'!J7</f>
        <v>6.6666666666666661</v>
      </c>
      <c r="J6" s="213">
        <f>'Price_Technical Assumption'!K7</f>
        <v>7.6666666666666661</v>
      </c>
      <c r="K6" s="213">
        <f>'Price_Technical Assumption'!L7</f>
        <v>8.6666666666666661</v>
      </c>
      <c r="L6" s="213">
        <f>'Price_Technical Assumption'!M7</f>
        <v>9.6666666666666661</v>
      </c>
      <c r="M6" s="213">
        <f>'Price_Technical Assumption'!N7</f>
        <v>10.666666666666666</v>
      </c>
      <c r="N6" s="213">
        <f>'Price_Technical Assumption'!O7</f>
        <v>11.666666666666666</v>
      </c>
      <c r="O6" s="213">
        <f>'Price_Technical Assumption'!P7</f>
        <v>12.666666666666666</v>
      </c>
      <c r="P6" s="213">
        <f>'Price_Technical Assumption'!Q7</f>
        <v>13.666666666666666</v>
      </c>
      <c r="Q6" s="213">
        <f>'Price_Technical Assumption'!R7</f>
        <v>14.666666666666666</v>
      </c>
      <c r="R6" s="213">
        <f>'Price_Technical Assumption'!S7</f>
        <v>15.666666666666666</v>
      </c>
      <c r="S6" s="213">
        <f>'Price_Technical Assumption'!T7</f>
        <v>16.666666666666664</v>
      </c>
      <c r="T6" s="213">
        <f>'Price_Technical Assumption'!U7</f>
        <v>17.666666666666664</v>
      </c>
      <c r="U6" s="213">
        <f>'Price_Technical Assumption'!V7</f>
        <v>18.666666666666664</v>
      </c>
      <c r="V6" s="213">
        <f>'Price_Technical Assumption'!W7</f>
        <v>19.666666666666664</v>
      </c>
      <c r="W6" s="213">
        <f>'Price_Technical Assumption'!X7</f>
        <v>20.666666666666664</v>
      </c>
      <c r="X6" s="213">
        <f>'Price_Technical Assumption'!Y7</f>
        <v>21.666666666666664</v>
      </c>
      <c r="Y6" s="213">
        <f>'Price_Technical Assumption'!Z7</f>
        <v>22.666666666666664</v>
      </c>
      <c r="Z6" s="213">
        <f>'Price_Technical Assumption'!AA7</f>
        <v>23.666666666666664</v>
      </c>
      <c r="AA6" s="213">
        <f>'Price_Technical Assumption'!AB7</f>
        <v>24.666666666666664</v>
      </c>
      <c r="AB6" s="213">
        <f>'Price_Technical Assumption'!AC7</f>
        <v>25.666666666666664</v>
      </c>
      <c r="AC6" s="213">
        <f>'Price_Technical Assumption'!AD7</f>
        <v>26.666666666666664</v>
      </c>
      <c r="AD6" s="213">
        <f>'Price_Technical Assumption'!AE7</f>
        <v>27.666666666666664</v>
      </c>
      <c r="AE6" s="213">
        <f>'Price_Technical Assumption'!AF7</f>
        <v>28.666666666666664</v>
      </c>
      <c r="AF6" s="213">
        <f>'Price_Technical Assumption'!AG7</f>
        <v>29.666666666666664</v>
      </c>
      <c r="AG6" s="213">
        <f>'Price_Technical Assumption'!AH7</f>
        <v>30.666666666666664</v>
      </c>
    </row>
    <row r="7" spans="1:33" s="6" customFormat="1" ht="13.5" thickBot="1">
      <c r="A7" s="122" t="s">
        <v>38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66">
        <v>37256</v>
      </c>
      <c r="D8" s="366">
        <v>37621</v>
      </c>
      <c r="E8" s="366">
        <v>37986</v>
      </c>
      <c r="F8" s="366">
        <v>38352</v>
      </c>
      <c r="G8" s="366">
        <v>38717</v>
      </c>
      <c r="H8" s="366">
        <v>39082</v>
      </c>
      <c r="I8" s="366">
        <v>39447</v>
      </c>
      <c r="J8" s="366">
        <v>39813</v>
      </c>
      <c r="K8" s="366">
        <v>40178</v>
      </c>
      <c r="L8" s="366">
        <v>40543</v>
      </c>
      <c r="M8" s="366">
        <v>40908</v>
      </c>
      <c r="N8" s="366">
        <v>41274</v>
      </c>
      <c r="O8" s="366">
        <v>41639</v>
      </c>
      <c r="P8" s="366">
        <v>42004</v>
      </c>
      <c r="Q8" s="366">
        <v>42369</v>
      </c>
      <c r="R8" s="366">
        <v>42735</v>
      </c>
      <c r="S8" s="366">
        <v>43100</v>
      </c>
      <c r="T8" s="366">
        <v>43465</v>
      </c>
      <c r="U8" s="366">
        <v>43830</v>
      </c>
      <c r="V8" s="366">
        <v>44196</v>
      </c>
      <c r="W8" s="366">
        <v>44561</v>
      </c>
      <c r="X8" s="366">
        <v>44926</v>
      </c>
      <c r="Y8" s="366">
        <v>45291</v>
      </c>
      <c r="Z8" s="366">
        <v>45657</v>
      </c>
      <c r="AA8" s="366">
        <v>46022</v>
      </c>
      <c r="AB8" s="366">
        <v>46387</v>
      </c>
      <c r="AC8" s="366">
        <v>46752</v>
      </c>
      <c r="AD8" s="366">
        <v>47118</v>
      </c>
      <c r="AE8" s="366">
        <v>47483</v>
      </c>
      <c r="AF8" s="366">
        <v>47848</v>
      </c>
      <c r="AG8" s="366">
        <v>48213</v>
      </c>
    </row>
    <row r="9" spans="1:33">
      <c r="A9" s="1" t="s">
        <v>39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115</v>
      </c>
      <c r="C10" s="74">
        <f>IF(C6&lt;Assumptions!$H$19,C6*12*'Price_Technical Assumption'!D21*Assumptions!$H$68,IF(AND(B6&lt;Assumptions!$H$19,C6&gt;Assumptions!$H$19),(1-$C$6)*12*'Price_Technical Assumption'!D21*Assumptions!$H$68,0))</f>
        <v>11807.146684289584</v>
      </c>
      <c r="D10" s="74">
        <f>IF(D6&lt;Assumptions!$H$19,12*'Price_Technical Assumption'!E21*Assumptions!$H$68,IF(AND(C6&lt;Assumptions!$H$19,D6&gt;Assumptions!$H$19),(1-$C$6)*12*'Price_Technical Assumption'!E21*Assumptions!$H$68,0))</f>
        <v>17710.720026434377</v>
      </c>
      <c r="E10" s="74">
        <f>IF(E6&lt;Assumptions!$H$19,12*'Price_Technical Assumption'!F21*Assumptions!$H$68,IF(AND(D6&lt;Assumptions!$H$19,E6&gt;Assumptions!$H$19),(1-$C$6)*12*'Price_Technical Assumption'!F21*Assumptions!$H$68,0))</f>
        <v>17710.720026434377</v>
      </c>
      <c r="F10" s="74">
        <f>IF(F6&lt;Assumptions!$H$19,12*'Price_Technical Assumption'!G21*Assumptions!$H$68,IF(AND(E6&lt;Assumptions!$H$19,F6&gt;Assumptions!$H$19),(1-$C$6)*12*'Price_Technical Assumption'!G21*Assumptions!$H$68,0))</f>
        <v>17710.720026434377</v>
      </c>
      <c r="G10" s="74">
        <f>IF(G6&lt;Assumptions!$H$19,12*'Price_Technical Assumption'!H21*Assumptions!$H$68,IF(AND(F6&lt;Assumptions!$H$19,G6&gt;Assumptions!$H$19),(1-$C$6)*12*'Price_Technical Assumption'!H21*Assumptions!$H$68,0))</f>
        <v>17710.720026434377</v>
      </c>
      <c r="H10" s="74">
        <f>IF(H6&lt;Assumptions!$H$19,12*'Price_Technical Assumption'!I21*Assumptions!$H$68,IF(AND(G6&lt;Assumptions!$H$19,H6&gt;Assumptions!$H$19),(1-$C$6)*12*'Price_Technical Assumption'!I21*Assumptions!$H$68,0))</f>
        <v>17710.720026434377</v>
      </c>
      <c r="I10" s="74">
        <f>IF(I6&lt;Assumptions!$H$19,12*'Price_Technical Assumption'!J21*Assumptions!$H$68,IF(AND(H6&lt;Assumptions!$H$19,I6&gt;Assumptions!$H$19),(1-$C$6)*12*'Price_Technical Assumption'!J21*Assumptions!$H$68,0))</f>
        <v>17710.720026434377</v>
      </c>
      <c r="J10" s="74">
        <f>IF(J6&lt;Assumptions!$H$19,12*'Price_Technical Assumption'!K21*Assumptions!$H$68,IF(AND(I6&lt;Assumptions!$H$19,J6&gt;Assumptions!$H$19),(1-$C$6)*12*'Price_Technical Assumption'!K21*Assumptions!$H$68,0))</f>
        <v>17710.720026434377</v>
      </c>
      <c r="K10" s="74">
        <f>IF(K6&lt;Assumptions!$H$19,12*'Price_Technical Assumption'!L21*Assumptions!$H$68,IF(AND(J6&lt;Assumptions!$H$19,K6&gt;Assumptions!$H$19),(1-$C$6)*12*'Price_Technical Assumption'!L21*Assumptions!$H$68,0))</f>
        <v>17710.720026434377</v>
      </c>
      <c r="L10" s="74">
        <f>IF(L6&lt;Assumptions!$H$19,12*'Price_Technical Assumption'!M21*Assumptions!$H$68,IF(AND(K6&lt;Assumptions!$H$19,L6&gt;Assumptions!$H$19),(1-$C$6)*12*'Price_Technical Assumption'!M21*Assumptions!$H$68,0))</f>
        <v>17710.720026434377</v>
      </c>
      <c r="M10" s="74">
        <f>IF(M6&lt;Assumptions!$H$19,12*'Price_Technical Assumption'!N21*Assumptions!$H$68,IF(AND(L6&lt;Assumptions!$H$19,M6&gt;Assumptions!$H$19),(1-$C$6)*12*'Price_Technical Assumption'!N21*Assumptions!$H$68,0))</f>
        <v>17710.720026434377</v>
      </c>
      <c r="N10" s="74">
        <f>IF(N6&lt;Assumptions!$H$19,12*'Price_Technical Assumption'!O21*Assumptions!$H$68,IF(AND(M6&lt;Assumptions!$H$19,N6&gt;Assumptions!$H$19),(1-$C$6)*12*'Price_Technical Assumption'!O21*Assumptions!$H$68,0))</f>
        <v>17710.720026434377</v>
      </c>
      <c r="O10" s="74">
        <f>IF(O6&lt;Assumptions!$H$19,12*'Price_Technical Assumption'!P21*Assumptions!$H$68,IF(AND(N6&lt;Assumptions!$H$19,O6&gt;Assumptions!$H$19),(1-$C$6)*12*'Price_Technical Assumption'!P21*Assumptions!$H$68,0))</f>
        <v>17710.720026434377</v>
      </c>
      <c r="P10" s="74">
        <f>IF(P6&lt;Assumptions!$H$19,12*'Price_Technical Assumption'!Q21*Assumptions!$H$68,IF(AND(O6&lt;Assumptions!$H$19,P6&gt;Assumptions!$H$19),(1-$C$6)*12*'Price_Technical Assumption'!Q21*Assumptions!$H$68,0))</f>
        <v>17710.720026434377</v>
      </c>
      <c r="Q10" s="74">
        <f>IF(Q6&lt;Assumptions!$H$19,12*'Price_Technical Assumption'!R21*Assumptions!$H$68,IF(AND(P6&lt;Assumptions!$H$19,Q6&gt;Assumptions!$H$19),(1-$C$6)*12*'Price_Technical Assumption'!R21*Assumptions!$H$68,0))</f>
        <v>17710.720026434377</v>
      </c>
      <c r="R10" s="74">
        <f>IF(R6&lt;Assumptions!$H$19,12*'Price_Technical Assumption'!S21*Assumptions!$H$68,IF(AND(Q6&lt;Assumptions!$H$19,R6&gt;Assumptions!$H$19),(1-$C$6)*12*'Price_Technical Assumption'!S21*Assumptions!$H$68,0))</f>
        <v>17710.720026434377</v>
      </c>
      <c r="S10" s="74">
        <f>IF(S6&lt;Assumptions!$H$19,12*'Price_Technical Assumption'!T21*Assumptions!$H$68,IF(AND(R6&lt;Assumptions!$H$19,S6&gt;Assumptions!$H$19),(1-$C$6)*12*'Price_Technical Assumption'!T21*Assumptions!$H$68,0))</f>
        <v>17710.720026434377</v>
      </c>
      <c r="T10" s="74">
        <f>IF(T6&lt;Assumptions!$H$19,12*'Price_Technical Assumption'!U21*Assumptions!$H$68,IF(AND(S6&lt;Assumptions!$H$19,T6&gt;Assumptions!$H$19),(1-$C$6)*12*'Price_Technical Assumption'!U21*Assumptions!$H$68,0))</f>
        <v>17710.720026434377</v>
      </c>
      <c r="U10" s="74">
        <f>IF(U6&lt;Assumptions!$H$19,12*'Price_Technical Assumption'!V21*Assumptions!$H$68,IF(AND(T6&lt;Assumptions!$H$19,U6&gt;Assumptions!$H$19),(1-$C$6)*12*'Price_Technical Assumption'!V21*Assumptions!$H$68,0))</f>
        <v>17710.720026434377</v>
      </c>
      <c r="V10" s="74">
        <f>IF(V6&lt;Assumptions!$H$19,12*'Price_Technical Assumption'!W21*Assumptions!$H$68,IF(AND(U6&lt;Assumptions!$H$19,V6&gt;Assumptions!$H$19),(1-$C$6)*12*'Price_Technical Assumption'!W21*Assumptions!$H$68,0))</f>
        <v>17710.720026434377</v>
      </c>
      <c r="W10" s="74">
        <f>IF(W6&lt;Assumptions!$H$19,12*'Price_Technical Assumption'!X21*Assumptions!$H$68,IF(AND(V6&lt;Assumptions!$H$19,W6&gt;Assumptions!$H$19),(1-$C$6)*12*'Price_Technical Assumption'!X21*Assumptions!$H$68,0))</f>
        <v>6341.6170182008118</v>
      </c>
      <c r="X10" s="74">
        <f>IF(X6&lt;Assumptions!$H$19,12*'Price_Technical Assumption'!Y21*Assumptions!$H$68,IF(AND(W6&lt;Assumptions!$H$19,X6&gt;Assumptions!$H$19),(1-$C$6)*12*'Price_Technical Assumption'!Y21*Assumptions!$H$68,0))</f>
        <v>0</v>
      </c>
      <c r="Y10" s="74">
        <f>IF(Y6&lt;Assumptions!$H$19,12*'Price_Technical Assumption'!Z21*Assumptions!$H$68,IF(AND(X6&lt;Assumptions!$H$19,Y6&gt;Assumptions!$H$19),(1-$C$6)*12*'Price_Technical Assumption'!Z21*Assumptions!$H$68,0))</f>
        <v>0</v>
      </c>
      <c r="Z10" s="74">
        <f>IF(Z6&lt;Assumptions!$H$19,12*'Price_Technical Assumption'!AA21*Assumptions!$H$68,IF(AND(Y6&lt;Assumptions!$H$19,Z6&gt;Assumptions!$H$19),(1-$C$6)*12*'Price_Technical Assumption'!AA21*Assumptions!$H$68,0))</f>
        <v>0</v>
      </c>
      <c r="AA10" s="74">
        <f>IF(AA6&lt;Assumptions!$H$19,12*'Price_Technical Assumption'!AB21*Assumptions!$H$68,IF(AND(Z6&lt;Assumptions!$H$19,AA6&gt;Assumptions!$H$19),(1-$C$6)*12*'Price_Technical Assumption'!AB21*Assumptions!$H$68,0))</f>
        <v>0</v>
      </c>
      <c r="AB10" s="74">
        <f>IF(AB6&lt;Assumptions!$H$19,12*'Price_Technical Assumption'!AC21*Assumptions!$H$68,IF(AND(AA6&lt;Assumptions!$H$19,AB6&gt;Assumptions!$H$19),(1-$C$6)*12*'Price_Technical Assumption'!AC21*Assumptions!$H$68,0))</f>
        <v>0</v>
      </c>
      <c r="AC10" s="74">
        <f>IF(AC6&lt;Assumptions!$H$19,12*'Price_Technical Assumption'!AD21*Assumptions!$H$68,IF(AND(AB6&lt;Assumptions!$H$19,AC6&gt;Assumptions!$H$19),(1-$C$6)*12*'Price_Technical Assumption'!AD21*Assumptions!$H$68,0))</f>
        <v>0</v>
      </c>
      <c r="AD10" s="74">
        <f>IF(AD6&lt;Assumptions!$H$19,12*'Price_Technical Assumption'!AE21*Assumptions!$H$68,IF(AND(AC6&lt;Assumptions!$H$19,AD6&gt;Assumptions!$H$19),(1-$C$6)*12*'Price_Technical Assumption'!AE21*Assumptions!$H$68,0))</f>
        <v>0</v>
      </c>
      <c r="AE10" s="74">
        <f>IF(AE6&lt;Assumptions!$H$19,12*'Price_Technical Assumption'!AF21*Assumptions!$H$68,IF(AND(AD6&lt;Assumptions!$H$19,AE6&gt;Assumptions!$H$19),(1-$C$6)*12*'Price_Technical Assumption'!AF21*Assumptions!$H$68,0))</f>
        <v>0</v>
      </c>
      <c r="AF10" s="74">
        <f>IF(AF6&lt;Assumptions!$H$19,12*'Price_Technical Assumption'!AG21*Assumptions!$H$68,IF(AND(AE6&lt;Assumptions!$H$19,AF6&gt;Assumptions!$H$19),(1-$C$6)*12*'Price_Technical Assumption'!AG21*Assumptions!$H$68,0))</f>
        <v>0</v>
      </c>
      <c r="AG10" s="74">
        <f>IF(AG6&lt;Assumptions!$H$19,12*'Price_Technical Assumption'!AH21*Assumptions!$H$68,IF(AND(AF6&lt;Assumptions!$H$19,AG6&gt;Assumptions!$H$19),(1-$C$6)*12*'Price_Technical Assumption'!AH21*Assumptions!$H$68,0))</f>
        <v>0</v>
      </c>
    </row>
    <row r="11" spans="1:33">
      <c r="A11" s="3" t="s">
        <v>116</v>
      </c>
      <c r="C11" s="74">
        <f>'Price_Technical Assumption'!D38*Assumptions!$H$62/1000</f>
        <v>19992.166543658888</v>
      </c>
      <c r="D11" s="74">
        <f>'Price_Technical Assumption'!E38*Assumptions!$H$62/1000</f>
        <v>19919.863429125471</v>
      </c>
      <c r="E11" s="74">
        <f>'Price_Technical Assumption'!F38*Assumptions!$H$62/1000</f>
        <v>20147.730172822405</v>
      </c>
      <c r="F11" s="74">
        <f>'Price_Technical Assumption'!G38*Assumptions!$H$62/1000</f>
        <v>20477.673850010015</v>
      </c>
      <c r="G11" s="74">
        <f>'Price_Technical Assumption'!H38*Assumptions!$H$62/1000</f>
        <v>20867.747308447124</v>
      </c>
      <c r="H11" s="74">
        <f>'Price_Technical Assumption'!I38*Assumptions!$H$62/1000</f>
        <v>21281.16017358096</v>
      </c>
      <c r="I11" s="74">
        <f>'Price_Technical Assumption'!J38*Assumptions!$H$62/1000</f>
        <v>21708.129324538761</v>
      </c>
      <c r="J11" s="74">
        <f>'Price_Technical Assumption'!K38*Assumptions!$H$62/1000</f>
        <v>22165.878926723046</v>
      </c>
      <c r="K11" s="74">
        <f>'Price_Technical Assumption'!L38*Assumptions!$H$62/1000</f>
        <v>22654.448555472354</v>
      </c>
      <c r="L11" s="74">
        <f>'Price_Technical Assumption'!M38*Assumptions!$H$62/1000</f>
        <v>23173.878973385388</v>
      </c>
      <c r="M11" s="74">
        <f>'Price_Technical Assumption'!N38*Assumptions!$H$62/1000</f>
        <v>23724.212165938821</v>
      </c>
      <c r="N11" s="74">
        <f>'Price_Technical Assumption'!O38*Assumptions!$H$62/1000</f>
        <v>24235.520854145481</v>
      </c>
      <c r="O11" s="74">
        <f>'Price_Technical Assumption'!P38*Assumptions!$H$62/1000</f>
        <v>24698.029155972556</v>
      </c>
      <c r="P11" s="74">
        <f>'Price_Technical Assumption'!Q38*Assumptions!$H$62/1000</f>
        <v>25561.067367527765</v>
      </c>
      <c r="Q11" s="74">
        <f>'Price_Technical Assumption'!R38*Assumptions!$H$62/1000</f>
        <v>26235.457278334958</v>
      </c>
      <c r="R11" s="74">
        <f>'Price_Technical Assumption'!S38*Assumptions!$H$62/1000</f>
        <v>26940.979557578125</v>
      </c>
      <c r="S11" s="74">
        <f>'Price_Technical Assumption'!T38*Assumptions!$H$62/1000</f>
        <v>27677.684338112089</v>
      </c>
      <c r="T11" s="74">
        <f>'Price_Technical Assumption'!U38*Assumptions!$H$62/1000</f>
        <v>28445.623256777322</v>
      </c>
      <c r="U11" s="74">
        <f>'Price_Technical Assumption'!V38*Assumptions!$H$62/1000</f>
        <v>29244.849499519507</v>
      </c>
      <c r="V11" s="74">
        <f>'Price_Technical Assumption'!W38*Assumptions!$H$62/1000</f>
        <v>30075.417847862722</v>
      </c>
      <c r="W11" s="74">
        <f>'Price_Technical Assumption'!X38*Assumptions!$H$62/1000</f>
        <v>30937.384726776716</v>
      </c>
      <c r="X11" s="74">
        <f>'Price_Technical Assumption'!Y38*Assumptions!$H$62/1000</f>
        <v>15315.063966626014</v>
      </c>
      <c r="Y11" s="74">
        <f>'Price_Technical Assumption'!Z38*Assumptions!$H$62/1000</f>
        <v>15385.627078394793</v>
      </c>
      <c r="Z11" s="74">
        <f>'Price_Technical Assumption'!AA38*Assumptions!$H$62/1000</f>
        <v>15458.307083516636</v>
      </c>
      <c r="AA11" s="74">
        <f>'Price_Technical Assumption'!AB38*Assumptions!$H$62/1000</f>
        <v>15533.167488792136</v>
      </c>
      <c r="AB11" s="74">
        <f>'Price_Technical Assumption'!AC38*Assumptions!$H$62/1000</f>
        <v>15610.273706225902</v>
      </c>
      <c r="AC11" s="74">
        <f>'Price_Technical Assumption'!AD38*Assumptions!$H$62/1000</f>
        <v>15689.693110182679</v>
      </c>
      <c r="AD11" s="74">
        <f>'Price_Technical Assumption'!AE38*Assumptions!$H$62/1000</f>
        <v>15771.495096258157</v>
      </c>
      <c r="AE11" s="74">
        <f>'Price_Technical Assumption'!AF38*Assumptions!$H$62/1000</f>
        <v>15855.751141915904</v>
      </c>
      <c r="AF11" s="74">
        <f>'Price_Technical Assumption'!AG38*Assumptions!$H$62/1000</f>
        <v>15942.534868943379</v>
      </c>
      <c r="AG11" s="74">
        <f>'Price_Technical Assumption'!AH38*Assumptions!$H$62/1000</f>
        <v>16031.922107781682</v>
      </c>
    </row>
    <row r="12" spans="1:33">
      <c r="A12" s="209" t="s">
        <v>117</v>
      </c>
      <c r="C12" s="367">
        <v>0</v>
      </c>
      <c r="D12" s="367">
        <v>0</v>
      </c>
      <c r="E12" s="367">
        <v>0</v>
      </c>
      <c r="F12" s="367">
        <v>0</v>
      </c>
      <c r="G12" s="367">
        <v>0</v>
      </c>
      <c r="H12" s="367">
        <v>0</v>
      </c>
      <c r="I12" s="367">
        <v>0</v>
      </c>
      <c r="J12" s="367">
        <v>0</v>
      </c>
      <c r="K12" s="367">
        <v>0</v>
      </c>
      <c r="L12" s="367">
        <v>0</v>
      </c>
      <c r="M12" s="367">
        <v>0</v>
      </c>
      <c r="N12" s="367">
        <v>0</v>
      </c>
      <c r="O12" s="367">
        <v>0</v>
      </c>
      <c r="P12" s="367">
        <v>0</v>
      </c>
      <c r="Q12" s="367">
        <v>0</v>
      </c>
      <c r="R12" s="367">
        <v>0</v>
      </c>
      <c r="S12" s="367">
        <v>0</v>
      </c>
      <c r="T12" s="367">
        <v>0</v>
      </c>
      <c r="U12" s="367">
        <v>0</v>
      </c>
      <c r="V12" s="367">
        <v>0</v>
      </c>
      <c r="W12" s="367">
        <v>0</v>
      </c>
      <c r="X12" s="367">
        <v>0</v>
      </c>
      <c r="Y12" s="367">
        <v>0</v>
      </c>
      <c r="Z12" s="367">
        <v>0</v>
      </c>
      <c r="AA12" s="367">
        <v>0</v>
      </c>
      <c r="AB12" s="367">
        <v>0</v>
      </c>
      <c r="AC12" s="367">
        <v>0</v>
      </c>
      <c r="AD12" s="367">
        <v>0</v>
      </c>
      <c r="AE12" s="367">
        <v>0</v>
      </c>
      <c r="AF12" s="367">
        <v>0</v>
      </c>
      <c r="AG12" s="367">
        <v>0</v>
      </c>
    </row>
    <row r="13" spans="1:33">
      <c r="A13" s="173" t="s">
        <v>40</v>
      </c>
      <c r="C13" s="65">
        <f t="shared" ref="C13:AG13" si="0">SUM(C10:C12)</f>
        <v>31799.313227948471</v>
      </c>
      <c r="D13" s="65">
        <f t="shared" si="0"/>
        <v>37630.583455559849</v>
      </c>
      <c r="E13" s="65">
        <f t="shared" si="0"/>
        <v>37858.450199256782</v>
      </c>
      <c r="F13" s="65">
        <f t="shared" si="0"/>
        <v>38188.393876444388</v>
      </c>
      <c r="G13" s="65">
        <f t="shared" si="0"/>
        <v>38578.467334881498</v>
      </c>
      <c r="H13" s="65">
        <f t="shared" si="0"/>
        <v>38991.880200015337</v>
      </c>
      <c r="I13" s="65">
        <f t="shared" si="0"/>
        <v>39418.849350973134</v>
      </c>
      <c r="J13" s="65">
        <f t="shared" si="0"/>
        <v>39876.598953157423</v>
      </c>
      <c r="K13" s="65">
        <f t="shared" si="0"/>
        <v>40365.168581906735</v>
      </c>
      <c r="L13" s="65">
        <f t="shared" si="0"/>
        <v>40884.598999819762</v>
      </c>
      <c r="M13" s="65">
        <f t="shared" si="0"/>
        <v>41434.932192373199</v>
      </c>
      <c r="N13" s="65">
        <f t="shared" si="0"/>
        <v>41946.240880579862</v>
      </c>
      <c r="O13" s="65">
        <f t="shared" si="0"/>
        <v>42408.749182406929</v>
      </c>
      <c r="P13" s="65">
        <f t="shared" si="0"/>
        <v>43271.787393962142</v>
      </c>
      <c r="Q13" s="65">
        <f t="shared" si="0"/>
        <v>43946.177304769335</v>
      </c>
      <c r="R13" s="65">
        <f t="shared" si="0"/>
        <v>44651.699584012502</v>
      </c>
      <c r="S13" s="65">
        <f t="shared" si="0"/>
        <v>45388.40436454647</v>
      </c>
      <c r="T13" s="65">
        <f t="shared" si="0"/>
        <v>46156.343283211696</v>
      </c>
      <c r="U13" s="65">
        <f t="shared" si="0"/>
        <v>46955.569525953884</v>
      </c>
      <c r="V13" s="65">
        <f t="shared" si="0"/>
        <v>47786.137874297099</v>
      </c>
      <c r="W13" s="65">
        <f t="shared" si="0"/>
        <v>37279.001744977526</v>
      </c>
      <c r="X13" s="65">
        <f t="shared" si="0"/>
        <v>15315.063966626014</v>
      </c>
      <c r="Y13" s="65">
        <f t="shared" si="0"/>
        <v>15385.627078394793</v>
      </c>
      <c r="Z13" s="65">
        <f t="shared" si="0"/>
        <v>15458.307083516636</v>
      </c>
      <c r="AA13" s="65">
        <f t="shared" si="0"/>
        <v>15533.167488792136</v>
      </c>
      <c r="AB13" s="65">
        <f t="shared" si="0"/>
        <v>15610.273706225902</v>
      </c>
      <c r="AC13" s="65">
        <f t="shared" si="0"/>
        <v>15689.693110182679</v>
      </c>
      <c r="AD13" s="65">
        <f t="shared" si="0"/>
        <v>15771.495096258157</v>
      </c>
      <c r="AE13" s="65">
        <f t="shared" si="0"/>
        <v>15855.751141915904</v>
      </c>
      <c r="AF13" s="65">
        <f t="shared" si="0"/>
        <v>15942.534868943379</v>
      </c>
      <c r="AG13" s="65">
        <f t="shared" si="0"/>
        <v>16031.922107781682</v>
      </c>
    </row>
    <row r="14" spans="1:33">
      <c r="A14" s="6"/>
      <c r="Y14" s="12"/>
      <c r="Z14" s="12"/>
    </row>
    <row r="15" spans="1:33">
      <c r="A15" s="1" t="s">
        <v>41</v>
      </c>
      <c r="Y15" s="12"/>
      <c r="Z15" s="12"/>
    </row>
    <row r="16" spans="1:33">
      <c r="A16" s="3" t="s">
        <v>42</v>
      </c>
      <c r="C16" s="219">
        <f>Assumptions!$H$62*'Price_Technical Assumption'!D30*'Price_Technical Assumption'!D44/1000000</f>
        <v>18727.794889085621</v>
      </c>
      <c r="D16" s="219">
        <f>Assumptions!$H$62*'Price_Technical Assumption'!E30*'Price_Technical Assumption'!E44/1000000</f>
        <v>18617.560624915001</v>
      </c>
      <c r="E16" s="219">
        <f>Assumptions!$H$62*'Price_Technical Assumption'!F30*'Price_Technical Assumption'!F44/1000000</f>
        <v>18806.358284485621</v>
      </c>
      <c r="F16" s="219">
        <f>Assumptions!$H$62*'Price_Technical Assumption'!G30*'Price_Technical Assumption'!G44/1000000</f>
        <v>19096.060805023124</v>
      </c>
      <c r="G16" s="219">
        <f>Assumptions!$H$62*'Price_Technical Assumption'!H30*'Price_Technical Assumption'!H44/1000000</f>
        <v>19444.685872110625</v>
      </c>
      <c r="H16" s="219">
        <f>Assumptions!$H$62*'Price_Technical Assumption'!I30*'Price_Technical Assumption'!I44/1000000</f>
        <v>19815.406894154374</v>
      </c>
      <c r="I16" s="219">
        <f>Assumptions!$H$62*'Price_Technical Assumption'!J30*'Price_Technical Assumption'!J44/1000000</f>
        <v>20198.403446729379</v>
      </c>
      <c r="J16" s="219">
        <f>Assumptions!$H$62*'Price_Technical Assumption'!K30*'Price_Technical Assumption'!K44/1000000</f>
        <v>20610.861272579376</v>
      </c>
      <c r="K16" s="219">
        <f>Assumptions!$H$62*'Price_Technical Assumption'!L30*'Price_Technical Assumption'!L44/1000000</f>
        <v>21052.780371704375</v>
      </c>
      <c r="L16" s="219">
        <f>Assumptions!$H$62*'Price_Technical Assumption'!M30*'Price_Technical Assumption'!M44/1000000</f>
        <v>21524.160744104371</v>
      </c>
      <c r="M16" s="219">
        <f>Assumptions!$H$62*'Price_Technical Assumption'!N30*'Price_Technical Assumption'!N44/1000000</f>
        <v>22025.002389779373</v>
      </c>
      <c r="N16" s="219">
        <f>Assumptions!$H$62*'Price_Technical Assumption'!O30*'Price_Technical Assumption'!O44/1000000</f>
        <v>22485.334784701252</v>
      </c>
      <c r="O16" s="219">
        <f>Assumptions!$H$62*'Price_Technical Assumption'!P30*'Price_Technical Assumption'!P44/1000000</f>
        <v>22895.337504445</v>
      </c>
      <c r="P16" s="219">
        <f>Assumptions!$H$62*'Price_Technical Assumption'!Q30*'Price_Technical Assumption'!Q44/1000000</f>
        <v>23704.294966454381</v>
      </c>
      <c r="Q16" s="219">
        <f>Assumptions!$H$62*'Price_Technical Assumption'!R30*'Price_Technical Assumption'!R44/1000000</f>
        <v>24322.981705229373</v>
      </c>
      <c r="R16" s="219">
        <f>Assumptions!$H$62*'Price_Technical Assumption'!S30*'Price_Technical Assumption'!S44/1000000</f>
        <v>24971.129717279375</v>
      </c>
      <c r="S16" s="219">
        <f>Assumptions!$H$62*'Price_Technical Assumption'!T30*'Price_Technical Assumption'!T44/1000000</f>
        <v>25648.739002604372</v>
      </c>
      <c r="T16" s="219">
        <f>Assumptions!$H$62*'Price_Technical Assumption'!U30*'Price_Technical Assumption'!U44/1000000</f>
        <v>26355.809561204376</v>
      </c>
      <c r="U16" s="219">
        <f>Assumptions!$H$62*'Price_Technical Assumption'!V30*'Price_Technical Assumption'!V44/1000000</f>
        <v>27092.341393079369</v>
      </c>
      <c r="V16" s="219">
        <f>Assumptions!$H$62*'Price_Technical Assumption'!W30*'Price_Technical Assumption'!W44/1000000</f>
        <v>27858.334498229378</v>
      </c>
      <c r="W16" s="219">
        <f>Assumptions!$H$62*'Price_Technical Assumption'!X30*'Price_Technical Assumption'!X44/1000000</f>
        <v>28653.788876654373</v>
      </c>
      <c r="X16" s="219">
        <f>Assumptions!$H$62*'Price_Technical Assumption'!Y30*'Price_Technical Assumption'!Y44/1000000</f>
        <v>12962.960241000001</v>
      </c>
      <c r="Y16" s="219">
        <f>Assumptions!$H$62*'Price_Technical Assumption'!Z30*'Price_Technical Assumption'!Z44/1000000</f>
        <v>12962.960241000001</v>
      </c>
      <c r="Z16" s="219">
        <f>Assumptions!$H$62*'Price_Technical Assumption'!AA30*'Price_Technical Assumption'!AA44/1000000</f>
        <v>12962.960241000001</v>
      </c>
      <c r="AA16" s="219">
        <f>Assumptions!$H$62*'Price_Technical Assumption'!AB30*'Price_Technical Assumption'!AB44/1000000</f>
        <v>12962.960241000001</v>
      </c>
      <c r="AB16" s="219">
        <f>Assumptions!$H$62*'Price_Technical Assumption'!AC30*'Price_Technical Assumption'!AC44/1000000</f>
        <v>12962.960241000001</v>
      </c>
      <c r="AC16" s="219">
        <f>Assumptions!$H$62*'Price_Technical Assumption'!AD30*'Price_Technical Assumption'!AD44/1000000</f>
        <v>12962.960241000001</v>
      </c>
      <c r="AD16" s="219">
        <f>Assumptions!$H$62*'Price_Technical Assumption'!AE30*'Price_Technical Assumption'!AE44/1000000</f>
        <v>12962.960241000001</v>
      </c>
      <c r="AE16" s="219">
        <f>Assumptions!$H$62*'Price_Technical Assumption'!AF30*'Price_Technical Assumption'!AF44/1000000</f>
        <v>12962.960241000001</v>
      </c>
      <c r="AF16" s="219">
        <f>Assumptions!$H$62*'Price_Technical Assumption'!AG30*'Price_Technical Assumption'!AG44/1000000</f>
        <v>12962.960241000001</v>
      </c>
      <c r="AG16" s="219">
        <f>Assumptions!$H$62*'Price_Technical Assumption'!AH30*'Price_Technical Assumption'!AH44/1000000</f>
        <v>12962.960241000001</v>
      </c>
    </row>
    <row r="17" spans="1:47">
      <c r="A17" s="3" t="s">
        <v>198</v>
      </c>
      <c r="C17" s="74">
        <f>Assumptions!$N19*C6</f>
        <v>329.33333333333331</v>
      </c>
      <c r="D17" s="74">
        <f>Assumptions!$N19*(1+Assumptions!$N$11)</f>
        <v>508.82</v>
      </c>
      <c r="E17" s="74">
        <f>D17*(1+Assumptions!$N$11)</f>
        <v>524.08460000000002</v>
      </c>
      <c r="F17" s="74">
        <f>E17*(1+Assumptions!$N$11)</f>
        <v>539.80713800000001</v>
      </c>
      <c r="G17" s="74">
        <f>F17*(1+Assumptions!$N$11)</f>
        <v>556.00135213999999</v>
      </c>
      <c r="H17" s="74">
        <f>G17*(1+Assumptions!$N$11)</f>
        <v>572.68139270419999</v>
      </c>
      <c r="I17" s="74">
        <f>H17*(1+Assumptions!$N$11)</f>
        <v>589.86183448532597</v>
      </c>
      <c r="J17" s="74">
        <f>I17*(1+Assumptions!$N$11)</f>
        <v>607.5576895198858</v>
      </c>
      <c r="K17" s="74">
        <f>J17*(1+Assumptions!$N$11)</f>
        <v>625.78442020548243</v>
      </c>
      <c r="L17" s="74">
        <f>K17*(1+Assumptions!$N$11)</f>
        <v>644.55795281164694</v>
      </c>
      <c r="M17" s="74">
        <f>L17*(1+Assumptions!$N$11)</f>
        <v>663.89469139599635</v>
      </c>
      <c r="N17" s="74">
        <f>M17*(1+Assumptions!$N$11)</f>
        <v>683.81153213787627</v>
      </c>
      <c r="O17" s="74">
        <f>N17*(1+Assumptions!$N$11)</f>
        <v>704.32587810201255</v>
      </c>
      <c r="P17" s="74">
        <f>O17*(1+Assumptions!$N$11)</f>
        <v>725.45565444507292</v>
      </c>
      <c r="Q17" s="74">
        <f>P17*(1+Assumptions!$N$11)</f>
        <v>747.21932407842507</v>
      </c>
      <c r="R17" s="74">
        <f>Q17*(1+Assumptions!$N$11)</f>
        <v>769.6359038007779</v>
      </c>
      <c r="S17" s="74">
        <f>R17*(1+Assumptions!$N$11)</f>
        <v>792.72498091480122</v>
      </c>
      <c r="T17" s="74">
        <f>S17*(1+Assumptions!$N$11)</f>
        <v>816.50673034224531</v>
      </c>
      <c r="U17" s="74">
        <f>T17*(1+Assumptions!$N$11)</f>
        <v>841.00193225251269</v>
      </c>
      <c r="V17" s="74">
        <f>U17*(1+Assumptions!$N$11)</f>
        <v>866.23199022008805</v>
      </c>
      <c r="W17" s="74">
        <f>V17*(1+Assumptions!$N$11)</f>
        <v>892.2189499266907</v>
      </c>
      <c r="X17" s="74">
        <f>W17*(1+Assumptions!$N$11)</f>
        <v>918.98551842449149</v>
      </c>
      <c r="Y17" s="74">
        <f>X17*(1+Assumptions!$N$11)</f>
        <v>946.55508397722622</v>
      </c>
      <c r="Z17" s="74">
        <f>Y17*(1+Assumptions!$N$11)</f>
        <v>974.95173649654305</v>
      </c>
      <c r="AA17" s="74">
        <f>Z17*(1+Assumptions!$N$11)</f>
        <v>1004.2002885914394</v>
      </c>
      <c r="AB17" s="74">
        <f>AA17*(1+Assumptions!$N$11)</f>
        <v>1034.3262972491825</v>
      </c>
      <c r="AC17" s="74">
        <f>AB17*(1+Assumptions!$N$11)</f>
        <v>1065.3560861666581</v>
      </c>
      <c r="AD17" s="74">
        <f>AC17*(1+Assumptions!$N$11)</f>
        <v>1097.3167687516579</v>
      </c>
      <c r="AE17" s="74">
        <f>AD17*(1+Assumptions!$N$11)</f>
        <v>1130.2362718142076</v>
      </c>
      <c r="AF17" s="74">
        <f>AE17*(1+Assumptions!$N$11)</f>
        <v>1164.1433599686338</v>
      </c>
      <c r="AG17" s="74">
        <f>AF17*(1+Assumptions!$N$11)</f>
        <v>1199.0676607676928</v>
      </c>
    </row>
    <row r="18" spans="1:47">
      <c r="A18" s="3" t="s">
        <v>244</v>
      </c>
      <c r="C18" s="219">
        <f>+(Assumptions!$P$15*Assumptions!$H$62)/1000*(1+Assumptions!$N$11)^IS!C6</f>
        <v>172.41431653271889</v>
      </c>
      <c r="D18" s="74">
        <f>C18*(1+Assumptions!$N$11)</f>
        <v>177.58674602870045</v>
      </c>
      <c r="E18" s="74">
        <f>D18*(1+Assumptions!$N$11)</f>
        <v>182.91434840956146</v>
      </c>
      <c r="F18" s="74">
        <f>E18*(1+Assumptions!$N$11)</f>
        <v>188.4017788618483</v>
      </c>
      <c r="G18" s="74">
        <f>F18*(1+Assumptions!$N$11)</f>
        <v>194.05383222770377</v>
      </c>
      <c r="H18" s="74">
        <f>G18*(1+Assumptions!$N$11)</f>
        <v>199.87544719453487</v>
      </c>
      <c r="I18" s="74">
        <f>H18*(1+Assumptions!$N$11)</f>
        <v>205.87171061037091</v>
      </c>
      <c r="J18" s="74">
        <f>I18*(1+Assumptions!$N$11)</f>
        <v>212.04786192868204</v>
      </c>
      <c r="K18" s="74">
        <f>J18*(1+Assumptions!$N$11)</f>
        <v>218.40929778654251</v>
      </c>
      <c r="L18" s="74">
        <f>K18*(1+Assumptions!$N$11)</f>
        <v>224.96157672013879</v>
      </c>
      <c r="M18" s="74">
        <f>L18*(1+Assumptions!$N$11)</f>
        <v>231.71042402174297</v>
      </c>
      <c r="N18" s="74">
        <f>M18*(1+Assumptions!$N$11)</f>
        <v>238.66173674239525</v>
      </c>
      <c r="O18" s="74">
        <f>N18*(1+Assumptions!$N$11)</f>
        <v>245.8215888446671</v>
      </c>
      <c r="P18" s="74">
        <f>O18*(1+Assumptions!$N$11)</f>
        <v>253.19623651000711</v>
      </c>
      <c r="Q18" s="74">
        <f>P18*(1+Assumptions!$N$11)</f>
        <v>260.79212360530732</v>
      </c>
      <c r="R18" s="74">
        <f>Q18*(1+Assumptions!$N$11)</f>
        <v>268.61588731346654</v>
      </c>
      <c r="S18" s="74">
        <f>R18*(1+Assumptions!$N$11)</f>
        <v>276.67436393287056</v>
      </c>
      <c r="T18" s="74">
        <f>S18*(1+Assumptions!$N$11)</f>
        <v>284.9745948508567</v>
      </c>
      <c r="U18" s="74">
        <f>T18*(1+Assumptions!$N$11)</f>
        <v>293.52383269638239</v>
      </c>
      <c r="V18" s="74">
        <f>U18*(1+Assumptions!$N$11)</f>
        <v>302.32954767727387</v>
      </c>
      <c r="W18" s="74">
        <f>V18*(1+Assumptions!$N$11)</f>
        <v>311.39943410759207</v>
      </c>
      <c r="X18" s="74">
        <f>W18*(1+Assumptions!$N$11)</f>
        <v>320.74141713081985</v>
      </c>
      <c r="Y18" s="74">
        <f>X18*(1+Assumptions!$N$11)</f>
        <v>330.36365964474447</v>
      </c>
      <c r="Z18" s="74">
        <f>Y18*(1+Assumptions!$N$11)</f>
        <v>340.2745694340868</v>
      </c>
      <c r="AA18" s="74">
        <f>Z18*(1+Assumptions!$N$11)</f>
        <v>350.4828065171094</v>
      </c>
      <c r="AB18" s="74">
        <f>AA18*(1+Assumptions!$N$11)</f>
        <v>360.99729071262271</v>
      </c>
      <c r="AC18" s="74">
        <f>AB18*(1+Assumptions!$N$11)</f>
        <v>371.82720943400142</v>
      </c>
      <c r="AD18" s="74">
        <f>AC18*(1+Assumptions!$N$11)</f>
        <v>382.98202571702149</v>
      </c>
      <c r="AE18" s="74">
        <f>AD18*(1+Assumptions!$N$11)</f>
        <v>394.47148648853215</v>
      </c>
      <c r="AF18" s="74">
        <f>AE18*(1+Assumptions!$N$11)</f>
        <v>406.30563108318813</v>
      </c>
      <c r="AG18" s="74">
        <f>AF18*(1+Assumptions!$N$11)</f>
        <v>418.49480001568378</v>
      </c>
    </row>
    <row r="19" spans="1:47">
      <c r="A19" s="3" t="s">
        <v>245</v>
      </c>
      <c r="C19" s="74">
        <f>Assumptions!$P$16*Assumptions!$H$62/1000*(1+Assumptions!$N$11)^IS!C6</f>
        <v>1091.9573380405529</v>
      </c>
      <c r="D19" s="74">
        <f>C19*(1+Assumptions!$N$11)</f>
        <v>1124.7160581817695</v>
      </c>
      <c r="E19" s="74">
        <f>D19*(1+Assumptions!$N$11)</f>
        <v>1158.4575399272226</v>
      </c>
      <c r="F19" s="74">
        <f>E19*(1+Assumptions!$N$11)</f>
        <v>1193.2112661250392</v>
      </c>
      <c r="G19" s="74">
        <f>F19*(1+Assumptions!$N$11)</f>
        <v>1229.0076041087905</v>
      </c>
      <c r="H19" s="74">
        <f>G19*(1+Assumptions!$N$11)</f>
        <v>1265.8778322320543</v>
      </c>
      <c r="I19" s="74">
        <f>H19*(1+Assumptions!$N$11)</f>
        <v>1303.854167199016</v>
      </c>
      <c r="J19" s="74">
        <f>I19*(1+Assumptions!$N$11)</f>
        <v>1342.9697922149865</v>
      </c>
      <c r="K19" s="74">
        <f>J19*(1+Assumptions!$N$11)</f>
        <v>1383.2588859814362</v>
      </c>
      <c r="L19" s="74">
        <f>K19*(1+Assumptions!$N$11)</f>
        <v>1424.7566525608793</v>
      </c>
      <c r="M19" s="74">
        <f>L19*(1+Assumptions!$N$11)</f>
        <v>1467.4993521377057</v>
      </c>
      <c r="N19" s="74">
        <f>M19*(1+Assumptions!$N$11)</f>
        <v>1511.524332701837</v>
      </c>
      <c r="O19" s="74">
        <f>N19*(1+Assumptions!$N$11)</f>
        <v>1556.8700626828922</v>
      </c>
      <c r="P19" s="74">
        <f>O19*(1+Assumptions!$N$11)</f>
        <v>1603.5761645633791</v>
      </c>
      <c r="Q19" s="74">
        <f>P19*(1+Assumptions!$N$11)</f>
        <v>1651.6834495002804</v>
      </c>
      <c r="R19" s="74">
        <f>Q19*(1+Assumptions!$N$11)</f>
        <v>1701.2339529852889</v>
      </c>
      <c r="S19" s="74">
        <f>R19*(1+Assumptions!$N$11)</f>
        <v>1752.2709715748476</v>
      </c>
      <c r="T19" s="74">
        <f>S19*(1+Assumptions!$N$11)</f>
        <v>1804.839100722093</v>
      </c>
      <c r="U19" s="74">
        <f>T19*(1+Assumptions!$N$11)</f>
        <v>1858.9842737437559</v>
      </c>
      <c r="V19" s="74">
        <f>U19*(1+Assumptions!$N$11)</f>
        <v>1914.7538019560686</v>
      </c>
      <c r="W19" s="74">
        <f>V19*(1+Assumptions!$N$11)</f>
        <v>1972.1964160147506</v>
      </c>
      <c r="X19" s="74">
        <f>W19*(1+Assumptions!$N$11)</f>
        <v>2031.3623084951932</v>
      </c>
      <c r="Y19" s="74">
        <f>X19*(1+Assumptions!$N$11)</f>
        <v>2092.3031777500491</v>
      </c>
      <c r="Z19" s="74">
        <f>Y19*(1+Assumptions!$N$11)</f>
        <v>2155.0722730825505</v>
      </c>
      <c r="AA19" s="74">
        <f>Z19*(1+Assumptions!$N$11)</f>
        <v>2219.7244412750269</v>
      </c>
      <c r="AB19" s="74">
        <f>AA19*(1+Assumptions!$N$11)</f>
        <v>2286.3161745132779</v>
      </c>
      <c r="AC19" s="74">
        <f>AB19*(1+Assumptions!$N$11)</f>
        <v>2354.9056597486765</v>
      </c>
      <c r="AD19" s="74">
        <f>AC19*(1+Assumptions!$N$11)</f>
        <v>2425.5528295411368</v>
      </c>
      <c r="AE19" s="74">
        <f>AD19*(1+Assumptions!$N$11)</f>
        <v>2498.3194144273712</v>
      </c>
      <c r="AF19" s="74">
        <f>AE19*(1+Assumptions!$N$11)</f>
        <v>2573.2689968601921</v>
      </c>
      <c r="AG19" s="74">
        <f>AF19*(1+Assumptions!$N$11)</f>
        <v>2650.467066765998</v>
      </c>
    </row>
    <row r="20" spans="1:47">
      <c r="A20" s="3" t="s">
        <v>35</v>
      </c>
      <c r="C20" s="74">
        <f>Assumptions!$N20*Assumptions!H18/12</f>
        <v>266.66666666666669</v>
      </c>
      <c r="D20" s="74">
        <f>Assumptions!$N20*(1+Assumptions!$N$11)</f>
        <v>412</v>
      </c>
      <c r="E20" s="74">
        <f>D20*(1+Assumptions!$N$11)</f>
        <v>424.36</v>
      </c>
      <c r="F20" s="74">
        <f>E20*(1+Assumptions!$N$11)</f>
        <v>437.0908</v>
      </c>
      <c r="G20" s="74">
        <f>F20*(1+Assumptions!$N$11)</f>
        <v>450.20352400000002</v>
      </c>
      <c r="H20" s="74">
        <f>G20*(1+Assumptions!$N$11)</f>
        <v>463.70962972000001</v>
      </c>
      <c r="I20" s="74">
        <f>H20*(1+Assumptions!$N$11)</f>
        <v>477.62091861160002</v>
      </c>
      <c r="J20" s="74">
        <f>I20*(1+Assumptions!$N$11)</f>
        <v>491.94954616994801</v>
      </c>
      <c r="K20" s="74">
        <f>J20*(1+Assumptions!$N$11)</f>
        <v>506.70803255504649</v>
      </c>
      <c r="L20" s="74">
        <f>K20*(1+Assumptions!$N$11)</f>
        <v>521.90927353169786</v>
      </c>
      <c r="M20" s="74">
        <f>L20*(1+Assumptions!$N$11)</f>
        <v>537.56655173764887</v>
      </c>
      <c r="N20" s="74">
        <f>M20*(1+Assumptions!$N$11)</f>
        <v>553.69354828977839</v>
      </c>
      <c r="O20" s="74">
        <f>N20*(1+Assumptions!$N$11)</f>
        <v>570.30435473847172</v>
      </c>
      <c r="P20" s="74">
        <f>O20*(1+Assumptions!$N$11)</f>
        <v>587.41348538062584</v>
      </c>
      <c r="Q20" s="74">
        <f>P20*(1+Assumptions!$N$11)</f>
        <v>605.03588994204461</v>
      </c>
      <c r="R20" s="74">
        <f>Q20*(1+Assumptions!$N$11)</f>
        <v>623.18696664030597</v>
      </c>
      <c r="S20" s="74">
        <f>R20*(1+Assumptions!$N$11)</f>
        <v>641.88257563951515</v>
      </c>
      <c r="T20" s="74">
        <f>S20*(1+Assumptions!$N$11)</f>
        <v>661.13905290870059</v>
      </c>
      <c r="U20" s="74">
        <f>T20*(1+Assumptions!$N$11)</f>
        <v>680.97322449596163</v>
      </c>
      <c r="V20" s="74">
        <f>U20*(1+Assumptions!$N$11)</f>
        <v>701.40242123084045</v>
      </c>
      <c r="W20" s="74">
        <f>V20*(1+Assumptions!$N$11)</f>
        <v>722.44449386776569</v>
      </c>
      <c r="X20" s="74">
        <f>W20*(1+Assumptions!$N$11)</f>
        <v>744.11782868379862</v>
      </c>
      <c r="Y20" s="74">
        <f>X20*(1+Assumptions!$N$11)</f>
        <v>766.44136354431259</v>
      </c>
      <c r="Z20" s="74">
        <f>Y20*(1+Assumptions!$N$11)</f>
        <v>789.43460445064204</v>
      </c>
      <c r="AA20" s="74">
        <f>Z20*(1+Assumptions!$N$11)</f>
        <v>813.11764258416133</v>
      </c>
      <c r="AB20" s="74">
        <f>AA20*(1+Assumptions!$N$11)</f>
        <v>837.51117186168619</v>
      </c>
      <c r="AC20" s="74">
        <f>AB20*(1+Assumptions!$N$11)</f>
        <v>862.63650701753681</v>
      </c>
      <c r="AD20" s="74">
        <f>AC20*(1+Assumptions!$N$11)</f>
        <v>888.5156022280629</v>
      </c>
      <c r="AE20" s="74">
        <f>AD20*(1+Assumptions!$N$11)</f>
        <v>915.17107029490478</v>
      </c>
      <c r="AF20" s="74">
        <f>AE20*(1+Assumptions!$N$11)</f>
        <v>942.6262024037519</v>
      </c>
      <c r="AG20" s="74">
        <f>AF20*(1+Assumptions!$N$11)</f>
        <v>970.90498847586446</v>
      </c>
    </row>
    <row r="21" spans="1:47">
      <c r="A21" s="3" t="s">
        <v>36</v>
      </c>
      <c r="C21" s="74">
        <f>Assumptions!$N21*Assumptions!H18/12</f>
        <v>0</v>
      </c>
      <c r="D21" s="74">
        <f>(Assumptions!$N21)*(1+Assumptions!$N$11)</f>
        <v>0</v>
      </c>
      <c r="E21" s="74">
        <f>D21*(1+Assumptions!$N$11)</f>
        <v>0</v>
      </c>
      <c r="F21" s="74">
        <f>E21*(1+Assumptions!$N$11)</f>
        <v>0</v>
      </c>
      <c r="G21" s="74">
        <f>F21*(1+Assumptions!$N$11)</f>
        <v>0</v>
      </c>
      <c r="H21" s="74">
        <f>G21*(1+Assumptions!$N$11)</f>
        <v>0</v>
      </c>
      <c r="I21" s="74">
        <f>H21*(1+Assumptions!$N$11)</f>
        <v>0</v>
      </c>
      <c r="J21" s="74">
        <f>I21*(1+Assumptions!$N$11)</f>
        <v>0</v>
      </c>
      <c r="K21" s="74">
        <f>J21*(1+Assumptions!$N$11)</f>
        <v>0</v>
      </c>
      <c r="L21" s="74">
        <f>K21*(1+Assumptions!$N$11)</f>
        <v>0</v>
      </c>
      <c r="M21" s="74">
        <f>L21*(1+Assumptions!$N$11)</f>
        <v>0</v>
      </c>
      <c r="N21" s="74">
        <f>M21*(1+Assumptions!$N$11)</f>
        <v>0</v>
      </c>
      <c r="O21" s="74">
        <f>N21*(1+Assumptions!$N$11)</f>
        <v>0</v>
      </c>
      <c r="P21" s="74">
        <f>O21*(1+Assumptions!$N$11)</f>
        <v>0</v>
      </c>
      <c r="Q21" s="74">
        <f>P21*(1+Assumptions!$N$11)</f>
        <v>0</v>
      </c>
      <c r="R21" s="74">
        <f>Q21*(1+Assumptions!$N$11)</f>
        <v>0</v>
      </c>
      <c r="S21" s="74">
        <f>R21*(1+Assumptions!$N$11)</f>
        <v>0</v>
      </c>
      <c r="T21" s="74">
        <f>S21*(1+Assumptions!$N$11)</f>
        <v>0</v>
      </c>
      <c r="U21" s="74">
        <f>T21*(1+Assumptions!$N$11)</f>
        <v>0</v>
      </c>
      <c r="V21" s="74">
        <f>U21*(1+Assumptions!$N$11)</f>
        <v>0</v>
      </c>
      <c r="W21" s="74">
        <f>V21*(1+Assumptions!$N$11)</f>
        <v>0</v>
      </c>
      <c r="X21" s="74">
        <f>W21*(1+Assumptions!$N$11)</f>
        <v>0</v>
      </c>
      <c r="Y21" s="74">
        <f>X21*(1+Assumptions!$N$11)</f>
        <v>0</v>
      </c>
      <c r="Z21" s="74">
        <f>Y21*(1+Assumptions!$N$11)</f>
        <v>0</v>
      </c>
      <c r="AA21" s="74">
        <f>Z21*(1+Assumptions!$N$11)</f>
        <v>0</v>
      </c>
      <c r="AB21" s="74">
        <f>AA21*(1+Assumptions!$N$11)</f>
        <v>0</v>
      </c>
      <c r="AC21" s="74">
        <f>AB21*(1+Assumptions!$N$11)</f>
        <v>0</v>
      </c>
      <c r="AD21" s="74">
        <f>AC21*(1+Assumptions!$N$11)</f>
        <v>0</v>
      </c>
      <c r="AE21" s="74">
        <f>AD21*(1+Assumptions!$N$11)</f>
        <v>0</v>
      </c>
      <c r="AF21" s="74">
        <f>AE21*(1+Assumptions!$N$11)</f>
        <v>0</v>
      </c>
      <c r="AG21" s="74">
        <f>AF21*(1+Assumptions!$N$11)</f>
        <v>0</v>
      </c>
    </row>
    <row r="22" spans="1:47">
      <c r="A22" s="3" t="s">
        <v>346</v>
      </c>
      <c r="C22" s="74">
        <f>+Assumptions!N22</f>
        <v>125</v>
      </c>
      <c r="D22" s="74">
        <f>+Assumptions!N22*(1+Assumptions!$N$11)</f>
        <v>128.75</v>
      </c>
      <c r="E22" s="74">
        <f>D22*(1+Assumptions!$N$11)</f>
        <v>132.61250000000001</v>
      </c>
      <c r="F22" s="74">
        <f>E22*(1+Assumptions!$N$11)</f>
        <v>136.59087500000001</v>
      </c>
      <c r="G22" s="74">
        <f>F22*(1+Assumptions!$N$11)</f>
        <v>140.68860125</v>
      </c>
      <c r="H22" s="74">
        <f>G22*(1+Assumptions!$N$11)</f>
        <v>144.90925928750002</v>
      </c>
      <c r="I22" s="74">
        <f>H22*(1+Assumptions!$N$11)</f>
        <v>149.25653706612502</v>
      </c>
      <c r="J22" s="74">
        <f>I22*(1+Assumptions!$N$11)</f>
        <v>153.73423317810878</v>
      </c>
      <c r="K22" s="74">
        <f>J22*(1+Assumptions!$N$11)</f>
        <v>158.34626017345204</v>
      </c>
      <c r="L22" s="74">
        <f>K22*(1+Assumptions!$N$11)</f>
        <v>163.0966479786556</v>
      </c>
      <c r="M22" s="74">
        <f>L22*(1+Assumptions!$N$11)</f>
        <v>167.98954741801526</v>
      </c>
      <c r="N22" s="74">
        <f>M22*(1+Assumptions!$N$11)</f>
        <v>173.02923384055572</v>
      </c>
      <c r="O22" s="74">
        <f>N22*(1+Assumptions!$N$11)</f>
        <v>178.22011085577239</v>
      </c>
      <c r="P22" s="74">
        <f>O22*(1+Assumptions!$N$11)</f>
        <v>183.56671418144558</v>
      </c>
      <c r="Q22" s="74">
        <f>P22*(1+Assumptions!$N$11)</f>
        <v>189.07371560688895</v>
      </c>
      <c r="R22" s="74">
        <f>Q22*(1+Assumptions!$N$11)</f>
        <v>194.74592707509564</v>
      </c>
      <c r="S22" s="74">
        <f>R22*(1+Assumptions!$N$11)</f>
        <v>200.5883048873485</v>
      </c>
      <c r="T22" s="74">
        <f>S22*(1+Assumptions!$N$11)</f>
        <v>206.60595403396897</v>
      </c>
      <c r="U22" s="74">
        <f>T22*(1+Assumptions!$N$11)</f>
        <v>212.80413265498805</v>
      </c>
      <c r="V22" s="74">
        <f>U22*(1+Assumptions!$N$11)</f>
        <v>219.1882566346377</v>
      </c>
      <c r="W22" s="74">
        <f>V22*(1+Assumptions!$N$11)</f>
        <v>225.76390433367683</v>
      </c>
      <c r="X22" s="74">
        <f>W22*(1+Assumptions!$N$11)</f>
        <v>232.53682146368715</v>
      </c>
      <c r="Y22" s="74">
        <f>X22*(1+Assumptions!$N$11)</f>
        <v>239.51292610759776</v>
      </c>
      <c r="Z22" s="74">
        <f>Y22*(1+Assumptions!$N$11)</f>
        <v>246.69831389082572</v>
      </c>
      <c r="AA22" s="74">
        <f>Z22*(1+Assumptions!$N$11)</f>
        <v>254.0992633075505</v>
      </c>
      <c r="AB22" s="74">
        <f>AA22*(1+Assumptions!$N$11)</f>
        <v>261.72224120677703</v>
      </c>
      <c r="AC22" s="74">
        <f>AB22*(1+Assumptions!$N$11)</f>
        <v>269.57390844298033</v>
      </c>
      <c r="AD22" s="74">
        <f>AC22*(1+Assumptions!$N$11)</f>
        <v>277.66112569626972</v>
      </c>
      <c r="AE22" s="74">
        <f>AD22*(1+Assumptions!$N$11)</f>
        <v>285.99095946715784</v>
      </c>
      <c r="AF22" s="74">
        <f>AE22*(1+Assumptions!$N$11)</f>
        <v>294.57068825117256</v>
      </c>
      <c r="AG22" s="74">
        <f>AF22*(1+Assumptions!$N$11)</f>
        <v>303.40780889870774</v>
      </c>
    </row>
    <row r="23" spans="1:47" ht="14.25" customHeight="1">
      <c r="A23" s="3" t="s">
        <v>210</v>
      </c>
      <c r="C23" s="193">
        <f>Assumptions!N30</f>
        <v>500</v>
      </c>
      <c r="D23" s="193">
        <f>C23*(1+Assumptions!$P$30)</f>
        <v>510</v>
      </c>
      <c r="E23" s="193">
        <f>D23*(1+Assumptions!$P$30)</f>
        <v>520.20000000000005</v>
      </c>
      <c r="F23" s="193">
        <f>E23*(1+Assumptions!$P$30)</f>
        <v>530.60400000000004</v>
      </c>
      <c r="G23" s="193">
        <f>F23*(1+Assumptions!$P$30)</f>
        <v>541.21608000000003</v>
      </c>
      <c r="H23" s="193">
        <f>G23*(1+Assumptions!$P$30)</f>
        <v>552.0404016</v>
      </c>
      <c r="I23" s="193">
        <f>H23*(1+Assumptions!$P$30)</f>
        <v>563.08120963199997</v>
      </c>
      <c r="J23" s="193">
        <f>I23*(1+Assumptions!$P$30)</f>
        <v>574.34283382464002</v>
      </c>
      <c r="K23" s="193">
        <f>J23*(1+Assumptions!$P$30)</f>
        <v>585.82969050113286</v>
      </c>
      <c r="L23" s="193">
        <f>K23*(1+Assumptions!$P$30)</f>
        <v>597.54628431115555</v>
      </c>
      <c r="M23" s="193">
        <f>L23*(1+Assumptions!$P$30)</f>
        <v>609.49720999737872</v>
      </c>
      <c r="N23" s="193">
        <f>M23*(1+Assumptions!$P$30)</f>
        <v>621.68715419732632</v>
      </c>
      <c r="O23" s="193">
        <f>N23*(1+Assumptions!$P$30)</f>
        <v>634.12089728127285</v>
      </c>
      <c r="P23" s="193">
        <f>O23*(1+Assumptions!$P$30)</f>
        <v>646.80331522689835</v>
      </c>
      <c r="Q23" s="193">
        <f>P23*(1+Assumptions!$P$30)</f>
        <v>659.73938153143638</v>
      </c>
      <c r="R23" s="193">
        <f>Q23*(1+Assumptions!$P$30)</f>
        <v>672.93416916206513</v>
      </c>
      <c r="S23" s="193">
        <f>R23*(1+Assumptions!$P$30)</f>
        <v>686.39285254530648</v>
      </c>
      <c r="T23" s="193">
        <f>S23*(1+Assumptions!$P$30)</f>
        <v>700.12070959621258</v>
      </c>
      <c r="U23" s="193">
        <f>T23*(1+Assumptions!$P$30)</f>
        <v>714.12312378813681</v>
      </c>
      <c r="V23" s="193">
        <f>U23*(1+Assumptions!$P$30)</f>
        <v>728.40558626389952</v>
      </c>
      <c r="W23" s="193">
        <f>V23*(1+Assumptions!$P$30)</f>
        <v>742.97369798917748</v>
      </c>
      <c r="X23" s="193">
        <f>W23*(1+Assumptions!$P$30)</f>
        <v>757.83317194896108</v>
      </c>
      <c r="Y23" s="193">
        <f>X23*(1+Assumptions!$P$30)</f>
        <v>772.98983538794027</v>
      </c>
      <c r="Z23" s="193">
        <f>Y23*(1+Assumptions!$P$30)</f>
        <v>788.44963209569914</v>
      </c>
      <c r="AA23" s="193">
        <f>Z23*(1+Assumptions!$P$30)</f>
        <v>804.21862473761314</v>
      </c>
      <c r="AB23" s="193">
        <f>AA23*(1+Assumptions!$P$30)</f>
        <v>820.30299723236544</v>
      </c>
      <c r="AC23" s="193">
        <f>AB23*(1+Assumptions!$P$30)</f>
        <v>836.70905717701271</v>
      </c>
      <c r="AD23" s="193">
        <f>AC23*(1+Assumptions!$P$30)</f>
        <v>853.44323832055295</v>
      </c>
      <c r="AE23" s="193">
        <f>AD23*(1+Assumptions!$P$30)</f>
        <v>870.51210308696398</v>
      </c>
      <c r="AF23" s="193">
        <f>AE23*(1+Assumptions!$P$30)</f>
        <v>887.92234514870324</v>
      </c>
      <c r="AG23" s="193">
        <f>AF23*(1+Assumptions!$P$30)</f>
        <v>905.68079205167737</v>
      </c>
    </row>
    <row r="24" spans="1:47">
      <c r="A24" s="5" t="s">
        <v>200</v>
      </c>
      <c r="C24" s="74">
        <f>Assumptions!$N$52*Depreciation!D50*Assumptions!H18/12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204</v>
      </c>
      <c r="C25" s="193">
        <v>0</v>
      </c>
      <c r="D25" s="193">
        <v>0</v>
      </c>
      <c r="E25" s="193">
        <v>0</v>
      </c>
      <c r="F25" s="193">
        <v>0</v>
      </c>
      <c r="G25" s="193">
        <v>0</v>
      </c>
      <c r="H25" s="193">
        <v>0</v>
      </c>
      <c r="I25" s="193">
        <v>0</v>
      </c>
      <c r="J25" s="193">
        <v>0</v>
      </c>
      <c r="K25" s="193">
        <v>0</v>
      </c>
      <c r="L25" s="193">
        <v>0</v>
      </c>
      <c r="M25" s="193">
        <v>0</v>
      </c>
      <c r="N25" s="193">
        <v>0</v>
      </c>
      <c r="O25" s="193">
        <v>0</v>
      </c>
      <c r="P25" s="193">
        <v>0</v>
      </c>
      <c r="Q25" s="193">
        <v>0</v>
      </c>
      <c r="R25" s="193">
        <v>0</v>
      </c>
      <c r="S25" s="193">
        <v>0</v>
      </c>
      <c r="T25" s="193">
        <v>0</v>
      </c>
      <c r="U25" s="193">
        <v>0</v>
      </c>
      <c r="V25" s="193">
        <v>0</v>
      </c>
      <c r="W25" s="193">
        <v>0</v>
      </c>
      <c r="X25" s="193">
        <v>0</v>
      </c>
      <c r="Y25" s="193">
        <v>0</v>
      </c>
      <c r="Z25" s="193">
        <v>0</v>
      </c>
      <c r="AA25" s="193">
        <v>0</v>
      </c>
      <c r="AB25" s="193">
        <v>0</v>
      </c>
      <c r="AC25" s="193">
        <v>0</v>
      </c>
      <c r="AD25" s="193">
        <v>0</v>
      </c>
      <c r="AE25" s="193">
        <v>0</v>
      </c>
      <c r="AF25" s="193">
        <v>0</v>
      </c>
      <c r="AG25" s="193">
        <v>0</v>
      </c>
    </row>
    <row r="26" spans="1:47">
      <c r="A26" s="13" t="s">
        <v>20</v>
      </c>
      <c r="C26" s="74">
        <f>IF(C8&lt;Assumptions!$G$34,Assumptions!$G$42*Assumptions!$G$41*C6,0)</f>
        <v>0</v>
      </c>
      <c r="D26" s="74">
        <f>IF(D8&lt;Assumptions!$G$34,Assumptions!$G$42*Assumptions!$G$41,IF(AND(D8&gt;Assumptions!$G$34,C8&lt;Assumptions!$G$34),Assumptions!$G$42*Assumptions!$G$41*(1-$C$6),0))</f>
        <v>0</v>
      </c>
      <c r="E26" s="74">
        <f>IF(E8&lt;Assumptions!$G$34,Assumptions!$G$42*Assumptions!$G$41,IF(AND(E8&gt;Assumptions!$G$34,D8&lt;Assumptions!$G$34),Assumptions!$G$42*Assumptions!$G$41*(1-$C$6),0))</f>
        <v>0</v>
      </c>
      <c r="F26" s="74">
        <f>IF(F8&lt;Assumptions!$G$34,Assumptions!$G$42*Assumptions!$G$41,IF(AND(F8&gt;Assumptions!$G$34,E8&lt;Assumptions!$G$34),Assumptions!$G$42*Assumptions!$G$41*(1-$C$6),0))</f>
        <v>0</v>
      </c>
      <c r="G26" s="74">
        <f>IF(G8&lt;Assumptions!$G$34,Assumptions!$G$42*Assumptions!$G$41,IF(AND(G8&gt;Assumptions!$G$34,F8&lt;Assumptions!$G$34),Assumptions!$G$42*Assumptions!$G$41*(1-$C$6),0))</f>
        <v>0</v>
      </c>
      <c r="H26" s="74">
        <f>IF(H8&lt;Assumptions!$G$34,Assumptions!$G$42*Assumptions!$G$41,IF(AND(H8&gt;Assumptions!$G$34,G8&lt;Assumptions!$G$34),Assumptions!$G$42*Assumptions!$G$41*(1-$C$6),0))</f>
        <v>0</v>
      </c>
      <c r="I26" s="74">
        <f>IF(I8&lt;Assumptions!$G$34,Assumptions!$G$42*Assumptions!$G$41,IF(AND(I8&gt;Assumptions!$G$34,H8&lt;Assumptions!$G$34),Assumptions!$G$42*Assumptions!$G$41*(1-$C$6),0))</f>
        <v>0</v>
      </c>
      <c r="J26" s="74">
        <f>IF(J8&lt;Assumptions!$G$34,Assumptions!$G$42*Assumptions!$G$41,IF(AND(J8&gt;Assumptions!$G$34,I8&lt;Assumptions!$G$34),Assumptions!$G$42*Assumptions!$G$41*(1-$C$6),0))</f>
        <v>0</v>
      </c>
      <c r="K26" s="74">
        <f>IF(K8&lt;Assumptions!$G$34,Assumptions!$G$42*Assumptions!$G$41,IF(AND(K8&gt;Assumptions!$G$34,J8&lt;Assumptions!$G$34),Assumptions!$G$42*Assumptions!$G$41*(1-$C$6),0))</f>
        <v>0</v>
      </c>
      <c r="L26" s="74">
        <f>IF(L8&lt;Assumptions!$G$34,Assumptions!$G$42*Assumptions!$G$41,IF(AND(L8&gt;Assumptions!$G$34,K8&lt;Assumptions!$G$34),Assumptions!$G$42*Assumptions!$G$41*(1-$C$6),0))</f>
        <v>0</v>
      </c>
      <c r="M26" s="74">
        <f>IF(M8&lt;Assumptions!$G$34,Assumptions!$G$42*Assumptions!$G$41,IF(AND(M8&gt;Assumptions!$G$34,L8&lt;Assumptions!$G$34),Assumptions!$G$42*Assumptions!$G$41*(1-$C$6),0))</f>
        <v>0</v>
      </c>
      <c r="N26" s="74">
        <f>IF(N8&lt;Assumptions!$G$34,Assumptions!$G$42*Assumptions!$G$41,IF(AND(N8&gt;Assumptions!$G$34,M8&lt;Assumptions!$G$34),Assumptions!$G$42*Assumptions!$G$41*(1-$C$6),0))</f>
        <v>0</v>
      </c>
      <c r="O26" s="74">
        <f>IF(O8&lt;Assumptions!$G$34,Assumptions!$G$42*Assumptions!$G$41,IF(AND(O8&gt;Assumptions!$G$34,N8&lt;Assumptions!$G$34),Assumptions!$G$42*Assumptions!$G$41*(1-$C$6),0))</f>
        <v>0</v>
      </c>
      <c r="P26" s="74">
        <f>IF(P8&lt;Assumptions!$G$34,Assumptions!$G$42*Assumptions!$G$41,IF(AND(P8&gt;Assumptions!$G$34,O8&lt;Assumptions!$G$34),Assumptions!$G$42*Assumptions!$G$41*(1-$C$6),0))</f>
        <v>0</v>
      </c>
      <c r="Q26" s="74">
        <f>IF(Q8&lt;Assumptions!$G$34,Assumptions!$G$42*Assumptions!$G$41,IF(AND(Q8&gt;Assumptions!$G$34,P8&lt;Assumptions!$G$34),Assumptions!$G$42*Assumptions!$G$41*(1-$C$6),0))</f>
        <v>0</v>
      </c>
      <c r="R26" s="74">
        <f>IF(R8&lt;Assumptions!$G$34,Assumptions!$G$42*Assumptions!$G$41,IF(AND(R8&gt;Assumptions!$G$34,Q8&lt;Assumptions!$G$34),Assumptions!$G$42*Assumptions!$G$41*(1-$C$6),0))</f>
        <v>0</v>
      </c>
      <c r="S26" s="74">
        <f>IF(S8&lt;Assumptions!$G$34,Assumptions!$G$42*Assumptions!$G$41,IF(AND(S8&gt;Assumptions!$G$34,R8&lt;Assumptions!$G$34),Assumptions!$G$42*Assumptions!$G$41*(1-$C$6),0))</f>
        <v>0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43</v>
      </c>
      <c r="C27" s="74">
        <f>Assumptions!$O$23*Assumptions!$H$68*Assumptions!H18/12</f>
        <v>66.666666666666671</v>
      </c>
      <c r="D27" s="74">
        <f>Assumptions!$O$23*Assumptions!$H$68*(1+Assumptions!$N$11)</f>
        <v>103</v>
      </c>
      <c r="E27" s="74">
        <f>Assumptions!$O$23*Assumptions!$H$68*(1+Assumptions!$N$11)</f>
        <v>103</v>
      </c>
      <c r="F27" s="74">
        <f>Assumptions!$O$23*Assumptions!$H$68*(1+Assumptions!$N$11)</f>
        <v>103</v>
      </c>
      <c r="G27" s="74">
        <f>Assumptions!$O$23*Assumptions!$H$68*(1+Assumptions!$N$11)</f>
        <v>103</v>
      </c>
      <c r="H27" s="74">
        <f>Assumptions!$O$23*Assumptions!$H$68*(1+Assumptions!$N$11)</f>
        <v>103</v>
      </c>
      <c r="I27" s="74">
        <f>Assumptions!$O$23*Assumptions!$H$68*(1+Assumptions!$N$11)</f>
        <v>103</v>
      </c>
      <c r="J27" s="74">
        <f>Assumptions!$O$23*Assumptions!$H$68*(1+Assumptions!$N$11)</f>
        <v>103</v>
      </c>
      <c r="K27" s="74">
        <f>Assumptions!$O$23*Assumptions!$H$68*(1+Assumptions!$N$11)</f>
        <v>103</v>
      </c>
      <c r="L27" s="74">
        <f>Assumptions!$O$23*Assumptions!$H$68*(1+Assumptions!$N$11)</f>
        <v>103</v>
      </c>
      <c r="M27" s="74">
        <f>Assumptions!$O$23*Assumptions!$H$68*(1+Assumptions!$N$11)</f>
        <v>103</v>
      </c>
      <c r="N27" s="74">
        <f>Assumptions!$O$23*Assumptions!$H$68*(1+Assumptions!$N$11)</f>
        <v>103</v>
      </c>
      <c r="O27" s="74">
        <f>Assumptions!$O$23*Assumptions!$H$68*(1+Assumptions!$N$11)</f>
        <v>103</v>
      </c>
      <c r="P27" s="74">
        <f>Assumptions!$O$23*Assumptions!$H$68*(1+Assumptions!$N$11)</f>
        <v>103</v>
      </c>
      <c r="Q27" s="74">
        <f>Assumptions!$O$23*Assumptions!$H$68*(1+Assumptions!$N$11)</f>
        <v>103</v>
      </c>
      <c r="R27" s="74">
        <f>Assumptions!$O$23*Assumptions!$H$68*(1+Assumptions!$N$11)</f>
        <v>103</v>
      </c>
      <c r="S27" s="74">
        <f>Assumptions!$O$23*Assumptions!$H$68*(1+Assumptions!$N$11)</f>
        <v>103</v>
      </c>
      <c r="T27" s="74">
        <f>Assumptions!$O$23*Assumptions!$H$68*(1+Assumptions!$N$11)</f>
        <v>103</v>
      </c>
      <c r="U27" s="74">
        <f>Assumptions!$O$23*Assumptions!$H$68*(1+Assumptions!$N$11)</f>
        <v>103</v>
      </c>
      <c r="V27" s="74">
        <f>Assumptions!$O$23*Assumptions!$H$68*(1+Assumptions!$N$11)</f>
        <v>103</v>
      </c>
      <c r="W27" s="74">
        <f>Assumptions!$O$23*Assumptions!$H$68*(1+Assumptions!$N$11)</f>
        <v>103</v>
      </c>
      <c r="X27" s="74">
        <f>Assumptions!$O$23*Assumptions!$H$68*(1+Assumptions!$N$11)</f>
        <v>103</v>
      </c>
      <c r="Y27" s="74">
        <f>Assumptions!$O$23*Assumptions!$H$68*(1+Assumptions!$N$11)</f>
        <v>103</v>
      </c>
      <c r="Z27" s="74">
        <f>Assumptions!$O$23*Assumptions!$H$68*(1+Assumptions!$N$11)</f>
        <v>103</v>
      </c>
      <c r="AA27" s="74">
        <f>Assumptions!$O$23*Assumptions!$H$68*(1+Assumptions!$N$11)</f>
        <v>103</v>
      </c>
      <c r="AB27" s="74">
        <f>Assumptions!$O$23*Assumptions!$H$68*(1+Assumptions!$N$11)</f>
        <v>103</v>
      </c>
      <c r="AC27" s="74">
        <f>Assumptions!$O$23*Assumptions!$H$68*(1+Assumptions!$N$11)</f>
        <v>103</v>
      </c>
      <c r="AD27" s="74">
        <f>Assumptions!$O$23*Assumptions!$H$68*(1+Assumptions!$N$11)</f>
        <v>103</v>
      </c>
      <c r="AE27" s="74">
        <f>Assumptions!$O$23*Assumptions!$H$68*(1+Assumptions!$N$11)</f>
        <v>103</v>
      </c>
      <c r="AF27" s="74">
        <f>Assumptions!$O$23*Assumptions!$H$68*(1+Assumptions!$N$11)</f>
        <v>103</v>
      </c>
      <c r="AG27" s="74">
        <f>Assumptions!$O$23*Assumptions!$H$68*(1+Assumptions!$N$11)</f>
        <v>103</v>
      </c>
    </row>
    <row r="28" spans="1:47">
      <c r="A28" s="3" t="s">
        <v>44</v>
      </c>
      <c r="C28" s="74">
        <f>Assumptions!$N24*Assumptions!H18/12</f>
        <v>66.666666666666671</v>
      </c>
      <c r="D28" s="74">
        <f>Assumptions!$N24*(1+Assumptions!$N$11)</f>
        <v>103</v>
      </c>
      <c r="E28" s="74">
        <f>D28*(1+Assumptions!$N$11)</f>
        <v>106.09</v>
      </c>
      <c r="F28" s="74">
        <f>E28*(1+Assumptions!$N$11)</f>
        <v>109.2727</v>
      </c>
      <c r="G28" s="74">
        <f>F28*(1+Assumptions!$N$11)</f>
        <v>112.550881</v>
      </c>
      <c r="H28" s="74">
        <f>G28*(1+Assumptions!$N$11)</f>
        <v>115.92740743</v>
      </c>
      <c r="I28" s="74">
        <f>H28*(1+Assumptions!$N$11)</f>
        <v>119.4052296529</v>
      </c>
      <c r="J28" s="74">
        <f>I28*(1+Assumptions!$N$11)</f>
        <v>122.987386542487</v>
      </c>
      <c r="K28" s="74">
        <f>J28*(1+Assumptions!$N$11)</f>
        <v>126.67700813876162</v>
      </c>
      <c r="L28" s="74">
        <f>K28*(1+Assumptions!$N$11)</f>
        <v>130.47731838292447</v>
      </c>
      <c r="M28" s="74">
        <f>L28*(1+Assumptions!$N$11)</f>
        <v>134.39163793441222</v>
      </c>
      <c r="N28" s="74">
        <f>M28*(1+Assumptions!$N$11)</f>
        <v>138.4233870724446</v>
      </c>
      <c r="O28" s="74">
        <f>N28*(1+Assumptions!$N$11)</f>
        <v>142.57608868461793</v>
      </c>
      <c r="P28" s="74">
        <f>O28*(1+Assumptions!$N$11)</f>
        <v>146.85337134515646</v>
      </c>
      <c r="Q28" s="74">
        <f>P28*(1+Assumptions!$N$11)</f>
        <v>151.25897248551115</v>
      </c>
      <c r="R28" s="74">
        <f>Q28*(1+Assumptions!$N$11)</f>
        <v>155.79674166007649</v>
      </c>
      <c r="S28" s="74">
        <f>R28*(1+Assumptions!$N$11)</f>
        <v>160.47064390987879</v>
      </c>
      <c r="T28" s="74">
        <f>S28*(1+Assumptions!$N$11)</f>
        <v>165.28476322717515</v>
      </c>
      <c r="U28" s="74">
        <f>T28*(1+Assumptions!$N$11)</f>
        <v>170.24330612399041</v>
      </c>
      <c r="V28" s="74">
        <f>U28*(1+Assumptions!$N$11)</f>
        <v>175.35060530771011</v>
      </c>
      <c r="W28" s="74">
        <f>V28*(1+Assumptions!$N$11)</f>
        <v>180.61112346694142</v>
      </c>
      <c r="X28" s="74">
        <f>W28*(1+Assumptions!$N$11)</f>
        <v>186.02945717094966</v>
      </c>
      <c r="Y28" s="74">
        <f>X28*(1+Assumptions!$N$11)</f>
        <v>191.61034088607815</v>
      </c>
      <c r="Z28" s="74">
        <f>Y28*(1+Assumptions!$N$11)</f>
        <v>197.35865111266051</v>
      </c>
      <c r="AA28" s="74">
        <f>Z28*(1+Assumptions!$N$11)</f>
        <v>203.27941064604033</v>
      </c>
      <c r="AB28" s="74">
        <f>AA28*(1+Assumptions!$N$11)</f>
        <v>209.37779296542155</v>
      </c>
      <c r="AC28" s="74">
        <f>AB28*(1+Assumptions!$N$11)</f>
        <v>215.6591267543842</v>
      </c>
      <c r="AD28" s="74">
        <f>AC28*(1+Assumptions!$N$11)</f>
        <v>222.12890055701573</v>
      </c>
      <c r="AE28" s="74">
        <f>AD28*(1+Assumptions!$N$11)</f>
        <v>228.79276757372619</v>
      </c>
      <c r="AF28" s="74">
        <f>AE28*(1+Assumptions!$N$11)</f>
        <v>235.65655060093798</v>
      </c>
      <c r="AG28" s="74">
        <f>AF28*(1+Assumptions!$N$11)</f>
        <v>242.72624711896611</v>
      </c>
    </row>
    <row r="29" spans="1:47">
      <c r="A29" s="3" t="s">
        <v>45</v>
      </c>
      <c r="C29" s="75">
        <f>Assumptions!$N25*Assumptions!H18/12</f>
        <v>66.666666666666671</v>
      </c>
      <c r="D29" s="75">
        <f>Assumptions!$N25*(1+Assumptions!$N$11)</f>
        <v>103</v>
      </c>
      <c r="E29" s="75">
        <f>D29*(1+Assumptions!$N$11)</f>
        <v>106.09</v>
      </c>
      <c r="F29" s="75">
        <f>E29*(1+Assumptions!$N$11)</f>
        <v>109.2727</v>
      </c>
      <c r="G29" s="75">
        <f>F29*(1+Assumptions!$N$11)</f>
        <v>112.550881</v>
      </c>
      <c r="H29" s="75">
        <f>G29*(1+Assumptions!$N$11)</f>
        <v>115.92740743</v>
      </c>
      <c r="I29" s="75">
        <f>H29*(1+Assumptions!$N$11)</f>
        <v>119.4052296529</v>
      </c>
      <c r="J29" s="75">
        <f>I29*(1+Assumptions!$N$11)</f>
        <v>122.987386542487</v>
      </c>
      <c r="K29" s="75">
        <f>J29*(1+Assumptions!$N$11)</f>
        <v>126.67700813876162</v>
      </c>
      <c r="L29" s="75">
        <f>K29*(1+Assumptions!$N$11)</f>
        <v>130.47731838292447</v>
      </c>
      <c r="M29" s="75">
        <f>L29*(1+Assumptions!$N$11)</f>
        <v>134.39163793441222</v>
      </c>
      <c r="N29" s="75">
        <f>M29*(1+Assumptions!$N$11)</f>
        <v>138.4233870724446</v>
      </c>
      <c r="O29" s="75">
        <f>N29*(1+Assumptions!$N$11)</f>
        <v>142.57608868461793</v>
      </c>
      <c r="P29" s="75">
        <f>O29*(1+Assumptions!$N$11)</f>
        <v>146.85337134515646</v>
      </c>
      <c r="Q29" s="75">
        <f>P29*(1+Assumptions!$N$11)</f>
        <v>151.25897248551115</v>
      </c>
      <c r="R29" s="75">
        <f>Q29*(1+Assumptions!$N$11)</f>
        <v>155.79674166007649</v>
      </c>
      <c r="S29" s="75">
        <f>R29*(1+Assumptions!$N$11)</f>
        <v>160.47064390987879</v>
      </c>
      <c r="T29" s="75">
        <f>S29*(1+Assumptions!$N$11)</f>
        <v>165.28476322717515</v>
      </c>
      <c r="U29" s="75">
        <f>T29*(1+Assumptions!$N$11)</f>
        <v>170.24330612399041</v>
      </c>
      <c r="V29" s="75">
        <f>U29*(1+Assumptions!$N$11)</f>
        <v>175.35060530771011</v>
      </c>
      <c r="W29" s="75">
        <f>V29*(1+Assumptions!$N$11)</f>
        <v>180.61112346694142</v>
      </c>
      <c r="X29" s="75">
        <f>W29*(1+Assumptions!$N$11)</f>
        <v>186.02945717094966</v>
      </c>
      <c r="Y29" s="75">
        <f>X29*(1+Assumptions!$N$11)</f>
        <v>191.61034088607815</v>
      </c>
      <c r="Z29" s="75">
        <f>Y29*(1+Assumptions!$N$11)</f>
        <v>197.35865111266051</v>
      </c>
      <c r="AA29" s="75">
        <f>Z29*(1+Assumptions!$N$11)</f>
        <v>203.27941064604033</v>
      </c>
      <c r="AB29" s="75">
        <f>AA29*(1+Assumptions!$N$11)</f>
        <v>209.37779296542155</v>
      </c>
      <c r="AC29" s="75">
        <f>AB29*(1+Assumptions!$N$11)</f>
        <v>215.6591267543842</v>
      </c>
      <c r="AD29" s="75">
        <f>AC29*(1+Assumptions!$N$11)</f>
        <v>222.12890055701573</v>
      </c>
      <c r="AE29" s="75">
        <f>AD29*(1+Assumptions!$N$11)</f>
        <v>228.79276757372619</v>
      </c>
      <c r="AF29" s="75">
        <f>AE29*(1+Assumptions!$N$11)</f>
        <v>235.65655060093798</v>
      </c>
      <c r="AG29" s="75">
        <f>AF29*(1+Assumptions!$N$11)</f>
        <v>242.72624711896611</v>
      </c>
    </row>
    <row r="30" spans="1:47">
      <c r="A30" s="3" t="s">
        <v>46</v>
      </c>
      <c r="C30" s="65">
        <f t="shared" ref="C30:X30" si="1">SUM(C16:C29)</f>
        <v>21413.166543658896</v>
      </c>
      <c r="D30" s="65">
        <f t="shared" si="1"/>
        <v>21788.433429125471</v>
      </c>
      <c r="E30" s="65">
        <f t="shared" si="1"/>
        <v>22064.167272822404</v>
      </c>
      <c r="F30" s="65">
        <f t="shared" si="1"/>
        <v>22443.312063010017</v>
      </c>
      <c r="G30" s="65">
        <f t="shared" si="1"/>
        <v>22883.958627837113</v>
      </c>
      <c r="H30" s="65">
        <f t="shared" si="1"/>
        <v>23349.355671752663</v>
      </c>
      <c r="I30" s="65">
        <f t="shared" si="1"/>
        <v>23829.760283639622</v>
      </c>
      <c r="J30" s="65">
        <f t="shared" si="1"/>
        <v>24342.438002500603</v>
      </c>
      <c r="K30" s="65">
        <f t="shared" si="1"/>
        <v>24887.470975184995</v>
      </c>
      <c r="L30" s="65">
        <f t="shared" si="1"/>
        <v>25464.943768784393</v>
      </c>
      <c r="M30" s="65">
        <f t="shared" si="1"/>
        <v>26074.943442356682</v>
      </c>
      <c r="N30" s="65">
        <f t="shared" si="1"/>
        <v>26647.589096755913</v>
      </c>
      <c r="O30" s="65">
        <f t="shared" si="1"/>
        <v>27173.152574319327</v>
      </c>
      <c r="P30" s="65">
        <f t="shared" si="1"/>
        <v>28101.013279452123</v>
      </c>
      <c r="Q30" s="65">
        <f t="shared" si="1"/>
        <v>28842.043534464778</v>
      </c>
      <c r="R30" s="65">
        <f t="shared" si="1"/>
        <v>29616.076007576532</v>
      </c>
      <c r="S30" s="65">
        <f t="shared" si="1"/>
        <v>30423.214339918813</v>
      </c>
      <c r="T30" s="65">
        <f t="shared" si="1"/>
        <v>31263.565230112807</v>
      </c>
      <c r="U30" s="65">
        <f t="shared" si="1"/>
        <v>32137.238524959084</v>
      </c>
      <c r="V30" s="65">
        <f t="shared" si="1"/>
        <v>33044.347312827602</v>
      </c>
      <c r="W30" s="65">
        <f t="shared" si="1"/>
        <v>33985.00801982791</v>
      </c>
      <c r="X30" s="65">
        <f t="shared" si="1"/>
        <v>18443.596221488853</v>
      </c>
      <c r="Y30" s="65">
        <f t="shared" ref="Y30:AG30" si="2">SUM(Y16:Y29)</f>
        <v>18597.346969184029</v>
      </c>
      <c r="Z30" s="65">
        <f t="shared" si="2"/>
        <v>18755.558672675666</v>
      </c>
      <c r="AA30" s="65">
        <f t="shared" si="2"/>
        <v>18918.36212930498</v>
      </c>
      <c r="AB30" s="65">
        <f t="shared" si="2"/>
        <v>19085.891999706753</v>
      </c>
      <c r="AC30" s="65">
        <f t="shared" si="2"/>
        <v>19258.286922495638</v>
      </c>
      <c r="AD30" s="65">
        <f t="shared" si="2"/>
        <v>19435.689632368736</v>
      </c>
      <c r="AE30" s="65">
        <f t="shared" si="2"/>
        <v>19618.247081726589</v>
      </c>
      <c r="AF30" s="65">
        <f t="shared" si="2"/>
        <v>19806.110565917523</v>
      </c>
      <c r="AG30" s="65">
        <f t="shared" si="2"/>
        <v>19999.435852213559</v>
      </c>
    </row>
    <row r="31" spans="1:47">
      <c r="A31" s="4"/>
      <c r="C31" s="368"/>
      <c r="D31" s="368"/>
      <c r="E31" s="368"/>
      <c r="F31" s="368"/>
      <c r="G31" s="368"/>
      <c r="H31" s="368"/>
      <c r="I31" s="368"/>
      <c r="J31" s="368"/>
      <c r="K31" s="368"/>
      <c r="L31" s="368"/>
      <c r="M31" s="368"/>
      <c r="N31" s="368"/>
      <c r="O31" s="368"/>
      <c r="P31" s="368"/>
      <c r="Q31" s="368"/>
      <c r="R31" s="368"/>
      <c r="S31" s="368"/>
      <c r="T31" s="368"/>
      <c r="U31" s="368"/>
      <c r="V31" s="368"/>
      <c r="W31" s="368"/>
      <c r="X31" s="368"/>
      <c r="Y31" s="368"/>
      <c r="Z31" s="368"/>
      <c r="AA31" s="368"/>
      <c r="AB31" s="368"/>
      <c r="AC31" s="368"/>
      <c r="AD31" s="368"/>
      <c r="AE31" s="368"/>
      <c r="AF31" s="368"/>
      <c r="AG31" s="368"/>
    </row>
    <row r="32" spans="1:47">
      <c r="A32" s="1" t="s">
        <v>47</v>
      </c>
      <c r="C32" s="123">
        <f t="shared" ref="C32:X32" si="3">C13-C30</f>
        <v>10386.146684289575</v>
      </c>
      <c r="D32" s="123">
        <f t="shared" si="3"/>
        <v>15842.150026434378</v>
      </c>
      <c r="E32" s="123">
        <f t="shared" si="3"/>
        <v>15794.282926434378</v>
      </c>
      <c r="F32" s="123">
        <f t="shared" si="3"/>
        <v>15745.081813434372</v>
      </c>
      <c r="G32" s="123">
        <f t="shared" si="3"/>
        <v>15694.508707044384</v>
      </c>
      <c r="H32" s="123">
        <f t="shared" si="3"/>
        <v>15642.524528262675</v>
      </c>
      <c r="I32" s="123">
        <f t="shared" si="3"/>
        <v>15589.089067333513</v>
      </c>
      <c r="J32" s="123">
        <f t="shared" si="3"/>
        <v>15534.16095065682</v>
      </c>
      <c r="K32" s="123">
        <f t="shared" si="3"/>
        <v>15477.69760672174</v>
      </c>
      <c r="L32" s="123">
        <f t="shared" si="3"/>
        <v>15419.655231035369</v>
      </c>
      <c r="M32" s="123">
        <f t="shared" si="3"/>
        <v>15359.988750016517</v>
      </c>
      <c r="N32" s="123">
        <f t="shared" si="3"/>
        <v>15298.651783823949</v>
      </c>
      <c r="O32" s="123">
        <f t="shared" si="3"/>
        <v>15235.596608087602</v>
      </c>
      <c r="P32" s="123">
        <f t="shared" si="3"/>
        <v>15170.774114510019</v>
      </c>
      <c r="Q32" s="123">
        <f t="shared" si="3"/>
        <v>15104.133770304557</v>
      </c>
      <c r="R32" s="123">
        <f t="shared" si="3"/>
        <v>15035.62357643597</v>
      </c>
      <c r="S32" s="123">
        <f t="shared" si="3"/>
        <v>14965.190024627656</v>
      </c>
      <c r="T32" s="123">
        <f t="shared" si="3"/>
        <v>14892.778053098889</v>
      </c>
      <c r="U32" s="123">
        <f t="shared" si="3"/>
        <v>14818.3310009948</v>
      </c>
      <c r="V32" s="123">
        <f t="shared" si="3"/>
        <v>14741.790561469497</v>
      </c>
      <c r="W32" s="123">
        <f t="shared" si="3"/>
        <v>3293.9937251496158</v>
      </c>
      <c r="X32" s="123">
        <f t="shared" si="3"/>
        <v>-3128.5322548628392</v>
      </c>
      <c r="Y32" s="123">
        <f t="shared" ref="Y32:AG32" si="4">Y13-Y30</f>
        <v>-3211.7198907892362</v>
      </c>
      <c r="Z32" s="123">
        <f t="shared" si="4"/>
        <v>-3297.2515891590301</v>
      </c>
      <c r="AA32" s="123">
        <f t="shared" si="4"/>
        <v>-3385.1946405128438</v>
      </c>
      <c r="AB32" s="123">
        <f t="shared" si="4"/>
        <v>-3475.6182934808512</v>
      </c>
      <c r="AC32" s="123">
        <f t="shared" si="4"/>
        <v>-3568.5938123129581</v>
      </c>
      <c r="AD32" s="123">
        <f t="shared" si="4"/>
        <v>-3664.1945361105791</v>
      </c>
      <c r="AE32" s="123">
        <f t="shared" si="4"/>
        <v>-3762.4959398106857</v>
      </c>
      <c r="AF32" s="123">
        <f t="shared" si="4"/>
        <v>-3863.5756969741433</v>
      </c>
      <c r="AG32" s="123">
        <f t="shared" si="4"/>
        <v>-3967.5137444318771</v>
      </c>
    </row>
    <row r="33" spans="1:33">
      <c r="A33" s="1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68"/>
      <c r="N33" s="368"/>
      <c r="O33" s="368"/>
      <c r="P33" s="368"/>
      <c r="Q33" s="368"/>
      <c r="R33" s="368"/>
      <c r="S33" s="368"/>
      <c r="T33" s="368"/>
      <c r="U33" s="368"/>
      <c r="V33" s="368"/>
      <c r="W33" s="368"/>
      <c r="X33" s="368"/>
      <c r="Y33" s="368"/>
      <c r="Z33" s="368"/>
      <c r="AA33" s="368"/>
      <c r="AB33" s="368"/>
      <c r="AC33" s="368"/>
      <c r="AD33" s="368"/>
      <c r="AE33" s="368"/>
      <c r="AF33" s="368"/>
      <c r="AG33" s="368"/>
    </row>
    <row r="34" spans="1:33">
      <c r="A34" s="3" t="s">
        <v>48</v>
      </c>
      <c r="C34" s="65">
        <f>Depreciation!D48</f>
        <v>4714.8666666666668</v>
      </c>
      <c r="D34" s="65">
        <f>Depreciation!E48</f>
        <v>7072.2999999999993</v>
      </c>
      <c r="E34" s="65">
        <f>Depreciation!F48</f>
        <v>7072.2999999999993</v>
      </c>
      <c r="F34" s="65">
        <f>Depreciation!G48</f>
        <v>7072.2999999999993</v>
      </c>
      <c r="G34" s="65">
        <f>Depreciation!H48</f>
        <v>7072.2999999999993</v>
      </c>
      <c r="H34" s="65">
        <f>Depreciation!I48</f>
        <v>4250.8333333333339</v>
      </c>
      <c r="I34" s="65">
        <f>Depreciation!J48</f>
        <v>2840.1</v>
      </c>
      <c r="J34" s="65">
        <f>Depreciation!K48</f>
        <v>2840.1</v>
      </c>
      <c r="K34" s="65">
        <f>Depreciation!L48</f>
        <v>2840.1</v>
      </c>
      <c r="L34" s="65">
        <f>Depreciation!M48</f>
        <v>2840.1</v>
      </c>
      <c r="M34" s="65">
        <f>Depreciation!N48</f>
        <v>2840.1</v>
      </c>
      <c r="N34" s="65">
        <f>Depreciation!O48</f>
        <v>2840.1</v>
      </c>
      <c r="O34" s="65">
        <f>Depreciation!P48</f>
        <v>2840.1</v>
      </c>
      <c r="P34" s="65">
        <f>Depreciation!Q48</f>
        <v>2840.1</v>
      </c>
      <c r="Q34" s="65">
        <f>Depreciation!R48</f>
        <v>2840.1</v>
      </c>
      <c r="R34" s="65">
        <f>Depreciation!S48</f>
        <v>2840.1</v>
      </c>
      <c r="S34" s="65">
        <f>Depreciation!T48</f>
        <v>2840.1</v>
      </c>
      <c r="T34" s="65">
        <f>Depreciation!U48</f>
        <v>2840.1</v>
      </c>
      <c r="U34" s="65">
        <f>Depreciation!V48</f>
        <v>2840.1</v>
      </c>
      <c r="V34" s="65">
        <f>Depreciation!W48</f>
        <v>2840.1</v>
      </c>
      <c r="W34" s="65">
        <f>Depreciation!X48</f>
        <v>2840.1</v>
      </c>
      <c r="X34" s="65">
        <f>Depreciation!Y48</f>
        <v>2840.1</v>
      </c>
      <c r="Y34" s="65">
        <f>Depreciation!Z48</f>
        <v>2840.1</v>
      </c>
      <c r="Z34" s="65">
        <f>Depreciation!AA48</f>
        <v>2840.1</v>
      </c>
      <c r="AA34" s="65">
        <f>Depreciation!AB48</f>
        <v>2840.1</v>
      </c>
      <c r="AB34" s="65">
        <f>Depreciation!AC48</f>
        <v>2840.1</v>
      </c>
      <c r="AC34" s="65">
        <f>Depreciation!AD48</f>
        <v>2840.1</v>
      </c>
      <c r="AD34" s="65">
        <f>Depreciation!AE48</f>
        <v>2840.1</v>
      </c>
      <c r="AE34" s="65">
        <f>Depreciation!AF48</f>
        <v>2840.1</v>
      </c>
      <c r="AF34" s="65">
        <f>Depreciation!AG48</f>
        <v>2840.1</v>
      </c>
      <c r="AG34" s="65">
        <f>Depreciation!AH48</f>
        <v>946.70000000000016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49</v>
      </c>
      <c r="C36" s="123">
        <f>C32-C34</f>
        <v>5671.2800176229084</v>
      </c>
      <c r="D36" s="123">
        <f t="shared" ref="D36:X36" si="5">D32-D34</f>
        <v>8769.8500264343784</v>
      </c>
      <c r="E36" s="123">
        <f t="shared" si="5"/>
        <v>8721.9829264343789</v>
      </c>
      <c r="F36" s="123">
        <f t="shared" si="5"/>
        <v>8672.7818134343725</v>
      </c>
      <c r="G36" s="123">
        <f t="shared" si="5"/>
        <v>8622.2087070443849</v>
      </c>
      <c r="H36" s="123">
        <f t="shared" si="5"/>
        <v>11391.691194929341</v>
      </c>
      <c r="I36" s="123">
        <f t="shared" si="5"/>
        <v>12748.989067333512</v>
      </c>
      <c r="J36" s="123">
        <f t="shared" si="5"/>
        <v>12694.06095065682</v>
      </c>
      <c r="K36" s="123">
        <f t="shared" si="5"/>
        <v>12637.59760672174</v>
      </c>
      <c r="L36" s="123">
        <f t="shared" si="5"/>
        <v>12579.555231035369</v>
      </c>
      <c r="M36" s="123">
        <f t="shared" si="5"/>
        <v>12519.888750016516</v>
      </c>
      <c r="N36" s="123">
        <f t="shared" si="5"/>
        <v>12458.551783823948</v>
      </c>
      <c r="O36" s="123">
        <f t="shared" si="5"/>
        <v>12395.496608087602</v>
      </c>
      <c r="P36" s="123">
        <f t="shared" si="5"/>
        <v>12330.674114510019</v>
      </c>
      <c r="Q36" s="123">
        <f t="shared" si="5"/>
        <v>12264.033770304557</v>
      </c>
      <c r="R36" s="123">
        <f t="shared" si="5"/>
        <v>12195.52357643597</v>
      </c>
      <c r="S36" s="123">
        <f t="shared" si="5"/>
        <v>12125.090024627656</v>
      </c>
      <c r="T36" s="123">
        <f t="shared" si="5"/>
        <v>12052.678053098889</v>
      </c>
      <c r="U36" s="123">
        <f t="shared" si="5"/>
        <v>11978.2310009948</v>
      </c>
      <c r="V36" s="123">
        <f t="shared" si="5"/>
        <v>11901.690561469497</v>
      </c>
      <c r="W36" s="123">
        <f t="shared" si="5"/>
        <v>453.89372514961588</v>
      </c>
      <c r="X36" s="123">
        <f t="shared" si="5"/>
        <v>-5968.6322548628395</v>
      </c>
      <c r="Y36" s="123">
        <f t="shared" ref="Y36:AG36" si="6">Y32-Y34</f>
        <v>-6051.8198907892365</v>
      </c>
      <c r="Z36" s="123">
        <f t="shared" si="6"/>
        <v>-6137.3515891590305</v>
      </c>
      <c r="AA36" s="123">
        <f t="shared" si="6"/>
        <v>-6225.2946405128441</v>
      </c>
      <c r="AB36" s="123">
        <f t="shared" si="6"/>
        <v>-6315.7182934808516</v>
      </c>
      <c r="AC36" s="123">
        <f t="shared" si="6"/>
        <v>-6408.6938123129585</v>
      </c>
      <c r="AD36" s="123">
        <f t="shared" si="6"/>
        <v>-6504.2945361105794</v>
      </c>
      <c r="AE36" s="123">
        <f t="shared" si="6"/>
        <v>-6602.5959398106861</v>
      </c>
      <c r="AF36" s="123">
        <f t="shared" si="6"/>
        <v>-6703.6756969741436</v>
      </c>
      <c r="AG36" s="123">
        <f t="shared" si="6"/>
        <v>-4914.2137444318769</v>
      </c>
    </row>
    <row r="37" spans="1:33">
      <c r="A37" s="1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</row>
    <row r="38" spans="1:33">
      <c r="A38" s="3" t="s">
        <v>131</v>
      </c>
      <c r="C38" s="65">
        <f>Debt!B57</f>
        <v>4455.4445486860495</v>
      </c>
      <c r="D38" s="65">
        <f>Debt!C57</f>
        <v>6323.658088187558</v>
      </c>
      <c r="E38" s="65">
        <f>Debt!D57</f>
        <v>5833.6366578831658</v>
      </c>
      <c r="F38" s="65">
        <f>Debt!E57</f>
        <v>5303.5993984052911</v>
      </c>
      <c r="G38" s="65">
        <f>Debt!F57</f>
        <v>4729.9231078241437</v>
      </c>
      <c r="H38" s="65">
        <f>Debt!G57</f>
        <v>4112.7661079772115</v>
      </c>
      <c r="I38" s="65">
        <f>Debt!H57</f>
        <v>3446.7564404631612</v>
      </c>
      <c r="J38" s="65">
        <f>Debt!I57</f>
        <v>2729.1451849642262</v>
      </c>
      <c r="K38" s="65">
        <f>Debt!J57</f>
        <v>1952.3959169037641</v>
      </c>
      <c r="L38" s="65">
        <f>Debt!K57</f>
        <v>1115.5418287425728</v>
      </c>
      <c r="M38" s="65">
        <f>Debt!L57</f>
        <v>277.14286268886707</v>
      </c>
      <c r="N38" s="65">
        <f>Debt!M57</f>
        <v>0</v>
      </c>
      <c r="O38" s="65">
        <f>Debt!N57</f>
        <v>0</v>
      </c>
      <c r="P38" s="65">
        <f>Debt!O57</f>
        <v>0</v>
      </c>
      <c r="Q38" s="65">
        <f>Debt!P57</f>
        <v>0</v>
      </c>
      <c r="R38" s="65">
        <f>Debt!Q57</f>
        <v>0</v>
      </c>
      <c r="S38" s="65">
        <f>Debt!R57</f>
        <v>0</v>
      </c>
      <c r="T38" s="65">
        <f>Debt!S57</f>
        <v>0</v>
      </c>
      <c r="U38" s="65">
        <f>Debt!T57</f>
        <v>0</v>
      </c>
      <c r="V38" s="65">
        <f>Debt!U57</f>
        <v>0</v>
      </c>
      <c r="W38" s="65">
        <f>Debt!V57</f>
        <v>0</v>
      </c>
      <c r="X38" s="65">
        <f>Debt!W57</f>
        <v>48.962160628246451</v>
      </c>
      <c r="Y38" s="65">
        <f>Debt!X57</f>
        <v>205.34294516936097</v>
      </c>
      <c r="Z38" s="65">
        <f>Debt!Y57</f>
        <v>431.81487714216382</v>
      </c>
      <c r="AA38" s="65">
        <f>Debt!Z57</f>
        <v>683.46171819180802</v>
      </c>
      <c r="AB38" s="65">
        <f>Debt!AA57</f>
        <v>961.64805248964922</v>
      </c>
      <c r="AC38" s="65">
        <f>Debt!AB57</f>
        <v>1269.2376047229595</v>
      </c>
      <c r="AD38" s="65">
        <f>Debt!AC57</f>
        <v>1608.5279489461313</v>
      </c>
      <c r="AE38" s="65">
        <f>Debt!AD57</f>
        <v>1983.256809027122</v>
      </c>
      <c r="AF38" s="65">
        <f>Debt!AE57</f>
        <v>2395.4716170038073</v>
      </c>
      <c r="AG38" s="65">
        <f>Debt!AF57</f>
        <v>2929.7571976612571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206</v>
      </c>
      <c r="C40" s="123">
        <f>C36-C38</f>
        <v>1215.8354689368589</v>
      </c>
      <c r="D40" s="123">
        <f t="shared" ref="D40:X40" si="7">D36-D38</f>
        <v>2446.1919382468204</v>
      </c>
      <c r="E40" s="123">
        <f t="shared" si="7"/>
        <v>2888.3462685512131</v>
      </c>
      <c r="F40" s="123">
        <f t="shared" si="7"/>
        <v>3369.1824150290813</v>
      </c>
      <c r="G40" s="123">
        <f t="shared" si="7"/>
        <v>3892.2855992202412</v>
      </c>
      <c r="H40" s="123">
        <f t="shared" si="7"/>
        <v>7278.9250869521293</v>
      </c>
      <c r="I40" s="123">
        <f t="shared" si="7"/>
        <v>9302.2326268703509</v>
      </c>
      <c r="J40" s="123">
        <f t="shared" si="7"/>
        <v>9964.9157656925927</v>
      </c>
      <c r="K40" s="123">
        <f t="shared" si="7"/>
        <v>10685.201689817975</v>
      </c>
      <c r="L40" s="123">
        <f t="shared" si="7"/>
        <v>11464.013402292796</v>
      </c>
      <c r="M40" s="123">
        <f t="shared" si="7"/>
        <v>12242.74588732765</v>
      </c>
      <c r="N40" s="123">
        <f t="shared" si="7"/>
        <v>12458.551783823948</v>
      </c>
      <c r="O40" s="123">
        <f t="shared" si="7"/>
        <v>12395.496608087602</v>
      </c>
      <c r="P40" s="123">
        <f t="shared" si="7"/>
        <v>12330.674114510019</v>
      </c>
      <c r="Q40" s="123">
        <f t="shared" si="7"/>
        <v>12264.033770304557</v>
      </c>
      <c r="R40" s="123">
        <f t="shared" si="7"/>
        <v>12195.52357643597</v>
      </c>
      <c r="S40" s="123">
        <f t="shared" si="7"/>
        <v>12125.090024627656</v>
      </c>
      <c r="T40" s="123">
        <f t="shared" si="7"/>
        <v>12052.678053098889</v>
      </c>
      <c r="U40" s="123">
        <f t="shared" si="7"/>
        <v>11978.2310009948</v>
      </c>
      <c r="V40" s="123">
        <f t="shared" si="7"/>
        <v>11901.690561469497</v>
      </c>
      <c r="W40" s="123">
        <f t="shared" si="7"/>
        <v>453.89372514961588</v>
      </c>
      <c r="X40" s="123">
        <f t="shared" si="7"/>
        <v>-6017.5944154910858</v>
      </c>
      <c r="Y40" s="123">
        <f t="shared" ref="Y40:AG40" si="8">Y36-Y38</f>
        <v>-6257.1628359585975</v>
      </c>
      <c r="Z40" s="123">
        <f t="shared" si="8"/>
        <v>-6569.1664663011943</v>
      </c>
      <c r="AA40" s="123">
        <f t="shared" si="8"/>
        <v>-6908.7563587046525</v>
      </c>
      <c r="AB40" s="123">
        <f t="shared" si="8"/>
        <v>-7277.3663459705003</v>
      </c>
      <c r="AC40" s="123">
        <f t="shared" si="8"/>
        <v>-7677.9314170359175</v>
      </c>
      <c r="AD40" s="123">
        <f t="shared" si="8"/>
        <v>-8112.8224850567112</v>
      </c>
      <c r="AE40" s="123">
        <f t="shared" si="8"/>
        <v>-8585.8527488378077</v>
      </c>
      <c r="AF40" s="123">
        <f t="shared" si="8"/>
        <v>-9099.1473139779519</v>
      </c>
      <c r="AG40" s="123">
        <f t="shared" si="8"/>
        <v>-7843.970942093134</v>
      </c>
    </row>
    <row r="41" spans="1:33">
      <c r="A41" s="1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</row>
    <row r="42" spans="1:33">
      <c r="A42" s="3" t="s">
        <v>50</v>
      </c>
      <c r="B42" s="344">
        <f>Assumptions!N51</f>
        <v>7.0000000000000007E-2</v>
      </c>
      <c r="C42" s="74">
        <f>-C40*$B$42</f>
        <v>-85.108482825580126</v>
      </c>
      <c r="D42" s="74">
        <f t="shared" ref="D42:AG42" si="9">-D40*$B$42</f>
        <v>-171.23343567727744</v>
      </c>
      <c r="E42" s="74">
        <f t="shared" si="9"/>
        <v>-202.18423879858494</v>
      </c>
      <c r="F42" s="74">
        <f t="shared" si="9"/>
        <v>-235.84276905203572</v>
      </c>
      <c r="G42" s="74">
        <f t="shared" si="9"/>
        <v>-272.4599919454169</v>
      </c>
      <c r="H42" s="74">
        <f t="shared" si="9"/>
        <v>-509.52475608664912</v>
      </c>
      <c r="I42" s="74">
        <f t="shared" si="9"/>
        <v>-651.15628388092466</v>
      </c>
      <c r="J42" s="74">
        <f t="shared" si="9"/>
        <v>-697.54410359848157</v>
      </c>
      <c r="K42" s="74">
        <f t="shared" si="9"/>
        <v>-747.96411828725832</v>
      </c>
      <c r="L42" s="74">
        <f t="shared" si="9"/>
        <v>-802.48093816049584</v>
      </c>
      <c r="M42" s="74">
        <f t="shared" si="9"/>
        <v>-856.99221211293559</v>
      </c>
      <c r="N42" s="74">
        <f t="shared" si="9"/>
        <v>-872.09862486767645</v>
      </c>
      <c r="O42" s="74">
        <f t="shared" si="9"/>
        <v>-867.68476256613224</v>
      </c>
      <c r="P42" s="74">
        <f t="shared" si="9"/>
        <v>-863.14718801570143</v>
      </c>
      <c r="Q42" s="74">
        <f t="shared" si="9"/>
        <v>-858.48236392131912</v>
      </c>
      <c r="R42" s="74">
        <f t="shared" si="9"/>
        <v>-853.68665035051799</v>
      </c>
      <c r="S42" s="74">
        <f t="shared" si="9"/>
        <v>-848.75630172393596</v>
      </c>
      <c r="T42" s="74">
        <f t="shared" si="9"/>
        <v>-843.68746371692237</v>
      </c>
      <c r="U42" s="74">
        <f t="shared" si="9"/>
        <v>-838.47617006963605</v>
      </c>
      <c r="V42" s="74">
        <f t="shared" si="9"/>
        <v>-833.11833930286491</v>
      </c>
      <c r="W42" s="74">
        <f t="shared" si="9"/>
        <v>-31.772560760473116</v>
      </c>
      <c r="X42" s="74">
        <f t="shared" si="9"/>
        <v>421.23160908437603</v>
      </c>
      <c r="Y42" s="74">
        <f t="shared" si="9"/>
        <v>438.00139851710185</v>
      </c>
      <c r="Z42" s="74">
        <f t="shared" si="9"/>
        <v>459.84165264108367</v>
      </c>
      <c r="AA42" s="74">
        <f t="shared" si="9"/>
        <v>483.61294510932572</v>
      </c>
      <c r="AB42" s="74">
        <f t="shared" si="9"/>
        <v>509.4156442179351</v>
      </c>
      <c r="AC42" s="74">
        <f t="shared" si="9"/>
        <v>537.45519919251433</v>
      </c>
      <c r="AD42" s="74">
        <f t="shared" si="9"/>
        <v>567.89757395396987</v>
      </c>
      <c r="AE42" s="74">
        <f t="shared" si="9"/>
        <v>601.00969241864664</v>
      </c>
      <c r="AF42" s="74">
        <f t="shared" si="9"/>
        <v>636.94031197845663</v>
      </c>
      <c r="AG42" s="74">
        <f t="shared" si="9"/>
        <v>549.07796594651938</v>
      </c>
    </row>
    <row r="43" spans="1:33">
      <c r="A43" s="3" t="s">
        <v>51</v>
      </c>
      <c r="B43" s="344">
        <f>Assumptions!N50</f>
        <v>0.35</v>
      </c>
      <c r="C43" s="74">
        <f t="shared" ref="C43:AG43" si="10">(C40+C42)*-$B$43</f>
        <v>-395.75444513894757</v>
      </c>
      <c r="D43" s="74">
        <f t="shared" si="10"/>
        <v>-796.23547589933992</v>
      </c>
      <c r="E43" s="74">
        <f t="shared" si="10"/>
        <v>-940.15671041341989</v>
      </c>
      <c r="F43" s="74">
        <f t="shared" si="10"/>
        <v>-1096.6688760919658</v>
      </c>
      <c r="G43" s="74">
        <f t="shared" si="10"/>
        <v>-1266.9389625461886</v>
      </c>
      <c r="H43" s="74">
        <f t="shared" si="10"/>
        <v>-2369.2901158029181</v>
      </c>
      <c r="I43" s="74">
        <f t="shared" si="10"/>
        <v>-3027.8767200462994</v>
      </c>
      <c r="J43" s="74">
        <f t="shared" si="10"/>
        <v>-3243.5800817329387</v>
      </c>
      <c r="K43" s="74">
        <f t="shared" si="10"/>
        <v>-3478.0331500357506</v>
      </c>
      <c r="L43" s="74">
        <f t="shared" si="10"/>
        <v>-3731.5363624463048</v>
      </c>
      <c r="M43" s="74">
        <f t="shared" si="10"/>
        <v>-3985.0137863251502</v>
      </c>
      <c r="N43" s="74">
        <f t="shared" si="10"/>
        <v>-4055.258605634695</v>
      </c>
      <c r="O43" s="74">
        <f t="shared" si="10"/>
        <v>-4034.7341459325144</v>
      </c>
      <c r="P43" s="74">
        <f t="shared" si="10"/>
        <v>-4013.6344242730106</v>
      </c>
      <c r="Q43" s="74">
        <f t="shared" si="10"/>
        <v>-3991.9429922341328</v>
      </c>
      <c r="R43" s="74">
        <f t="shared" si="10"/>
        <v>-3969.6429241299079</v>
      </c>
      <c r="S43" s="74">
        <f t="shared" si="10"/>
        <v>-3946.716803016302</v>
      </c>
      <c r="T43" s="74">
        <f t="shared" si="10"/>
        <v>-3923.1467062836882</v>
      </c>
      <c r="U43" s="74">
        <f t="shared" si="10"/>
        <v>-3898.9141908238071</v>
      </c>
      <c r="V43" s="74">
        <f t="shared" si="10"/>
        <v>-3874.0002777583213</v>
      </c>
      <c r="W43" s="74">
        <f t="shared" si="10"/>
        <v>-147.74240753619995</v>
      </c>
      <c r="X43" s="74">
        <f t="shared" si="10"/>
        <v>1958.7269822423482</v>
      </c>
      <c r="Y43" s="74">
        <f t="shared" si="10"/>
        <v>2036.7065031045233</v>
      </c>
      <c r="Z43" s="74">
        <f t="shared" si="10"/>
        <v>2138.2636847810386</v>
      </c>
      <c r="AA43" s="74">
        <f t="shared" si="10"/>
        <v>2248.8001947583643</v>
      </c>
      <c r="AB43" s="74">
        <f t="shared" si="10"/>
        <v>2368.7827456133973</v>
      </c>
      <c r="AC43" s="74">
        <f t="shared" si="10"/>
        <v>2499.166676245191</v>
      </c>
      <c r="AD43" s="74">
        <f t="shared" si="10"/>
        <v>2640.7237188859594</v>
      </c>
      <c r="AE43" s="74">
        <f t="shared" si="10"/>
        <v>2794.6950697467064</v>
      </c>
      <c r="AF43" s="74">
        <f t="shared" si="10"/>
        <v>2961.7724506998234</v>
      </c>
      <c r="AG43" s="74">
        <f t="shared" si="10"/>
        <v>2553.212541651315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75">
      <c r="A45" s="54" t="s">
        <v>52</v>
      </c>
      <c r="B45" s="46"/>
      <c r="C45" s="369">
        <f t="shared" ref="C45:AG45" si="11">C40+C42+C43</f>
        <v>734.97254097233122</v>
      </c>
      <c r="D45" s="369">
        <f t="shared" si="11"/>
        <v>1478.7230266702029</v>
      </c>
      <c r="E45" s="369">
        <f t="shared" si="11"/>
        <v>1746.0053193392084</v>
      </c>
      <c r="F45" s="369">
        <f t="shared" si="11"/>
        <v>2036.6707698850798</v>
      </c>
      <c r="G45" s="369">
        <f t="shared" si="11"/>
        <v>2352.8866447286359</v>
      </c>
      <c r="H45" s="369">
        <f t="shared" si="11"/>
        <v>4400.110215062562</v>
      </c>
      <c r="I45" s="369">
        <f t="shared" si="11"/>
        <v>5623.1996229431279</v>
      </c>
      <c r="J45" s="369">
        <f t="shared" si="11"/>
        <v>6023.7915803611722</v>
      </c>
      <c r="K45" s="369">
        <f t="shared" si="11"/>
        <v>6459.2044214949665</v>
      </c>
      <c r="L45" s="369">
        <f t="shared" si="11"/>
        <v>6929.9961016859961</v>
      </c>
      <c r="M45" s="369">
        <f t="shared" si="11"/>
        <v>7400.739888889565</v>
      </c>
      <c r="N45" s="369">
        <f t="shared" si="11"/>
        <v>7531.1945533215767</v>
      </c>
      <c r="O45" s="369">
        <f t="shared" si="11"/>
        <v>7493.0776995889555</v>
      </c>
      <c r="P45" s="369">
        <f t="shared" si="11"/>
        <v>7453.8925022213061</v>
      </c>
      <c r="Q45" s="369">
        <f t="shared" si="11"/>
        <v>7413.6084141491046</v>
      </c>
      <c r="R45" s="369">
        <f t="shared" si="11"/>
        <v>7372.1940019555441</v>
      </c>
      <c r="S45" s="369">
        <f t="shared" si="11"/>
        <v>7329.6169198874186</v>
      </c>
      <c r="T45" s="369">
        <f t="shared" si="11"/>
        <v>7285.8438830982786</v>
      </c>
      <c r="U45" s="369">
        <f t="shared" si="11"/>
        <v>7240.8406401013563</v>
      </c>
      <c r="V45" s="369">
        <f t="shared" si="11"/>
        <v>7194.5719444083115</v>
      </c>
      <c r="W45" s="369">
        <f t="shared" si="11"/>
        <v>274.37875685294279</v>
      </c>
      <c r="X45" s="369">
        <f t="shared" si="11"/>
        <v>-3637.6358241643616</v>
      </c>
      <c r="Y45" s="369">
        <f t="shared" si="11"/>
        <v>-3782.4549343369727</v>
      </c>
      <c r="Z45" s="369">
        <f t="shared" si="11"/>
        <v>-3971.0611288790719</v>
      </c>
      <c r="AA45" s="369">
        <f t="shared" si="11"/>
        <v>-4176.3432188369625</v>
      </c>
      <c r="AB45" s="369">
        <f t="shared" si="11"/>
        <v>-4399.1679561391675</v>
      </c>
      <c r="AC45" s="369">
        <f t="shared" si="11"/>
        <v>-4641.3095415982116</v>
      </c>
      <c r="AD45" s="369">
        <f t="shared" si="11"/>
        <v>-4904.2011922167821</v>
      </c>
      <c r="AE45" s="369">
        <f t="shared" si="11"/>
        <v>-5190.1479866724549</v>
      </c>
      <c r="AF45" s="369">
        <f t="shared" si="11"/>
        <v>-5500.4345512996715</v>
      </c>
      <c r="AG45" s="369">
        <f t="shared" si="11"/>
        <v>-4741.6804344952998</v>
      </c>
    </row>
    <row r="48" spans="1:33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1:33">
      <c r="A49" s="11"/>
      <c r="C49" s="370"/>
      <c r="D49" s="370"/>
      <c r="E49" s="370"/>
      <c r="F49" s="370"/>
      <c r="G49" s="370"/>
      <c r="H49" s="370"/>
      <c r="I49" s="370"/>
      <c r="J49" s="370"/>
      <c r="K49" s="370"/>
      <c r="L49" s="370"/>
      <c r="M49" s="370"/>
      <c r="N49" s="370"/>
      <c r="O49" s="370"/>
      <c r="P49" s="370"/>
      <c r="Q49" s="370"/>
      <c r="R49" s="370"/>
      <c r="S49" s="370"/>
      <c r="T49" s="370"/>
      <c r="U49" s="370"/>
      <c r="V49" s="370"/>
      <c r="W49" s="370"/>
      <c r="X49" s="370"/>
      <c r="Y49" s="370"/>
      <c r="Z49" s="370"/>
      <c r="AA49" s="370"/>
      <c r="AB49" s="370"/>
      <c r="AC49" s="370"/>
      <c r="AD49" s="370"/>
      <c r="AE49" s="370"/>
      <c r="AF49" s="370"/>
      <c r="AG49" s="370"/>
    </row>
    <row r="50" spans="1:33">
      <c r="A50" s="11"/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0"/>
      <c r="N50" s="370"/>
      <c r="O50" s="370"/>
      <c r="P50" s="370"/>
      <c r="Q50" s="370"/>
      <c r="R50" s="370"/>
      <c r="S50" s="370"/>
      <c r="T50" s="370"/>
      <c r="U50" s="370"/>
      <c r="V50" s="370"/>
      <c r="W50" s="370"/>
      <c r="X50" s="370"/>
      <c r="Y50" s="370"/>
      <c r="Z50" s="370"/>
      <c r="AA50" s="370"/>
      <c r="AB50" s="370"/>
      <c r="AC50" s="370"/>
      <c r="AD50" s="370"/>
      <c r="AE50" s="370"/>
      <c r="AF50" s="370"/>
      <c r="AG50" s="370"/>
    </row>
    <row r="51" spans="1:33">
      <c r="C51" s="370"/>
      <c r="D51" s="370"/>
      <c r="E51" s="370"/>
      <c r="F51" s="370"/>
      <c r="G51" s="370"/>
    </row>
    <row r="52" spans="1:33">
      <c r="C52" s="6"/>
      <c r="D52" s="6"/>
      <c r="E52" s="6"/>
      <c r="F52" s="6"/>
      <c r="G52" s="6"/>
    </row>
    <row r="53" spans="1:33">
      <c r="C53" s="370"/>
      <c r="D53" s="370"/>
      <c r="E53" s="370"/>
      <c r="F53" s="370"/>
      <c r="G53" s="370"/>
    </row>
    <row r="54" spans="1:33">
      <c r="C54" s="370"/>
      <c r="D54" s="370"/>
      <c r="E54" s="370"/>
      <c r="F54" s="370"/>
      <c r="G54" s="370"/>
    </row>
    <row r="55" spans="1:33">
      <c r="C55" s="370"/>
      <c r="D55" s="370"/>
      <c r="E55" s="370"/>
      <c r="F55" s="370"/>
      <c r="G55" s="370"/>
    </row>
    <row r="56" spans="1:33">
      <c r="C56" s="370"/>
      <c r="D56" s="370"/>
      <c r="E56" s="370"/>
      <c r="F56" s="370"/>
      <c r="G56" s="370"/>
    </row>
    <row r="57" spans="1:33">
      <c r="C57" s="370"/>
      <c r="D57" s="370"/>
      <c r="E57" s="370"/>
      <c r="F57" s="370"/>
      <c r="G57" s="370"/>
    </row>
    <row r="58" spans="1:33">
      <c r="C58" s="6"/>
      <c r="D58" s="6"/>
      <c r="E58" s="6"/>
      <c r="F58" s="6"/>
      <c r="G58" s="6"/>
    </row>
    <row r="59" spans="1:33">
      <c r="C59" s="6"/>
      <c r="D59" s="6"/>
      <c r="E59" s="6"/>
      <c r="F59" s="6"/>
      <c r="G59" s="6"/>
    </row>
    <row r="60" spans="1:33">
      <c r="C60" s="371"/>
      <c r="D60" s="371"/>
      <c r="E60" s="371"/>
      <c r="F60" s="371"/>
      <c r="G60" s="6"/>
    </row>
    <row r="61" spans="1:33">
      <c r="C61" s="6"/>
      <c r="D61" s="6"/>
      <c r="E61" s="6"/>
      <c r="F61" s="6"/>
      <c r="G61" s="6"/>
    </row>
    <row r="62" spans="1:33">
      <c r="C62" s="371"/>
      <c r="D62" s="6"/>
      <c r="E62" s="6"/>
      <c r="F62" s="6"/>
      <c r="G62" s="6"/>
    </row>
    <row r="63" spans="1:33">
      <c r="C63" s="6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</sheetData>
  <pageMargins left="0.45" right="0.45" top="0.5" bottom="0.5" header="0.25" footer="0.25"/>
  <pageSetup scale="67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>
      <selection activeCell="I27" sqref="I27"/>
    </sheetView>
  </sheetViews>
  <sheetFormatPr defaultRowHeight="12.75" outlineLevelCol="1"/>
  <cols>
    <col min="1" max="1" width="4.7109375" style="541" customWidth="1"/>
    <col min="2" max="2" width="41.42578125" style="541" customWidth="1"/>
    <col min="3" max="3" width="18.5703125" style="541" customWidth="1"/>
    <col min="4" max="4" width="11.85546875" style="541" customWidth="1"/>
    <col min="5" max="5" width="13.42578125" style="541" customWidth="1"/>
    <col min="6" max="6" width="12.140625" style="541" hidden="1" customWidth="1" outlineLevel="1"/>
    <col min="7" max="7" width="9.140625" style="541" hidden="1" customWidth="1" outlineLevel="1"/>
    <col min="8" max="8" width="13.7109375" style="541" customWidth="1" collapsed="1"/>
    <col min="9" max="11" width="9.140625" style="541"/>
    <col min="12" max="12" width="13.140625" style="541" customWidth="1"/>
    <col min="13" max="16384" width="9.140625" style="541"/>
  </cols>
  <sheetData>
    <row r="1" spans="1:9">
      <c r="A1" s="540" t="s">
        <v>437</v>
      </c>
      <c r="C1" s="580" t="s">
        <v>505</v>
      </c>
    </row>
    <row r="2" spans="1:9">
      <c r="A2" s="540" t="s">
        <v>506</v>
      </c>
    </row>
    <row r="3" spans="1:9">
      <c r="A3" s="540"/>
      <c r="B3" s="580" t="s">
        <v>507</v>
      </c>
      <c r="C3" s="580" t="s">
        <v>487</v>
      </c>
      <c r="D3" s="541">
        <v>0</v>
      </c>
      <c r="E3" s="580" t="s">
        <v>508</v>
      </c>
    </row>
    <row r="4" spans="1:9">
      <c r="A4" s="540"/>
      <c r="B4" s="580" t="s">
        <v>509</v>
      </c>
    </row>
    <row r="5" spans="1:9">
      <c r="C5" s="584" t="s">
        <v>510</v>
      </c>
      <c r="D5" s="585"/>
      <c r="E5" s="585"/>
      <c r="F5" s="585"/>
      <c r="G5" s="569"/>
      <c r="H5" s="586" t="s">
        <v>511</v>
      </c>
    </row>
    <row r="6" spans="1:9">
      <c r="A6" s="587" t="s">
        <v>512</v>
      </c>
      <c r="B6" s="588"/>
      <c r="C6" s="589" t="s">
        <v>513</v>
      </c>
      <c r="D6" s="589" t="s">
        <v>514</v>
      </c>
      <c r="E6" s="589" t="s">
        <v>515</v>
      </c>
      <c r="F6" s="590" t="s">
        <v>516</v>
      </c>
      <c r="G6" s="589"/>
      <c r="H6" s="591"/>
    </row>
    <row r="7" spans="1:9">
      <c r="B7" s="580" t="s">
        <v>517</v>
      </c>
      <c r="C7" s="592">
        <v>69000</v>
      </c>
      <c r="D7" s="591">
        <v>1000</v>
      </c>
      <c r="E7" s="591">
        <f>C7+D7</f>
        <v>70000</v>
      </c>
      <c r="F7" s="591">
        <f t="shared" ref="F7:F14" si="0">(C7+D7)/5</f>
        <v>14000</v>
      </c>
      <c r="G7" s="569"/>
      <c r="H7" s="593">
        <f>E7</f>
        <v>70000</v>
      </c>
      <c r="I7" s="594">
        <f t="shared" ref="I7:I14" si="1">E7-H7</f>
        <v>0</v>
      </c>
    </row>
    <row r="8" spans="1:9">
      <c r="B8" s="580" t="s">
        <v>518</v>
      </c>
      <c r="C8" s="595">
        <f>300*5*(1-D3)</f>
        <v>1500</v>
      </c>
      <c r="D8" s="596">
        <v>0</v>
      </c>
      <c r="E8" s="591">
        <f>C8+D8</f>
        <v>1500</v>
      </c>
      <c r="F8" s="591">
        <f t="shared" si="0"/>
        <v>300</v>
      </c>
      <c r="G8" s="569"/>
      <c r="H8" s="597"/>
      <c r="I8" s="594">
        <f t="shared" si="1"/>
        <v>1500</v>
      </c>
    </row>
    <row r="9" spans="1:9">
      <c r="B9" s="541" t="s">
        <v>519</v>
      </c>
      <c r="C9" s="592">
        <v>3800</v>
      </c>
      <c r="D9" s="591">
        <v>250</v>
      </c>
      <c r="E9" s="591">
        <f t="shared" ref="E9:E14" si="2">C9+D9</f>
        <v>4050</v>
      </c>
      <c r="F9" s="591">
        <f t="shared" si="0"/>
        <v>810</v>
      </c>
      <c r="G9" s="569"/>
      <c r="H9" s="591">
        <v>4278</v>
      </c>
      <c r="I9" s="594">
        <f t="shared" si="1"/>
        <v>-228</v>
      </c>
    </row>
    <row r="10" spans="1:9">
      <c r="B10" s="541" t="s">
        <v>520</v>
      </c>
      <c r="C10" s="592">
        <v>1000</v>
      </c>
      <c r="D10" s="591">
        <v>250</v>
      </c>
      <c r="E10" s="591">
        <f t="shared" si="2"/>
        <v>1250</v>
      </c>
      <c r="F10" s="591">
        <f t="shared" si="0"/>
        <v>250</v>
      </c>
      <c r="G10" s="569"/>
      <c r="H10" s="591">
        <v>770</v>
      </c>
      <c r="I10" s="594">
        <f t="shared" si="1"/>
        <v>480</v>
      </c>
    </row>
    <row r="11" spans="1:9">
      <c r="B11" s="580" t="s">
        <v>521</v>
      </c>
      <c r="C11" s="592">
        <v>1250</v>
      </c>
      <c r="D11" s="591">
        <v>250</v>
      </c>
      <c r="E11" s="591">
        <f t="shared" si="2"/>
        <v>1500</v>
      </c>
      <c r="F11" s="591">
        <f t="shared" si="0"/>
        <v>300</v>
      </c>
      <c r="G11" s="569"/>
      <c r="H11" s="597"/>
      <c r="I11" s="594">
        <f t="shared" si="1"/>
        <v>1500</v>
      </c>
    </row>
    <row r="12" spans="1:9">
      <c r="B12" s="541" t="s">
        <v>522</v>
      </c>
      <c r="C12" s="598">
        <v>0</v>
      </c>
      <c r="D12" s="598">
        <v>0</v>
      </c>
      <c r="E12" s="591">
        <f t="shared" si="2"/>
        <v>0</v>
      </c>
      <c r="F12" s="591">
        <f t="shared" si="0"/>
        <v>0</v>
      </c>
      <c r="G12" s="569"/>
      <c r="H12" s="597"/>
      <c r="I12" s="594">
        <f t="shared" si="1"/>
        <v>0</v>
      </c>
    </row>
    <row r="13" spans="1:9">
      <c r="B13" s="541" t="s">
        <v>523</v>
      </c>
      <c r="C13" s="592">
        <v>500</v>
      </c>
      <c r="D13" s="597">
        <v>0</v>
      </c>
      <c r="E13" s="591">
        <f t="shared" si="2"/>
        <v>500</v>
      </c>
      <c r="F13" s="591">
        <f t="shared" si="0"/>
        <v>100</v>
      </c>
      <c r="G13" s="569"/>
      <c r="H13" s="597"/>
      <c r="I13" s="594">
        <f t="shared" si="1"/>
        <v>500</v>
      </c>
    </row>
    <row r="14" spans="1:9">
      <c r="B14" s="541" t="s">
        <v>524</v>
      </c>
      <c r="C14" s="592">
        <v>350</v>
      </c>
      <c r="D14" s="597">
        <v>0</v>
      </c>
      <c r="E14" s="591">
        <f t="shared" si="2"/>
        <v>350</v>
      </c>
      <c r="F14" s="591">
        <f t="shared" si="0"/>
        <v>70</v>
      </c>
      <c r="G14" s="569"/>
      <c r="H14" s="591">
        <v>250</v>
      </c>
      <c r="I14" s="594">
        <f t="shared" si="1"/>
        <v>100</v>
      </c>
    </row>
    <row r="15" spans="1:9">
      <c r="A15" s="540" t="s">
        <v>525</v>
      </c>
      <c r="B15" s="540"/>
      <c r="C15" s="599">
        <f>SUM(C7:C14)</f>
        <v>77400</v>
      </c>
      <c r="D15" s="599">
        <f>SUM(D7:D14)</f>
        <v>1750</v>
      </c>
      <c r="E15" s="600">
        <f>C15+D15</f>
        <v>79150</v>
      </c>
      <c r="F15" s="601">
        <f>SUM(F7:F14)</f>
        <v>15830</v>
      </c>
      <c r="G15" s="578"/>
      <c r="H15" s="600">
        <f>SUM(H7:H14)</f>
        <v>75298</v>
      </c>
      <c r="I15" s="600">
        <f>SUM(I7:I14)</f>
        <v>3852</v>
      </c>
    </row>
    <row r="16" spans="1:9">
      <c r="A16" s="540"/>
      <c r="B16" s="540"/>
      <c r="C16" s="599"/>
      <c r="D16" s="599"/>
      <c r="E16" s="600"/>
      <c r="F16" s="601"/>
      <c r="G16" s="602"/>
      <c r="H16" s="603"/>
      <c r="I16" s="603"/>
    </row>
    <row r="17" spans="1:9">
      <c r="A17" s="587" t="s">
        <v>526</v>
      </c>
      <c r="B17" s="588"/>
      <c r="C17" s="599"/>
      <c r="D17" s="599"/>
      <c r="E17" s="600"/>
      <c r="F17" s="601"/>
      <c r="G17" s="602"/>
      <c r="H17" s="603"/>
      <c r="I17" s="603"/>
    </row>
    <row r="18" spans="1:9">
      <c r="B18" s="580" t="s">
        <v>527</v>
      </c>
      <c r="C18" s="592">
        <v>4600</v>
      </c>
      <c r="D18" s="591">
        <v>250</v>
      </c>
      <c r="E18" s="591">
        <f>C18+D18</f>
        <v>4850</v>
      </c>
      <c r="F18" s="591">
        <f>(C18+D18)/5</f>
        <v>970</v>
      </c>
      <c r="G18" s="604"/>
      <c r="H18" s="605"/>
      <c r="I18" s="606"/>
    </row>
    <row r="19" spans="1:9">
      <c r="B19" s="580" t="s">
        <v>528</v>
      </c>
      <c r="C19" s="592">
        <v>1000</v>
      </c>
      <c r="D19" s="591">
        <v>100</v>
      </c>
      <c r="E19" s="591">
        <f>C19+D19</f>
        <v>1100</v>
      </c>
      <c r="F19" s="591">
        <f>(C19+D19)/5</f>
        <v>220</v>
      </c>
      <c r="G19" s="604"/>
      <c r="H19" s="605"/>
      <c r="I19" s="606"/>
    </row>
    <row r="20" spans="1:9">
      <c r="B20" s="580" t="s">
        <v>529</v>
      </c>
      <c r="C20" s="595">
        <f>D3*6500</f>
        <v>0</v>
      </c>
      <c r="D20" s="591">
        <v>200</v>
      </c>
      <c r="E20" s="591">
        <f>C20+D20</f>
        <v>200</v>
      </c>
      <c r="F20" s="591">
        <f>(C20+D20)/5</f>
        <v>40</v>
      </c>
      <c r="G20" s="604"/>
      <c r="H20" s="607"/>
      <c r="I20" s="606"/>
    </row>
    <row r="21" spans="1:9">
      <c r="C21" s="599">
        <f>SUM(C18:C20)</f>
        <v>5600</v>
      </c>
      <c r="D21" s="599">
        <f>SUM(D18:D20)</f>
        <v>550</v>
      </c>
      <c r="E21" s="599">
        <f>SUM(E18:E20)</f>
        <v>6150</v>
      </c>
      <c r="F21" s="599">
        <f>SUM(F18:F20)</f>
        <v>1230</v>
      </c>
      <c r="G21" s="604"/>
      <c r="H21" s="603"/>
      <c r="I21" s="603"/>
    </row>
    <row r="22" spans="1:9">
      <c r="A22" s="587" t="s">
        <v>530</v>
      </c>
      <c r="B22" s="588"/>
      <c r="C22" s="569"/>
      <c r="D22" s="591"/>
      <c r="E22" s="591"/>
      <c r="F22" s="591"/>
      <c r="G22" s="604"/>
      <c r="H22" s="605"/>
      <c r="I22" s="608"/>
    </row>
    <row r="23" spans="1:9">
      <c r="B23" s="541" t="s">
        <v>531</v>
      </c>
      <c r="C23" s="592">
        <v>1200</v>
      </c>
      <c r="D23" s="591">
        <v>400</v>
      </c>
      <c r="E23" s="591">
        <f t="shared" ref="E23:E35" si="3">C23+D23</f>
        <v>1600</v>
      </c>
      <c r="F23" s="591">
        <f>(C23+D23)/5</f>
        <v>320</v>
      </c>
      <c r="G23" s="604"/>
      <c r="H23" s="605"/>
      <c r="I23" s="608"/>
    </row>
    <row r="24" spans="1:9">
      <c r="B24" s="541" t="s">
        <v>532</v>
      </c>
      <c r="C24" s="592">
        <v>1000</v>
      </c>
      <c r="D24" s="591">
        <v>250</v>
      </c>
      <c r="E24" s="591">
        <f t="shared" si="3"/>
        <v>1250</v>
      </c>
      <c r="F24" s="591">
        <f t="shared" ref="F24:F35" si="4">(C24+D24)/5</f>
        <v>250</v>
      </c>
      <c r="G24" s="604"/>
      <c r="H24" s="605"/>
      <c r="I24" s="608"/>
    </row>
    <row r="25" spans="1:9">
      <c r="B25" s="541" t="s">
        <v>533</v>
      </c>
      <c r="C25" s="592">
        <v>250</v>
      </c>
      <c r="D25" s="591">
        <v>100</v>
      </c>
      <c r="E25" s="591">
        <f t="shared" si="3"/>
        <v>350</v>
      </c>
      <c r="F25" s="591">
        <f t="shared" si="4"/>
        <v>70</v>
      </c>
      <c r="G25" s="604"/>
      <c r="H25" s="605"/>
      <c r="I25" s="608"/>
    </row>
    <row r="26" spans="1:9">
      <c r="B26" s="541" t="s">
        <v>534</v>
      </c>
      <c r="C26" s="598">
        <v>50</v>
      </c>
      <c r="D26" s="598">
        <v>50</v>
      </c>
      <c r="E26" s="591">
        <f t="shared" si="3"/>
        <v>100</v>
      </c>
      <c r="F26" s="591">
        <f t="shared" si="4"/>
        <v>20</v>
      </c>
      <c r="G26" s="604"/>
      <c r="H26" s="605"/>
      <c r="I26" s="608"/>
    </row>
    <row r="27" spans="1:9">
      <c r="B27" s="580" t="s">
        <v>535</v>
      </c>
      <c r="C27" s="592">
        <f>(1-D3)*500</f>
        <v>500</v>
      </c>
      <c r="D27" s="591">
        <v>100</v>
      </c>
      <c r="E27" s="591">
        <f t="shared" si="3"/>
        <v>600</v>
      </c>
      <c r="F27" s="591">
        <f t="shared" si="4"/>
        <v>120</v>
      </c>
      <c r="G27" s="604"/>
      <c r="H27" s="605"/>
      <c r="I27" s="608"/>
    </row>
    <row r="28" spans="1:9">
      <c r="B28" s="541" t="s">
        <v>536</v>
      </c>
      <c r="C28" s="592">
        <v>300</v>
      </c>
      <c r="D28" s="591">
        <v>100</v>
      </c>
      <c r="E28" s="591">
        <f t="shared" si="3"/>
        <v>400</v>
      </c>
      <c r="F28" s="591">
        <f t="shared" si="4"/>
        <v>80</v>
      </c>
      <c r="G28" s="604"/>
      <c r="H28" s="605"/>
      <c r="I28" s="608"/>
    </row>
    <row r="29" spans="1:9">
      <c r="B29" s="580" t="s">
        <v>537</v>
      </c>
      <c r="C29" s="592">
        <v>1200</v>
      </c>
      <c r="D29" s="591">
        <v>350</v>
      </c>
      <c r="E29" s="591">
        <f t="shared" si="3"/>
        <v>1550</v>
      </c>
      <c r="F29" s="591">
        <f t="shared" si="4"/>
        <v>310</v>
      </c>
      <c r="G29" s="604"/>
      <c r="H29" s="605"/>
      <c r="I29" s="608"/>
    </row>
    <row r="30" spans="1:9">
      <c r="B30" s="541" t="s">
        <v>538</v>
      </c>
      <c r="C30" s="592">
        <v>250</v>
      </c>
      <c r="D30" s="591">
        <v>50</v>
      </c>
      <c r="E30" s="591">
        <f t="shared" si="3"/>
        <v>300</v>
      </c>
      <c r="F30" s="591">
        <f t="shared" si="4"/>
        <v>60</v>
      </c>
      <c r="G30" s="604"/>
      <c r="H30" s="605"/>
      <c r="I30" s="608"/>
    </row>
    <row r="31" spans="1:9">
      <c r="B31" s="580" t="s">
        <v>539</v>
      </c>
      <c r="C31" s="592">
        <v>1500</v>
      </c>
      <c r="D31" s="591">
        <v>300</v>
      </c>
      <c r="E31" s="591">
        <f t="shared" si="3"/>
        <v>1800</v>
      </c>
      <c r="F31" s="591">
        <f t="shared" si="4"/>
        <v>360</v>
      </c>
      <c r="G31" s="604"/>
      <c r="H31" s="605"/>
      <c r="I31" s="608"/>
    </row>
    <row r="32" spans="1:9">
      <c r="B32" s="541" t="s">
        <v>540</v>
      </c>
      <c r="C32" s="592">
        <v>300</v>
      </c>
      <c r="D32" s="591">
        <v>120</v>
      </c>
      <c r="E32" s="591">
        <f t="shared" si="3"/>
        <v>420</v>
      </c>
      <c r="F32" s="591">
        <f t="shared" si="4"/>
        <v>84</v>
      </c>
      <c r="G32" s="604"/>
      <c r="H32" s="605"/>
      <c r="I32" s="608"/>
    </row>
    <row r="33" spans="1:9">
      <c r="B33" s="541" t="s">
        <v>541</v>
      </c>
      <c r="C33" s="592">
        <v>700</v>
      </c>
      <c r="D33" s="591">
        <v>450</v>
      </c>
      <c r="E33" s="591">
        <f t="shared" si="3"/>
        <v>1150</v>
      </c>
      <c r="F33" s="591">
        <f t="shared" si="4"/>
        <v>230</v>
      </c>
      <c r="G33" s="604"/>
      <c r="H33" s="605"/>
      <c r="I33" s="608"/>
    </row>
    <row r="34" spans="1:9">
      <c r="B34" s="541" t="s">
        <v>542</v>
      </c>
      <c r="C34" s="592">
        <v>550</v>
      </c>
      <c r="D34" s="591">
        <v>150</v>
      </c>
      <c r="E34" s="591">
        <f t="shared" si="3"/>
        <v>700</v>
      </c>
      <c r="F34" s="591">
        <f t="shared" si="4"/>
        <v>140</v>
      </c>
      <c r="G34" s="604"/>
      <c r="H34" s="605"/>
      <c r="I34" s="608"/>
    </row>
    <row r="35" spans="1:9">
      <c r="B35" s="541" t="s">
        <v>543</v>
      </c>
      <c r="C35" s="598">
        <v>0</v>
      </c>
      <c r="D35" s="598">
        <v>0</v>
      </c>
      <c r="E35" s="591">
        <f t="shared" si="3"/>
        <v>0</v>
      </c>
      <c r="F35" s="591">
        <f t="shared" si="4"/>
        <v>0</v>
      </c>
      <c r="G35" s="604"/>
      <c r="H35" s="605"/>
      <c r="I35" s="608"/>
    </row>
    <row r="36" spans="1:9">
      <c r="A36" s="540" t="s">
        <v>544</v>
      </c>
      <c r="B36" s="540"/>
      <c r="C36" s="599">
        <f>SUM(C21:C35)</f>
        <v>13400</v>
      </c>
      <c r="D36" s="599">
        <f>SUM(D21:D35)</f>
        <v>2970</v>
      </c>
      <c r="E36" s="599">
        <f>SUM(E21:E35)</f>
        <v>16370</v>
      </c>
      <c r="F36" s="599">
        <f>SUM(F21:F35)</f>
        <v>3274</v>
      </c>
      <c r="G36" s="609"/>
      <c r="H36" s="603"/>
      <c r="I36" s="603"/>
    </row>
    <row r="37" spans="1:9">
      <c r="A37" s="540" t="s">
        <v>545</v>
      </c>
      <c r="B37" s="540"/>
      <c r="C37" s="599"/>
      <c r="D37" s="599"/>
      <c r="E37" s="599">
        <f>E15+E36</f>
        <v>95520</v>
      </c>
      <c r="F37" s="599">
        <f>F15+F36</f>
        <v>19104</v>
      </c>
      <c r="G37" s="602"/>
      <c r="H37" s="603"/>
      <c r="I37" s="603"/>
    </row>
    <row r="38" spans="1:9">
      <c r="B38" s="580"/>
      <c r="C38" s="592"/>
      <c r="D38" s="591"/>
      <c r="E38" s="591"/>
      <c r="F38" s="591"/>
      <c r="G38" s="604"/>
      <c r="H38" s="605"/>
      <c r="I38" s="608"/>
    </row>
    <row r="39" spans="1:9">
      <c r="A39" s="587" t="s">
        <v>546</v>
      </c>
      <c r="B39" s="588"/>
      <c r="C39" s="569"/>
      <c r="D39" s="591"/>
      <c r="E39" s="591"/>
      <c r="F39" s="591"/>
      <c r="G39" s="604"/>
      <c r="H39" s="605"/>
      <c r="I39" s="608"/>
    </row>
    <row r="40" spans="1:9">
      <c r="B40" s="541" t="s">
        <v>547</v>
      </c>
      <c r="C40" s="592">
        <v>500</v>
      </c>
      <c r="D40" s="591"/>
      <c r="E40" s="591"/>
      <c r="F40" s="591">
        <f t="shared" ref="F40:F58" si="5">(C40+D40)/5</f>
        <v>100</v>
      </c>
      <c r="G40" s="604"/>
      <c r="H40" s="605"/>
      <c r="I40" s="608"/>
    </row>
    <row r="41" spans="1:9">
      <c r="B41" s="541" t="s">
        <v>548</v>
      </c>
      <c r="C41" s="592">
        <v>25</v>
      </c>
      <c r="D41" s="591"/>
      <c r="E41" s="591"/>
      <c r="F41" s="591">
        <f t="shared" si="5"/>
        <v>5</v>
      </c>
      <c r="G41" s="604"/>
      <c r="H41" s="605"/>
      <c r="I41" s="608"/>
    </row>
    <row r="42" spans="1:9">
      <c r="B42" s="541" t="s">
        <v>549</v>
      </c>
      <c r="C42" s="592">
        <v>2000</v>
      </c>
      <c r="D42" s="591"/>
      <c r="E42" s="591"/>
      <c r="F42" s="591">
        <f t="shared" si="5"/>
        <v>400</v>
      </c>
      <c r="G42" s="604"/>
      <c r="H42" s="605"/>
      <c r="I42" s="608"/>
    </row>
    <row r="43" spans="1:9">
      <c r="B43" s="541" t="s">
        <v>550</v>
      </c>
      <c r="C43" s="592">
        <v>750</v>
      </c>
      <c r="D43" s="591"/>
      <c r="E43" s="591"/>
      <c r="F43" s="591">
        <f t="shared" si="5"/>
        <v>150</v>
      </c>
      <c r="G43" s="604"/>
      <c r="H43" s="605"/>
      <c r="I43" s="608"/>
    </row>
    <row r="44" spans="1:9">
      <c r="B44" s="541" t="s">
        <v>551</v>
      </c>
      <c r="C44" s="592">
        <v>250</v>
      </c>
      <c r="D44" s="591"/>
      <c r="E44" s="591"/>
      <c r="F44" s="591">
        <f t="shared" si="5"/>
        <v>50</v>
      </c>
      <c r="G44" s="604"/>
      <c r="H44" s="605"/>
      <c r="I44" s="608"/>
    </row>
    <row r="45" spans="1:9">
      <c r="B45" s="541" t="s">
        <v>552</v>
      </c>
      <c r="C45" s="592">
        <v>1000</v>
      </c>
      <c r="D45" s="610"/>
      <c r="E45" s="591"/>
      <c r="F45" s="591">
        <f t="shared" si="5"/>
        <v>200</v>
      </c>
      <c r="G45" s="604"/>
      <c r="H45" s="605"/>
      <c r="I45" s="608"/>
    </row>
    <row r="46" spans="1:9">
      <c r="B46" s="541" t="s">
        <v>553</v>
      </c>
      <c r="C46" s="592">
        <v>200</v>
      </c>
      <c r="D46" s="591"/>
      <c r="E46" s="591"/>
      <c r="F46" s="591">
        <f t="shared" si="5"/>
        <v>40</v>
      </c>
      <c r="G46" s="604"/>
      <c r="H46" s="605"/>
      <c r="I46" s="608"/>
    </row>
    <row r="47" spans="1:9">
      <c r="B47" s="580" t="s">
        <v>554</v>
      </c>
      <c r="C47" s="592">
        <v>35</v>
      </c>
      <c r="D47" s="591"/>
      <c r="E47" s="591"/>
      <c r="F47" s="591">
        <f t="shared" si="5"/>
        <v>7</v>
      </c>
      <c r="G47" s="604"/>
      <c r="H47" s="605"/>
      <c r="I47" s="608"/>
    </row>
    <row r="48" spans="1:9">
      <c r="B48" s="541" t="s">
        <v>555</v>
      </c>
      <c r="C48" s="592">
        <v>50</v>
      </c>
      <c r="D48" s="591"/>
      <c r="E48" s="591"/>
      <c r="F48" s="591">
        <f t="shared" si="5"/>
        <v>10</v>
      </c>
      <c r="G48" s="604"/>
      <c r="H48" s="605"/>
      <c r="I48" s="608"/>
    </row>
    <row r="49" spans="1:9">
      <c r="B49" s="541" t="s">
        <v>556</v>
      </c>
      <c r="C49" s="592">
        <v>75</v>
      </c>
      <c r="D49" s="591"/>
      <c r="E49" s="591"/>
      <c r="F49" s="591">
        <f t="shared" si="5"/>
        <v>15</v>
      </c>
      <c r="G49" s="604"/>
      <c r="H49" s="605"/>
      <c r="I49" s="608"/>
    </row>
    <row r="50" spans="1:9">
      <c r="B50" s="580" t="s">
        <v>557</v>
      </c>
      <c r="C50" s="592">
        <v>600</v>
      </c>
      <c r="D50" s="591"/>
      <c r="E50" s="591"/>
      <c r="F50" s="591">
        <f t="shared" si="5"/>
        <v>120</v>
      </c>
      <c r="G50" s="604"/>
      <c r="H50" s="605"/>
      <c r="I50" s="608"/>
    </row>
    <row r="51" spans="1:9">
      <c r="B51" s="580" t="s">
        <v>558</v>
      </c>
      <c r="C51" s="592">
        <f>6/12*0.07*115000*0.8</f>
        <v>3220.0000000000005</v>
      </c>
      <c r="D51" s="591"/>
      <c r="E51" s="591"/>
      <c r="F51" s="591">
        <f t="shared" si="5"/>
        <v>644.00000000000011</v>
      </c>
      <c r="G51" s="604"/>
      <c r="H51" s="611"/>
      <c r="I51" s="608"/>
    </row>
    <row r="52" spans="1:9">
      <c r="B52" s="541" t="s">
        <v>559</v>
      </c>
      <c r="C52" s="612"/>
      <c r="D52" s="591"/>
      <c r="E52" s="591"/>
      <c r="F52" s="591">
        <f t="shared" si="5"/>
        <v>0</v>
      </c>
      <c r="G52" s="604"/>
      <c r="H52" s="605"/>
      <c r="I52" s="608"/>
    </row>
    <row r="53" spans="1:9">
      <c r="B53" s="541" t="s">
        <v>560</v>
      </c>
      <c r="C53" s="592">
        <v>500</v>
      </c>
      <c r="D53" s="591"/>
      <c r="E53" s="591"/>
      <c r="F53" s="591">
        <f t="shared" si="5"/>
        <v>100</v>
      </c>
      <c r="G53" s="604"/>
      <c r="H53" s="605"/>
      <c r="I53" s="608"/>
    </row>
    <row r="54" spans="1:9">
      <c r="B54" s="541" t="s">
        <v>561</v>
      </c>
      <c r="C54" s="592">
        <v>500</v>
      </c>
      <c r="D54" s="591"/>
      <c r="E54" s="591"/>
      <c r="F54" s="591">
        <f t="shared" si="5"/>
        <v>100</v>
      </c>
      <c r="G54" s="604"/>
      <c r="H54" s="605"/>
      <c r="I54" s="608"/>
    </row>
    <row r="55" spans="1:9">
      <c r="B55" s="541" t="s">
        <v>562</v>
      </c>
      <c r="C55" s="592">
        <v>350</v>
      </c>
      <c r="D55" s="591"/>
      <c r="E55" s="591"/>
      <c r="F55" s="591">
        <f t="shared" si="5"/>
        <v>70</v>
      </c>
      <c r="G55" s="604"/>
      <c r="H55" s="605"/>
      <c r="I55" s="608"/>
    </row>
    <row r="56" spans="1:9">
      <c r="B56" s="541" t="s">
        <v>563</v>
      </c>
      <c r="C56" s="592">
        <f>[6]Proforma!B5</f>
        <v>2500</v>
      </c>
      <c r="D56" s="591"/>
      <c r="E56" s="591"/>
      <c r="F56" s="591">
        <f t="shared" si="5"/>
        <v>500</v>
      </c>
      <c r="G56" s="604"/>
      <c r="H56" s="605"/>
      <c r="I56" s="608"/>
    </row>
    <row r="57" spans="1:9">
      <c r="B57" s="580" t="s">
        <v>564</v>
      </c>
      <c r="C57" s="598">
        <v>100</v>
      </c>
      <c r="D57" s="591"/>
      <c r="E57" s="591"/>
      <c r="F57" s="591">
        <f t="shared" si="5"/>
        <v>20</v>
      </c>
      <c r="G57" s="604"/>
      <c r="H57" s="605"/>
      <c r="I57" s="608"/>
    </row>
    <row r="58" spans="1:9">
      <c r="B58" s="541" t="s">
        <v>565</v>
      </c>
      <c r="C58" s="592">
        <f>0.03*E37</f>
        <v>2865.6</v>
      </c>
      <c r="D58" s="591"/>
      <c r="E58" s="591"/>
      <c r="F58" s="591">
        <f t="shared" si="5"/>
        <v>573.12</v>
      </c>
      <c r="G58" s="604"/>
      <c r="H58" s="605"/>
      <c r="I58" s="608"/>
    </row>
    <row r="59" spans="1:9">
      <c r="A59" s="540" t="s">
        <v>566</v>
      </c>
      <c r="B59" s="540"/>
      <c r="C59" s="599">
        <f>SUM(C40:C58)</f>
        <v>15520.6</v>
      </c>
      <c r="D59" s="600"/>
      <c r="E59" s="600"/>
      <c r="F59" s="599">
        <f>SUM(F40:F58)</f>
        <v>3104.12</v>
      </c>
      <c r="G59" s="602"/>
      <c r="H59" s="613"/>
      <c r="I59" s="608"/>
    </row>
    <row r="60" spans="1:9">
      <c r="C60" s="569"/>
      <c r="D60" s="569"/>
      <c r="E60" s="569"/>
      <c r="F60" s="569"/>
      <c r="G60" s="604"/>
      <c r="H60" s="605"/>
      <c r="I60" s="608"/>
    </row>
    <row r="61" spans="1:9">
      <c r="A61" s="587" t="s">
        <v>567</v>
      </c>
      <c r="B61" s="588"/>
      <c r="C61" s="569"/>
      <c r="D61" s="569"/>
      <c r="E61" s="569"/>
      <c r="F61" s="569"/>
      <c r="G61" s="604"/>
      <c r="H61" s="605"/>
      <c r="I61" s="608"/>
    </row>
    <row r="62" spans="1:9">
      <c r="B62" s="580" t="s">
        <v>568</v>
      </c>
      <c r="C62" s="592">
        <v>250</v>
      </c>
      <c r="D62" s="569"/>
      <c r="E62" s="569"/>
      <c r="F62" s="591">
        <f>(C62+D62)/5</f>
        <v>50</v>
      </c>
      <c r="G62" s="604"/>
      <c r="H62" s="605"/>
      <c r="I62" s="608"/>
    </row>
    <row r="63" spans="1:9">
      <c r="B63" s="541" t="s">
        <v>569</v>
      </c>
      <c r="C63" s="592">
        <v>500</v>
      </c>
      <c r="D63" s="569"/>
      <c r="E63" s="569"/>
      <c r="F63" s="591">
        <f>(C63+D63)/5</f>
        <v>100</v>
      </c>
      <c r="G63" s="604"/>
      <c r="H63" s="605"/>
      <c r="I63" s="608"/>
    </row>
    <row r="64" spans="1:9">
      <c r="A64" s="540" t="s">
        <v>570</v>
      </c>
      <c r="B64" s="540"/>
      <c r="C64" s="599">
        <f>SUM(C62:C63)</f>
        <v>750</v>
      </c>
      <c r="D64" s="578"/>
      <c r="E64" s="578"/>
      <c r="F64" s="599">
        <f>SUM(F62:F63)</f>
        <v>150</v>
      </c>
      <c r="G64" s="602"/>
      <c r="H64" s="613"/>
      <c r="I64" s="608"/>
    </row>
    <row r="65" spans="1:9">
      <c r="C65" s="569"/>
      <c r="D65" s="569"/>
      <c r="E65" s="569"/>
      <c r="F65" s="569"/>
      <c r="G65" s="604"/>
      <c r="H65" s="605"/>
      <c r="I65" s="608"/>
    </row>
    <row r="66" spans="1:9">
      <c r="A66" s="587" t="s">
        <v>515</v>
      </c>
      <c r="B66" s="588"/>
      <c r="C66" s="569"/>
      <c r="D66" s="569"/>
      <c r="E66" s="569"/>
      <c r="F66" s="569"/>
      <c r="G66" s="604"/>
      <c r="H66" s="605"/>
      <c r="I66" s="608"/>
    </row>
    <row r="67" spans="1:9">
      <c r="B67" s="541" t="s">
        <v>571</v>
      </c>
      <c r="C67" s="592">
        <f>C15+D15</f>
        <v>79150</v>
      </c>
      <c r="D67" s="569"/>
      <c r="E67" s="569"/>
      <c r="F67" s="591">
        <f>C67/5</f>
        <v>15830</v>
      </c>
      <c r="G67" s="604"/>
      <c r="H67" s="605"/>
      <c r="I67" s="608"/>
    </row>
    <row r="68" spans="1:9">
      <c r="B68" s="541" t="s">
        <v>572</v>
      </c>
      <c r="C68" s="592">
        <f>C36+D36</f>
        <v>16370</v>
      </c>
      <c r="D68" s="569"/>
      <c r="E68" s="569"/>
      <c r="F68" s="591">
        <f>C68/5</f>
        <v>3274</v>
      </c>
      <c r="G68" s="604"/>
      <c r="H68" s="605"/>
      <c r="I68" s="608"/>
    </row>
    <row r="69" spans="1:9">
      <c r="B69" s="541" t="s">
        <v>573</v>
      </c>
      <c r="C69" s="592">
        <f>0.05*(C15+C36)</f>
        <v>4540</v>
      </c>
      <c r="D69" s="569"/>
      <c r="E69" s="569"/>
      <c r="F69" s="591">
        <f>C69/5</f>
        <v>908</v>
      </c>
      <c r="G69" s="604"/>
      <c r="H69" s="606"/>
      <c r="I69" s="608"/>
    </row>
    <row r="70" spans="1:9">
      <c r="B70" s="541" t="s">
        <v>546</v>
      </c>
      <c r="C70" s="592">
        <f>C59</f>
        <v>15520.6</v>
      </c>
      <c r="D70" s="569"/>
      <c r="E70" s="569"/>
      <c r="F70" s="591">
        <f>C70/5</f>
        <v>3104.12</v>
      </c>
      <c r="G70" s="604"/>
      <c r="H70" s="605"/>
      <c r="I70" s="608"/>
    </row>
    <row r="71" spans="1:9">
      <c r="B71" s="541" t="s">
        <v>574</v>
      </c>
      <c r="C71" s="592">
        <f>C64</f>
        <v>750</v>
      </c>
      <c r="D71" s="569"/>
      <c r="E71" s="569"/>
      <c r="F71" s="591">
        <f>C71/5</f>
        <v>150</v>
      </c>
      <c r="G71" s="604"/>
      <c r="H71" s="605"/>
      <c r="I71" s="608"/>
    </row>
    <row r="72" spans="1:9">
      <c r="A72" s="540" t="s">
        <v>575</v>
      </c>
      <c r="C72" s="599">
        <f>SUM(C67:C71)</f>
        <v>116330.6</v>
      </c>
      <c r="D72" s="578"/>
      <c r="E72" s="578"/>
      <c r="F72" s="599">
        <f>SUM(F67:F71)</f>
        <v>23266.12</v>
      </c>
      <c r="G72" s="602"/>
      <c r="H72" s="603"/>
      <c r="I72" s="608"/>
    </row>
    <row r="73" spans="1:9">
      <c r="C73" s="589"/>
      <c r="D73" s="569"/>
      <c r="E73" s="569"/>
      <c r="F73" s="569"/>
      <c r="G73" s="604"/>
      <c r="H73" s="608"/>
      <c r="I73" s="608"/>
    </row>
    <row r="74" spans="1:9">
      <c r="A74" s="540" t="s">
        <v>576</v>
      </c>
      <c r="B74" s="540"/>
      <c r="C74" s="614">
        <f>IF(D3=1,C77,C78)</f>
        <v>227.5</v>
      </c>
      <c r="D74" s="578"/>
      <c r="E74" s="578"/>
      <c r="F74" s="578">
        <v>45.5</v>
      </c>
      <c r="G74" s="602"/>
      <c r="H74" s="615"/>
      <c r="I74" s="608"/>
    </row>
    <row r="75" spans="1:9">
      <c r="A75" s="540" t="s">
        <v>194</v>
      </c>
      <c r="B75" s="540"/>
      <c r="C75" s="599">
        <f>C72/C74</f>
        <v>511.34329670329674</v>
      </c>
      <c r="D75" s="578"/>
      <c r="E75" s="578"/>
      <c r="F75" s="599">
        <f>F72/F74</f>
        <v>511.34329670329669</v>
      </c>
      <c r="G75" s="602"/>
      <c r="H75" s="603"/>
      <c r="I75" s="608"/>
    </row>
    <row r="77" spans="1:9">
      <c r="B77" s="580" t="s">
        <v>577</v>
      </c>
      <c r="C77" s="614">
        <v>221.6</v>
      </c>
    </row>
    <row r="78" spans="1:9">
      <c r="A78" s="540"/>
      <c r="B78" s="580" t="s">
        <v>578</v>
      </c>
      <c r="C78" s="578">
        <v>227.5</v>
      </c>
    </row>
    <row r="79" spans="1:9">
      <c r="C79" s="594"/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56"/>
  <sheetViews>
    <sheetView workbookViewId="0">
      <selection activeCell="L16" sqref="L16"/>
    </sheetView>
  </sheetViews>
  <sheetFormatPr defaultRowHeight="12.75"/>
  <cols>
    <col min="2" max="2" width="10.140625" bestFit="1" customWidth="1"/>
    <col min="3" max="3" width="13" customWidth="1"/>
  </cols>
  <sheetData>
    <row r="3" spans="2:8">
      <c r="C3" s="532" t="s">
        <v>430</v>
      </c>
    </row>
    <row r="4" spans="2:8">
      <c r="C4" s="532" t="s">
        <v>431</v>
      </c>
      <c r="D4" s="535" t="s">
        <v>192</v>
      </c>
      <c r="F4" s="536" t="s">
        <v>23</v>
      </c>
      <c r="G4" s="536" t="s">
        <v>432</v>
      </c>
    </row>
    <row r="5" spans="2:8">
      <c r="B5" s="533">
        <v>36892</v>
      </c>
      <c r="C5" s="534">
        <v>4.0555000000000003</v>
      </c>
      <c r="F5">
        <v>2001</v>
      </c>
      <c r="G5" s="534">
        <f>D16</f>
        <v>3.1783749999999995</v>
      </c>
    </row>
    <row r="6" spans="2:8">
      <c r="B6" s="533">
        <v>36923</v>
      </c>
      <c r="C6" s="534">
        <v>3.8955000000000006</v>
      </c>
      <c r="F6">
        <v>2002</v>
      </c>
      <c r="G6" s="534">
        <f>D28</f>
        <v>3.1596666666666668</v>
      </c>
    </row>
    <row r="7" spans="2:8">
      <c r="B7" s="533">
        <v>36951</v>
      </c>
      <c r="C7" s="534">
        <v>3.3430000000000004</v>
      </c>
      <c r="F7">
        <v>2003</v>
      </c>
      <c r="G7" s="534">
        <f>D40</f>
        <v>3.1917083333333331</v>
      </c>
      <c r="H7" s="537">
        <f t="shared" ref="H7:H18" si="0">G7/G6</f>
        <v>1.0101408376411012</v>
      </c>
    </row>
    <row r="8" spans="2:8">
      <c r="B8" s="533">
        <v>36982</v>
      </c>
      <c r="C8" s="534">
        <v>2.8630000000000004</v>
      </c>
      <c r="F8">
        <v>2004</v>
      </c>
      <c r="G8" s="534">
        <f>D52</f>
        <v>3.2408750000000004</v>
      </c>
      <c r="H8" s="537">
        <f t="shared" si="0"/>
        <v>1.0154044986357882</v>
      </c>
    </row>
    <row r="9" spans="2:8">
      <c r="B9" s="533">
        <v>37012</v>
      </c>
      <c r="C9" s="534">
        <v>2.7810000000000001</v>
      </c>
      <c r="F9">
        <v>2005</v>
      </c>
      <c r="G9" s="534">
        <f>D64</f>
        <v>3.300041666666667</v>
      </c>
      <c r="H9" s="537">
        <f t="shared" si="0"/>
        <v>1.0182563865211298</v>
      </c>
    </row>
    <row r="10" spans="2:8">
      <c r="B10" s="533">
        <v>37043</v>
      </c>
      <c r="C10" s="534">
        <v>2.7930000000000001</v>
      </c>
      <c r="F10">
        <v>2006</v>
      </c>
      <c r="G10" s="534">
        <f>D76</f>
        <v>3.3629583333333333</v>
      </c>
      <c r="H10" s="537">
        <f t="shared" si="0"/>
        <v>1.0190654158407089</v>
      </c>
    </row>
    <row r="11" spans="2:8">
      <c r="B11" s="533">
        <v>37073</v>
      </c>
      <c r="C11" s="534">
        <v>2.8159999999999998</v>
      </c>
      <c r="F11">
        <v>2007</v>
      </c>
      <c r="G11" s="534">
        <f>D88</f>
        <v>3.4279583333333341</v>
      </c>
      <c r="H11" s="537">
        <f t="shared" si="0"/>
        <v>1.0193282204408323</v>
      </c>
    </row>
    <row r="12" spans="2:8">
      <c r="B12" s="533">
        <v>37104</v>
      </c>
      <c r="C12" s="534">
        <v>2.8155000000000006</v>
      </c>
      <c r="F12">
        <v>2008</v>
      </c>
      <c r="G12" s="534">
        <f>D100</f>
        <v>3.4979583333333335</v>
      </c>
      <c r="H12" s="537">
        <f t="shared" si="0"/>
        <v>1.0204203182166254</v>
      </c>
    </row>
    <row r="13" spans="2:8">
      <c r="B13" s="533">
        <v>37135</v>
      </c>
      <c r="C13" s="534">
        <v>2.7960000000000003</v>
      </c>
      <c r="F13">
        <v>2009</v>
      </c>
      <c r="G13" s="534">
        <f>D112</f>
        <v>3.5729583333333337</v>
      </c>
      <c r="H13" s="537">
        <f t="shared" si="0"/>
        <v>1.0214410787244941</v>
      </c>
    </row>
    <row r="14" spans="2:8">
      <c r="B14" s="533">
        <v>37165</v>
      </c>
      <c r="C14" s="534">
        <v>2.8405</v>
      </c>
      <c r="F14">
        <v>2010</v>
      </c>
      <c r="G14" s="534">
        <f>D124</f>
        <v>3.6529583333333329</v>
      </c>
      <c r="H14" s="537">
        <f t="shared" si="0"/>
        <v>1.022390409441289</v>
      </c>
    </row>
    <row r="15" spans="2:8">
      <c r="B15" s="533">
        <v>37196</v>
      </c>
      <c r="C15" s="534">
        <v>3.2795000000000001</v>
      </c>
      <c r="F15">
        <v>2011</v>
      </c>
      <c r="G15" s="534">
        <f>D136</f>
        <v>3.7379583333333333</v>
      </c>
      <c r="H15" s="537">
        <f t="shared" si="0"/>
        <v>1.0232688118077815</v>
      </c>
    </row>
    <row r="16" spans="2:8">
      <c r="B16" s="533">
        <v>37226</v>
      </c>
      <c r="C16" s="534">
        <v>3.8619999999999997</v>
      </c>
      <c r="D16" s="534">
        <f>AVERAGE(C5:C16)</f>
        <v>3.1783749999999995</v>
      </c>
      <c r="F16">
        <v>2012</v>
      </c>
      <c r="G16" s="534">
        <f>D148</f>
        <v>3.8160833333333337</v>
      </c>
      <c r="H16" s="537">
        <f t="shared" si="0"/>
        <v>1.0209004469908931</v>
      </c>
    </row>
    <row r="17" spans="2:8">
      <c r="B17" s="533">
        <v>37257</v>
      </c>
      <c r="C17" s="534">
        <v>4.0724999999999998</v>
      </c>
      <c r="F17">
        <v>2013</v>
      </c>
      <c r="G17" s="534">
        <f>D160</f>
        <v>3.8856666666666668</v>
      </c>
      <c r="H17" s="537">
        <f t="shared" si="0"/>
        <v>1.0182342279387679</v>
      </c>
    </row>
    <row r="18" spans="2:8">
      <c r="B18" s="533">
        <v>37288</v>
      </c>
      <c r="C18" s="534">
        <v>3.9249999999999998</v>
      </c>
      <c r="F18">
        <v>2014</v>
      </c>
      <c r="G18" s="534">
        <f>D172</f>
        <v>4.0229583333333343</v>
      </c>
      <c r="H18" s="537">
        <f t="shared" si="0"/>
        <v>1.0353328472162651</v>
      </c>
    </row>
    <row r="19" spans="2:8">
      <c r="B19" s="533">
        <v>37316</v>
      </c>
      <c r="C19" s="534">
        <v>3.3155000000000001</v>
      </c>
      <c r="F19">
        <v>2015</v>
      </c>
      <c r="G19" s="534">
        <f>D184</f>
        <v>4.127958333333333</v>
      </c>
      <c r="H19" s="537">
        <f>G19/G18</f>
        <v>1.0261001957514677</v>
      </c>
    </row>
    <row r="20" spans="2:8">
      <c r="B20" s="533">
        <v>37347</v>
      </c>
      <c r="C20" s="534">
        <v>2.8290000000000002</v>
      </c>
      <c r="F20">
        <v>2016</v>
      </c>
      <c r="G20" s="534">
        <f>D196</f>
        <v>4.2379583333333333</v>
      </c>
      <c r="H20" s="537">
        <f t="shared" ref="H20:H25" si="1">G20/G19</f>
        <v>1.0266475557933201</v>
      </c>
    </row>
    <row r="21" spans="2:8">
      <c r="B21" s="533">
        <v>37377</v>
      </c>
      <c r="C21" s="534">
        <v>2.77</v>
      </c>
      <c r="F21">
        <v>2017</v>
      </c>
      <c r="G21" s="534">
        <f>D208</f>
        <v>4.3529583333333335</v>
      </c>
      <c r="H21" s="537">
        <f t="shared" si="1"/>
        <v>1.0271357080355124</v>
      </c>
    </row>
    <row r="22" spans="2:8">
      <c r="B22" s="533">
        <v>37408</v>
      </c>
      <c r="C22" s="534">
        <v>2.782</v>
      </c>
      <c r="F22">
        <v>2018</v>
      </c>
      <c r="G22" s="534">
        <f>D220</f>
        <v>4.4729583333333336</v>
      </c>
      <c r="H22" s="537">
        <f t="shared" si="1"/>
        <v>1.0275674589120427</v>
      </c>
    </row>
    <row r="23" spans="2:8">
      <c r="B23" s="533">
        <v>37438</v>
      </c>
      <c r="C23" s="534">
        <v>2.7989999999999999</v>
      </c>
      <c r="F23">
        <v>2019</v>
      </c>
      <c r="G23" s="534">
        <f>D232</f>
        <v>4.5979583333333336</v>
      </c>
      <c r="H23" s="537">
        <f t="shared" si="1"/>
        <v>1.0279457107991541</v>
      </c>
    </row>
    <row r="24" spans="2:8">
      <c r="B24" s="533">
        <v>37469</v>
      </c>
      <c r="C24" s="534">
        <v>2.8025000000000002</v>
      </c>
      <c r="F24">
        <v>2020</v>
      </c>
      <c r="G24" s="534">
        <f>D244</f>
        <v>4.7279583333333335</v>
      </c>
      <c r="H24" s="537">
        <f t="shared" si="1"/>
        <v>1.028273418455655</v>
      </c>
    </row>
    <row r="25" spans="2:8">
      <c r="B25" s="533">
        <v>37500</v>
      </c>
      <c r="C25" s="534">
        <v>2.7820000000000005</v>
      </c>
      <c r="F25">
        <v>2021</v>
      </c>
      <c r="G25" s="534">
        <f>D256</f>
        <v>4.8629583333333333</v>
      </c>
      <c r="H25" s="537">
        <f t="shared" si="1"/>
        <v>1.0285535511276009</v>
      </c>
    </row>
    <row r="26" spans="2:8">
      <c r="B26" s="533">
        <v>37530</v>
      </c>
      <c r="C26" s="534">
        <v>2.8255000000000003</v>
      </c>
    </row>
    <row r="27" spans="2:8">
      <c r="B27" s="533">
        <v>37561</v>
      </c>
      <c r="C27" s="534">
        <v>3.2965</v>
      </c>
    </row>
    <row r="28" spans="2:8">
      <c r="B28" s="533">
        <v>37591</v>
      </c>
      <c r="C28" s="534">
        <v>3.7165000000000004</v>
      </c>
      <c r="D28" s="534">
        <f>AVERAGE(C17:C28)</f>
        <v>3.1596666666666668</v>
      </c>
    </row>
    <row r="29" spans="2:8">
      <c r="B29" s="533">
        <v>37622</v>
      </c>
      <c r="C29" s="534">
        <v>4.0724999999999998</v>
      </c>
    </row>
    <row r="30" spans="2:8">
      <c r="B30" s="533">
        <v>37653</v>
      </c>
      <c r="C30" s="534">
        <v>3.9369999999999998</v>
      </c>
    </row>
    <row r="31" spans="2:8">
      <c r="B31" s="533">
        <v>37681</v>
      </c>
      <c r="C31" s="534">
        <v>3.3580000000000001</v>
      </c>
    </row>
    <row r="32" spans="2:8">
      <c r="B32" s="533">
        <v>37712</v>
      </c>
      <c r="C32" s="534">
        <v>2.8640000000000003</v>
      </c>
    </row>
    <row r="33" spans="2:4">
      <c r="B33" s="533">
        <v>37742</v>
      </c>
      <c r="C33" s="534">
        <v>2.8050000000000002</v>
      </c>
    </row>
    <row r="34" spans="2:4">
      <c r="B34" s="533">
        <v>37773</v>
      </c>
      <c r="C34" s="534">
        <v>2.8170000000000002</v>
      </c>
    </row>
    <row r="35" spans="2:4">
      <c r="B35" s="533">
        <v>37803</v>
      </c>
      <c r="C35" s="534">
        <v>2.8340000000000001</v>
      </c>
    </row>
    <row r="36" spans="2:4">
      <c r="B36" s="533">
        <v>37834</v>
      </c>
      <c r="C36" s="534">
        <v>2.8374999999999999</v>
      </c>
    </row>
    <row r="37" spans="2:4">
      <c r="B37" s="533">
        <v>37865</v>
      </c>
      <c r="C37" s="534">
        <v>2.8170000000000002</v>
      </c>
    </row>
    <row r="38" spans="2:4">
      <c r="B38" s="533">
        <v>37895</v>
      </c>
      <c r="C38" s="534">
        <v>2.8605</v>
      </c>
    </row>
    <row r="39" spans="2:4">
      <c r="B39" s="533">
        <v>37926</v>
      </c>
      <c r="C39" s="534">
        <v>3.3364999999999996</v>
      </c>
    </row>
    <row r="40" spans="2:4">
      <c r="B40" s="533">
        <v>37956</v>
      </c>
      <c r="C40" s="534">
        <v>3.7615000000000003</v>
      </c>
      <c r="D40" s="534">
        <f>AVERAGE(C29:C40)</f>
        <v>3.1917083333333331</v>
      </c>
    </row>
    <row r="41" spans="2:4">
      <c r="B41" s="533">
        <v>37987</v>
      </c>
      <c r="C41" s="534">
        <v>4.1325000000000003</v>
      </c>
    </row>
    <row r="42" spans="2:4">
      <c r="B42" s="533">
        <v>38018</v>
      </c>
      <c r="C42" s="534">
        <v>3.9970000000000003</v>
      </c>
    </row>
    <row r="43" spans="2:4">
      <c r="B43" s="533">
        <v>38047</v>
      </c>
      <c r="C43" s="534">
        <v>3.4079999999999999</v>
      </c>
    </row>
    <row r="44" spans="2:4">
      <c r="B44" s="533">
        <v>38078</v>
      </c>
      <c r="C44" s="534">
        <v>2.9089999999999998</v>
      </c>
    </row>
    <row r="45" spans="2:4">
      <c r="B45" s="533">
        <v>38108</v>
      </c>
      <c r="C45" s="534">
        <v>2.85</v>
      </c>
    </row>
    <row r="46" spans="2:4">
      <c r="B46" s="533">
        <v>38139</v>
      </c>
      <c r="C46" s="534">
        <v>2.8619999999999997</v>
      </c>
    </row>
    <row r="47" spans="2:4">
      <c r="B47" s="533">
        <v>38169</v>
      </c>
      <c r="C47" s="534">
        <v>2.879</v>
      </c>
    </row>
    <row r="48" spans="2:4">
      <c r="B48" s="533">
        <v>38200</v>
      </c>
      <c r="C48" s="534">
        <v>2.8824999999999998</v>
      </c>
    </row>
    <row r="49" spans="2:4">
      <c r="B49" s="533">
        <v>38231</v>
      </c>
      <c r="C49" s="534">
        <v>2.8620000000000001</v>
      </c>
    </row>
    <row r="50" spans="2:4">
      <c r="B50" s="533">
        <v>38261</v>
      </c>
      <c r="C50" s="534">
        <v>2.9055000000000004</v>
      </c>
    </row>
    <row r="51" spans="2:4">
      <c r="B51" s="533">
        <v>38292</v>
      </c>
      <c r="C51" s="534">
        <v>3.3865000000000003</v>
      </c>
    </row>
    <row r="52" spans="2:4">
      <c r="B52" s="533">
        <v>38322</v>
      </c>
      <c r="C52" s="534">
        <v>3.8165000000000004</v>
      </c>
      <c r="D52" s="534">
        <f>AVERAGE(C41:C52)</f>
        <v>3.2408750000000004</v>
      </c>
    </row>
    <row r="53" spans="2:4">
      <c r="B53" s="533">
        <v>38353</v>
      </c>
      <c r="C53" s="534">
        <v>4.2024999999999997</v>
      </c>
    </row>
    <row r="54" spans="2:4">
      <c r="B54" s="533">
        <v>38384</v>
      </c>
      <c r="C54" s="534">
        <v>4.0669999999999993</v>
      </c>
    </row>
    <row r="55" spans="2:4">
      <c r="B55" s="533">
        <v>38412</v>
      </c>
      <c r="C55" s="534">
        <v>3.468</v>
      </c>
    </row>
    <row r="56" spans="2:4">
      <c r="B56" s="533">
        <v>38443</v>
      </c>
      <c r="C56" s="534">
        <v>2.964</v>
      </c>
    </row>
    <row r="57" spans="2:4">
      <c r="B57" s="533">
        <v>38473</v>
      </c>
      <c r="C57" s="534">
        <v>2.9049999999999998</v>
      </c>
    </row>
    <row r="58" spans="2:4">
      <c r="B58" s="533">
        <v>38504</v>
      </c>
      <c r="C58" s="534">
        <v>2.9169999999999998</v>
      </c>
    </row>
    <row r="59" spans="2:4">
      <c r="B59" s="533">
        <v>38534</v>
      </c>
      <c r="C59" s="534">
        <v>2.9339999999999997</v>
      </c>
    </row>
    <row r="60" spans="2:4">
      <c r="B60" s="533">
        <v>38565</v>
      </c>
      <c r="C60" s="534">
        <v>2.9375</v>
      </c>
    </row>
    <row r="61" spans="2:4">
      <c r="B61" s="533">
        <v>38596</v>
      </c>
      <c r="C61" s="534">
        <v>2.9170000000000003</v>
      </c>
    </row>
    <row r="62" spans="2:4">
      <c r="B62" s="533">
        <v>38626</v>
      </c>
      <c r="C62" s="534">
        <v>2.9605000000000001</v>
      </c>
    </row>
    <row r="63" spans="2:4">
      <c r="B63" s="533">
        <v>38657</v>
      </c>
      <c r="C63" s="534">
        <v>3.4464999999999999</v>
      </c>
    </row>
    <row r="64" spans="2:4">
      <c r="B64" s="533">
        <v>38687</v>
      </c>
      <c r="C64" s="534">
        <v>3.8815</v>
      </c>
      <c r="D64" s="534">
        <f>AVERAGE(C53:C64)</f>
        <v>3.300041666666667</v>
      </c>
    </row>
    <row r="65" spans="2:4">
      <c r="B65" s="533">
        <v>38718</v>
      </c>
      <c r="C65" s="534">
        <v>4.2774999999999999</v>
      </c>
    </row>
    <row r="66" spans="2:4">
      <c r="B66" s="533">
        <v>38749</v>
      </c>
      <c r="C66" s="534">
        <v>4.1419999999999995</v>
      </c>
    </row>
    <row r="67" spans="2:4">
      <c r="B67" s="533">
        <v>38777</v>
      </c>
      <c r="C67" s="534">
        <v>3.5330000000000004</v>
      </c>
    </row>
    <row r="68" spans="2:4">
      <c r="B68" s="533">
        <v>38808</v>
      </c>
      <c r="C68" s="534">
        <v>3.024</v>
      </c>
    </row>
    <row r="69" spans="2:4">
      <c r="B69" s="533">
        <v>38838</v>
      </c>
      <c r="C69" s="534">
        <v>2.9649999999999999</v>
      </c>
    </row>
    <row r="70" spans="2:4">
      <c r="B70" s="533">
        <v>38869</v>
      </c>
      <c r="C70" s="534">
        <v>2.9769999999999999</v>
      </c>
    </row>
    <row r="71" spans="2:4">
      <c r="B71" s="533">
        <v>38899</v>
      </c>
      <c r="C71" s="534">
        <v>2.9939999999999998</v>
      </c>
    </row>
    <row r="72" spans="2:4">
      <c r="B72" s="533">
        <v>38930</v>
      </c>
      <c r="C72" s="534">
        <v>2.9975000000000001</v>
      </c>
    </row>
    <row r="73" spans="2:4">
      <c r="B73" s="533">
        <v>38961</v>
      </c>
      <c r="C73" s="534">
        <v>2.9770000000000003</v>
      </c>
    </row>
    <row r="74" spans="2:4">
      <c r="B74" s="533">
        <v>38991</v>
      </c>
      <c r="C74" s="534">
        <v>3.0205000000000002</v>
      </c>
    </row>
    <row r="75" spans="2:4">
      <c r="B75" s="533">
        <v>39022</v>
      </c>
      <c r="C75" s="534">
        <v>3.5065000000000004</v>
      </c>
    </row>
    <row r="76" spans="2:4">
      <c r="B76" s="533">
        <v>39052</v>
      </c>
      <c r="C76" s="534">
        <v>3.9415</v>
      </c>
      <c r="D76" s="534">
        <f>AVERAGE(C65:C76)</f>
        <v>3.3629583333333333</v>
      </c>
    </row>
    <row r="77" spans="2:4">
      <c r="B77" s="533">
        <v>39083</v>
      </c>
      <c r="C77" s="534">
        <v>4.3425000000000002</v>
      </c>
    </row>
    <row r="78" spans="2:4">
      <c r="B78" s="533">
        <v>39114</v>
      </c>
      <c r="C78" s="534">
        <v>4.2069999999999999</v>
      </c>
    </row>
    <row r="79" spans="2:4">
      <c r="B79" s="533">
        <v>39142</v>
      </c>
      <c r="C79" s="534">
        <v>3.5980000000000003</v>
      </c>
    </row>
    <row r="80" spans="2:4">
      <c r="B80" s="533">
        <v>39173</v>
      </c>
      <c r="C80" s="534">
        <v>3.0890000000000004</v>
      </c>
    </row>
    <row r="81" spans="2:4">
      <c r="B81" s="533">
        <v>39203</v>
      </c>
      <c r="C81" s="534">
        <v>3.03</v>
      </c>
    </row>
    <row r="82" spans="2:4">
      <c r="B82" s="533">
        <v>39234</v>
      </c>
      <c r="C82" s="534">
        <v>3.0419999999999998</v>
      </c>
    </row>
    <row r="83" spans="2:4">
      <c r="B83" s="533">
        <v>39264</v>
      </c>
      <c r="C83" s="534">
        <v>3.0590000000000006</v>
      </c>
    </row>
    <row r="84" spans="2:4">
      <c r="B84" s="533">
        <v>39295</v>
      </c>
      <c r="C84" s="534">
        <v>3.0625</v>
      </c>
    </row>
    <row r="85" spans="2:4">
      <c r="B85" s="533">
        <v>39326</v>
      </c>
      <c r="C85" s="534">
        <v>3.0420000000000003</v>
      </c>
    </row>
    <row r="86" spans="2:4">
      <c r="B86" s="533">
        <v>39356</v>
      </c>
      <c r="C86" s="534">
        <v>3.0855000000000001</v>
      </c>
    </row>
    <row r="87" spans="2:4">
      <c r="B87" s="533">
        <v>39387</v>
      </c>
      <c r="C87" s="534">
        <v>3.5714999999999999</v>
      </c>
    </row>
    <row r="88" spans="2:4">
      <c r="B88" s="533">
        <v>39417</v>
      </c>
      <c r="C88" s="534">
        <v>4.0065000000000008</v>
      </c>
      <c r="D88" s="534">
        <f>AVERAGE(C77:C88)</f>
        <v>3.4279583333333341</v>
      </c>
    </row>
    <row r="89" spans="2:4">
      <c r="B89" s="533">
        <v>39448</v>
      </c>
      <c r="C89" s="534">
        <v>4.4124999999999996</v>
      </c>
    </row>
    <row r="90" spans="2:4">
      <c r="B90" s="533">
        <v>39479</v>
      </c>
      <c r="C90" s="534">
        <v>4.2770000000000001</v>
      </c>
    </row>
    <row r="91" spans="2:4">
      <c r="B91" s="533">
        <v>39508</v>
      </c>
      <c r="C91" s="534">
        <v>3.6680000000000001</v>
      </c>
    </row>
    <row r="92" spans="2:4">
      <c r="B92" s="533">
        <v>39539</v>
      </c>
      <c r="C92" s="534">
        <v>3.1590000000000007</v>
      </c>
    </row>
    <row r="93" spans="2:4">
      <c r="B93" s="533">
        <v>39569</v>
      </c>
      <c r="C93" s="534">
        <v>3.1</v>
      </c>
    </row>
    <row r="94" spans="2:4">
      <c r="B94" s="533">
        <v>39600</v>
      </c>
      <c r="C94" s="534">
        <v>3.1119999999999997</v>
      </c>
    </row>
    <row r="95" spans="2:4">
      <c r="B95" s="533">
        <v>39630</v>
      </c>
      <c r="C95" s="534">
        <v>3.1290000000000004</v>
      </c>
    </row>
    <row r="96" spans="2:4">
      <c r="B96" s="533">
        <v>39661</v>
      </c>
      <c r="C96" s="534">
        <v>3.1324999999999998</v>
      </c>
    </row>
    <row r="97" spans="2:4">
      <c r="B97" s="533">
        <v>39692</v>
      </c>
      <c r="C97" s="534">
        <v>3.1120000000000001</v>
      </c>
    </row>
    <row r="98" spans="2:4">
      <c r="B98" s="533">
        <v>39722</v>
      </c>
      <c r="C98" s="534">
        <v>3.1555000000000004</v>
      </c>
    </row>
    <row r="99" spans="2:4">
      <c r="B99" s="533">
        <v>39753</v>
      </c>
      <c r="C99" s="534">
        <v>3.6415000000000002</v>
      </c>
    </row>
    <row r="100" spans="2:4">
      <c r="B100" s="533">
        <v>39783</v>
      </c>
      <c r="C100" s="534">
        <v>4.0765000000000002</v>
      </c>
      <c r="D100" s="534">
        <f>AVERAGE(C89:C100)</f>
        <v>3.4979583333333335</v>
      </c>
    </row>
    <row r="101" spans="2:4">
      <c r="B101" s="533">
        <v>39814</v>
      </c>
      <c r="C101" s="534">
        <v>4.4874999999999998</v>
      </c>
    </row>
    <row r="102" spans="2:4">
      <c r="B102" s="533">
        <v>39845</v>
      </c>
      <c r="C102" s="534">
        <v>4.3519999999999994</v>
      </c>
    </row>
    <row r="103" spans="2:4">
      <c r="B103" s="533">
        <v>39873</v>
      </c>
      <c r="C103" s="534">
        <v>3.7430000000000003</v>
      </c>
    </row>
    <row r="104" spans="2:4">
      <c r="B104" s="533">
        <v>39904</v>
      </c>
      <c r="C104" s="534">
        <v>3.2340000000000004</v>
      </c>
    </row>
    <row r="105" spans="2:4">
      <c r="B105" s="533">
        <v>39934</v>
      </c>
      <c r="C105" s="534">
        <v>3.1749999999999998</v>
      </c>
    </row>
    <row r="106" spans="2:4">
      <c r="B106" s="533">
        <v>39965</v>
      </c>
      <c r="C106" s="534">
        <v>3.1869999999999998</v>
      </c>
    </row>
    <row r="107" spans="2:4">
      <c r="B107" s="533">
        <v>39995</v>
      </c>
      <c r="C107" s="534">
        <v>3.2040000000000006</v>
      </c>
    </row>
    <row r="108" spans="2:4">
      <c r="B108" s="533">
        <v>40026</v>
      </c>
      <c r="C108" s="534">
        <v>3.2075</v>
      </c>
    </row>
    <row r="109" spans="2:4">
      <c r="B109" s="533">
        <v>40057</v>
      </c>
      <c r="C109" s="534">
        <v>3.1870000000000003</v>
      </c>
    </row>
    <row r="110" spans="2:4">
      <c r="B110" s="533">
        <v>40087</v>
      </c>
      <c r="C110" s="534">
        <v>3.2305000000000001</v>
      </c>
    </row>
    <row r="111" spans="2:4">
      <c r="B111" s="533">
        <v>40118</v>
      </c>
      <c r="C111" s="534">
        <v>3.7165000000000004</v>
      </c>
    </row>
    <row r="112" spans="2:4">
      <c r="B112" s="533">
        <v>40148</v>
      </c>
      <c r="C112" s="534">
        <v>4.1515000000000004</v>
      </c>
      <c r="D112" s="534">
        <f>AVERAGE(C101:C112)</f>
        <v>3.5729583333333337</v>
      </c>
    </row>
    <row r="113" spans="2:4">
      <c r="B113" s="533">
        <v>40179</v>
      </c>
      <c r="C113" s="534">
        <v>4.5674999999999999</v>
      </c>
    </row>
    <row r="114" spans="2:4">
      <c r="B114" s="533">
        <v>40210</v>
      </c>
      <c r="C114" s="534">
        <v>4.4319999999999995</v>
      </c>
    </row>
    <row r="115" spans="2:4">
      <c r="B115" s="533">
        <v>40238</v>
      </c>
      <c r="C115" s="534">
        <v>3.8230000000000004</v>
      </c>
    </row>
    <row r="116" spans="2:4">
      <c r="B116" s="533">
        <v>40269</v>
      </c>
      <c r="C116" s="534">
        <v>3.3140000000000005</v>
      </c>
    </row>
    <row r="117" spans="2:4">
      <c r="B117" s="533">
        <v>40299</v>
      </c>
      <c r="C117" s="534">
        <v>3.2549999999999999</v>
      </c>
    </row>
    <row r="118" spans="2:4">
      <c r="B118" s="533">
        <v>40330</v>
      </c>
      <c r="C118" s="534">
        <v>3.2669999999999999</v>
      </c>
    </row>
    <row r="119" spans="2:4">
      <c r="B119" s="533">
        <v>40360</v>
      </c>
      <c r="C119" s="534">
        <v>3.2840000000000003</v>
      </c>
    </row>
    <row r="120" spans="2:4">
      <c r="B120" s="533">
        <v>40391</v>
      </c>
      <c r="C120" s="534">
        <v>3.2875000000000001</v>
      </c>
    </row>
    <row r="121" spans="2:4">
      <c r="B121" s="533">
        <v>40422</v>
      </c>
      <c r="C121" s="534">
        <v>3.2670000000000003</v>
      </c>
    </row>
    <row r="122" spans="2:4">
      <c r="B122" s="533">
        <v>40452</v>
      </c>
      <c r="C122" s="534">
        <v>3.3105000000000002</v>
      </c>
    </row>
    <row r="123" spans="2:4">
      <c r="B123" s="533">
        <v>40483</v>
      </c>
      <c r="C123" s="534">
        <v>3.7965000000000004</v>
      </c>
    </row>
    <row r="124" spans="2:4">
      <c r="B124" s="533">
        <v>40513</v>
      </c>
      <c r="C124" s="534">
        <v>4.2315000000000005</v>
      </c>
      <c r="D124" s="534">
        <f>AVERAGE(C113:C124)</f>
        <v>3.6529583333333329</v>
      </c>
    </row>
    <row r="125" spans="2:4">
      <c r="B125" s="533">
        <v>40544</v>
      </c>
      <c r="C125" s="534">
        <v>4.6524999999999999</v>
      </c>
    </row>
    <row r="126" spans="2:4">
      <c r="B126" s="533">
        <v>40575</v>
      </c>
      <c r="C126" s="534">
        <v>4.5169999999999995</v>
      </c>
    </row>
    <row r="127" spans="2:4">
      <c r="B127" s="533">
        <v>40603</v>
      </c>
      <c r="C127" s="534">
        <v>3.9080000000000004</v>
      </c>
    </row>
    <row r="128" spans="2:4">
      <c r="B128" s="533">
        <v>40634</v>
      </c>
      <c r="C128" s="534">
        <v>3.3990000000000005</v>
      </c>
    </row>
    <row r="129" spans="2:4">
      <c r="B129" s="533">
        <v>40664</v>
      </c>
      <c r="C129" s="534">
        <v>3.34</v>
      </c>
    </row>
    <row r="130" spans="2:4">
      <c r="B130" s="533">
        <v>40695</v>
      </c>
      <c r="C130" s="534">
        <v>3.3519999999999999</v>
      </c>
    </row>
    <row r="131" spans="2:4">
      <c r="B131" s="533">
        <v>40725</v>
      </c>
      <c r="C131" s="534">
        <v>3.3690000000000007</v>
      </c>
    </row>
    <row r="132" spans="2:4">
      <c r="B132" s="533">
        <v>40756</v>
      </c>
      <c r="C132" s="534">
        <v>3.3725000000000001</v>
      </c>
    </row>
    <row r="133" spans="2:4">
      <c r="B133" s="533">
        <v>40787</v>
      </c>
      <c r="C133" s="534">
        <v>3.3520000000000003</v>
      </c>
    </row>
    <row r="134" spans="2:4">
      <c r="B134" s="533">
        <v>40817</v>
      </c>
      <c r="C134" s="534">
        <v>3.3955000000000002</v>
      </c>
    </row>
    <row r="135" spans="2:4">
      <c r="B135" s="533">
        <v>40848</v>
      </c>
      <c r="C135" s="534">
        <v>3.8815000000000004</v>
      </c>
    </row>
    <row r="136" spans="2:4">
      <c r="B136" s="533">
        <v>40878</v>
      </c>
      <c r="C136" s="534">
        <v>4.3165000000000004</v>
      </c>
      <c r="D136" s="534">
        <f>AVERAGE(C125:C136)</f>
        <v>3.7379583333333333</v>
      </c>
    </row>
    <row r="137" spans="2:4">
      <c r="B137" s="533">
        <v>40909</v>
      </c>
      <c r="C137" s="534">
        <v>4.7424999999999997</v>
      </c>
    </row>
    <row r="138" spans="2:4">
      <c r="B138" s="533">
        <v>40940</v>
      </c>
      <c r="C138" s="534">
        <v>4.6069999999999993</v>
      </c>
    </row>
    <row r="139" spans="2:4">
      <c r="B139" s="533">
        <v>40969</v>
      </c>
      <c r="C139" s="534">
        <v>3.9980000000000002</v>
      </c>
    </row>
    <row r="140" spans="2:4">
      <c r="B140" s="533">
        <v>41000</v>
      </c>
      <c r="C140" s="534">
        <v>3.4890000000000008</v>
      </c>
    </row>
    <row r="141" spans="2:4">
      <c r="B141" s="533">
        <v>41030</v>
      </c>
      <c r="C141" s="534">
        <v>3.43</v>
      </c>
    </row>
    <row r="142" spans="2:4">
      <c r="B142" s="533">
        <v>41061</v>
      </c>
      <c r="C142" s="534">
        <v>3.4419999999999997</v>
      </c>
    </row>
    <row r="143" spans="2:4">
      <c r="B143" s="533">
        <v>41091</v>
      </c>
      <c r="C143" s="534">
        <v>3.4590000000000005</v>
      </c>
    </row>
    <row r="144" spans="2:4">
      <c r="B144" s="533">
        <v>41122</v>
      </c>
      <c r="C144" s="534">
        <v>3.4624999999999999</v>
      </c>
    </row>
    <row r="145" spans="2:4">
      <c r="B145" s="533">
        <v>41153</v>
      </c>
      <c r="C145" s="534">
        <v>3.4420000000000002</v>
      </c>
    </row>
    <row r="146" spans="2:4">
      <c r="B146" s="533">
        <v>41183</v>
      </c>
      <c r="C146" s="534">
        <v>3.4855</v>
      </c>
    </row>
    <row r="147" spans="2:4">
      <c r="B147" s="533">
        <v>41214</v>
      </c>
      <c r="C147" s="534">
        <v>3.9715000000000003</v>
      </c>
    </row>
    <row r="148" spans="2:4">
      <c r="B148" s="533">
        <v>41244</v>
      </c>
      <c r="C148" s="534">
        <v>4.2640000000000011</v>
      </c>
      <c r="D148" s="534">
        <f>AVERAGE(C137:C148)</f>
        <v>3.8160833333333337</v>
      </c>
    </row>
    <row r="149" spans="2:4">
      <c r="B149" s="533">
        <v>41275</v>
      </c>
      <c r="C149" s="534">
        <v>4.3899999999999997</v>
      </c>
    </row>
    <row r="150" spans="2:4">
      <c r="B150" s="533">
        <v>41306</v>
      </c>
      <c r="C150" s="534">
        <v>4.702</v>
      </c>
    </row>
    <row r="151" spans="2:4">
      <c r="B151" s="533">
        <v>41334</v>
      </c>
      <c r="C151" s="534">
        <v>4.093</v>
      </c>
    </row>
    <row r="152" spans="2:4">
      <c r="B152" s="533">
        <v>41365</v>
      </c>
      <c r="C152" s="534">
        <v>3.5840000000000005</v>
      </c>
    </row>
    <row r="153" spans="2:4">
      <c r="B153" s="533">
        <v>41395</v>
      </c>
      <c r="C153" s="534">
        <v>3.5249999999999999</v>
      </c>
    </row>
    <row r="154" spans="2:4">
      <c r="B154" s="533">
        <v>41426</v>
      </c>
      <c r="C154" s="534">
        <v>3.5369999999999999</v>
      </c>
    </row>
    <row r="155" spans="2:4">
      <c r="B155" s="533">
        <v>41456</v>
      </c>
      <c r="C155" s="534">
        <v>3.5540000000000003</v>
      </c>
    </row>
    <row r="156" spans="2:4">
      <c r="B156" s="533">
        <v>41487</v>
      </c>
      <c r="C156" s="534">
        <v>3.5575000000000001</v>
      </c>
    </row>
    <row r="157" spans="2:4">
      <c r="B157" s="533">
        <v>41518</v>
      </c>
      <c r="C157" s="534">
        <v>3.5370000000000004</v>
      </c>
    </row>
    <row r="158" spans="2:4">
      <c r="B158" s="533">
        <v>41548</v>
      </c>
      <c r="C158" s="534">
        <v>3.5805000000000002</v>
      </c>
    </row>
    <row r="159" spans="2:4">
      <c r="B159" s="533">
        <v>41579</v>
      </c>
      <c r="C159" s="534">
        <v>4.0665000000000004</v>
      </c>
    </row>
    <row r="160" spans="2:4">
      <c r="B160" s="533">
        <v>41609</v>
      </c>
      <c r="C160" s="534">
        <v>4.5015000000000009</v>
      </c>
      <c r="D160" s="534">
        <f>AVERAGE(C149:C160)</f>
        <v>3.8856666666666668</v>
      </c>
    </row>
    <row r="161" spans="2:4">
      <c r="B161" s="533">
        <v>41640</v>
      </c>
      <c r="C161" s="534">
        <v>4.9375</v>
      </c>
    </row>
    <row r="162" spans="2:4">
      <c r="B162" s="533">
        <v>41671</v>
      </c>
      <c r="C162" s="534">
        <v>4.8019999999999996</v>
      </c>
    </row>
    <row r="163" spans="2:4">
      <c r="B163" s="533">
        <v>41699</v>
      </c>
      <c r="C163" s="534">
        <v>4.1930000000000005</v>
      </c>
    </row>
    <row r="164" spans="2:4">
      <c r="B164" s="533">
        <v>41730</v>
      </c>
      <c r="C164" s="534">
        <v>3.6840000000000006</v>
      </c>
    </row>
    <row r="165" spans="2:4">
      <c r="B165" s="533">
        <v>41760</v>
      </c>
      <c r="C165" s="534">
        <v>3.625</v>
      </c>
    </row>
    <row r="166" spans="2:4">
      <c r="B166" s="533">
        <v>41791</v>
      </c>
      <c r="C166" s="534">
        <v>3.637</v>
      </c>
    </row>
    <row r="167" spans="2:4">
      <c r="B167" s="533">
        <v>41821</v>
      </c>
      <c r="C167" s="534">
        <v>3.6540000000000004</v>
      </c>
    </row>
    <row r="168" spans="2:4">
      <c r="B168" s="533">
        <v>41852</v>
      </c>
      <c r="C168" s="534">
        <v>3.6575000000000002</v>
      </c>
    </row>
    <row r="169" spans="2:4">
      <c r="B169" s="533">
        <v>41883</v>
      </c>
      <c r="C169" s="534">
        <v>3.6370000000000005</v>
      </c>
    </row>
    <row r="170" spans="2:4">
      <c r="B170" s="533">
        <v>41913</v>
      </c>
      <c r="C170" s="534">
        <v>3.6805000000000003</v>
      </c>
    </row>
    <row r="171" spans="2:4">
      <c r="B171" s="533">
        <v>41944</v>
      </c>
      <c r="C171" s="534">
        <v>4.166500000000001</v>
      </c>
    </row>
    <row r="172" spans="2:4">
      <c r="B172" s="533">
        <v>41974</v>
      </c>
      <c r="C172" s="534">
        <v>4.6015000000000006</v>
      </c>
      <c r="D172" s="534">
        <f>AVERAGE(C161:C172)</f>
        <v>4.0229583333333343</v>
      </c>
    </row>
    <row r="173" spans="2:4">
      <c r="B173" s="533">
        <v>42005</v>
      </c>
      <c r="C173" s="534">
        <v>5.0425000000000004</v>
      </c>
    </row>
    <row r="174" spans="2:4">
      <c r="B174" s="533">
        <v>42036</v>
      </c>
      <c r="C174" s="534">
        <v>4.907</v>
      </c>
    </row>
    <row r="175" spans="2:4">
      <c r="B175" s="533">
        <v>42064</v>
      </c>
      <c r="C175" s="534">
        <v>4.298</v>
      </c>
    </row>
    <row r="176" spans="2:4">
      <c r="B176" s="533">
        <v>42095</v>
      </c>
      <c r="C176" s="534">
        <v>3.7890000000000006</v>
      </c>
    </row>
    <row r="177" spans="2:4">
      <c r="B177" s="533">
        <v>42125</v>
      </c>
      <c r="C177" s="534">
        <v>3.73</v>
      </c>
    </row>
    <row r="178" spans="2:4">
      <c r="B178" s="533">
        <v>42156</v>
      </c>
      <c r="C178" s="534">
        <v>3.742</v>
      </c>
    </row>
    <row r="179" spans="2:4">
      <c r="B179" s="533">
        <v>42186</v>
      </c>
      <c r="C179" s="534">
        <v>3.7590000000000003</v>
      </c>
    </row>
    <row r="180" spans="2:4">
      <c r="B180" s="533">
        <v>42217</v>
      </c>
      <c r="C180" s="534">
        <v>3.7625000000000002</v>
      </c>
    </row>
    <row r="181" spans="2:4">
      <c r="B181" s="533">
        <v>42248</v>
      </c>
      <c r="C181" s="534">
        <v>3.7420000000000004</v>
      </c>
    </row>
    <row r="182" spans="2:4">
      <c r="B182" s="533">
        <v>42278</v>
      </c>
      <c r="C182" s="534">
        <v>3.7855000000000003</v>
      </c>
    </row>
    <row r="183" spans="2:4">
      <c r="B183" s="533">
        <v>42309</v>
      </c>
      <c r="C183" s="534">
        <v>4.2715000000000005</v>
      </c>
    </row>
    <row r="184" spans="2:4">
      <c r="B184" s="533">
        <v>42339</v>
      </c>
      <c r="C184" s="534">
        <v>4.706500000000001</v>
      </c>
      <c r="D184" s="534">
        <f>AVERAGE(C173:C184)</f>
        <v>4.127958333333333</v>
      </c>
    </row>
    <row r="185" spans="2:4">
      <c r="B185" s="533">
        <v>42370</v>
      </c>
      <c r="C185" s="534">
        <v>5.1524999999999999</v>
      </c>
    </row>
    <row r="186" spans="2:4">
      <c r="B186" s="533">
        <v>42401</v>
      </c>
      <c r="C186" s="534">
        <v>5.0169999999999995</v>
      </c>
    </row>
    <row r="187" spans="2:4">
      <c r="B187" s="533">
        <v>42430</v>
      </c>
      <c r="C187" s="534">
        <v>4.4080000000000004</v>
      </c>
    </row>
    <row r="188" spans="2:4">
      <c r="B188" s="533">
        <v>42461</v>
      </c>
      <c r="C188" s="534">
        <v>3.8990000000000005</v>
      </c>
    </row>
    <row r="189" spans="2:4">
      <c r="B189" s="533">
        <v>42491</v>
      </c>
      <c r="C189" s="534">
        <v>3.84</v>
      </c>
    </row>
    <row r="190" spans="2:4">
      <c r="B190" s="533">
        <v>42522</v>
      </c>
      <c r="C190" s="534">
        <v>3.8519999999999999</v>
      </c>
    </row>
    <row r="191" spans="2:4">
      <c r="B191" s="533">
        <v>42552</v>
      </c>
      <c r="C191" s="534">
        <v>3.8690000000000007</v>
      </c>
    </row>
    <row r="192" spans="2:4">
      <c r="B192" s="533">
        <v>42583</v>
      </c>
      <c r="C192" s="534">
        <v>3.8725000000000001</v>
      </c>
    </row>
    <row r="193" spans="2:4">
      <c r="B193" s="533">
        <v>42614</v>
      </c>
      <c r="C193" s="534">
        <v>3.8520000000000003</v>
      </c>
    </row>
    <row r="194" spans="2:4">
      <c r="B194" s="533">
        <v>42644</v>
      </c>
      <c r="C194" s="534">
        <v>3.8955000000000002</v>
      </c>
    </row>
    <row r="195" spans="2:4">
      <c r="B195" s="533">
        <v>42675</v>
      </c>
      <c r="C195" s="534">
        <v>4.3815000000000008</v>
      </c>
    </row>
    <row r="196" spans="2:4">
      <c r="B196" s="533">
        <v>42705</v>
      </c>
      <c r="C196" s="534">
        <v>4.8165000000000004</v>
      </c>
      <c r="D196" s="534">
        <f>AVERAGE(C185:C196)</f>
        <v>4.2379583333333333</v>
      </c>
    </row>
    <row r="197" spans="2:4">
      <c r="B197" s="533">
        <v>42736</v>
      </c>
      <c r="C197" s="534">
        <v>5.2675000000000001</v>
      </c>
    </row>
    <row r="198" spans="2:4">
      <c r="B198" s="533">
        <v>42767</v>
      </c>
      <c r="C198" s="534">
        <v>5.1319999999999997</v>
      </c>
    </row>
    <row r="199" spans="2:4">
      <c r="B199" s="533">
        <v>42795</v>
      </c>
      <c r="C199" s="534">
        <v>4.5230000000000006</v>
      </c>
    </row>
    <row r="200" spans="2:4">
      <c r="B200" s="533">
        <v>42826</v>
      </c>
      <c r="C200" s="534">
        <v>4.0140000000000002</v>
      </c>
    </row>
    <row r="201" spans="2:4">
      <c r="B201" s="533">
        <v>42856</v>
      </c>
      <c r="C201" s="534">
        <v>3.9550000000000001</v>
      </c>
    </row>
    <row r="202" spans="2:4">
      <c r="B202" s="533">
        <v>42887</v>
      </c>
      <c r="C202" s="534">
        <v>3.9670000000000001</v>
      </c>
    </row>
    <row r="203" spans="2:4">
      <c r="B203" s="533">
        <v>42917</v>
      </c>
      <c r="C203" s="534">
        <v>3.9840000000000004</v>
      </c>
    </row>
    <row r="204" spans="2:4">
      <c r="B204" s="533">
        <v>42948</v>
      </c>
      <c r="C204" s="534">
        <v>3.9874999999999998</v>
      </c>
    </row>
    <row r="205" spans="2:4">
      <c r="B205" s="533">
        <v>42979</v>
      </c>
      <c r="C205" s="534">
        <v>3.9670000000000001</v>
      </c>
    </row>
    <row r="206" spans="2:4">
      <c r="B206" s="533">
        <v>43009</v>
      </c>
      <c r="C206" s="534">
        <v>4.0105000000000004</v>
      </c>
    </row>
    <row r="207" spans="2:4">
      <c r="B207" s="533">
        <v>43040</v>
      </c>
      <c r="C207" s="534">
        <v>4.4965000000000011</v>
      </c>
    </row>
    <row r="208" spans="2:4">
      <c r="B208" s="533">
        <v>43070</v>
      </c>
      <c r="C208" s="534">
        <v>4.9315000000000007</v>
      </c>
      <c r="D208" s="534">
        <f>AVERAGE(C197:C208)</f>
        <v>4.3529583333333335</v>
      </c>
    </row>
    <row r="209" spans="2:4">
      <c r="B209" s="533">
        <v>43101</v>
      </c>
      <c r="C209" s="534">
        <v>5.3875000000000002</v>
      </c>
    </row>
    <row r="210" spans="2:4">
      <c r="B210" s="533">
        <v>43132</v>
      </c>
      <c r="C210" s="534">
        <v>5.2519999999999998</v>
      </c>
    </row>
    <row r="211" spans="2:4">
      <c r="B211" s="533">
        <v>43160</v>
      </c>
      <c r="C211" s="534">
        <v>4.6429999999999998</v>
      </c>
    </row>
    <row r="212" spans="2:4">
      <c r="B212" s="533">
        <v>43191</v>
      </c>
      <c r="C212" s="534">
        <v>4.1340000000000003</v>
      </c>
    </row>
    <row r="213" spans="2:4">
      <c r="B213" s="533">
        <v>43221</v>
      </c>
      <c r="C213" s="534">
        <v>4.0750000000000002</v>
      </c>
    </row>
    <row r="214" spans="2:4">
      <c r="B214" s="533">
        <v>43252</v>
      </c>
      <c r="C214" s="534">
        <v>4.0870000000000006</v>
      </c>
    </row>
    <row r="215" spans="2:4">
      <c r="B215" s="533">
        <v>43282</v>
      </c>
      <c r="C215" s="534">
        <v>4.104000000000001</v>
      </c>
    </row>
    <row r="216" spans="2:4">
      <c r="B216" s="533">
        <v>43313</v>
      </c>
      <c r="C216" s="534">
        <v>4.1074999999999999</v>
      </c>
    </row>
    <row r="217" spans="2:4">
      <c r="B217" s="533">
        <v>43344</v>
      </c>
      <c r="C217" s="534">
        <v>4.0869999999999997</v>
      </c>
    </row>
    <row r="218" spans="2:4">
      <c r="B218" s="533">
        <v>43374</v>
      </c>
      <c r="C218" s="534">
        <v>4.1304999999999996</v>
      </c>
    </row>
    <row r="219" spans="2:4">
      <c r="B219" s="533">
        <v>43405</v>
      </c>
      <c r="C219" s="534">
        <v>4.6165000000000012</v>
      </c>
    </row>
    <row r="220" spans="2:4">
      <c r="B220" s="533">
        <v>43435</v>
      </c>
      <c r="C220" s="534">
        <v>5.0515000000000008</v>
      </c>
      <c r="D220" s="534">
        <f>AVERAGE(C209:C220)</f>
        <v>4.4729583333333336</v>
      </c>
    </row>
    <row r="221" spans="2:4">
      <c r="B221" s="533">
        <v>43466</v>
      </c>
      <c r="C221" s="534">
        <v>5.5125000000000002</v>
      </c>
    </row>
    <row r="222" spans="2:4">
      <c r="B222" s="533">
        <v>43497</v>
      </c>
      <c r="C222" s="534">
        <v>5.3769999999999998</v>
      </c>
    </row>
    <row r="223" spans="2:4">
      <c r="B223" s="533">
        <v>43525</v>
      </c>
      <c r="C223" s="534">
        <v>4.7679999999999998</v>
      </c>
    </row>
    <row r="224" spans="2:4">
      <c r="B224" s="533">
        <v>43556</v>
      </c>
      <c r="C224" s="534">
        <v>4.2590000000000003</v>
      </c>
    </row>
    <row r="225" spans="2:4">
      <c r="B225" s="533">
        <v>43586</v>
      </c>
      <c r="C225" s="534">
        <v>4.2</v>
      </c>
    </row>
    <row r="226" spans="2:4">
      <c r="B226" s="533">
        <v>43617</v>
      </c>
      <c r="C226" s="534">
        <v>4.2120000000000006</v>
      </c>
    </row>
    <row r="227" spans="2:4">
      <c r="B227" s="533">
        <v>43647</v>
      </c>
      <c r="C227" s="534">
        <v>4.229000000000001</v>
      </c>
    </row>
    <row r="228" spans="2:4">
      <c r="B228" s="533">
        <v>43678</v>
      </c>
      <c r="C228" s="534">
        <v>4.2324999999999999</v>
      </c>
    </row>
    <row r="229" spans="2:4">
      <c r="B229" s="533">
        <v>43709</v>
      </c>
      <c r="C229" s="534">
        <v>4.2119999999999997</v>
      </c>
    </row>
    <row r="230" spans="2:4">
      <c r="B230" s="533">
        <v>43739</v>
      </c>
      <c r="C230" s="534">
        <v>4.2554999999999996</v>
      </c>
    </row>
    <row r="231" spans="2:4">
      <c r="B231" s="533">
        <v>43770</v>
      </c>
      <c r="C231" s="534">
        <v>4.7415000000000012</v>
      </c>
    </row>
    <row r="232" spans="2:4">
      <c r="B232" s="533">
        <v>43800</v>
      </c>
      <c r="C232" s="534">
        <v>5.1765000000000008</v>
      </c>
      <c r="D232" s="534">
        <f>AVERAGE(C221:C232)</f>
        <v>4.5979583333333336</v>
      </c>
    </row>
    <row r="233" spans="2:4">
      <c r="B233" s="533">
        <v>43831</v>
      </c>
      <c r="C233" s="534">
        <v>5.6425000000000001</v>
      </c>
    </row>
    <row r="234" spans="2:4">
      <c r="B234" s="533">
        <v>43862</v>
      </c>
      <c r="C234" s="534">
        <v>5.5069999999999997</v>
      </c>
    </row>
    <row r="235" spans="2:4">
      <c r="B235" s="533">
        <v>43891</v>
      </c>
      <c r="C235" s="534">
        <v>4.8979999999999997</v>
      </c>
    </row>
    <row r="236" spans="2:4">
      <c r="B236" s="533">
        <v>43922</v>
      </c>
      <c r="C236" s="534">
        <v>4.3890000000000002</v>
      </c>
    </row>
    <row r="237" spans="2:4">
      <c r="B237" s="533">
        <v>43952</v>
      </c>
      <c r="C237" s="534">
        <v>4.33</v>
      </c>
    </row>
    <row r="238" spans="2:4">
      <c r="B238" s="533">
        <v>43983</v>
      </c>
      <c r="C238" s="534">
        <v>4.3420000000000005</v>
      </c>
    </row>
    <row r="239" spans="2:4">
      <c r="B239" s="533">
        <v>44013</v>
      </c>
      <c r="C239" s="534">
        <v>4.3590000000000009</v>
      </c>
    </row>
    <row r="240" spans="2:4">
      <c r="B240" s="533">
        <v>44044</v>
      </c>
      <c r="C240" s="534">
        <v>4.3624999999999998</v>
      </c>
    </row>
    <row r="241" spans="2:4">
      <c r="B241" s="533">
        <v>44075</v>
      </c>
      <c r="C241" s="534">
        <v>4.3419999999999996</v>
      </c>
    </row>
    <row r="242" spans="2:4">
      <c r="B242" s="533">
        <v>44105</v>
      </c>
      <c r="C242" s="534">
        <v>4.3855000000000004</v>
      </c>
    </row>
    <row r="243" spans="2:4">
      <c r="B243" s="533">
        <v>44136</v>
      </c>
      <c r="C243" s="534">
        <v>4.8715000000000011</v>
      </c>
    </row>
    <row r="244" spans="2:4">
      <c r="B244" s="533">
        <v>44166</v>
      </c>
      <c r="C244" s="534">
        <v>5.3065000000000007</v>
      </c>
      <c r="D244" s="534">
        <f>AVERAGE(C233:C244)</f>
        <v>4.7279583333333335</v>
      </c>
    </row>
    <row r="245" spans="2:4">
      <c r="B245" s="533">
        <v>44197</v>
      </c>
      <c r="C245" s="534">
        <v>5.7774999999999999</v>
      </c>
    </row>
    <row r="246" spans="2:4">
      <c r="B246" s="533">
        <v>44228</v>
      </c>
      <c r="C246" s="534">
        <v>5.6420000000000003</v>
      </c>
    </row>
    <row r="247" spans="2:4">
      <c r="B247" s="533">
        <v>44256</v>
      </c>
      <c r="C247" s="534">
        <v>5.0330000000000004</v>
      </c>
    </row>
    <row r="248" spans="2:4">
      <c r="B248" s="533">
        <v>44287</v>
      </c>
      <c r="C248" s="534">
        <v>4.524</v>
      </c>
    </row>
    <row r="249" spans="2:4">
      <c r="B249" s="533">
        <v>44317</v>
      </c>
      <c r="C249" s="534">
        <v>4.4649999999999999</v>
      </c>
    </row>
    <row r="250" spans="2:4">
      <c r="B250" s="533">
        <v>44348</v>
      </c>
      <c r="C250" s="534">
        <v>4.4770000000000003</v>
      </c>
    </row>
    <row r="251" spans="2:4">
      <c r="B251" s="533">
        <v>44378</v>
      </c>
      <c r="C251" s="534">
        <v>4.4940000000000007</v>
      </c>
    </row>
    <row r="252" spans="2:4">
      <c r="B252" s="533">
        <v>44409</v>
      </c>
      <c r="C252" s="534">
        <v>4.4974999999999996</v>
      </c>
    </row>
    <row r="253" spans="2:4">
      <c r="B253" s="533">
        <v>44440</v>
      </c>
      <c r="C253" s="534">
        <v>4.4769999999999994</v>
      </c>
    </row>
    <row r="254" spans="2:4">
      <c r="B254" s="533">
        <v>44470</v>
      </c>
      <c r="C254" s="534">
        <v>4.5205000000000002</v>
      </c>
    </row>
    <row r="255" spans="2:4">
      <c r="B255" s="533">
        <v>44501</v>
      </c>
      <c r="C255" s="534">
        <v>5.0065000000000008</v>
      </c>
    </row>
    <row r="256" spans="2:4">
      <c r="B256" s="533">
        <v>44531</v>
      </c>
      <c r="C256" s="534">
        <v>5.4415000000000004</v>
      </c>
      <c r="D256" s="534">
        <f>AVERAGE(C245:C256)</f>
        <v>4.8629583333333333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zoomScale="75" workbookViewId="0">
      <selection activeCell="G14" sqref="G14"/>
    </sheetView>
  </sheetViews>
  <sheetFormatPr defaultColWidth="12.5703125" defaultRowHeight="12.75"/>
  <cols>
    <col min="1" max="1" width="39.7109375" customWidth="1"/>
    <col min="3" max="3" width="16.140625" customWidth="1"/>
    <col min="8" max="8" width="17.28515625" customWidth="1"/>
  </cols>
  <sheetData>
    <row r="1" spans="1:11" ht="15">
      <c r="A1" s="616" t="str">
        <f>'[7]Pro Forma'!B1</f>
        <v>United American Energy</v>
      </c>
      <c r="B1" s="616" t="str">
        <f>'[7]Pro Forma'!B3</f>
        <v>PRELIMINARY ECONOMIC ANALYSIS</v>
      </c>
    </row>
    <row r="2" spans="1:11" ht="15">
      <c r="A2" s="616" t="str">
        <f>'[7]Pro Forma'!B2</f>
        <v>Lowell Power Expansion</v>
      </c>
    </row>
    <row r="3" spans="1:11">
      <c r="A3" t="s">
        <v>509</v>
      </c>
    </row>
    <row r="5" spans="1:11">
      <c r="A5" s="617" t="s">
        <v>579</v>
      </c>
      <c r="B5" s="617"/>
      <c r="C5" s="617"/>
      <c r="D5" s="617"/>
      <c r="E5" s="617"/>
      <c r="F5" s="617"/>
      <c r="G5" s="617"/>
      <c r="H5" s="617"/>
      <c r="I5" s="617"/>
      <c r="J5" s="617"/>
      <c r="K5" s="617"/>
    </row>
    <row r="6" spans="1:11">
      <c r="A6" s="617"/>
      <c r="B6" s="618"/>
      <c r="C6" s="617"/>
      <c r="D6" s="617"/>
      <c r="E6" s="617"/>
      <c r="F6" s="617"/>
      <c r="G6" s="617"/>
      <c r="H6" s="617"/>
      <c r="I6" s="617"/>
      <c r="J6" s="617"/>
      <c r="K6" s="617"/>
    </row>
    <row r="7" spans="1:11">
      <c r="A7" s="617"/>
      <c r="B7" s="619"/>
      <c r="C7" s="619"/>
      <c r="D7" s="617"/>
      <c r="E7" s="620"/>
      <c r="F7" s="617"/>
      <c r="G7" s="617"/>
      <c r="H7" s="617"/>
      <c r="I7" s="617"/>
      <c r="J7" s="617"/>
      <c r="K7" s="617"/>
    </row>
    <row r="8" spans="1:11">
      <c r="A8" s="617" t="s">
        <v>580</v>
      </c>
      <c r="C8" s="621"/>
      <c r="D8" s="619"/>
      <c r="E8" s="622"/>
      <c r="F8" s="619"/>
      <c r="G8" s="617"/>
      <c r="H8" s="617"/>
      <c r="I8" s="617"/>
      <c r="J8" s="617"/>
      <c r="K8" s="617"/>
    </row>
    <row r="9" spans="1:11">
      <c r="A9" s="617" t="s">
        <v>581</v>
      </c>
      <c r="C9" s="619">
        <v>100</v>
      </c>
      <c r="D9" s="619" t="s">
        <v>582</v>
      </c>
      <c r="E9" s="622"/>
      <c r="F9" s="619"/>
      <c r="G9" s="617"/>
      <c r="H9" s="617"/>
      <c r="I9" s="617"/>
      <c r="J9" s="617"/>
      <c r="K9" s="617"/>
    </row>
    <row r="10" spans="1:11">
      <c r="A10" s="617" t="s">
        <v>583</v>
      </c>
      <c r="C10" s="619">
        <v>100</v>
      </c>
      <c r="D10" s="619"/>
      <c r="E10" s="619"/>
      <c r="F10" s="621"/>
      <c r="G10" s="617"/>
      <c r="H10" s="617"/>
      <c r="I10" s="617"/>
      <c r="J10" s="617"/>
      <c r="K10" s="617"/>
    </row>
    <row r="11" spans="1:11">
      <c r="A11" s="617" t="s">
        <v>584</v>
      </c>
      <c r="C11" s="619">
        <f>[7]Maintenance!E45*5*1.25</f>
        <v>193.75</v>
      </c>
      <c r="D11" s="619" t="s">
        <v>585</v>
      </c>
      <c r="E11" s="619"/>
      <c r="F11" s="619"/>
      <c r="G11" s="617"/>
      <c r="H11" s="617"/>
      <c r="I11" s="617"/>
      <c r="J11" s="617"/>
      <c r="K11" s="617"/>
    </row>
    <row r="12" spans="1:11">
      <c r="A12" s="617" t="s">
        <v>586</v>
      </c>
      <c r="C12" s="619">
        <v>100</v>
      </c>
      <c r="D12" s="619"/>
      <c r="E12" s="619"/>
      <c r="F12" s="619"/>
      <c r="G12" s="617"/>
      <c r="H12" s="617"/>
      <c r="I12" s="617"/>
      <c r="J12" s="617"/>
      <c r="K12" s="617"/>
    </row>
    <row r="13" spans="1:11">
      <c r="C13" s="619"/>
      <c r="D13" s="619"/>
      <c r="E13" s="619"/>
      <c r="F13" s="619"/>
      <c r="G13" s="617"/>
      <c r="H13" s="617"/>
      <c r="I13" s="617"/>
      <c r="J13" s="617"/>
      <c r="K13" s="617"/>
    </row>
    <row r="14" spans="1:11">
      <c r="A14" s="622" t="s">
        <v>587</v>
      </c>
      <c r="C14" s="622"/>
      <c r="D14" s="623"/>
      <c r="E14" s="619"/>
      <c r="F14" s="621"/>
      <c r="G14" s="617"/>
      <c r="H14" s="617"/>
      <c r="I14" s="617"/>
      <c r="J14" s="617"/>
      <c r="K14" s="617"/>
    </row>
    <row r="15" spans="1:11">
      <c r="A15" t="s">
        <v>588</v>
      </c>
      <c r="B15" s="619"/>
      <c r="C15" s="619">
        <v>400</v>
      </c>
      <c r="D15" s="623"/>
      <c r="E15" s="619"/>
      <c r="F15" s="621"/>
      <c r="G15" s="617"/>
      <c r="H15" s="617"/>
      <c r="I15" s="617"/>
      <c r="J15" s="617"/>
      <c r="K15" s="617"/>
    </row>
    <row r="16" spans="1:11">
      <c r="A16" t="s">
        <v>589</v>
      </c>
      <c r="B16" s="619"/>
      <c r="C16" s="624" t="s">
        <v>590</v>
      </c>
      <c r="D16" s="623"/>
      <c r="E16" s="619"/>
      <c r="F16" s="621"/>
      <c r="G16" s="617"/>
      <c r="H16" s="617"/>
      <c r="I16" s="617"/>
      <c r="J16" s="617"/>
      <c r="K16" s="617"/>
    </row>
    <row r="17" spans="1:11">
      <c r="A17" t="s">
        <v>591</v>
      </c>
      <c r="C17" s="621">
        <v>500</v>
      </c>
      <c r="D17" s="623" t="s">
        <v>592</v>
      </c>
      <c r="E17" s="619"/>
      <c r="F17" s="621"/>
      <c r="G17" s="617"/>
      <c r="H17" s="617"/>
      <c r="I17" s="617"/>
      <c r="J17" s="617"/>
      <c r="K17" s="617"/>
    </row>
    <row r="18" spans="1:11">
      <c r="A18" t="s">
        <v>593</v>
      </c>
      <c r="C18" s="619">
        <v>100</v>
      </c>
      <c r="D18" s="625" t="s">
        <v>594</v>
      </c>
      <c r="E18" s="617"/>
      <c r="F18" s="617"/>
      <c r="G18" s="617"/>
      <c r="H18" s="617"/>
      <c r="I18" s="617"/>
      <c r="J18" s="617"/>
      <c r="K18" s="617"/>
    </row>
    <row r="19" spans="1:11">
      <c r="A19" t="s">
        <v>595</v>
      </c>
      <c r="C19" s="619">
        <v>150</v>
      </c>
      <c r="D19" s="625"/>
      <c r="E19" s="617"/>
      <c r="F19" s="617"/>
      <c r="G19" s="617"/>
      <c r="H19" s="617"/>
      <c r="I19" s="617"/>
      <c r="J19" s="617"/>
      <c r="K19" s="617"/>
    </row>
    <row r="20" spans="1:11">
      <c r="A20" t="s">
        <v>596</v>
      </c>
      <c r="C20" s="619">
        <v>50</v>
      </c>
    </row>
    <row r="21" spans="1:11">
      <c r="A21" t="s">
        <v>597</v>
      </c>
      <c r="C21" s="619">
        <v>75</v>
      </c>
    </row>
    <row r="22" spans="1:11">
      <c r="A22" t="s">
        <v>598</v>
      </c>
      <c r="C22" s="626">
        <v>100</v>
      </c>
    </row>
    <row r="23" spans="1:11">
      <c r="C23" s="619">
        <f>SUM(C9:C22)</f>
        <v>1868.75</v>
      </c>
    </row>
    <row r="25" spans="1:11">
      <c r="A25" s="617" t="s">
        <v>599</v>
      </c>
      <c r="B25" s="627" t="s">
        <v>600</v>
      </c>
      <c r="C25" s="627" t="s">
        <v>601</v>
      </c>
      <c r="D25" s="627" t="s">
        <v>602</v>
      </c>
      <c r="E25" s="627" t="s">
        <v>603</v>
      </c>
      <c r="F25" s="627" t="s">
        <v>255</v>
      </c>
    </row>
    <row r="26" spans="1:11">
      <c r="A26" s="617" t="s">
        <v>114</v>
      </c>
      <c r="B26" s="628">
        <v>2.3187254718744201</v>
      </c>
      <c r="C26" s="619">
        <f>D26*B26/1000</f>
        <v>1258.9348026992807</v>
      </c>
      <c r="D26" s="619">
        <f>E26*F26</f>
        <v>542942.58547199995</v>
      </c>
      <c r="E26" s="619">
        <f>'[7]Pro Forma'!D15</f>
        <v>2450.1019199999996</v>
      </c>
      <c r="F26" s="619">
        <v>221.6</v>
      </c>
    </row>
    <row r="27" spans="1:11">
      <c r="A27" s="617" t="s">
        <v>604</v>
      </c>
      <c r="B27" s="628">
        <v>0.15417678938516199</v>
      </c>
      <c r="C27" s="619">
        <f>D27*B27/1000</f>
        <v>83.709144648551856</v>
      </c>
      <c r="D27" s="619">
        <f>D26</f>
        <v>542942.58547199995</v>
      </c>
    </row>
    <row r="28" spans="1:11">
      <c r="A28" s="617"/>
      <c r="B28" s="619"/>
      <c r="C28" s="626"/>
    </row>
    <row r="29" spans="1:11">
      <c r="A29" s="617"/>
      <c r="B29" s="619"/>
      <c r="C29" s="619"/>
    </row>
    <row r="36" spans="2:4">
      <c r="B36" s="629"/>
      <c r="C36" s="629"/>
      <c r="D36" s="62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I62"/>
  <sheetViews>
    <sheetView zoomScale="75" zoomScaleNormal="75" workbookViewId="0">
      <selection activeCell="B36" sqref="B36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6" t="str">
        <f>Assumptions!A3</f>
        <v>PROJECT NAME: UAE-Lowell</v>
      </c>
      <c r="Y2" s="6"/>
      <c r="Z2" s="6"/>
    </row>
    <row r="3" spans="1:35">
      <c r="Y3" s="6"/>
      <c r="Z3" s="6"/>
    </row>
    <row r="4" spans="1:35" ht="18.75">
      <c r="A4" s="60" t="s">
        <v>376</v>
      </c>
      <c r="Y4" s="6"/>
      <c r="Z4" s="6"/>
    </row>
    <row r="5" spans="1:35">
      <c r="Y5" s="6"/>
      <c r="Z5" s="6"/>
    </row>
    <row r="6" spans="1:35">
      <c r="B6" s="213">
        <v>0</v>
      </c>
      <c r="C6" s="213">
        <f>'Price_Technical Assumption'!D7</f>
        <v>0.66666666666666663</v>
      </c>
      <c r="D6" s="213">
        <f>'Price_Technical Assumption'!E7</f>
        <v>1.6666666666666665</v>
      </c>
      <c r="E6" s="213">
        <f>'Price_Technical Assumption'!F7</f>
        <v>2.6666666666666665</v>
      </c>
      <c r="F6" s="213">
        <f>'Price_Technical Assumption'!G7</f>
        <v>3.6666666666666665</v>
      </c>
      <c r="G6" s="213">
        <f>'Price_Technical Assumption'!H7</f>
        <v>4.6666666666666661</v>
      </c>
      <c r="H6" s="213">
        <f>'Price_Technical Assumption'!I7</f>
        <v>5.6666666666666661</v>
      </c>
      <c r="I6" s="213">
        <f>'Price_Technical Assumption'!J7</f>
        <v>6.6666666666666661</v>
      </c>
      <c r="J6" s="213">
        <f>'Price_Technical Assumption'!K7</f>
        <v>7.6666666666666661</v>
      </c>
      <c r="K6" s="213">
        <f>'Price_Technical Assumption'!L7</f>
        <v>8.6666666666666661</v>
      </c>
      <c r="L6" s="213">
        <f>'Price_Technical Assumption'!M7</f>
        <v>9.6666666666666661</v>
      </c>
      <c r="M6" s="213">
        <f>'Price_Technical Assumption'!N7</f>
        <v>10.666666666666666</v>
      </c>
      <c r="N6" s="213">
        <f>'Price_Technical Assumption'!O7</f>
        <v>11.666666666666666</v>
      </c>
      <c r="O6" s="213">
        <f>'Price_Technical Assumption'!P7</f>
        <v>12.666666666666666</v>
      </c>
      <c r="P6" s="213">
        <f>'Price_Technical Assumption'!Q7</f>
        <v>13.666666666666666</v>
      </c>
      <c r="Q6" s="213">
        <f>'Price_Technical Assumption'!R7</f>
        <v>14.666666666666666</v>
      </c>
      <c r="R6" s="213">
        <f>'Price_Technical Assumption'!S7</f>
        <v>15.666666666666666</v>
      </c>
      <c r="S6" s="213">
        <f>'Price_Technical Assumption'!T7</f>
        <v>16.666666666666664</v>
      </c>
      <c r="T6" s="213">
        <f>'Price_Technical Assumption'!U7</f>
        <v>17.666666666666664</v>
      </c>
      <c r="U6" s="213">
        <f>'Price_Technical Assumption'!V7</f>
        <v>18.666666666666664</v>
      </c>
      <c r="V6" s="213">
        <f>'Price_Technical Assumption'!W7</f>
        <v>19.666666666666664</v>
      </c>
      <c r="W6" s="213">
        <f>'Price_Technical Assumption'!X7</f>
        <v>20.666666666666664</v>
      </c>
      <c r="X6" s="213">
        <f>'Price_Technical Assumption'!Y7</f>
        <v>21.666666666666664</v>
      </c>
      <c r="Y6" s="213">
        <f>'Price_Technical Assumption'!Z7</f>
        <v>22.666666666666664</v>
      </c>
      <c r="Z6" s="213">
        <f>'Price_Technical Assumption'!AA7</f>
        <v>23.666666666666664</v>
      </c>
      <c r="AA6" s="213">
        <f>'Price_Technical Assumption'!AB7</f>
        <v>24.666666666666664</v>
      </c>
      <c r="AB6" s="213">
        <f>'Price_Technical Assumption'!AC7</f>
        <v>25.666666666666664</v>
      </c>
      <c r="AC6" s="213">
        <f>'Price_Technical Assumption'!AD7</f>
        <v>26.666666666666664</v>
      </c>
      <c r="AD6" s="213">
        <f>'Price_Technical Assumption'!AE7</f>
        <v>27.666666666666664</v>
      </c>
      <c r="AE6" s="213">
        <f>'Price_Technical Assumption'!AF7</f>
        <v>28.666666666666664</v>
      </c>
      <c r="AF6" s="213">
        <f>'Price_Technical Assumption'!AG7</f>
        <v>29.666666666666664</v>
      </c>
      <c r="AG6" s="213">
        <f>'Price_Technical Assumption'!AH7</f>
        <v>30.666666666666664</v>
      </c>
    </row>
    <row r="7" spans="1:35" ht="13.5" thickBot="1">
      <c r="A7" s="122" t="s">
        <v>38</v>
      </c>
      <c r="B7" s="7" t="s">
        <v>249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7"/>
      <c r="B8" s="149">
        <f>Assumptions!G46</f>
        <v>36678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149">
        <f>BS!Y8</f>
        <v>44925.75</v>
      </c>
      <c r="Y8" s="149">
        <f>BS!Z8</f>
        <v>45291</v>
      </c>
      <c r="Z8" s="149">
        <f>BS!AA8</f>
        <v>45656.25</v>
      </c>
      <c r="AA8" s="149">
        <f>BS!AB8</f>
        <v>46021.5</v>
      </c>
      <c r="AB8" s="149">
        <f>BS!AC8</f>
        <v>46386.75</v>
      </c>
      <c r="AC8" s="149">
        <f>BS!AD8</f>
        <v>46752</v>
      </c>
      <c r="AD8" s="149">
        <f>BS!AE8</f>
        <v>47117.25</v>
      </c>
      <c r="AE8" s="149">
        <f>BS!AF8</f>
        <v>47482.5</v>
      </c>
      <c r="AF8" s="149">
        <f>BS!AG8</f>
        <v>47847.75</v>
      </c>
      <c r="AG8" s="149">
        <f>BS!AH8</f>
        <v>48213</v>
      </c>
    </row>
    <row r="9" spans="1:35">
      <c r="A9" s="127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</row>
    <row r="10" spans="1:35" ht="13.5" customHeight="1" outlineLevel="1">
      <c r="A10" s="86"/>
      <c r="B10" s="2"/>
      <c r="C10" s="9"/>
      <c r="D10" s="9"/>
      <c r="E10" s="9"/>
      <c r="F10" s="9"/>
      <c r="G10" s="9"/>
      <c r="H10" s="9"/>
      <c r="I10" s="163"/>
      <c r="J10" s="163"/>
      <c r="K10" s="164"/>
      <c r="L10" s="164"/>
      <c r="M10" s="163"/>
      <c r="N10" s="163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47</v>
      </c>
      <c r="B11" s="18">
        <v>0</v>
      </c>
      <c r="C11" s="18">
        <f>IS!C32</f>
        <v>10386.146684289575</v>
      </c>
      <c r="D11" s="18">
        <f>IS!D32</f>
        <v>15842.150026434378</v>
      </c>
      <c r="E11" s="18">
        <f>IS!E32</f>
        <v>15794.282926434378</v>
      </c>
      <c r="F11" s="18">
        <f>IS!F32</f>
        <v>15745.081813434372</v>
      </c>
      <c r="G11" s="18">
        <f>IS!G32</f>
        <v>15694.508707044384</v>
      </c>
      <c r="H11" s="18">
        <f>IS!H32</f>
        <v>15642.524528262675</v>
      </c>
      <c r="I11" s="18">
        <f>IS!I32</f>
        <v>15589.089067333513</v>
      </c>
      <c r="J11" s="18">
        <f>IS!J32</f>
        <v>15534.16095065682</v>
      </c>
      <c r="K11" s="18">
        <f>IS!K32</f>
        <v>15477.69760672174</v>
      </c>
      <c r="L11" s="18">
        <f>IS!L32</f>
        <v>15419.655231035369</v>
      </c>
      <c r="M11" s="18">
        <f>IS!M32</f>
        <v>15359.988750016517</v>
      </c>
      <c r="N11" s="18">
        <f>IS!N32</f>
        <v>15298.651783823949</v>
      </c>
      <c r="O11" s="18">
        <f>IS!O32</f>
        <v>15235.596608087602</v>
      </c>
      <c r="P11" s="18">
        <f>IS!P32</f>
        <v>15170.774114510019</v>
      </c>
      <c r="Q11" s="18">
        <f>IS!Q32</f>
        <v>15104.133770304557</v>
      </c>
      <c r="R11" s="18">
        <f>IS!R32</f>
        <v>15035.62357643597</v>
      </c>
      <c r="S11" s="18">
        <f>IS!S32</f>
        <v>14965.190024627656</v>
      </c>
      <c r="T11" s="18">
        <f>IS!T32</f>
        <v>14892.778053098889</v>
      </c>
      <c r="U11" s="18">
        <f>IS!U32</f>
        <v>14818.3310009948</v>
      </c>
      <c r="V11" s="18">
        <f>IS!V32</f>
        <v>14741.790561469497</v>
      </c>
      <c r="W11" s="18">
        <f>IS!W32</f>
        <v>3293.9937251496158</v>
      </c>
      <c r="X11" s="18">
        <f>IS!X32</f>
        <v>-3128.5322548628392</v>
      </c>
      <c r="Y11" s="18">
        <f>IS!Y32</f>
        <v>-3211.7198907892362</v>
      </c>
      <c r="Z11" s="18">
        <f>IS!Z32</f>
        <v>-3297.2515891590301</v>
      </c>
      <c r="AA11" s="18">
        <f>IS!AA32</f>
        <v>-3385.1946405128438</v>
      </c>
      <c r="AB11" s="18">
        <f>IS!AB32</f>
        <v>-3475.6182934808512</v>
      </c>
      <c r="AC11" s="18">
        <f>IS!AC32</f>
        <v>-3568.5938123129581</v>
      </c>
      <c r="AD11" s="18">
        <f>IS!AD32</f>
        <v>-3664.1945361105791</v>
      </c>
      <c r="AE11" s="18">
        <f>IS!AE32</f>
        <v>-3762.4959398106857</v>
      </c>
      <c r="AF11" s="18">
        <f>IS!AF32</f>
        <v>-3863.5756969741433</v>
      </c>
      <c r="AG11" s="18">
        <f>IS!AG32</f>
        <v>-3967.5137444318771</v>
      </c>
    </row>
    <row r="12" spans="1:35">
      <c r="A12" s="45" t="s">
        <v>79</v>
      </c>
      <c r="B12" s="445">
        <v>0</v>
      </c>
      <c r="C12" s="445">
        <f>-(Debt!B36)</f>
        <v>-2821.9797136376992</v>
      </c>
      <c r="D12" s="445">
        <f>-(Debt!B44+Debt!C27+Debt!C36)</f>
        <v>-6439.5358500530447</v>
      </c>
      <c r="E12" s="445">
        <f>-(Debt!C44+Debt!D27+Debt!D36)</f>
        <v>-5961.110267084041</v>
      </c>
      <c r="F12" s="445">
        <f>-(Debt!D44+Debt!E27+Debt!E36)</f>
        <v>-5444.5174976917042</v>
      </c>
      <c r="G12" s="445">
        <f>-(Debt!E44+Debt!F27+Debt!F36)</f>
        <v>-4874.5848140842409</v>
      </c>
      <c r="H12" s="445">
        <f>-(Debt!F44+Debt!G27+Debt!G36)</f>
        <v>-4272.585263647481</v>
      </c>
      <c r="I12" s="445">
        <f>-(Debt!G44+Debt!H27+Debt!H36)</f>
        <v>-3619.1755232223613</v>
      </c>
      <c r="J12" s="445">
        <f>-(Debt!H44+Debt!I27+Debt!I36)</f>
        <v>-2916.9144049249117</v>
      </c>
      <c r="K12" s="445">
        <f>-(Debt!I44+Debt!J27+Debt!J36)</f>
        <v>-2151.4838586410633</v>
      </c>
      <c r="L12" s="445">
        <f>-(Debt!J44+Debt!K27+Debt!K36)</f>
        <v>-1332.3351759219377</v>
      </c>
      <c r="M12" s="445">
        <f>-(Debt!K44+Debt!L27+Debt!L36)</f>
        <v>-445.78777381752491</v>
      </c>
      <c r="N12" s="445">
        <f>-(Debt!L44+Debt!M27+Debt!M36)</f>
        <v>0</v>
      </c>
      <c r="O12" s="445">
        <f>-(Debt!M44+Debt!N27+Debt!N36)</f>
        <v>0</v>
      </c>
      <c r="P12" s="445">
        <f>-(Debt!N44+Debt!O27+Debt!O36)</f>
        <v>0</v>
      </c>
      <c r="Q12" s="445">
        <f>-(Debt!O44+Debt!P27+Debt!P36)</f>
        <v>0</v>
      </c>
      <c r="R12" s="445">
        <f>-(Debt!P44+Debt!Q27+Debt!Q36)</f>
        <v>0</v>
      </c>
      <c r="S12" s="445">
        <f>-(Debt!Q44+Debt!R27+Debt!R36)</f>
        <v>0</v>
      </c>
      <c r="T12" s="445">
        <f>-(Debt!R44+Debt!S27+Debt!S36)</f>
        <v>0</v>
      </c>
      <c r="U12" s="445">
        <f>-(Debt!S44+Debt!T27+Debt!T36)</f>
        <v>0</v>
      </c>
      <c r="V12" s="445">
        <f>-(Debt!T44+Debt!U27+Debt!U36)</f>
        <v>0</v>
      </c>
      <c r="W12" s="445">
        <f>-(Debt!U44+Debt!V27+Debt!V36)</f>
        <v>0</v>
      </c>
      <c r="X12" s="445">
        <f>-(Debt!V44+Debt!W27+Debt!W36)</f>
        <v>-24.297584804536324</v>
      </c>
      <c r="Y12" s="445">
        <f>-(Debt!W44+Debt!X27+Debt!X36)</f>
        <v>-151.7345710351955</v>
      </c>
      <c r="Z12" s="445">
        <f>-(Debt!X44+Debt!Y27+Debt!Y36)</f>
        <v>-372.65936342709404</v>
      </c>
      <c r="AA12" s="445">
        <f>-(Debt!Y44+Debt!Z27+Debt!Z36)</f>
        <v>-617.21224537178955</v>
      </c>
      <c r="AB12" s="445">
        <f>-(Debt!Z44+Debt!AA27+Debt!AA36)</f>
        <v>-888.73387782512123</v>
      </c>
      <c r="AC12" s="445">
        <f>-(Debt!AA44+Debt!AB27+Debt!AB36)</f>
        <v>-1188.6927433684759</v>
      </c>
      <c r="AD12" s="445">
        <f>-(Debt!AB44+Debt!AC27+Debt!AC36)</f>
        <v>-1520.8285611215256</v>
      </c>
      <c r="AE12" s="445">
        <f>-(Debt!AC44+Debt!AD27+Debt!AD36)</f>
        <v>-1884.1806759609117</v>
      </c>
      <c r="AF12" s="445">
        <f>-(Debt!AD44+Debt!AE27+Debt!AE36)</f>
        <v>-2287.6868912353875</v>
      </c>
      <c r="AG12" s="445">
        <f>-(Debt!AE44+Debt!AF27+Debt!AF36)</f>
        <v>-1539.9372282621948</v>
      </c>
      <c r="AH12" s="13"/>
      <c r="AI12" s="13"/>
    </row>
    <row r="13" spans="1:35">
      <c r="A13" s="45" t="s">
        <v>348</v>
      </c>
      <c r="B13" s="64">
        <f>SUM(B11:B12)</f>
        <v>0</v>
      </c>
      <c r="C13" s="64">
        <f t="shared" ref="C13:AG13" si="0">SUM(C11:C12)</f>
        <v>7564.166970651876</v>
      </c>
      <c r="D13" s="64">
        <f t="shared" si="0"/>
        <v>9402.6141763813321</v>
      </c>
      <c r="E13" s="64">
        <f t="shared" si="0"/>
        <v>9833.1726593503372</v>
      </c>
      <c r="F13" s="64">
        <f t="shared" si="0"/>
        <v>10300.564315742668</v>
      </c>
      <c r="G13" s="64">
        <f t="shared" si="0"/>
        <v>10819.923892960143</v>
      </c>
      <c r="H13" s="64">
        <f t="shared" si="0"/>
        <v>11369.939264615194</v>
      </c>
      <c r="I13" s="64">
        <f t="shared" si="0"/>
        <v>11969.91354411115</v>
      </c>
      <c r="J13" s="64">
        <f t="shared" si="0"/>
        <v>12617.246545731909</v>
      </c>
      <c r="K13" s="64">
        <f t="shared" si="0"/>
        <v>13326.213748080678</v>
      </c>
      <c r="L13" s="64">
        <f t="shared" si="0"/>
        <v>14087.320055113432</v>
      </c>
      <c r="M13" s="64">
        <f t="shared" si="0"/>
        <v>14914.200976198992</v>
      </c>
      <c r="N13" s="64">
        <f t="shared" si="0"/>
        <v>15298.651783823949</v>
      </c>
      <c r="O13" s="64">
        <f t="shared" si="0"/>
        <v>15235.596608087602</v>
      </c>
      <c r="P13" s="64">
        <f t="shared" si="0"/>
        <v>15170.774114510019</v>
      </c>
      <c r="Q13" s="64">
        <f t="shared" si="0"/>
        <v>15104.133770304557</v>
      </c>
      <c r="R13" s="64">
        <f t="shared" si="0"/>
        <v>15035.62357643597</v>
      </c>
      <c r="S13" s="64">
        <f t="shared" si="0"/>
        <v>14965.190024627656</v>
      </c>
      <c r="T13" s="64">
        <f t="shared" si="0"/>
        <v>14892.778053098889</v>
      </c>
      <c r="U13" s="64">
        <f t="shared" si="0"/>
        <v>14818.3310009948</v>
      </c>
      <c r="V13" s="64">
        <f t="shared" si="0"/>
        <v>14741.790561469497</v>
      </c>
      <c r="W13" s="64">
        <f t="shared" si="0"/>
        <v>3293.9937251496158</v>
      </c>
      <c r="X13" s="64">
        <f t="shared" si="0"/>
        <v>-3152.8298396673754</v>
      </c>
      <c r="Y13" s="64">
        <f t="shared" si="0"/>
        <v>-3363.4544618244317</v>
      </c>
      <c r="Z13" s="64">
        <f t="shared" si="0"/>
        <v>-3669.910952586124</v>
      </c>
      <c r="AA13" s="64">
        <f t="shared" si="0"/>
        <v>-4002.4068858846331</v>
      </c>
      <c r="AB13" s="64">
        <f t="shared" si="0"/>
        <v>-4364.3521713059727</v>
      </c>
      <c r="AC13" s="64">
        <f t="shared" si="0"/>
        <v>-4757.286555681434</v>
      </c>
      <c r="AD13" s="64">
        <f t="shared" si="0"/>
        <v>-5185.0230972321042</v>
      </c>
      <c r="AE13" s="64">
        <f t="shared" si="0"/>
        <v>-5646.6766157715974</v>
      </c>
      <c r="AF13" s="64">
        <f t="shared" si="0"/>
        <v>-6151.2625882095308</v>
      </c>
      <c r="AG13" s="64">
        <f t="shared" si="0"/>
        <v>-5507.4509726940723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349</v>
      </c>
      <c r="B15" s="18">
        <v>0</v>
      </c>
      <c r="C15" s="18">
        <f>-Taxes!B24-Taxes!B41</f>
        <v>0</v>
      </c>
      <c r="D15" s="18">
        <f>-Taxes!C24-Taxes!C41</f>
        <v>0</v>
      </c>
      <c r="E15" s="18">
        <f>-Taxes!D24-Taxes!D41</f>
        <v>0</v>
      </c>
      <c r="F15" s="18">
        <f>-Taxes!E24-Taxes!E41</f>
        <v>0</v>
      </c>
      <c r="G15" s="18">
        <f>-Taxes!F24-Taxes!F41</f>
        <v>0</v>
      </c>
      <c r="H15" s="18">
        <f>-Taxes!G24-Taxes!G41</f>
        <v>0</v>
      </c>
      <c r="I15" s="18">
        <f>-Taxes!H24-Taxes!H41</f>
        <v>-858.97553570554714</v>
      </c>
      <c r="J15" s="18">
        <f>-Taxes!I24-Taxes!I41</f>
        <v>-2851.5624218314206</v>
      </c>
      <c r="K15" s="18">
        <f>-Taxes!J24-Taxes!J41</f>
        <v>-3140.1797033230091</v>
      </c>
      <c r="L15" s="18">
        <f>-Taxes!K24-Taxes!K41</f>
        <v>-3444.4555371068004</v>
      </c>
      <c r="M15" s="18">
        <f>-Taxes!L24-Taxes!L41</f>
        <v>-3756.1884334380861</v>
      </c>
      <c r="N15" s="18">
        <f>-Taxes!M24-Taxes!M41</f>
        <v>-3837.7954670023723</v>
      </c>
      <c r="O15" s="18">
        <f>-Taxes!N24-Taxes!N41</f>
        <v>-3816.6013434986471</v>
      </c>
      <c r="P15" s="18">
        <f>-Taxes!O24-Taxes!O41</f>
        <v>-3787.2198487887122</v>
      </c>
      <c r="Q15" s="18">
        <f>-Taxes!P24-Taxes!P41</f>
        <v>-3764.6077911554526</v>
      </c>
      <c r="R15" s="18">
        <f>-Taxes!Q24-Taxes!Q41</f>
        <v>-4842.0505669804261</v>
      </c>
      <c r="S15" s="18">
        <f>-Taxes!R24-Taxes!R41</f>
        <v>-5918.7326547402381</v>
      </c>
      <c r="T15" s="18">
        <f>-Taxes!S24-Taxes!S41</f>
        <v>-5890.0937200006101</v>
      </c>
      <c r="U15" s="18">
        <f>-Taxes!T24-Taxes!T41</f>
        <v>-5860.6499108934431</v>
      </c>
      <c r="V15" s="18">
        <f>-Taxes!U24-Taxes!U41</f>
        <v>-5830.3781670611861</v>
      </c>
      <c r="W15" s="18">
        <f>-Taxes!V24-Taxes!V41</f>
        <v>-1302.774518296673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80</v>
      </c>
      <c r="B16" s="64">
        <v>0</v>
      </c>
      <c r="C16" s="23">
        <f>-Debt!B48</f>
        <v>-2187.7316441690637</v>
      </c>
      <c r="D16" s="23">
        <f>-Debt!C48</f>
        <v>-5688.1450935284374</v>
      </c>
      <c r="E16" s="23">
        <f>-Debt!D48</f>
        <v>-6197.5181296463124</v>
      </c>
      <c r="F16" s="23">
        <f>-Debt!E48</f>
        <v>-6684.7700132994287</v>
      </c>
      <c r="G16" s="23">
        <f>-Debt!F48</f>
        <v>-7199.5628570937188</v>
      </c>
      <c r="H16" s="23">
        <f>-Debt!G48</f>
        <v>-7770.0954804726789</v>
      </c>
      <c r="I16" s="23">
        <f>-Debt!H48</f>
        <v>-8382.679348266116</v>
      </c>
      <c r="J16" s="23">
        <f>-Debt!I48</f>
        <v>-9051.1140973166621</v>
      </c>
      <c r="K16" s="23">
        <f>-Debt!J48</f>
        <v>-9757.1261983562363</v>
      </c>
      <c r="L16" s="23">
        <f>-Debt!K48</f>
        <v>-10540.069493235853</v>
      </c>
      <c r="M16" s="23">
        <f>-Debt!L48</f>
        <v>-8199.1864884395764</v>
      </c>
      <c r="N16" s="23">
        <f>-Debt!M48</f>
        <v>0</v>
      </c>
      <c r="O16" s="23">
        <f>-Debt!N48</f>
        <v>0</v>
      </c>
      <c r="P16" s="23">
        <f>-Debt!O48</f>
        <v>0</v>
      </c>
      <c r="Q16" s="23">
        <f>-Debt!P48</f>
        <v>0</v>
      </c>
      <c r="R16" s="23">
        <f>-Debt!Q48</f>
        <v>0</v>
      </c>
      <c r="S16" s="23">
        <f>-Debt!R48</f>
        <v>0</v>
      </c>
      <c r="T16" s="23">
        <f>-Debt!S48</f>
        <v>0</v>
      </c>
      <c r="U16" s="23">
        <f>-Debt!T48</f>
        <v>0</v>
      </c>
      <c r="V16" s="23">
        <f>-Debt!U48</f>
        <v>0</v>
      </c>
      <c r="W16" s="23">
        <f>-Debt!V48</f>
        <v>0</v>
      </c>
      <c r="X16" s="23">
        <f>-Debt!W48</f>
        <v>1199.1435465406857</v>
      </c>
      <c r="Y16" s="23">
        <f>-Debt!X48</f>
        <v>2606.3345399893974</v>
      </c>
      <c r="Z16" s="23">
        <f>-Debt!Y48</f>
        <v>2894.3311314916305</v>
      </c>
      <c r="AA16" s="23">
        <f>-Debt!Z48</f>
        <v>3202.6146008170217</v>
      </c>
      <c r="AB16" s="23">
        <f>-Debt!AA48</f>
        <v>3544.9448887849139</v>
      </c>
      <c r="AC16" s="23">
        <f>-Debt!AB48</f>
        <v>3915.9339852662815</v>
      </c>
      <c r="AD16" s="23">
        <f>-Debt!AC48</f>
        <v>4323.0253634788824</v>
      </c>
      <c r="AE16" s="23">
        <f>-Debt!AD48</f>
        <v>4757.6359918521739</v>
      </c>
      <c r="AF16" s="23">
        <f>-Debt!AE48</f>
        <v>5240.2830376920538</v>
      </c>
      <c r="AG16" s="23">
        <f>-Debt!AF48</f>
        <v>5332.8306005325503</v>
      </c>
    </row>
    <row r="17" spans="1:33">
      <c r="A17" s="45" t="s">
        <v>350</v>
      </c>
      <c r="B17" s="446">
        <v>0</v>
      </c>
      <c r="C17" s="446">
        <v>0</v>
      </c>
      <c r="D17" s="446">
        <v>0</v>
      </c>
      <c r="E17" s="446">
        <v>0</v>
      </c>
      <c r="F17" s="446">
        <v>0</v>
      </c>
      <c r="G17" s="446">
        <v>0</v>
      </c>
      <c r="H17" s="446">
        <v>0</v>
      </c>
      <c r="I17" s="446">
        <v>0</v>
      </c>
      <c r="J17" s="446">
        <v>0</v>
      </c>
      <c r="K17" s="446">
        <v>0</v>
      </c>
      <c r="L17" s="446">
        <v>0</v>
      </c>
      <c r="M17" s="446">
        <v>0</v>
      </c>
      <c r="N17" s="446">
        <v>0</v>
      </c>
      <c r="O17" s="446">
        <v>0</v>
      </c>
      <c r="P17" s="446">
        <v>0</v>
      </c>
      <c r="Q17" s="446">
        <v>0</v>
      </c>
      <c r="R17" s="446">
        <v>0</v>
      </c>
      <c r="S17" s="446">
        <v>0</v>
      </c>
      <c r="T17" s="446">
        <v>0</v>
      </c>
      <c r="U17" s="446">
        <v>0</v>
      </c>
      <c r="V17" s="446">
        <v>0</v>
      </c>
      <c r="W17" s="446">
        <v>0</v>
      </c>
      <c r="X17" s="446">
        <v>0</v>
      </c>
      <c r="Y17" s="446">
        <v>0</v>
      </c>
      <c r="Z17" s="446">
        <v>0</v>
      </c>
      <c r="AA17" s="446">
        <v>0</v>
      </c>
      <c r="AB17" s="446">
        <v>0</v>
      </c>
      <c r="AC17" s="446">
        <v>0</v>
      </c>
      <c r="AD17" s="446">
        <v>0</v>
      </c>
      <c r="AE17" s="446">
        <v>0</v>
      </c>
      <c r="AF17" s="446">
        <v>0</v>
      </c>
      <c r="AG17" s="446">
        <v>0</v>
      </c>
    </row>
    <row r="18" spans="1:33">
      <c r="A18" s="45" t="s">
        <v>351</v>
      </c>
      <c r="B18" s="64">
        <f>B13+B17+B16+B15</f>
        <v>0</v>
      </c>
      <c r="C18" s="64">
        <f t="shared" ref="C18:AG18" si="1">C13+C17+C16+C15</f>
        <v>5376.4353264828123</v>
      </c>
      <c r="D18" s="64">
        <f t="shared" si="1"/>
        <v>3714.4690828528946</v>
      </c>
      <c r="E18" s="64">
        <f t="shared" si="1"/>
        <v>3635.6545297040248</v>
      </c>
      <c r="F18" s="64">
        <f t="shared" si="1"/>
        <v>3615.7943024432388</v>
      </c>
      <c r="G18" s="64">
        <f t="shared" si="1"/>
        <v>3620.3610358664246</v>
      </c>
      <c r="H18" s="64">
        <f t="shared" si="1"/>
        <v>3599.8437841425148</v>
      </c>
      <c r="I18" s="64">
        <f t="shared" si="1"/>
        <v>2728.2586601394869</v>
      </c>
      <c r="J18" s="64">
        <f t="shared" si="1"/>
        <v>714.57002658382589</v>
      </c>
      <c r="K18" s="64">
        <f t="shared" si="1"/>
        <v>428.90784640143238</v>
      </c>
      <c r="L18" s="64">
        <f t="shared" si="1"/>
        <v>102.79502477077904</v>
      </c>
      <c r="M18" s="64">
        <f t="shared" si="1"/>
        <v>2958.8260543213296</v>
      </c>
      <c r="N18" s="64">
        <f t="shared" si="1"/>
        <v>11460.856316821577</v>
      </c>
      <c r="O18" s="64">
        <f t="shared" si="1"/>
        <v>11418.995264588955</v>
      </c>
      <c r="P18" s="64">
        <f t="shared" si="1"/>
        <v>11383.554265721306</v>
      </c>
      <c r="Q18" s="64">
        <f t="shared" si="1"/>
        <v>11339.525979149104</v>
      </c>
      <c r="R18" s="64">
        <f t="shared" si="1"/>
        <v>10193.573009455544</v>
      </c>
      <c r="S18" s="64">
        <f t="shared" si="1"/>
        <v>9046.4573698874192</v>
      </c>
      <c r="T18" s="64">
        <f t="shared" si="1"/>
        <v>9002.6843330982792</v>
      </c>
      <c r="U18" s="64">
        <f t="shared" si="1"/>
        <v>8957.6810901013559</v>
      </c>
      <c r="V18" s="64">
        <f t="shared" si="1"/>
        <v>8911.4123944083112</v>
      </c>
      <c r="W18" s="64">
        <f t="shared" si="1"/>
        <v>1991.2192068529428</v>
      </c>
      <c r="X18" s="64">
        <f t="shared" si="1"/>
        <v>-1953.6862931266896</v>
      </c>
      <c r="Y18" s="64">
        <f t="shared" si="1"/>
        <v>-757.11992183503435</v>
      </c>
      <c r="Z18" s="64">
        <f t="shared" si="1"/>
        <v>-775.57982109449358</v>
      </c>
      <c r="AA18" s="64">
        <f t="shared" si="1"/>
        <v>-799.79228506761137</v>
      </c>
      <c r="AB18" s="64">
        <f t="shared" si="1"/>
        <v>-819.40728252105873</v>
      </c>
      <c r="AC18" s="64">
        <f t="shared" si="1"/>
        <v>-841.35257041515251</v>
      </c>
      <c r="AD18" s="64">
        <f t="shared" si="1"/>
        <v>-861.99773375322184</v>
      </c>
      <c r="AE18" s="64">
        <f t="shared" si="1"/>
        <v>-889.04062391942352</v>
      </c>
      <c r="AF18" s="64">
        <f t="shared" si="1"/>
        <v>-910.97955051747704</v>
      </c>
      <c r="AG18" s="64">
        <f t="shared" si="1"/>
        <v>-174.62037216152203</v>
      </c>
    </row>
    <row r="19" spans="1:33">
      <c r="A19" s="334"/>
      <c r="B19" s="399"/>
      <c r="C19" s="399"/>
      <c r="D19" s="399"/>
      <c r="E19" s="399"/>
      <c r="F19" s="399"/>
      <c r="G19" s="399"/>
      <c r="H19" s="399"/>
      <c r="I19" s="399"/>
      <c r="J19" s="399"/>
      <c r="K19" s="399"/>
      <c r="L19" s="399"/>
      <c r="M19" s="399"/>
      <c r="N19" s="399"/>
      <c r="O19" s="399"/>
      <c r="P19" s="399"/>
      <c r="Q19" s="399"/>
      <c r="R19" s="399"/>
      <c r="S19" s="399"/>
      <c r="T19" s="399"/>
      <c r="U19" s="399"/>
      <c r="V19" s="399"/>
      <c r="W19" s="399"/>
      <c r="X19" s="399"/>
      <c r="Y19" s="399"/>
      <c r="Z19" s="399"/>
      <c r="AA19" s="399"/>
      <c r="AB19" s="399"/>
      <c r="AC19" s="399"/>
      <c r="AD19" s="399"/>
      <c r="AE19" s="399"/>
      <c r="AF19" s="399"/>
      <c r="AG19" s="399"/>
    </row>
    <row r="20" spans="1:33">
      <c r="A20" s="447" t="s">
        <v>401</v>
      </c>
      <c r="B20" s="518">
        <v>1</v>
      </c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99"/>
      <c r="AB20" s="399"/>
      <c r="AC20" s="399"/>
      <c r="AD20" s="399"/>
      <c r="AE20" s="399"/>
      <c r="AF20" s="399"/>
      <c r="AG20" s="399"/>
    </row>
    <row r="21" spans="1:33">
      <c r="B21" s="64">
        <f>$B$20*B18</f>
        <v>0</v>
      </c>
      <c r="C21" s="64">
        <f t="shared" ref="C21:AG21" si="2">$B$20*C18</f>
        <v>5376.4353264828123</v>
      </c>
      <c r="D21" s="64">
        <f t="shared" si="2"/>
        <v>3714.4690828528946</v>
      </c>
      <c r="E21" s="64">
        <f t="shared" si="2"/>
        <v>3635.6545297040248</v>
      </c>
      <c r="F21" s="64">
        <f t="shared" si="2"/>
        <v>3615.7943024432388</v>
      </c>
      <c r="G21" s="64">
        <f t="shared" si="2"/>
        <v>3620.3610358664246</v>
      </c>
      <c r="H21" s="64">
        <f t="shared" si="2"/>
        <v>3599.8437841425148</v>
      </c>
      <c r="I21" s="64">
        <f t="shared" si="2"/>
        <v>2728.2586601394869</v>
      </c>
      <c r="J21" s="64">
        <f t="shared" si="2"/>
        <v>714.57002658382589</v>
      </c>
      <c r="K21" s="64">
        <f t="shared" si="2"/>
        <v>428.90784640143238</v>
      </c>
      <c r="L21" s="64">
        <f t="shared" si="2"/>
        <v>102.79502477077904</v>
      </c>
      <c r="M21" s="64">
        <f t="shared" si="2"/>
        <v>2958.8260543213296</v>
      </c>
      <c r="N21" s="64">
        <f t="shared" si="2"/>
        <v>11460.856316821577</v>
      </c>
      <c r="O21" s="64">
        <f t="shared" si="2"/>
        <v>11418.995264588955</v>
      </c>
      <c r="P21" s="64">
        <f t="shared" si="2"/>
        <v>11383.554265721306</v>
      </c>
      <c r="Q21" s="64">
        <f t="shared" si="2"/>
        <v>11339.525979149104</v>
      </c>
      <c r="R21" s="64">
        <f t="shared" si="2"/>
        <v>10193.573009455544</v>
      </c>
      <c r="S21" s="64">
        <f t="shared" si="2"/>
        <v>9046.4573698874192</v>
      </c>
      <c r="T21" s="64">
        <f t="shared" si="2"/>
        <v>9002.6843330982792</v>
      </c>
      <c r="U21" s="64">
        <f t="shared" si="2"/>
        <v>8957.6810901013559</v>
      </c>
      <c r="V21" s="64">
        <f t="shared" si="2"/>
        <v>8911.4123944083112</v>
      </c>
      <c r="W21" s="64">
        <f t="shared" si="2"/>
        <v>1991.2192068529428</v>
      </c>
      <c r="X21" s="64">
        <f t="shared" si="2"/>
        <v>-1953.6862931266896</v>
      </c>
      <c r="Y21" s="64">
        <f t="shared" si="2"/>
        <v>-757.11992183503435</v>
      </c>
      <c r="Z21" s="64">
        <f t="shared" si="2"/>
        <v>-775.57982109449358</v>
      </c>
      <c r="AA21" s="64">
        <f t="shared" si="2"/>
        <v>-799.79228506761137</v>
      </c>
      <c r="AB21" s="64">
        <f t="shared" si="2"/>
        <v>-819.40728252105873</v>
      </c>
      <c r="AC21" s="64">
        <f t="shared" si="2"/>
        <v>-841.35257041515251</v>
      </c>
      <c r="AD21" s="64">
        <f t="shared" si="2"/>
        <v>-861.99773375322184</v>
      </c>
      <c r="AE21" s="64">
        <f t="shared" si="2"/>
        <v>-889.04062391942352</v>
      </c>
      <c r="AF21" s="64">
        <f t="shared" si="2"/>
        <v>-910.97955051747704</v>
      </c>
      <c r="AG21" s="64">
        <f t="shared" si="2"/>
        <v>-174.62037216152203</v>
      </c>
    </row>
    <row r="22" spans="1:33">
      <c r="B22" s="399"/>
      <c r="C22" s="399"/>
      <c r="D22" s="399"/>
      <c r="E22" s="399"/>
      <c r="F22" s="399"/>
      <c r="G22" s="399"/>
      <c r="H22" s="399"/>
      <c r="I22" s="399"/>
      <c r="J22" s="399"/>
      <c r="K22" s="399"/>
      <c r="L22" s="399"/>
      <c r="M22" s="399"/>
      <c r="N22" s="399"/>
      <c r="O22" s="399"/>
      <c r="P22" s="399"/>
      <c r="Q22" s="399"/>
      <c r="R22" s="399"/>
      <c r="S22" s="399"/>
      <c r="T22" s="399"/>
      <c r="U22" s="399"/>
      <c r="V22" s="399"/>
      <c r="W22" s="399"/>
      <c r="X22" s="399"/>
      <c r="Y22" s="399"/>
      <c r="Z22" s="399"/>
      <c r="AA22" s="399"/>
      <c r="AB22" s="399"/>
      <c r="AC22" s="399"/>
      <c r="AD22" s="399"/>
      <c r="AE22" s="399"/>
      <c r="AF22" s="399"/>
      <c r="AG22" s="399"/>
    </row>
    <row r="23" spans="1:33" hidden="1">
      <c r="A23" s="39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399"/>
      <c r="P23" s="399"/>
      <c r="Q23" s="399"/>
      <c r="R23" s="399"/>
      <c r="S23" s="399"/>
      <c r="T23" s="399"/>
      <c r="U23" s="399"/>
      <c r="V23" s="399"/>
      <c r="W23" s="399"/>
      <c r="X23" s="399"/>
      <c r="Y23" s="399"/>
      <c r="Z23" s="399"/>
      <c r="AA23" s="399"/>
      <c r="AB23" s="399"/>
      <c r="AC23" s="399"/>
      <c r="AD23" s="399"/>
    </row>
    <row r="24" spans="1:33" hidden="1">
      <c r="A24" s="448" t="s">
        <v>358</v>
      </c>
      <c r="B24" s="454">
        <v>0.14000000000000001</v>
      </c>
      <c r="AA24" s="59"/>
      <c r="AB24" s="59"/>
      <c r="AC24" s="59"/>
      <c r="AD24" s="59"/>
    </row>
    <row r="25" spans="1:33" hidden="1">
      <c r="A25" s="45" t="s">
        <v>54</v>
      </c>
      <c r="B25" s="18">
        <f>-Assumptions!C11</f>
        <v>-34423.001156175917</v>
      </c>
      <c r="C25" s="18">
        <f t="shared" ref="C25:V25" si="3">+B29</f>
        <v>-34423.001156175917</v>
      </c>
      <c r="D25" s="18">
        <f t="shared" si="3"/>
        <v>-33865.785991557736</v>
      </c>
      <c r="E25" s="18">
        <f t="shared" si="3"/>
        <v>-33865.785991557736</v>
      </c>
      <c r="F25" s="18">
        <f t="shared" si="3"/>
        <v>-33865.785991557736</v>
      </c>
      <c r="G25" s="18">
        <f t="shared" si="3"/>
        <v>-33865.785991557736</v>
      </c>
      <c r="H25" s="18">
        <f t="shared" si="3"/>
        <v>-33865.785991557736</v>
      </c>
      <c r="I25" s="18">
        <f t="shared" si="3"/>
        <v>-33865.785991557736</v>
      </c>
      <c r="J25" s="18">
        <f t="shared" si="3"/>
        <v>-33865.785991557736</v>
      </c>
      <c r="K25" s="18">
        <f t="shared" si="3"/>
        <v>-33865.785991557736</v>
      </c>
      <c r="L25" s="18">
        <f t="shared" si="3"/>
        <v>-33865.785991557736</v>
      </c>
      <c r="M25" s="18">
        <f t="shared" si="3"/>
        <v>-33865.785991557736</v>
      </c>
      <c r="N25" s="18">
        <f t="shared" si="3"/>
        <v>-33865.785991557736</v>
      </c>
      <c r="O25" s="18">
        <f t="shared" si="3"/>
        <v>-27146.139713554243</v>
      </c>
      <c r="P25" s="18">
        <f t="shared" si="3"/>
        <v>-19527.60400886288</v>
      </c>
      <c r="Q25" s="18">
        <f t="shared" si="3"/>
        <v>-10877.914304382377</v>
      </c>
      <c r="R25" s="18">
        <f t="shared" si="3"/>
        <v>-1061.2963278468051</v>
      </c>
      <c r="S25" s="18">
        <f t="shared" si="3"/>
        <v>8983.6951957101865</v>
      </c>
      <c r="T25" s="18">
        <f t="shared" si="3"/>
        <v>19287.869892997034</v>
      </c>
      <c r="U25" s="18">
        <f t="shared" si="3"/>
        <v>30990.856011114898</v>
      </c>
      <c r="V25" s="18">
        <f t="shared" si="3"/>
        <v>44287.256942772336</v>
      </c>
      <c r="W25" s="18">
        <f t="shared" ref="W25:AG25" si="4">+V29</f>
        <v>59398.885309168778</v>
      </c>
      <c r="X25" s="18">
        <f t="shared" si="4"/>
        <v>69705.948459305349</v>
      </c>
      <c r="Y25" s="18">
        <f t="shared" si="4"/>
        <v>77511.094950481405</v>
      </c>
      <c r="Z25" s="18">
        <f t="shared" si="4"/>
        <v>87605.528321713762</v>
      </c>
      <c r="AA25" s="18">
        <f t="shared" si="4"/>
        <v>99094.722465659201</v>
      </c>
      <c r="AB25" s="18">
        <f t="shared" si="4"/>
        <v>112168.19132578388</v>
      </c>
      <c r="AC25" s="18">
        <f t="shared" si="4"/>
        <v>127052.33082887257</v>
      </c>
      <c r="AD25" s="18">
        <f t="shared" si="4"/>
        <v>143998.30457449958</v>
      </c>
      <c r="AE25" s="18">
        <f t="shared" si="4"/>
        <v>163296.0694811763</v>
      </c>
      <c r="AF25" s="18">
        <f t="shared" si="4"/>
        <v>185268.47858462157</v>
      </c>
      <c r="AG25" s="18">
        <f t="shared" si="4"/>
        <v>210295.0860359511</v>
      </c>
    </row>
    <row r="26" spans="1:33" hidden="1">
      <c r="A26" s="45" t="s">
        <v>357</v>
      </c>
      <c r="B26" s="18">
        <v>0</v>
      </c>
      <c r="C26" s="18">
        <f>+-B25*$B$24</f>
        <v>4819.2201618646286</v>
      </c>
      <c r="D26" s="18">
        <f t="shared" ref="D26:V26" si="5">+-D25*$B$24</f>
        <v>4741.2100388180834</v>
      </c>
      <c r="E26" s="18">
        <f t="shared" si="5"/>
        <v>4741.2100388180834</v>
      </c>
      <c r="F26" s="18">
        <f t="shared" si="5"/>
        <v>4741.2100388180834</v>
      </c>
      <c r="G26" s="18">
        <f t="shared" si="5"/>
        <v>4741.2100388180834</v>
      </c>
      <c r="H26" s="18">
        <f t="shared" si="5"/>
        <v>4741.2100388180834</v>
      </c>
      <c r="I26" s="18">
        <f t="shared" si="5"/>
        <v>4741.2100388180834</v>
      </c>
      <c r="J26" s="18">
        <f t="shared" si="5"/>
        <v>4741.2100388180834</v>
      </c>
      <c r="K26" s="18">
        <f t="shared" si="5"/>
        <v>4741.2100388180834</v>
      </c>
      <c r="L26" s="18">
        <f t="shared" si="5"/>
        <v>4741.2100388180834</v>
      </c>
      <c r="M26" s="18">
        <f t="shared" si="5"/>
        <v>4741.2100388180834</v>
      </c>
      <c r="N26" s="18">
        <f t="shared" si="5"/>
        <v>4741.2100388180834</v>
      </c>
      <c r="O26" s="18">
        <f t="shared" si="5"/>
        <v>3800.4595598975943</v>
      </c>
      <c r="P26" s="18">
        <f t="shared" si="5"/>
        <v>2733.8645612408036</v>
      </c>
      <c r="Q26" s="18">
        <f t="shared" si="5"/>
        <v>1522.908002613533</v>
      </c>
      <c r="R26" s="18">
        <f t="shared" si="5"/>
        <v>148.58148589855273</v>
      </c>
      <c r="S26" s="18">
        <f t="shared" si="5"/>
        <v>-1257.7173273994263</v>
      </c>
      <c r="T26" s="18">
        <f t="shared" si="5"/>
        <v>-2700.3017850195852</v>
      </c>
      <c r="U26" s="18">
        <f t="shared" si="5"/>
        <v>-4338.7198415560861</v>
      </c>
      <c r="V26" s="18">
        <f t="shared" si="5"/>
        <v>-6200.2159719881274</v>
      </c>
      <c r="W26" s="18">
        <f t="shared" ref="W26:AG26" si="6">+-W25*$B$24</f>
        <v>-8315.8439432836294</v>
      </c>
      <c r="X26" s="18">
        <f t="shared" si="6"/>
        <v>-9758.8327843027491</v>
      </c>
      <c r="Y26" s="18">
        <f t="shared" si="6"/>
        <v>-10851.553293067398</v>
      </c>
      <c r="Z26" s="18">
        <f t="shared" si="6"/>
        <v>-12264.773965039927</v>
      </c>
      <c r="AA26" s="18">
        <f t="shared" si="6"/>
        <v>-13873.261145192289</v>
      </c>
      <c r="AB26" s="18">
        <f t="shared" si="6"/>
        <v>-15703.546785609744</v>
      </c>
      <c r="AC26" s="18">
        <f t="shared" si="6"/>
        <v>-17787.326316042163</v>
      </c>
      <c r="AD26" s="18">
        <f t="shared" si="6"/>
        <v>-20159.762640429941</v>
      </c>
      <c r="AE26" s="18">
        <f t="shared" si="6"/>
        <v>-22861.449727364685</v>
      </c>
      <c r="AF26" s="18">
        <f t="shared" si="6"/>
        <v>-25937.587001847023</v>
      </c>
      <c r="AG26" s="18">
        <f t="shared" si="6"/>
        <v>-29441.312045033155</v>
      </c>
    </row>
    <row r="27" spans="1:33" hidden="1">
      <c r="A27" s="45" t="s">
        <v>353</v>
      </c>
      <c r="B27" s="18">
        <f>B21</f>
        <v>0</v>
      </c>
      <c r="C27" s="18">
        <f t="shared" ref="C27:AG27" si="7">C21</f>
        <v>5376.4353264828123</v>
      </c>
      <c r="D27" s="18">
        <f t="shared" si="7"/>
        <v>3714.4690828528946</v>
      </c>
      <c r="E27" s="18">
        <f t="shared" si="7"/>
        <v>3635.6545297040248</v>
      </c>
      <c r="F27" s="18">
        <f t="shared" si="7"/>
        <v>3615.7943024432388</v>
      </c>
      <c r="G27" s="18">
        <f t="shared" si="7"/>
        <v>3620.3610358664246</v>
      </c>
      <c r="H27" s="18">
        <f t="shared" si="7"/>
        <v>3599.8437841425148</v>
      </c>
      <c r="I27" s="18">
        <f t="shared" si="7"/>
        <v>2728.2586601394869</v>
      </c>
      <c r="J27" s="18">
        <f t="shared" si="7"/>
        <v>714.57002658382589</v>
      </c>
      <c r="K27" s="18">
        <f t="shared" si="7"/>
        <v>428.90784640143238</v>
      </c>
      <c r="L27" s="18">
        <f t="shared" si="7"/>
        <v>102.79502477077904</v>
      </c>
      <c r="M27" s="18">
        <f t="shared" si="7"/>
        <v>2958.8260543213296</v>
      </c>
      <c r="N27" s="18">
        <f t="shared" si="7"/>
        <v>11460.856316821577</v>
      </c>
      <c r="O27" s="18">
        <f t="shared" si="7"/>
        <v>11418.995264588955</v>
      </c>
      <c r="P27" s="18">
        <f t="shared" si="7"/>
        <v>11383.554265721306</v>
      </c>
      <c r="Q27" s="18">
        <f t="shared" si="7"/>
        <v>11339.525979149104</v>
      </c>
      <c r="R27" s="18">
        <f t="shared" si="7"/>
        <v>10193.573009455544</v>
      </c>
      <c r="S27" s="18">
        <f t="shared" si="7"/>
        <v>9046.4573698874192</v>
      </c>
      <c r="T27" s="18">
        <f t="shared" si="7"/>
        <v>9002.6843330982792</v>
      </c>
      <c r="U27" s="18">
        <f t="shared" si="7"/>
        <v>8957.6810901013559</v>
      </c>
      <c r="V27" s="18">
        <f t="shared" si="7"/>
        <v>8911.4123944083112</v>
      </c>
      <c r="W27" s="18">
        <f t="shared" si="7"/>
        <v>1991.2192068529428</v>
      </c>
      <c r="X27" s="18">
        <f t="shared" si="7"/>
        <v>-1953.6862931266896</v>
      </c>
      <c r="Y27" s="18">
        <f t="shared" si="7"/>
        <v>-757.11992183503435</v>
      </c>
      <c r="Z27" s="18">
        <f t="shared" si="7"/>
        <v>-775.57982109449358</v>
      </c>
      <c r="AA27" s="18">
        <f t="shared" si="7"/>
        <v>-799.79228506761137</v>
      </c>
      <c r="AB27" s="18">
        <f t="shared" si="7"/>
        <v>-819.40728252105873</v>
      </c>
      <c r="AC27" s="18">
        <f t="shared" si="7"/>
        <v>-841.35257041515251</v>
      </c>
      <c r="AD27" s="18">
        <f t="shared" si="7"/>
        <v>-861.99773375322184</v>
      </c>
      <c r="AE27" s="18">
        <f t="shared" si="7"/>
        <v>-889.04062391942352</v>
      </c>
      <c r="AF27" s="18">
        <f t="shared" si="7"/>
        <v>-910.97955051747704</v>
      </c>
      <c r="AG27" s="18">
        <f t="shared" si="7"/>
        <v>-174.62037216152203</v>
      </c>
    </row>
    <row r="28" spans="1:33" hidden="1">
      <c r="A28" s="45" t="s">
        <v>356</v>
      </c>
      <c r="B28" s="309">
        <v>0</v>
      </c>
      <c r="C28" s="309">
        <f t="shared" ref="C28:V28" si="8">+IF(C27&gt;C26,C27-C26,0)</f>
        <v>557.21516461818374</v>
      </c>
      <c r="D28" s="309">
        <f t="shared" si="8"/>
        <v>0</v>
      </c>
      <c r="E28" s="309">
        <f t="shared" si="8"/>
        <v>0</v>
      </c>
      <c r="F28" s="309">
        <f t="shared" si="8"/>
        <v>0</v>
      </c>
      <c r="G28" s="309">
        <f t="shared" si="8"/>
        <v>0</v>
      </c>
      <c r="H28" s="309">
        <f t="shared" si="8"/>
        <v>0</v>
      </c>
      <c r="I28" s="309">
        <f t="shared" si="8"/>
        <v>0</v>
      </c>
      <c r="J28" s="309">
        <f t="shared" si="8"/>
        <v>0</v>
      </c>
      <c r="K28" s="309">
        <f t="shared" si="8"/>
        <v>0</v>
      </c>
      <c r="L28" s="309">
        <f t="shared" si="8"/>
        <v>0</v>
      </c>
      <c r="M28" s="309">
        <f t="shared" si="8"/>
        <v>0</v>
      </c>
      <c r="N28" s="309">
        <f t="shared" si="8"/>
        <v>6719.6462780034935</v>
      </c>
      <c r="O28" s="309">
        <f t="shared" si="8"/>
        <v>7618.5357046913614</v>
      </c>
      <c r="P28" s="309">
        <f t="shared" si="8"/>
        <v>8649.6897044805028</v>
      </c>
      <c r="Q28" s="309">
        <f t="shared" si="8"/>
        <v>9816.6179765355719</v>
      </c>
      <c r="R28" s="309">
        <f t="shared" si="8"/>
        <v>10044.991523556992</v>
      </c>
      <c r="S28" s="309">
        <f t="shared" si="8"/>
        <v>10304.174697286846</v>
      </c>
      <c r="T28" s="309">
        <f t="shared" si="8"/>
        <v>11702.986118117864</v>
      </c>
      <c r="U28" s="309">
        <f t="shared" si="8"/>
        <v>13296.400931657441</v>
      </c>
      <c r="V28" s="309">
        <f t="shared" si="8"/>
        <v>15111.628366396439</v>
      </c>
      <c r="W28" s="309">
        <f t="shared" ref="W28:AG28" si="9">+IF(W27&gt;W26,W27-W26,0)</f>
        <v>10307.063150136571</v>
      </c>
      <c r="X28" s="309">
        <f t="shared" si="9"/>
        <v>7805.1464911760595</v>
      </c>
      <c r="Y28" s="309">
        <f t="shared" si="9"/>
        <v>10094.433371232364</v>
      </c>
      <c r="Z28" s="309">
        <f t="shared" si="9"/>
        <v>11489.194143945433</v>
      </c>
      <c r="AA28" s="309">
        <f t="shared" si="9"/>
        <v>13073.468860124678</v>
      </c>
      <c r="AB28" s="309">
        <f t="shared" si="9"/>
        <v>14884.139503088685</v>
      </c>
      <c r="AC28" s="309">
        <f t="shared" si="9"/>
        <v>16945.973745627009</v>
      </c>
      <c r="AD28" s="309">
        <f t="shared" si="9"/>
        <v>19297.764906676719</v>
      </c>
      <c r="AE28" s="309">
        <f t="shared" si="9"/>
        <v>21972.409103445261</v>
      </c>
      <c r="AF28" s="309">
        <f t="shared" si="9"/>
        <v>25026.607451329546</v>
      </c>
      <c r="AG28" s="309">
        <f t="shared" si="9"/>
        <v>29266.691672871631</v>
      </c>
    </row>
    <row r="29" spans="1:33" hidden="1">
      <c r="A29" s="45" t="s">
        <v>57</v>
      </c>
      <c r="B29" s="18">
        <f t="shared" ref="B29:V29" si="10">+B25+B28</f>
        <v>-34423.001156175917</v>
      </c>
      <c r="C29" s="18">
        <f t="shared" si="10"/>
        <v>-33865.785991557736</v>
      </c>
      <c r="D29" s="18">
        <f t="shared" si="10"/>
        <v>-33865.785991557736</v>
      </c>
      <c r="E29" s="18">
        <f t="shared" si="10"/>
        <v>-33865.785991557736</v>
      </c>
      <c r="F29" s="18">
        <f t="shared" si="10"/>
        <v>-33865.785991557736</v>
      </c>
      <c r="G29" s="18">
        <f t="shared" si="10"/>
        <v>-33865.785991557736</v>
      </c>
      <c r="H29" s="18">
        <f t="shared" si="10"/>
        <v>-33865.785991557736</v>
      </c>
      <c r="I29" s="18">
        <f t="shared" si="10"/>
        <v>-33865.785991557736</v>
      </c>
      <c r="J29" s="18">
        <f t="shared" si="10"/>
        <v>-33865.785991557736</v>
      </c>
      <c r="K29" s="18">
        <f t="shared" si="10"/>
        <v>-33865.785991557736</v>
      </c>
      <c r="L29" s="18">
        <f t="shared" si="10"/>
        <v>-33865.785991557736</v>
      </c>
      <c r="M29" s="18">
        <f t="shared" si="10"/>
        <v>-33865.785991557736</v>
      </c>
      <c r="N29" s="18">
        <f t="shared" si="10"/>
        <v>-27146.139713554243</v>
      </c>
      <c r="O29" s="18">
        <f t="shared" si="10"/>
        <v>-19527.60400886288</v>
      </c>
      <c r="P29" s="18">
        <f t="shared" si="10"/>
        <v>-10877.914304382377</v>
      </c>
      <c r="Q29" s="18">
        <f t="shared" si="10"/>
        <v>-1061.2963278468051</v>
      </c>
      <c r="R29" s="18">
        <f t="shared" si="10"/>
        <v>8983.6951957101865</v>
      </c>
      <c r="S29" s="18">
        <f t="shared" si="10"/>
        <v>19287.869892997034</v>
      </c>
      <c r="T29" s="18">
        <f t="shared" si="10"/>
        <v>30990.856011114898</v>
      </c>
      <c r="U29" s="18">
        <f t="shared" si="10"/>
        <v>44287.256942772336</v>
      </c>
      <c r="V29" s="18">
        <f t="shared" si="10"/>
        <v>59398.885309168778</v>
      </c>
      <c r="W29" s="18">
        <f t="shared" ref="W29:AG29" si="11">+W25+W28</f>
        <v>69705.948459305349</v>
      </c>
      <c r="X29" s="18">
        <f t="shared" si="11"/>
        <v>77511.094950481405</v>
      </c>
      <c r="Y29" s="18">
        <f t="shared" si="11"/>
        <v>87605.528321713762</v>
      </c>
      <c r="Z29" s="18">
        <f t="shared" si="11"/>
        <v>99094.722465659201</v>
      </c>
      <c r="AA29" s="18">
        <f t="shared" si="11"/>
        <v>112168.19132578388</v>
      </c>
      <c r="AB29" s="18">
        <f t="shared" si="11"/>
        <v>127052.33082887257</v>
      </c>
      <c r="AC29" s="18">
        <f t="shared" si="11"/>
        <v>143998.30457449958</v>
      </c>
      <c r="AD29" s="18">
        <f t="shared" si="11"/>
        <v>163296.0694811763</v>
      </c>
      <c r="AE29" s="18">
        <f t="shared" si="11"/>
        <v>185268.47858462157</v>
      </c>
      <c r="AF29" s="18">
        <f t="shared" si="11"/>
        <v>210295.0860359511</v>
      </c>
      <c r="AG29" s="18">
        <f t="shared" si="11"/>
        <v>239561.77770882274</v>
      </c>
    </row>
    <row r="30" spans="1:33" hidden="1">
      <c r="A30" s="45"/>
    </row>
    <row r="31" spans="1:33" hidden="1">
      <c r="A31" s="45"/>
    </row>
    <row r="32" spans="1:33">
      <c r="A32" s="45"/>
    </row>
    <row r="33" spans="1:33">
      <c r="A33" s="448" t="s">
        <v>388</v>
      </c>
    </row>
    <row r="34" spans="1:33">
      <c r="A34" s="448"/>
    </row>
    <row r="35" spans="1:33">
      <c r="A35" s="447" t="s">
        <v>355</v>
      </c>
    </row>
    <row r="36" spans="1:33" s="18" customFormat="1">
      <c r="A36" s="45" t="s">
        <v>354</v>
      </c>
      <c r="B36" s="18">
        <f>-Assumptions!C11*Assumptions!$G$48</f>
        <v>-34423.001156175917</v>
      </c>
    </row>
    <row r="37" spans="1:33" s="18" customFormat="1">
      <c r="A37" s="45" t="s">
        <v>353</v>
      </c>
      <c r="B37" s="455">
        <f>B21*Assumptions!$G$48</f>
        <v>0</v>
      </c>
      <c r="C37" s="455">
        <f>C21*Assumptions!$G$48</f>
        <v>5376.4353264828123</v>
      </c>
      <c r="D37" s="455">
        <f>D21*Assumptions!$G$48</f>
        <v>3714.4690828528946</v>
      </c>
      <c r="E37" s="455">
        <f>E21*Assumptions!$G$48</f>
        <v>3635.6545297040248</v>
      </c>
      <c r="F37" s="455">
        <f>F21*Assumptions!$G$48</f>
        <v>3615.7943024432388</v>
      </c>
      <c r="G37" s="455">
        <f>G21*Assumptions!$G$48</f>
        <v>3620.3610358664246</v>
      </c>
      <c r="H37" s="455">
        <f>H21*Assumptions!$G$48</f>
        <v>3599.8437841425148</v>
      </c>
      <c r="I37" s="455">
        <f>I21*Assumptions!$G$48</f>
        <v>2728.2586601394869</v>
      </c>
      <c r="J37" s="455">
        <f>J21*Assumptions!$G$48</f>
        <v>714.57002658382589</v>
      </c>
      <c r="K37" s="455">
        <f>K21*Assumptions!$G$48</f>
        <v>428.90784640143238</v>
      </c>
      <c r="L37" s="455">
        <f>L21*Assumptions!$G$48</f>
        <v>102.79502477077904</v>
      </c>
      <c r="M37" s="455">
        <f>M21*Assumptions!$G$48</f>
        <v>2958.8260543213296</v>
      </c>
      <c r="N37" s="455">
        <f>N21*Assumptions!$G$48</f>
        <v>11460.856316821577</v>
      </c>
      <c r="O37" s="455">
        <f>O21*Assumptions!$G$48</f>
        <v>11418.995264588955</v>
      </c>
      <c r="P37" s="455">
        <f>P21*Assumptions!$G$48</f>
        <v>11383.554265721306</v>
      </c>
      <c r="Q37" s="455">
        <f>Q21*Assumptions!$G$48</f>
        <v>11339.525979149104</v>
      </c>
      <c r="R37" s="455">
        <f>R21*Assumptions!$G$48</f>
        <v>10193.573009455544</v>
      </c>
      <c r="S37" s="455">
        <f>S21*Assumptions!$G$48</f>
        <v>9046.4573698874192</v>
      </c>
      <c r="T37" s="455">
        <f>T21*Assumptions!$G$48</f>
        <v>9002.6843330982792</v>
      </c>
      <c r="U37" s="455">
        <f>U21*Assumptions!$G$48</f>
        <v>8957.6810901013559</v>
      </c>
      <c r="V37" s="455">
        <f>V21*Assumptions!$G$48</f>
        <v>8911.4123944083112</v>
      </c>
      <c r="W37" s="455">
        <f>W21*Assumptions!$G$48</f>
        <v>1991.2192068529428</v>
      </c>
      <c r="X37" s="455">
        <f>X21*Assumptions!$G$48</f>
        <v>-1953.6862931266896</v>
      </c>
      <c r="Y37" s="455">
        <f>Y21*Assumptions!$G$48</f>
        <v>-757.11992183503435</v>
      </c>
      <c r="Z37" s="455">
        <f>Z21*Assumptions!$G$48</f>
        <v>-775.57982109449358</v>
      </c>
      <c r="AA37" s="455">
        <f>AA21*Assumptions!$G$48</f>
        <v>-799.79228506761137</v>
      </c>
      <c r="AB37" s="455">
        <f>AB21*Assumptions!$G$48</f>
        <v>-819.40728252105873</v>
      </c>
      <c r="AC37" s="455">
        <f>AC21*Assumptions!$G$48</f>
        <v>-841.35257041515251</v>
      </c>
      <c r="AD37" s="455">
        <f>AD21*Assumptions!$G$48</f>
        <v>-861.99773375322184</v>
      </c>
      <c r="AE37" s="455">
        <f>AE21*Assumptions!$G$48</f>
        <v>-889.04062391942352</v>
      </c>
      <c r="AF37" s="455">
        <f>AF21*Assumptions!$G$48</f>
        <v>-910.97955051747704</v>
      </c>
      <c r="AG37" s="455">
        <f>AG21*Assumptions!$G$48</f>
        <v>-174.62037216152203</v>
      </c>
    </row>
    <row r="38" spans="1:33" s="18" customFormat="1">
      <c r="A38" s="45" t="s">
        <v>352</v>
      </c>
      <c r="B38" s="18">
        <f t="shared" ref="B38:AG38" si="12">SUM(B36:B37)</f>
        <v>-34423.001156175917</v>
      </c>
      <c r="C38" s="18">
        <f t="shared" si="12"/>
        <v>5376.4353264828123</v>
      </c>
      <c r="D38" s="18">
        <f t="shared" si="12"/>
        <v>3714.4690828528946</v>
      </c>
      <c r="E38" s="18">
        <f t="shared" si="12"/>
        <v>3635.6545297040248</v>
      </c>
      <c r="F38" s="18">
        <f t="shared" si="12"/>
        <v>3615.7943024432388</v>
      </c>
      <c r="G38" s="18">
        <f t="shared" si="12"/>
        <v>3620.3610358664246</v>
      </c>
      <c r="H38" s="18">
        <f t="shared" si="12"/>
        <v>3599.8437841425148</v>
      </c>
      <c r="I38" s="18">
        <f t="shared" si="12"/>
        <v>2728.2586601394869</v>
      </c>
      <c r="J38" s="18">
        <f t="shared" si="12"/>
        <v>714.57002658382589</v>
      </c>
      <c r="K38" s="18">
        <f t="shared" si="12"/>
        <v>428.90784640143238</v>
      </c>
      <c r="L38" s="18">
        <f t="shared" si="12"/>
        <v>102.79502477077904</v>
      </c>
      <c r="M38" s="18">
        <f t="shared" si="12"/>
        <v>2958.8260543213296</v>
      </c>
      <c r="N38" s="18">
        <f t="shared" si="12"/>
        <v>11460.856316821577</v>
      </c>
      <c r="O38" s="18">
        <f t="shared" si="12"/>
        <v>11418.995264588955</v>
      </c>
      <c r="P38" s="18">
        <f t="shared" si="12"/>
        <v>11383.554265721306</v>
      </c>
      <c r="Q38" s="18">
        <f t="shared" si="12"/>
        <v>11339.525979149104</v>
      </c>
      <c r="R38" s="18">
        <f t="shared" si="12"/>
        <v>10193.573009455544</v>
      </c>
      <c r="S38" s="18">
        <f t="shared" si="12"/>
        <v>9046.4573698874192</v>
      </c>
      <c r="T38" s="18">
        <f t="shared" si="12"/>
        <v>9002.6843330982792</v>
      </c>
      <c r="U38" s="18">
        <f t="shared" si="12"/>
        <v>8957.6810901013559</v>
      </c>
      <c r="V38" s="18">
        <f t="shared" si="12"/>
        <v>8911.4123944083112</v>
      </c>
      <c r="W38" s="18">
        <f t="shared" si="12"/>
        <v>1991.2192068529428</v>
      </c>
      <c r="X38" s="18">
        <f t="shared" si="12"/>
        <v>-1953.6862931266896</v>
      </c>
      <c r="Y38" s="18">
        <f t="shared" si="12"/>
        <v>-757.11992183503435</v>
      </c>
      <c r="Z38" s="18">
        <f t="shared" si="12"/>
        <v>-775.57982109449358</v>
      </c>
      <c r="AA38" s="18">
        <f t="shared" si="12"/>
        <v>-799.79228506761137</v>
      </c>
      <c r="AB38" s="18">
        <f t="shared" si="12"/>
        <v>-819.40728252105873</v>
      </c>
      <c r="AC38" s="18">
        <f t="shared" si="12"/>
        <v>-841.35257041515251</v>
      </c>
      <c r="AD38" s="18">
        <f t="shared" si="12"/>
        <v>-861.99773375322184</v>
      </c>
      <c r="AE38" s="18">
        <f t="shared" si="12"/>
        <v>-889.04062391942352</v>
      </c>
      <c r="AF38" s="18">
        <f t="shared" si="12"/>
        <v>-910.97955051747704</v>
      </c>
      <c r="AG38" s="18">
        <f t="shared" si="12"/>
        <v>-174.62037216152203</v>
      </c>
    </row>
    <row r="39" spans="1:33">
      <c r="B39" s="447" t="s">
        <v>1</v>
      </c>
      <c r="C39" s="453">
        <f>XIRR(B38:W38,B8:W8)</f>
        <v>0.11534275412559511</v>
      </c>
    </row>
    <row r="40" spans="1:33">
      <c r="A40" s="45"/>
      <c r="B40" s="449"/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354</v>
      </c>
      <c r="B42" s="18">
        <f>-Assumptions!C11*Assumptions!$G$48</f>
        <v>-34423.001156175917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353</v>
      </c>
      <c r="B43" s="450">
        <f>B21*Assumptions!$G$48</f>
        <v>0</v>
      </c>
      <c r="C43" s="450">
        <f>C21*Assumptions!$G$48</f>
        <v>5376.4353264828123</v>
      </c>
      <c r="D43" s="450">
        <f>D21*Assumptions!$G$48</f>
        <v>3714.4690828528946</v>
      </c>
      <c r="E43" s="450">
        <f>E21*Assumptions!$G$48</f>
        <v>3635.6545297040248</v>
      </c>
      <c r="F43" s="450">
        <f>F21*Assumptions!$G$48</f>
        <v>3615.7943024432388</v>
      </c>
      <c r="G43" s="450">
        <f>G21*Assumptions!$G$48</f>
        <v>3620.3610358664246</v>
      </c>
      <c r="H43" s="450">
        <f>H21*Assumptions!$G$48</f>
        <v>3599.8437841425148</v>
      </c>
      <c r="I43" s="450">
        <f>I21*Assumptions!$G$48</f>
        <v>2728.2586601394869</v>
      </c>
      <c r="J43" s="450">
        <f>J21*Assumptions!$G$48</f>
        <v>714.57002658382589</v>
      </c>
      <c r="K43" s="450">
        <f>K21*Assumptions!$G$48</f>
        <v>428.90784640143238</v>
      </c>
      <c r="L43" s="450">
        <f>L21*Assumptions!$G$48</f>
        <v>102.79502477077904</v>
      </c>
      <c r="M43" s="450">
        <f>M21*Assumptions!$G$48</f>
        <v>2958.8260543213296</v>
      </c>
      <c r="N43" s="450">
        <f>N21*Assumptions!$G$48</f>
        <v>11460.856316821577</v>
      </c>
      <c r="O43" s="450">
        <f>O21*Assumptions!$G$48</f>
        <v>11418.995264588955</v>
      </c>
      <c r="P43" s="450">
        <f>P21*Assumptions!$G$48</f>
        <v>11383.554265721306</v>
      </c>
      <c r="Q43" s="450">
        <f>Q21*Assumptions!$G$48</f>
        <v>11339.525979149104</v>
      </c>
      <c r="R43" s="450">
        <f>R21*Assumptions!$G$48</f>
        <v>10193.573009455544</v>
      </c>
      <c r="S43" s="450">
        <f>S21*Assumptions!$G$48</f>
        <v>9046.4573698874192</v>
      </c>
      <c r="T43" s="450">
        <f>T21*Assumptions!$G$48</f>
        <v>9002.6843330982792</v>
      </c>
      <c r="U43" s="450">
        <f>U21*Assumptions!$G$48</f>
        <v>8957.6810901013559</v>
      </c>
      <c r="V43" s="450">
        <f>V21*Assumptions!$G$48</f>
        <v>8911.4123944083112</v>
      </c>
      <c r="W43" s="450">
        <f>W21*Assumptions!$G$48</f>
        <v>1991.2192068529428</v>
      </c>
      <c r="X43" s="450">
        <f>X21*Assumptions!$G$48</f>
        <v>-1953.6862931266896</v>
      </c>
      <c r="Y43" s="450">
        <f>Y21*Assumptions!$G$48</f>
        <v>-757.11992183503435</v>
      </c>
      <c r="Z43" s="450">
        <f>Z21*Assumptions!$G$48</f>
        <v>-775.57982109449358</v>
      </c>
      <c r="AA43" s="450">
        <f>AA21*Assumptions!$G$48</f>
        <v>-799.79228506761137</v>
      </c>
      <c r="AB43" s="450">
        <f>AB21*Assumptions!$G$48</f>
        <v>-819.40728252105873</v>
      </c>
      <c r="AC43" s="450">
        <f>AC21*Assumptions!$G$48</f>
        <v>-841.35257041515251</v>
      </c>
      <c r="AD43" s="450">
        <f>AD21*Assumptions!$G$48</f>
        <v>-861.99773375322184</v>
      </c>
      <c r="AE43" s="450">
        <f>AE21*Assumptions!$G$48</f>
        <v>-889.04062391942352</v>
      </c>
      <c r="AF43" s="450">
        <f>AF21*Assumptions!$G$48</f>
        <v>-910.97955051747704</v>
      </c>
      <c r="AG43" s="450">
        <f>AG21*Assumptions!$G$48</f>
        <v>-174.62037216152203</v>
      </c>
    </row>
    <row r="44" spans="1:33">
      <c r="A44" s="56" t="s">
        <v>121</v>
      </c>
      <c r="B44" s="309">
        <v>0</v>
      </c>
      <c r="C44" s="309">
        <v>0</v>
      </c>
      <c r="D44" s="309">
        <v>0</v>
      </c>
      <c r="E44" s="309">
        <v>0</v>
      </c>
      <c r="F44" s="309">
        <v>0</v>
      </c>
      <c r="G44" s="309">
        <v>0</v>
      </c>
      <c r="H44" s="309">
        <v>0</v>
      </c>
      <c r="I44" s="309">
        <v>0</v>
      </c>
      <c r="J44" s="309">
        <v>0</v>
      </c>
      <c r="K44" s="309">
        <v>0</v>
      </c>
      <c r="L44" s="309">
        <v>0</v>
      </c>
      <c r="M44" s="309">
        <v>0</v>
      </c>
      <c r="N44" s="309">
        <v>0</v>
      </c>
      <c r="O44" s="309">
        <v>0</v>
      </c>
      <c r="P44" s="309">
        <v>0</v>
      </c>
      <c r="Q44" s="309">
        <v>0</v>
      </c>
      <c r="R44" s="309">
        <v>0</v>
      </c>
      <c r="S44" s="309">
        <v>0</v>
      </c>
      <c r="T44" s="309">
        <v>0</v>
      </c>
      <c r="U44" s="309">
        <v>0</v>
      </c>
      <c r="V44" s="309">
        <v>0</v>
      </c>
      <c r="W44" s="309">
        <f>Assumptions!H23*IS!W32</f>
        <v>16469.968625748079</v>
      </c>
      <c r="X44" s="309">
        <v>0</v>
      </c>
      <c r="Y44" s="309">
        <v>0</v>
      </c>
      <c r="Z44" s="309">
        <v>0</v>
      </c>
      <c r="AA44" s="309">
        <v>0</v>
      </c>
      <c r="AB44" s="309">
        <v>0</v>
      </c>
      <c r="AC44" s="309">
        <v>0</v>
      </c>
      <c r="AD44" s="309">
        <v>0</v>
      </c>
      <c r="AE44" s="309">
        <v>0</v>
      </c>
      <c r="AF44" s="309">
        <v>0</v>
      </c>
      <c r="AG44" s="309">
        <f>Assumptions!H23*IS!AF32*Assumptions!G48</f>
        <v>-19317.878484870715</v>
      </c>
    </row>
    <row r="45" spans="1:33">
      <c r="A45" s="56" t="s">
        <v>352</v>
      </c>
      <c r="B45" s="18">
        <f t="shared" ref="B45:AG45" si="13">SUM(B42:B44)</f>
        <v>-34423.001156175917</v>
      </c>
      <c r="C45" s="18">
        <f t="shared" si="13"/>
        <v>5376.4353264828123</v>
      </c>
      <c r="D45" s="18">
        <f t="shared" si="13"/>
        <v>3714.4690828528946</v>
      </c>
      <c r="E45" s="18">
        <f t="shared" si="13"/>
        <v>3635.6545297040248</v>
      </c>
      <c r="F45" s="18">
        <f t="shared" si="13"/>
        <v>3615.7943024432388</v>
      </c>
      <c r="G45" s="18">
        <f t="shared" si="13"/>
        <v>3620.3610358664246</v>
      </c>
      <c r="H45" s="18">
        <f t="shared" si="13"/>
        <v>3599.8437841425148</v>
      </c>
      <c r="I45" s="18">
        <f t="shared" si="13"/>
        <v>2728.2586601394869</v>
      </c>
      <c r="J45" s="18">
        <f t="shared" si="13"/>
        <v>714.57002658382589</v>
      </c>
      <c r="K45" s="18">
        <f t="shared" si="13"/>
        <v>428.90784640143238</v>
      </c>
      <c r="L45" s="18">
        <f t="shared" si="13"/>
        <v>102.79502477077904</v>
      </c>
      <c r="M45" s="18">
        <f t="shared" si="13"/>
        <v>2958.8260543213296</v>
      </c>
      <c r="N45" s="18">
        <f t="shared" si="13"/>
        <v>11460.856316821577</v>
      </c>
      <c r="O45" s="18">
        <f t="shared" si="13"/>
        <v>11418.995264588955</v>
      </c>
      <c r="P45" s="18">
        <f t="shared" si="13"/>
        <v>11383.554265721306</v>
      </c>
      <c r="Q45" s="18">
        <f t="shared" si="13"/>
        <v>11339.525979149104</v>
      </c>
      <c r="R45" s="18">
        <f t="shared" si="13"/>
        <v>10193.573009455544</v>
      </c>
      <c r="S45" s="18">
        <f t="shared" si="13"/>
        <v>9046.4573698874192</v>
      </c>
      <c r="T45" s="18">
        <f t="shared" si="13"/>
        <v>9002.6843330982792</v>
      </c>
      <c r="U45" s="18">
        <f t="shared" si="13"/>
        <v>8957.6810901013559</v>
      </c>
      <c r="V45" s="18">
        <f t="shared" si="13"/>
        <v>8911.4123944083112</v>
      </c>
      <c r="W45" s="18">
        <f t="shared" si="13"/>
        <v>18461.187832601023</v>
      </c>
      <c r="X45" s="18">
        <f t="shared" si="13"/>
        <v>-1953.6862931266896</v>
      </c>
      <c r="Y45" s="18">
        <f t="shared" si="13"/>
        <v>-757.11992183503435</v>
      </c>
      <c r="Z45" s="18">
        <f t="shared" si="13"/>
        <v>-775.57982109449358</v>
      </c>
      <c r="AA45" s="18">
        <f t="shared" si="13"/>
        <v>-799.79228506761137</v>
      </c>
      <c r="AB45" s="18">
        <f t="shared" si="13"/>
        <v>-819.40728252105873</v>
      </c>
      <c r="AC45" s="18">
        <f t="shared" si="13"/>
        <v>-841.35257041515251</v>
      </c>
      <c r="AD45" s="18">
        <f t="shared" si="13"/>
        <v>-861.99773375322184</v>
      </c>
      <c r="AE45" s="18">
        <f t="shared" si="13"/>
        <v>-889.04062391942352</v>
      </c>
      <c r="AF45" s="18">
        <f t="shared" si="13"/>
        <v>-910.97955051747704</v>
      </c>
      <c r="AG45" s="18">
        <f t="shared" si="13"/>
        <v>-19492.498857032238</v>
      </c>
    </row>
    <row r="46" spans="1:33">
      <c r="A46" s="13"/>
      <c r="B46" s="447" t="s">
        <v>1</v>
      </c>
      <c r="C46" s="453">
        <f>XIRR(B45:W45,B8:W8)</f>
        <v>0.12024084925651551</v>
      </c>
    </row>
    <row r="47" spans="1:33">
      <c r="A47" s="56"/>
      <c r="B47" s="449"/>
    </row>
    <row r="48" spans="1:33">
      <c r="A48" s="43" t="str">
        <f>CONCATENATE("With ",Assumptions!H24*100,"% Initial Project Cost")</f>
        <v>With 20% Initial Project Cost</v>
      </c>
    </row>
    <row r="49" spans="1:33" s="18" customFormat="1">
      <c r="A49" s="56" t="s">
        <v>354</v>
      </c>
      <c r="B49" s="18">
        <f>-Assumptions!C11*Assumptions!G48</f>
        <v>-34423.001156175917</v>
      </c>
    </row>
    <row r="50" spans="1:33" s="18" customFormat="1">
      <c r="A50" s="56" t="s">
        <v>353</v>
      </c>
      <c r="B50" s="18">
        <f>+B21*Assumptions!$G$48</f>
        <v>0</v>
      </c>
      <c r="C50" s="18">
        <f>+C21*Assumptions!$G$48</f>
        <v>5376.4353264828123</v>
      </c>
      <c r="D50" s="18">
        <f>+D21*Assumptions!$G$48</f>
        <v>3714.4690828528946</v>
      </c>
      <c r="E50" s="18">
        <f>+E21*Assumptions!$G$48</f>
        <v>3635.6545297040248</v>
      </c>
      <c r="F50" s="18">
        <f>+F21*Assumptions!$G$48</f>
        <v>3615.7943024432388</v>
      </c>
      <c r="G50" s="18">
        <f>+G21*Assumptions!$G$48</f>
        <v>3620.3610358664246</v>
      </c>
      <c r="H50" s="18">
        <f>+H21*Assumptions!$G$48</f>
        <v>3599.8437841425148</v>
      </c>
      <c r="I50" s="18">
        <f>+I21*Assumptions!$G$48</f>
        <v>2728.2586601394869</v>
      </c>
      <c r="J50" s="18">
        <f>+J21*Assumptions!$G$48</f>
        <v>714.57002658382589</v>
      </c>
      <c r="K50" s="18">
        <f>+K21*Assumptions!$G$48</f>
        <v>428.90784640143238</v>
      </c>
      <c r="L50" s="18">
        <f>+L21*Assumptions!$G$48</f>
        <v>102.79502477077904</v>
      </c>
      <c r="M50" s="18">
        <f>+M21*Assumptions!$G$48</f>
        <v>2958.8260543213296</v>
      </c>
      <c r="N50" s="18">
        <f>+N21*Assumptions!$G$48</f>
        <v>11460.856316821577</v>
      </c>
      <c r="O50" s="18">
        <f>+O21*Assumptions!$G$48</f>
        <v>11418.995264588955</v>
      </c>
      <c r="P50" s="18">
        <f>+P21*Assumptions!$G$48</f>
        <v>11383.554265721306</v>
      </c>
      <c r="Q50" s="18">
        <f>+Q21*Assumptions!$G$48</f>
        <v>11339.525979149104</v>
      </c>
      <c r="R50" s="18">
        <f>+R21*Assumptions!$G$48</f>
        <v>10193.573009455544</v>
      </c>
      <c r="S50" s="18">
        <f>+S21*Assumptions!$G$48</f>
        <v>9046.4573698874192</v>
      </c>
      <c r="T50" s="18">
        <f>+T21*Assumptions!$G$48</f>
        <v>9002.6843330982792</v>
      </c>
      <c r="U50" s="18">
        <f>+U21*Assumptions!$G$48</f>
        <v>8957.6810901013559</v>
      </c>
      <c r="V50" s="18">
        <f>+V21*Assumptions!$G$48</f>
        <v>8911.4123944083112</v>
      </c>
      <c r="W50" s="18">
        <f>+W21*Assumptions!$G$48</f>
        <v>1991.2192068529428</v>
      </c>
      <c r="X50" s="18">
        <f>+X21*Assumptions!$G$48</f>
        <v>-1953.6862931266896</v>
      </c>
      <c r="Y50" s="18">
        <f>+Y21*Assumptions!$G$48</f>
        <v>-757.11992183503435</v>
      </c>
      <c r="Z50" s="18">
        <f>+Z21*Assumptions!$G$48</f>
        <v>-775.57982109449358</v>
      </c>
      <c r="AA50" s="18">
        <f>+AA21*Assumptions!$G$48</f>
        <v>-799.79228506761137</v>
      </c>
      <c r="AB50" s="18">
        <f>+AB21*Assumptions!$G$48</f>
        <v>-819.40728252105873</v>
      </c>
      <c r="AC50" s="18">
        <f>+AC21*Assumptions!$G$48</f>
        <v>-841.35257041515251</v>
      </c>
      <c r="AD50" s="18">
        <f>+AD21*Assumptions!$G$48</f>
        <v>-861.99773375322184</v>
      </c>
      <c r="AE50" s="18">
        <f>+AE21*Assumptions!$G$48</f>
        <v>-889.04062391942352</v>
      </c>
      <c r="AF50" s="18">
        <f>+AF21*Assumptions!$G$48</f>
        <v>-910.97955051747704</v>
      </c>
      <c r="AG50" s="18">
        <f>+AG21*Assumptions!$G$48</f>
        <v>-174.62037216152203</v>
      </c>
    </row>
    <row r="51" spans="1:33" s="18" customFormat="1">
      <c r="A51" s="56" t="s">
        <v>121</v>
      </c>
      <c r="B51" s="309">
        <v>0</v>
      </c>
      <c r="C51" s="309">
        <v>0</v>
      </c>
      <c r="D51" s="309">
        <v>0</v>
      </c>
      <c r="E51" s="309">
        <v>0</v>
      </c>
      <c r="F51" s="309">
        <v>0</v>
      </c>
      <c r="G51" s="309">
        <v>0</v>
      </c>
      <c r="H51" s="309">
        <v>0</v>
      </c>
      <c r="I51" s="309">
        <v>0</v>
      </c>
      <c r="J51" s="309">
        <v>0</v>
      </c>
      <c r="K51" s="309">
        <v>0</v>
      </c>
      <c r="L51" s="309">
        <v>0</v>
      </c>
      <c r="M51" s="309">
        <v>0</v>
      </c>
      <c r="N51" s="309">
        <v>0</v>
      </c>
      <c r="O51" s="309">
        <v>0</v>
      </c>
      <c r="P51" s="309">
        <v>0</v>
      </c>
      <c r="Q51" s="309">
        <v>0</v>
      </c>
      <c r="R51" s="309">
        <v>0</v>
      </c>
      <c r="S51" s="309">
        <v>0</v>
      </c>
      <c r="T51" s="309">
        <v>0</v>
      </c>
      <c r="U51" s="309">
        <v>0</v>
      </c>
      <c r="V51" s="309">
        <v>0</v>
      </c>
      <c r="W51" s="309">
        <f>AG51</f>
        <v>23216.2</v>
      </c>
      <c r="X51" s="309">
        <v>0</v>
      </c>
      <c r="Y51" s="309">
        <v>0</v>
      </c>
      <c r="Z51" s="309">
        <v>0</v>
      </c>
      <c r="AA51" s="309">
        <v>0</v>
      </c>
      <c r="AB51" s="309">
        <v>0</v>
      </c>
      <c r="AC51" s="309">
        <v>0</v>
      </c>
      <c r="AD51" s="309">
        <v>0</v>
      </c>
      <c r="AE51" s="309">
        <v>0</v>
      </c>
      <c r="AF51" s="309">
        <v>0</v>
      </c>
      <c r="AG51" s="309">
        <f>Assumptions!H24*Assumptions!C61*Assumptions!G48</f>
        <v>23216.2</v>
      </c>
    </row>
    <row r="52" spans="1:33" s="18" customFormat="1">
      <c r="A52" s="56" t="s">
        <v>352</v>
      </c>
      <c r="B52" s="18">
        <f>SUM(B49:B51)</f>
        <v>-34423.001156175917</v>
      </c>
      <c r="C52" s="18">
        <f t="shared" ref="C52:AG52" si="14">SUM(C49:C51)</f>
        <v>5376.4353264828123</v>
      </c>
      <c r="D52" s="18">
        <f t="shared" si="14"/>
        <v>3714.4690828528946</v>
      </c>
      <c r="E52" s="18">
        <f t="shared" si="14"/>
        <v>3635.6545297040248</v>
      </c>
      <c r="F52" s="18">
        <f t="shared" si="14"/>
        <v>3615.7943024432388</v>
      </c>
      <c r="G52" s="18">
        <f t="shared" si="14"/>
        <v>3620.3610358664246</v>
      </c>
      <c r="H52" s="18">
        <f t="shared" si="14"/>
        <v>3599.8437841425148</v>
      </c>
      <c r="I52" s="18">
        <f t="shared" si="14"/>
        <v>2728.2586601394869</v>
      </c>
      <c r="J52" s="18">
        <f t="shared" si="14"/>
        <v>714.57002658382589</v>
      </c>
      <c r="K52" s="18">
        <f t="shared" si="14"/>
        <v>428.90784640143238</v>
      </c>
      <c r="L52" s="18">
        <f t="shared" si="14"/>
        <v>102.79502477077904</v>
      </c>
      <c r="M52" s="18">
        <f t="shared" si="14"/>
        <v>2958.8260543213296</v>
      </c>
      <c r="N52" s="18">
        <f t="shared" si="14"/>
        <v>11460.856316821577</v>
      </c>
      <c r="O52" s="18">
        <f t="shared" si="14"/>
        <v>11418.995264588955</v>
      </c>
      <c r="P52" s="18">
        <f t="shared" si="14"/>
        <v>11383.554265721306</v>
      </c>
      <c r="Q52" s="18">
        <f t="shared" si="14"/>
        <v>11339.525979149104</v>
      </c>
      <c r="R52" s="18">
        <f t="shared" si="14"/>
        <v>10193.573009455544</v>
      </c>
      <c r="S52" s="18">
        <f t="shared" si="14"/>
        <v>9046.4573698874192</v>
      </c>
      <c r="T52" s="18">
        <f t="shared" si="14"/>
        <v>9002.6843330982792</v>
      </c>
      <c r="U52" s="18">
        <f t="shared" si="14"/>
        <v>8957.6810901013559</v>
      </c>
      <c r="V52" s="18">
        <f t="shared" si="14"/>
        <v>8911.4123944083112</v>
      </c>
      <c r="W52" s="18">
        <f t="shared" si="14"/>
        <v>25207.419206852945</v>
      </c>
      <c r="X52" s="18">
        <f t="shared" si="14"/>
        <v>-1953.6862931266896</v>
      </c>
      <c r="Y52" s="18">
        <f t="shared" si="14"/>
        <v>-757.11992183503435</v>
      </c>
      <c r="Z52" s="18">
        <f t="shared" si="14"/>
        <v>-775.57982109449358</v>
      </c>
      <c r="AA52" s="18">
        <f t="shared" si="14"/>
        <v>-799.79228506761137</v>
      </c>
      <c r="AB52" s="18">
        <f t="shared" si="14"/>
        <v>-819.40728252105873</v>
      </c>
      <c r="AC52" s="18">
        <f t="shared" si="14"/>
        <v>-841.35257041515251</v>
      </c>
      <c r="AD52" s="18">
        <f t="shared" si="14"/>
        <v>-861.99773375322184</v>
      </c>
      <c r="AE52" s="18">
        <f t="shared" si="14"/>
        <v>-889.04062391942352</v>
      </c>
      <c r="AF52" s="18">
        <f t="shared" si="14"/>
        <v>-910.97955051747704</v>
      </c>
      <c r="AG52" s="18">
        <f t="shared" si="14"/>
        <v>23041.579627838481</v>
      </c>
    </row>
    <row r="53" spans="1:33">
      <c r="A53" s="13"/>
      <c r="B53" s="447" t="s">
        <v>1</v>
      </c>
      <c r="C53" s="453">
        <f>XIRR(B52:W52,B8:W8)</f>
        <v>0.12208576798439025</v>
      </c>
    </row>
    <row r="54" spans="1:33">
      <c r="A54" s="56"/>
      <c r="B54" s="449"/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354</v>
      </c>
      <c r="B56" s="18">
        <f>-Assumptions!C11*Assumptions!G48</f>
        <v>-34423.001156175917</v>
      </c>
    </row>
    <row r="57" spans="1:33" s="18" customFormat="1">
      <c r="A57" s="56" t="s">
        <v>353</v>
      </c>
      <c r="B57" s="450">
        <f>B21*Assumptions!$G$48</f>
        <v>0</v>
      </c>
      <c r="C57" s="450">
        <f>C21*Assumptions!$G$48</f>
        <v>5376.4353264828123</v>
      </c>
      <c r="D57" s="450">
        <f>D21*Assumptions!$G$48</f>
        <v>3714.4690828528946</v>
      </c>
      <c r="E57" s="450">
        <f>E21*Assumptions!$G$48</f>
        <v>3635.6545297040248</v>
      </c>
      <c r="F57" s="450">
        <f>F21*Assumptions!$G$48</f>
        <v>3615.7943024432388</v>
      </c>
      <c r="G57" s="450">
        <f>G21*Assumptions!$G$48</f>
        <v>3620.3610358664246</v>
      </c>
      <c r="H57" s="450">
        <f>H21*Assumptions!$G$48</f>
        <v>3599.8437841425148</v>
      </c>
      <c r="I57" s="450">
        <f>I21*Assumptions!$G$48</f>
        <v>2728.2586601394869</v>
      </c>
      <c r="J57" s="450">
        <f>J21*Assumptions!$G$48</f>
        <v>714.57002658382589</v>
      </c>
      <c r="K57" s="450">
        <f>K21*Assumptions!$G$48</f>
        <v>428.90784640143238</v>
      </c>
      <c r="L57" s="450">
        <f>L21*Assumptions!$G$48</f>
        <v>102.79502477077904</v>
      </c>
      <c r="M57" s="450">
        <f>M21*Assumptions!$G$48</f>
        <v>2958.8260543213296</v>
      </c>
      <c r="N57" s="450">
        <f>N21*Assumptions!$G$48</f>
        <v>11460.856316821577</v>
      </c>
      <c r="O57" s="450">
        <f>O21*Assumptions!$G$48</f>
        <v>11418.995264588955</v>
      </c>
      <c r="P57" s="450">
        <f>P21*Assumptions!$G$48</f>
        <v>11383.554265721306</v>
      </c>
      <c r="Q57" s="450">
        <f>Q21*Assumptions!$G$48</f>
        <v>11339.525979149104</v>
      </c>
      <c r="R57" s="450">
        <f>R21*Assumptions!$G$48</f>
        <v>10193.573009455544</v>
      </c>
      <c r="S57" s="450">
        <f>S21*Assumptions!$G$48</f>
        <v>9046.4573698874192</v>
      </c>
      <c r="T57" s="450">
        <f>T21*Assumptions!$G$48</f>
        <v>9002.6843330982792</v>
      </c>
      <c r="U57" s="450">
        <f>U21*Assumptions!$G$48</f>
        <v>8957.6810901013559</v>
      </c>
      <c r="V57" s="450">
        <f>V21*Assumptions!$G$48</f>
        <v>8911.4123944083112</v>
      </c>
      <c r="W57" s="450">
        <f>W21*Assumptions!$G$48</f>
        <v>1991.2192068529428</v>
      </c>
      <c r="X57" s="450">
        <f>X21*Assumptions!$G$48</f>
        <v>-1953.6862931266896</v>
      </c>
      <c r="Y57" s="450">
        <f>Y21*Assumptions!$G$48</f>
        <v>-757.11992183503435</v>
      </c>
      <c r="Z57" s="450">
        <f>Z21*Assumptions!$G$48</f>
        <v>-775.57982109449358</v>
      </c>
      <c r="AA57" s="450">
        <f>AA21*Assumptions!$G$48</f>
        <v>-799.79228506761137</v>
      </c>
      <c r="AB57" s="450">
        <f>AB21*Assumptions!$G$48</f>
        <v>-819.40728252105873</v>
      </c>
      <c r="AC57" s="450">
        <f>AC21*Assumptions!$G$48</f>
        <v>-841.35257041515251</v>
      </c>
      <c r="AD57" s="450">
        <f>AD21*Assumptions!$G$48</f>
        <v>-861.99773375322184</v>
      </c>
      <c r="AE57" s="450">
        <f>AE21*Assumptions!$G$48</f>
        <v>-889.04062391942352</v>
      </c>
      <c r="AF57" s="450">
        <f>AF21*Assumptions!$G$48</f>
        <v>-910.97955051747704</v>
      </c>
      <c r="AG57" s="450">
        <f>AG21*Assumptions!$G$48</f>
        <v>-174.62037216152203</v>
      </c>
    </row>
    <row r="58" spans="1:33" s="18" customFormat="1">
      <c r="A58" s="56" t="s">
        <v>121</v>
      </c>
      <c r="B58" s="309">
        <v>0</v>
      </c>
      <c r="C58" s="309">
        <v>0</v>
      </c>
      <c r="D58" s="309">
        <v>0</v>
      </c>
      <c r="E58" s="309">
        <v>0</v>
      </c>
      <c r="F58" s="309">
        <v>0</v>
      </c>
      <c r="G58" s="309">
        <v>0</v>
      </c>
      <c r="H58" s="309">
        <v>0</v>
      </c>
      <c r="I58" s="309">
        <v>0</v>
      </c>
      <c r="J58" s="309">
        <v>0</v>
      </c>
      <c r="K58" s="309">
        <v>0</v>
      </c>
      <c r="L58" s="309">
        <v>0</v>
      </c>
      <c r="M58" s="309">
        <v>0</v>
      </c>
      <c r="N58" s="309">
        <v>0</v>
      </c>
      <c r="O58" s="309">
        <v>0</v>
      </c>
      <c r="P58" s="309">
        <v>0</v>
      </c>
      <c r="Q58" s="309">
        <v>0</v>
      </c>
      <c r="R58" s="309">
        <v>0</v>
      </c>
      <c r="S58" s="309">
        <v>0</v>
      </c>
      <c r="T58" s="309">
        <v>0</v>
      </c>
      <c r="U58" s="309">
        <v>0</v>
      </c>
      <c r="V58" s="309">
        <v>0</v>
      </c>
      <c r="W58" s="309">
        <f>AG58</f>
        <v>46000</v>
      </c>
      <c r="X58" s="309">
        <v>0</v>
      </c>
      <c r="Y58" s="309">
        <v>0</v>
      </c>
      <c r="Z58" s="309">
        <v>0</v>
      </c>
      <c r="AA58" s="309">
        <v>0</v>
      </c>
      <c r="AB58" s="309">
        <v>0</v>
      </c>
      <c r="AC58" s="309">
        <v>0</v>
      </c>
      <c r="AD58" s="309">
        <v>0</v>
      </c>
      <c r="AE58" s="309">
        <v>0</v>
      </c>
      <c r="AF58" s="309">
        <v>0</v>
      </c>
      <c r="AG58" s="309">
        <f>Assumptions!H25*Assumptions!H68*Assumptions!G48</f>
        <v>46000</v>
      </c>
    </row>
    <row r="59" spans="1:33" s="18" customFormat="1" ht="12" customHeight="1">
      <c r="A59" s="56" t="s">
        <v>352</v>
      </c>
      <c r="B59" s="18">
        <f>SUM(B56:B58)</f>
        <v>-34423.001156175917</v>
      </c>
      <c r="C59" s="18">
        <f t="shared" ref="C59:AG59" si="15">SUM(C56:C58)</f>
        <v>5376.4353264828123</v>
      </c>
      <c r="D59" s="18">
        <f t="shared" si="15"/>
        <v>3714.4690828528946</v>
      </c>
      <c r="E59" s="18">
        <f t="shared" si="15"/>
        <v>3635.6545297040248</v>
      </c>
      <c r="F59" s="18">
        <f t="shared" si="15"/>
        <v>3615.7943024432388</v>
      </c>
      <c r="G59" s="18">
        <f t="shared" si="15"/>
        <v>3620.3610358664246</v>
      </c>
      <c r="H59" s="18">
        <f t="shared" si="15"/>
        <v>3599.8437841425148</v>
      </c>
      <c r="I59" s="18">
        <f t="shared" si="15"/>
        <v>2728.2586601394869</v>
      </c>
      <c r="J59" s="18">
        <f t="shared" si="15"/>
        <v>714.57002658382589</v>
      </c>
      <c r="K59" s="18">
        <f t="shared" si="15"/>
        <v>428.90784640143238</v>
      </c>
      <c r="L59" s="18">
        <f t="shared" si="15"/>
        <v>102.79502477077904</v>
      </c>
      <c r="M59" s="18">
        <f t="shared" si="15"/>
        <v>2958.8260543213296</v>
      </c>
      <c r="N59" s="18">
        <f t="shared" si="15"/>
        <v>11460.856316821577</v>
      </c>
      <c r="O59" s="18">
        <f t="shared" si="15"/>
        <v>11418.995264588955</v>
      </c>
      <c r="P59" s="18">
        <f t="shared" si="15"/>
        <v>11383.554265721306</v>
      </c>
      <c r="Q59" s="18">
        <f t="shared" si="15"/>
        <v>11339.525979149104</v>
      </c>
      <c r="R59" s="18">
        <f t="shared" si="15"/>
        <v>10193.573009455544</v>
      </c>
      <c r="S59" s="18">
        <f t="shared" si="15"/>
        <v>9046.4573698874192</v>
      </c>
      <c r="T59" s="18">
        <f t="shared" si="15"/>
        <v>9002.6843330982792</v>
      </c>
      <c r="U59" s="18">
        <f t="shared" si="15"/>
        <v>8957.6810901013559</v>
      </c>
      <c r="V59" s="18">
        <f t="shared" si="15"/>
        <v>8911.4123944083112</v>
      </c>
      <c r="W59" s="18">
        <f t="shared" si="15"/>
        <v>47991.21920685294</v>
      </c>
      <c r="X59" s="18">
        <f t="shared" si="15"/>
        <v>-1953.6862931266896</v>
      </c>
      <c r="Y59" s="18">
        <f t="shared" si="15"/>
        <v>-757.11992183503435</v>
      </c>
      <c r="Z59" s="18">
        <f t="shared" si="15"/>
        <v>-775.57982109449358</v>
      </c>
      <c r="AA59" s="18">
        <f t="shared" si="15"/>
        <v>-799.79228506761137</v>
      </c>
      <c r="AB59" s="18">
        <f t="shared" si="15"/>
        <v>-819.40728252105873</v>
      </c>
      <c r="AC59" s="18">
        <f t="shared" si="15"/>
        <v>-841.35257041515251</v>
      </c>
      <c r="AD59" s="18">
        <f t="shared" si="15"/>
        <v>-861.99773375322184</v>
      </c>
      <c r="AE59" s="18">
        <f t="shared" si="15"/>
        <v>-889.04062391942352</v>
      </c>
      <c r="AF59" s="18">
        <f t="shared" si="15"/>
        <v>-910.97955051747704</v>
      </c>
      <c r="AG59" s="18">
        <f t="shared" si="15"/>
        <v>45825.379627838476</v>
      </c>
    </row>
    <row r="60" spans="1:33">
      <c r="A60" s="13"/>
      <c r="B60" s="447" t="s">
        <v>1</v>
      </c>
      <c r="C60" s="453">
        <f>XIRR(B59:W59,B8:W8)</f>
        <v>0.12776338458061215</v>
      </c>
    </row>
    <row r="61" spans="1:33">
      <c r="A61" s="56"/>
      <c r="B61" s="449"/>
    </row>
    <row r="62" spans="1:33">
      <c r="A62" s="45"/>
    </row>
  </sheetData>
  <pageMargins left="0.75" right="0.75" top="1" bottom="1" header="0.5" footer="0.5"/>
  <pageSetup scale="64" fitToWidth="2" orientation="landscape" verticalDpi="300" r:id="rId1"/>
  <headerFooter alignWithMargins="0"/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zoomScale="75" zoomScaleNormal="75" workbookViewId="0">
      <selection activeCell="D30" sqref="D30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6" t="str">
        <f>Assumptions!A3</f>
        <v>PROJECT NAME: UAE-Lowell</v>
      </c>
    </row>
    <row r="3" spans="1:63" ht="12" customHeight="1">
      <c r="B3" s="26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</row>
    <row r="4" spans="1:63" ht="18.75">
      <c r="B4" s="170" t="s">
        <v>396</v>
      </c>
      <c r="C4" s="67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</row>
    <row r="5" spans="1:63" ht="18.75">
      <c r="B5" s="208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</row>
    <row r="6" spans="1:63">
      <c r="B6" s="138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</row>
    <row r="7" spans="1:63">
      <c r="B7" s="137"/>
      <c r="C7" s="97"/>
      <c r="D7" s="213">
        <f>(Assumptions!H18/12)</f>
        <v>0.66666666666666663</v>
      </c>
      <c r="E7" s="213">
        <f>D7+1</f>
        <v>1.6666666666666665</v>
      </c>
      <c r="F7" s="213">
        <f t="shared" ref="F7:Y7" si="0">E7+1</f>
        <v>2.6666666666666665</v>
      </c>
      <c r="G7" s="213">
        <f t="shared" si="0"/>
        <v>3.6666666666666665</v>
      </c>
      <c r="H7" s="213">
        <f t="shared" si="0"/>
        <v>4.6666666666666661</v>
      </c>
      <c r="I7" s="213">
        <f t="shared" si="0"/>
        <v>5.6666666666666661</v>
      </c>
      <c r="J7" s="213">
        <f t="shared" si="0"/>
        <v>6.6666666666666661</v>
      </c>
      <c r="K7" s="213">
        <f t="shared" si="0"/>
        <v>7.6666666666666661</v>
      </c>
      <c r="L7" s="213">
        <f t="shared" si="0"/>
        <v>8.6666666666666661</v>
      </c>
      <c r="M7" s="213">
        <f t="shared" si="0"/>
        <v>9.6666666666666661</v>
      </c>
      <c r="N7" s="213">
        <f t="shared" si="0"/>
        <v>10.666666666666666</v>
      </c>
      <c r="O7" s="213">
        <f t="shared" si="0"/>
        <v>11.666666666666666</v>
      </c>
      <c r="P7" s="213">
        <f t="shared" si="0"/>
        <v>12.666666666666666</v>
      </c>
      <c r="Q7" s="213">
        <f t="shared" si="0"/>
        <v>13.666666666666666</v>
      </c>
      <c r="R7" s="213">
        <f t="shared" si="0"/>
        <v>14.666666666666666</v>
      </c>
      <c r="S7" s="213">
        <f t="shared" si="0"/>
        <v>15.666666666666666</v>
      </c>
      <c r="T7" s="213">
        <f t="shared" si="0"/>
        <v>16.666666666666664</v>
      </c>
      <c r="U7" s="213">
        <f t="shared" si="0"/>
        <v>17.666666666666664</v>
      </c>
      <c r="V7" s="213">
        <f t="shared" si="0"/>
        <v>18.666666666666664</v>
      </c>
      <c r="W7" s="213">
        <f t="shared" si="0"/>
        <v>19.666666666666664</v>
      </c>
      <c r="X7" s="213">
        <f t="shared" si="0"/>
        <v>20.666666666666664</v>
      </c>
      <c r="Y7" s="213">
        <f t="shared" si="0"/>
        <v>21.666666666666664</v>
      </c>
      <c r="Z7" s="213">
        <f t="shared" ref="Z7:AG7" si="1">Y7+1</f>
        <v>22.666666666666664</v>
      </c>
      <c r="AA7" s="213">
        <f t="shared" si="1"/>
        <v>23.666666666666664</v>
      </c>
      <c r="AB7" s="213">
        <f t="shared" si="1"/>
        <v>24.666666666666664</v>
      </c>
      <c r="AC7" s="213">
        <f t="shared" si="1"/>
        <v>25.666666666666664</v>
      </c>
      <c r="AD7" s="213">
        <f t="shared" si="1"/>
        <v>26.666666666666664</v>
      </c>
      <c r="AE7" s="213">
        <f t="shared" si="1"/>
        <v>27.666666666666664</v>
      </c>
      <c r="AF7" s="213">
        <f t="shared" si="1"/>
        <v>28.666666666666664</v>
      </c>
      <c r="AG7" s="213">
        <f t="shared" si="1"/>
        <v>29.666666666666664</v>
      </c>
      <c r="AH7" s="213">
        <f>AG7+1</f>
        <v>30.666666666666664</v>
      </c>
    </row>
    <row r="8" spans="1:63" ht="16.5" thickBot="1">
      <c r="B8" s="210"/>
      <c r="C8" s="210"/>
      <c r="D8" s="513">
        <f>YEAR(Assumptions!H17)</f>
        <v>2001</v>
      </c>
      <c r="E8" s="513">
        <f t="shared" ref="E8:X8" si="2">D8+1</f>
        <v>2002</v>
      </c>
      <c r="F8" s="513">
        <f t="shared" si="2"/>
        <v>2003</v>
      </c>
      <c r="G8" s="513">
        <f t="shared" si="2"/>
        <v>2004</v>
      </c>
      <c r="H8" s="513">
        <f t="shared" si="2"/>
        <v>2005</v>
      </c>
      <c r="I8" s="513">
        <f t="shared" si="2"/>
        <v>2006</v>
      </c>
      <c r="J8" s="513">
        <f t="shared" si="2"/>
        <v>2007</v>
      </c>
      <c r="K8" s="513">
        <f t="shared" si="2"/>
        <v>2008</v>
      </c>
      <c r="L8" s="513">
        <f t="shared" si="2"/>
        <v>2009</v>
      </c>
      <c r="M8" s="513">
        <f t="shared" si="2"/>
        <v>2010</v>
      </c>
      <c r="N8" s="513">
        <f t="shared" si="2"/>
        <v>2011</v>
      </c>
      <c r="O8" s="513">
        <f t="shared" si="2"/>
        <v>2012</v>
      </c>
      <c r="P8" s="513">
        <f t="shared" si="2"/>
        <v>2013</v>
      </c>
      <c r="Q8" s="513">
        <f t="shared" si="2"/>
        <v>2014</v>
      </c>
      <c r="R8" s="513">
        <f t="shared" si="2"/>
        <v>2015</v>
      </c>
      <c r="S8" s="513">
        <f t="shared" si="2"/>
        <v>2016</v>
      </c>
      <c r="T8" s="513">
        <f t="shared" si="2"/>
        <v>2017</v>
      </c>
      <c r="U8" s="513">
        <f t="shared" si="2"/>
        <v>2018</v>
      </c>
      <c r="V8" s="513">
        <f t="shared" si="2"/>
        <v>2019</v>
      </c>
      <c r="W8" s="513">
        <f t="shared" si="2"/>
        <v>2020</v>
      </c>
      <c r="X8" s="513">
        <f t="shared" si="2"/>
        <v>2021</v>
      </c>
      <c r="Y8" s="513">
        <f>X8+1</f>
        <v>2022</v>
      </c>
      <c r="Z8" s="513">
        <f t="shared" ref="Z8:AG8" si="3">Y8+1</f>
        <v>2023</v>
      </c>
      <c r="AA8" s="513">
        <f t="shared" si="3"/>
        <v>2024</v>
      </c>
      <c r="AB8" s="513">
        <f t="shared" si="3"/>
        <v>2025</v>
      </c>
      <c r="AC8" s="513">
        <f t="shared" si="3"/>
        <v>2026</v>
      </c>
      <c r="AD8" s="513">
        <f t="shared" si="3"/>
        <v>2027</v>
      </c>
      <c r="AE8" s="513">
        <f t="shared" si="3"/>
        <v>2028</v>
      </c>
      <c r="AF8" s="513">
        <f t="shared" si="3"/>
        <v>2029</v>
      </c>
      <c r="AG8" s="513">
        <f t="shared" si="3"/>
        <v>2030</v>
      </c>
      <c r="AH8" s="513">
        <f>AG8+1</f>
        <v>2031</v>
      </c>
    </row>
    <row r="9" spans="1:63">
      <c r="B9" s="97"/>
      <c r="C9" s="97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</row>
    <row r="10" spans="1:63">
      <c r="A10" s="12"/>
      <c r="B10" s="490" t="s">
        <v>409</v>
      </c>
      <c r="C10" s="13"/>
      <c r="D10" s="357"/>
      <c r="E10" s="357"/>
      <c r="F10" s="357"/>
      <c r="G10" s="357"/>
      <c r="H10" s="357"/>
      <c r="I10" s="357"/>
      <c r="J10" s="357"/>
      <c r="K10" s="357"/>
      <c r="L10" s="357"/>
      <c r="M10" s="357"/>
      <c r="N10" s="357"/>
      <c r="O10" s="357"/>
      <c r="P10" s="357"/>
      <c r="Q10" s="357"/>
      <c r="R10" s="357"/>
      <c r="S10" s="357"/>
      <c r="T10" s="357"/>
      <c r="U10" s="357"/>
      <c r="V10" s="357"/>
      <c r="W10" s="357"/>
      <c r="X10" s="357"/>
      <c r="Y10" s="357"/>
      <c r="Z10" s="357"/>
      <c r="AA10" s="357"/>
      <c r="AB10" s="357"/>
      <c r="AC10" s="357"/>
      <c r="AD10" s="357"/>
      <c r="AE10" s="357"/>
      <c r="AF10" s="357"/>
      <c r="AG10" s="357"/>
      <c r="AH10" s="357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91"/>
      <c r="C11" s="13"/>
      <c r="D11" s="357"/>
      <c r="E11" s="357"/>
      <c r="F11" s="357"/>
      <c r="G11" s="357"/>
      <c r="H11" s="357"/>
      <c r="I11" s="357"/>
      <c r="J11" s="357"/>
      <c r="K11" s="357"/>
      <c r="L11" s="357"/>
      <c r="M11" s="357"/>
      <c r="N11" s="357"/>
      <c r="O11" s="357"/>
      <c r="P11" s="357"/>
      <c r="Q11" s="357"/>
      <c r="R11" s="357"/>
      <c r="S11" s="357"/>
      <c r="T11" s="357"/>
      <c r="U11" s="357"/>
      <c r="V11" s="357"/>
      <c r="W11" s="357"/>
      <c r="X11" s="357"/>
      <c r="Y11" s="357"/>
      <c r="Z11" s="357"/>
      <c r="AA11" s="357"/>
      <c r="AB11" s="357"/>
      <c r="AC11" s="357"/>
      <c r="AD11" s="357"/>
      <c r="AE11" s="357"/>
      <c r="AF11" s="357"/>
      <c r="AG11" s="357"/>
      <c r="AH11" s="357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8" t="s">
        <v>299</v>
      </c>
      <c r="C12" s="13"/>
      <c r="D12" s="492">
        <f>Assumptions!$H$54</f>
        <v>6.4169275458095569</v>
      </c>
      <c r="E12" s="492">
        <f>Assumptions!$H$54</f>
        <v>6.4169275458095569</v>
      </c>
      <c r="F12" s="492">
        <f>Assumptions!$H$54</f>
        <v>6.4169275458095569</v>
      </c>
      <c r="G12" s="492">
        <f>Assumptions!$H$54</f>
        <v>6.4169275458095569</v>
      </c>
      <c r="H12" s="492">
        <f>Assumptions!$H$54</f>
        <v>6.4169275458095569</v>
      </c>
      <c r="I12" s="492">
        <f>Assumptions!$H$54</f>
        <v>6.4169275458095569</v>
      </c>
      <c r="J12" s="492">
        <f>Assumptions!$H$54</f>
        <v>6.4169275458095569</v>
      </c>
      <c r="K12" s="492">
        <f>Assumptions!$H$54</f>
        <v>6.4169275458095569</v>
      </c>
      <c r="L12" s="492">
        <f>Assumptions!$H$54</f>
        <v>6.4169275458095569</v>
      </c>
      <c r="M12" s="492">
        <f>Assumptions!$H$54</f>
        <v>6.4169275458095569</v>
      </c>
      <c r="N12" s="492">
        <f>Assumptions!$H$54</f>
        <v>6.4169275458095569</v>
      </c>
      <c r="O12" s="492">
        <f>Assumptions!$H$54</f>
        <v>6.4169275458095569</v>
      </c>
      <c r="P12" s="492">
        <f>Assumptions!$H$54</f>
        <v>6.4169275458095569</v>
      </c>
      <c r="Q12" s="492">
        <f>Assumptions!$H$54</f>
        <v>6.4169275458095569</v>
      </c>
      <c r="R12" s="492">
        <f>Assumptions!$H$54</f>
        <v>6.4169275458095569</v>
      </c>
      <c r="S12" s="492">
        <f>Assumptions!$H$54</f>
        <v>6.4169275458095569</v>
      </c>
      <c r="T12" s="492">
        <f>Assumptions!$H$54</f>
        <v>6.4169275458095569</v>
      </c>
      <c r="U12" s="492">
        <f>Assumptions!$H$54</f>
        <v>6.4169275458095569</v>
      </c>
      <c r="V12" s="492">
        <f>Assumptions!$H$54</f>
        <v>6.4169275458095569</v>
      </c>
      <c r="W12" s="492">
        <f>Assumptions!$H$54</f>
        <v>6.4169275458095569</v>
      </c>
      <c r="X12" s="492">
        <f>Assumptions!$H$54</f>
        <v>6.4169275458095569</v>
      </c>
      <c r="Y12" s="492">
        <f>Assumptions!$H$54</f>
        <v>6.4169275458095569</v>
      </c>
      <c r="Z12" s="492">
        <f>Assumptions!$H$54</f>
        <v>6.4169275458095569</v>
      </c>
      <c r="AA12" s="492">
        <f>Assumptions!$H$54</f>
        <v>6.4169275458095569</v>
      </c>
      <c r="AB12" s="492">
        <f>Assumptions!$H$54</f>
        <v>6.4169275458095569</v>
      </c>
      <c r="AC12" s="492">
        <f>Assumptions!$H$54</f>
        <v>6.4169275458095569</v>
      </c>
      <c r="AD12" s="492">
        <f>Assumptions!$H$54</f>
        <v>6.4169275458095569</v>
      </c>
      <c r="AE12" s="492">
        <f>Assumptions!$H$54</f>
        <v>6.4169275458095569</v>
      </c>
      <c r="AF12" s="492">
        <f>Assumptions!$H$54</f>
        <v>6.4169275458095569</v>
      </c>
      <c r="AG12" s="492">
        <f>Assumptions!$H$54</f>
        <v>6.4169275458095569</v>
      </c>
      <c r="AH12" s="492">
        <f>Assumptions!$H$54</f>
        <v>6.4169275458095569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8"/>
      <c r="C13" s="13"/>
      <c r="D13" s="357"/>
      <c r="E13" s="357"/>
      <c r="F13" s="357"/>
      <c r="G13" s="357"/>
      <c r="H13" s="357"/>
      <c r="I13" s="357"/>
      <c r="J13" s="357"/>
      <c r="K13" s="357"/>
      <c r="L13" s="357"/>
      <c r="M13" s="357"/>
      <c r="N13" s="357"/>
      <c r="O13" s="357"/>
      <c r="P13" s="357"/>
      <c r="Q13" s="357"/>
      <c r="R13" s="357"/>
      <c r="S13" s="357"/>
      <c r="T13" s="357"/>
      <c r="U13" s="357"/>
      <c r="V13" s="357"/>
      <c r="W13" s="357"/>
      <c r="X13" s="357"/>
      <c r="Y13" s="357"/>
      <c r="Z13" s="357"/>
      <c r="AA13" s="357"/>
      <c r="AB13" s="357"/>
      <c r="AC13" s="357"/>
      <c r="AD13" s="357"/>
      <c r="AE13" s="357"/>
      <c r="AF13" s="357"/>
      <c r="AG13" s="357"/>
      <c r="AH13" s="357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8" t="s">
        <v>308</v>
      </c>
      <c r="C14" s="13"/>
      <c r="D14" s="357"/>
      <c r="E14" s="357"/>
      <c r="F14" s="357"/>
      <c r="G14" s="357"/>
      <c r="H14" s="357"/>
      <c r="I14" s="357"/>
      <c r="J14" s="357"/>
      <c r="K14" s="357"/>
      <c r="L14" s="357"/>
      <c r="M14" s="357"/>
      <c r="N14" s="357"/>
      <c r="O14" s="357"/>
      <c r="P14" s="357"/>
      <c r="Q14" s="357"/>
      <c r="R14" s="357"/>
      <c r="S14" s="357"/>
      <c r="T14" s="357"/>
      <c r="U14" s="357"/>
      <c r="V14" s="357"/>
      <c r="W14" s="357"/>
      <c r="X14" s="357"/>
      <c r="Y14" s="357"/>
      <c r="Z14" s="357"/>
      <c r="AA14" s="357"/>
      <c r="AB14" s="357"/>
      <c r="AC14" s="357"/>
      <c r="AD14" s="357"/>
      <c r="AE14" s="357"/>
      <c r="AF14" s="357"/>
      <c r="AG14" s="357"/>
      <c r="AH14" s="357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238</v>
      </c>
      <c r="C15" s="12"/>
      <c r="D15" s="493">
        <v>5.4933333333333332</v>
      </c>
      <c r="E15" s="493">
        <v>5.6581333333333328</v>
      </c>
      <c r="F15" s="493">
        <v>5.6457561666666676</v>
      </c>
      <c r="G15" s="493">
        <v>5.7213364508333333</v>
      </c>
      <c r="H15" s="493">
        <v>5.6997641986416658</v>
      </c>
      <c r="I15" s="493">
        <v>5.7712527665568336</v>
      </c>
      <c r="J15" s="493">
        <v>5.8419008607681322</v>
      </c>
      <c r="K15" s="493">
        <v>5.9115937131422074</v>
      </c>
      <c r="L15" s="493">
        <v>6.088941524536474</v>
      </c>
      <c r="M15" s="493">
        <v>6.1596167386605574</v>
      </c>
      <c r="N15" s="493">
        <v>6.3444052408203753</v>
      </c>
      <c r="O15" s="493">
        <v>6.4159239908078041</v>
      </c>
      <c r="P15" s="493">
        <v>6.6084017105320383</v>
      </c>
      <c r="Q15" s="493">
        <v>6.680604618110074</v>
      </c>
      <c r="R15" s="493">
        <v>6.7511921386033125</v>
      </c>
      <c r="S15" s="493">
        <v>6.8200023661698452</v>
      </c>
      <c r="T15" s="493">
        <v>6.8868651344656273</v>
      </c>
      <c r="U15" s="493">
        <v>6.951601666729605</v>
      </c>
      <c r="V15" s="493">
        <v>7.014024212308402</v>
      </c>
      <c r="W15" s="493">
        <v>7.0739356691218687</v>
      </c>
      <c r="X15" s="493">
        <v>7.1311291915530655</v>
      </c>
      <c r="Y15" s="493">
        <v>7.1853877832279265</v>
      </c>
      <c r="Z15" s="493">
        <v>7.2396463749027831</v>
      </c>
      <c r="AA15" s="493">
        <v>7.2939049665776494</v>
      </c>
      <c r="AB15" s="493">
        <v>7.3481635582525087</v>
      </c>
      <c r="AC15" s="493">
        <v>7.402422149927367</v>
      </c>
      <c r="AD15" s="493">
        <v>7.4566807416022245</v>
      </c>
      <c r="AE15" s="493">
        <v>7.5109393332770908</v>
      </c>
      <c r="AF15" s="493">
        <v>7.5651979249519501</v>
      </c>
      <c r="AG15" s="493">
        <v>7.6194565166268085</v>
      </c>
      <c r="AH15" s="493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239</v>
      </c>
      <c r="C16" s="12"/>
      <c r="D16" s="493">
        <v>4.3775000000000004</v>
      </c>
      <c r="E16" s="493">
        <v>4.5088249999999999</v>
      </c>
      <c r="F16" s="493">
        <v>4.7351503333333334</v>
      </c>
      <c r="G16" s="493">
        <v>4.8772048433333328</v>
      </c>
      <c r="H16" s="493">
        <v>5.023520988633333</v>
      </c>
      <c r="I16" s="493">
        <v>5.1742266182923329</v>
      </c>
      <c r="J16" s="493">
        <v>5.3294534168411039</v>
      </c>
      <c r="K16" s="493">
        <v>5.2782086724483994</v>
      </c>
      <c r="L16" s="493">
        <v>5.2190927353169778</v>
      </c>
      <c r="M16" s="493">
        <v>5.0396864225404565</v>
      </c>
      <c r="N16" s="493">
        <v>4.9601713700959298</v>
      </c>
      <c r="O16" s="493">
        <v>4.8713496967244438</v>
      </c>
      <c r="P16" s="493">
        <v>4.8951123781718797</v>
      </c>
      <c r="Q16" s="493">
        <v>4.9159166057791106</v>
      </c>
      <c r="R16" s="493">
        <v>4.8037328678523572</v>
      </c>
      <c r="S16" s="493">
        <v>4.8141193172963614</v>
      </c>
      <c r="T16" s="493">
        <v>4.8208055941259396</v>
      </c>
      <c r="U16" s="493">
        <v>4.9654297619497179</v>
      </c>
      <c r="V16" s="493">
        <v>5.114392654808209</v>
      </c>
      <c r="W16" s="493">
        <v>5.117315164896671</v>
      </c>
      <c r="X16" s="493">
        <v>5.27083461984357</v>
      </c>
      <c r="Y16" s="493">
        <v>5.4289596584388775</v>
      </c>
      <c r="Z16" s="493">
        <v>5.5870846970341832</v>
      </c>
      <c r="AA16" s="493">
        <v>5.7452097356294916</v>
      </c>
      <c r="AB16" s="493">
        <v>5.9033347742247999</v>
      </c>
      <c r="AC16" s="493">
        <v>6.0614598128201083</v>
      </c>
      <c r="AD16" s="493">
        <v>6.2195848514154086</v>
      </c>
      <c r="AE16" s="493">
        <v>6.377709890010717</v>
      </c>
      <c r="AF16" s="493">
        <v>6.5358349286060253</v>
      </c>
      <c r="AG16" s="493">
        <v>6.6939599672013337</v>
      </c>
      <c r="AH16" s="493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236</v>
      </c>
      <c r="C17" s="12"/>
      <c r="D17" s="494">
        <v>0</v>
      </c>
      <c r="E17" s="494">
        <v>0</v>
      </c>
      <c r="F17" s="494">
        <v>0</v>
      </c>
      <c r="G17" s="494">
        <v>0</v>
      </c>
      <c r="H17" s="494">
        <v>0</v>
      </c>
      <c r="I17" s="494">
        <v>0</v>
      </c>
      <c r="J17" s="494">
        <v>0</v>
      </c>
      <c r="K17" s="494">
        <v>0</v>
      </c>
      <c r="L17" s="494">
        <v>0</v>
      </c>
      <c r="M17" s="494">
        <v>0</v>
      </c>
      <c r="N17" s="494">
        <v>0</v>
      </c>
      <c r="O17" s="494">
        <v>0</v>
      </c>
      <c r="P17" s="494">
        <v>0</v>
      </c>
      <c r="Q17" s="494">
        <v>0</v>
      </c>
      <c r="R17" s="494">
        <v>0</v>
      </c>
      <c r="S17" s="494">
        <v>0</v>
      </c>
      <c r="T17" s="494">
        <v>0</v>
      </c>
      <c r="U17" s="494">
        <v>0</v>
      </c>
      <c r="V17" s="494">
        <v>0</v>
      </c>
      <c r="W17" s="494">
        <v>0</v>
      </c>
      <c r="X17" s="494">
        <v>0</v>
      </c>
      <c r="Y17" s="494">
        <v>0</v>
      </c>
      <c r="Z17" s="494">
        <v>0</v>
      </c>
      <c r="AA17" s="494">
        <v>0</v>
      </c>
      <c r="AB17" s="494">
        <v>0</v>
      </c>
      <c r="AC17" s="494">
        <v>0</v>
      </c>
      <c r="AD17" s="494">
        <v>0</v>
      </c>
      <c r="AE17" s="494">
        <v>0</v>
      </c>
      <c r="AF17" s="494">
        <v>0</v>
      </c>
      <c r="AG17" s="494">
        <v>0</v>
      </c>
      <c r="AH17" s="494">
        <v>0</v>
      </c>
      <c r="AI17" s="495"/>
      <c r="AJ17" s="495"/>
      <c r="AK17" s="495"/>
      <c r="AL17" s="495"/>
      <c r="AM17" s="495"/>
      <c r="AN17" s="495"/>
      <c r="AO17" s="495"/>
      <c r="AP17" s="495"/>
      <c r="AQ17" s="495"/>
      <c r="AR17" s="495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37</v>
      </c>
      <c r="C18" s="12"/>
      <c r="D18" s="496">
        <v>0</v>
      </c>
      <c r="E18" s="496">
        <v>0</v>
      </c>
      <c r="F18" s="496">
        <v>0</v>
      </c>
      <c r="G18" s="496">
        <v>0</v>
      </c>
      <c r="H18" s="496">
        <v>0</v>
      </c>
      <c r="I18" s="496">
        <v>0</v>
      </c>
      <c r="J18" s="496">
        <v>0</v>
      </c>
      <c r="K18" s="496">
        <v>0</v>
      </c>
      <c r="L18" s="496">
        <v>0</v>
      </c>
      <c r="M18" s="496">
        <v>0</v>
      </c>
      <c r="N18" s="496">
        <v>0</v>
      </c>
      <c r="O18" s="496">
        <v>0</v>
      </c>
      <c r="P18" s="496">
        <v>0</v>
      </c>
      <c r="Q18" s="496">
        <v>0</v>
      </c>
      <c r="R18" s="496">
        <v>0</v>
      </c>
      <c r="S18" s="496">
        <v>0</v>
      </c>
      <c r="T18" s="496">
        <v>0</v>
      </c>
      <c r="U18" s="496">
        <v>0</v>
      </c>
      <c r="V18" s="496">
        <v>0</v>
      </c>
      <c r="W18" s="496">
        <v>0</v>
      </c>
      <c r="X18" s="496">
        <v>0</v>
      </c>
      <c r="Y18" s="496">
        <v>0</v>
      </c>
      <c r="Z18" s="496">
        <v>0</v>
      </c>
      <c r="AA18" s="496">
        <v>0</v>
      </c>
      <c r="AB18" s="496">
        <v>0</v>
      </c>
      <c r="AC18" s="496">
        <v>0</v>
      </c>
      <c r="AD18" s="496">
        <v>0</v>
      </c>
      <c r="AE18" s="496">
        <v>0</v>
      </c>
      <c r="AF18" s="496">
        <v>0</v>
      </c>
      <c r="AG18" s="496">
        <v>0</v>
      </c>
      <c r="AH18" s="496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7">
        <v>1</v>
      </c>
      <c r="B19" s="13" t="s">
        <v>118</v>
      </c>
      <c r="C19" s="498"/>
      <c r="D19" s="499">
        <f t="shared" ref="D19:AH19" si="4">CHOOSE($A$19,D15,D16,D17,D18)</f>
        <v>5.4933333333333332</v>
      </c>
      <c r="E19" s="499">
        <f t="shared" si="4"/>
        <v>5.6581333333333328</v>
      </c>
      <c r="F19" s="499">
        <f t="shared" si="4"/>
        <v>5.6457561666666676</v>
      </c>
      <c r="G19" s="499">
        <f t="shared" si="4"/>
        <v>5.7213364508333333</v>
      </c>
      <c r="H19" s="499">
        <f t="shared" si="4"/>
        <v>5.6997641986416658</v>
      </c>
      <c r="I19" s="499">
        <f t="shared" si="4"/>
        <v>5.7712527665568336</v>
      </c>
      <c r="J19" s="499">
        <f t="shared" si="4"/>
        <v>5.8419008607681322</v>
      </c>
      <c r="K19" s="499">
        <f t="shared" si="4"/>
        <v>5.9115937131422074</v>
      </c>
      <c r="L19" s="499">
        <f t="shared" si="4"/>
        <v>6.088941524536474</v>
      </c>
      <c r="M19" s="499">
        <f t="shared" si="4"/>
        <v>6.1596167386605574</v>
      </c>
      <c r="N19" s="499">
        <f t="shared" si="4"/>
        <v>6.3444052408203753</v>
      </c>
      <c r="O19" s="499">
        <f t="shared" si="4"/>
        <v>6.4159239908078041</v>
      </c>
      <c r="P19" s="499">
        <f t="shared" si="4"/>
        <v>6.6084017105320383</v>
      </c>
      <c r="Q19" s="499">
        <f t="shared" si="4"/>
        <v>6.680604618110074</v>
      </c>
      <c r="R19" s="499">
        <f t="shared" si="4"/>
        <v>6.7511921386033125</v>
      </c>
      <c r="S19" s="499">
        <f t="shared" si="4"/>
        <v>6.8200023661698452</v>
      </c>
      <c r="T19" s="499">
        <f t="shared" si="4"/>
        <v>6.8868651344656273</v>
      </c>
      <c r="U19" s="499">
        <f t="shared" si="4"/>
        <v>6.951601666729605</v>
      </c>
      <c r="V19" s="499">
        <f t="shared" si="4"/>
        <v>7.014024212308402</v>
      </c>
      <c r="W19" s="499">
        <f t="shared" si="4"/>
        <v>7.0739356691218687</v>
      </c>
      <c r="X19" s="499">
        <f t="shared" si="4"/>
        <v>7.1311291915530655</v>
      </c>
      <c r="Y19" s="499">
        <f t="shared" si="4"/>
        <v>7.1853877832279265</v>
      </c>
      <c r="Z19" s="499">
        <f t="shared" si="4"/>
        <v>7.2396463749027831</v>
      </c>
      <c r="AA19" s="499">
        <f t="shared" si="4"/>
        <v>7.2939049665776494</v>
      </c>
      <c r="AB19" s="499">
        <f t="shared" si="4"/>
        <v>7.3481635582525087</v>
      </c>
      <c r="AC19" s="499">
        <f t="shared" si="4"/>
        <v>7.402422149927367</v>
      </c>
      <c r="AD19" s="499">
        <f t="shared" si="4"/>
        <v>7.4566807416022245</v>
      </c>
      <c r="AE19" s="499">
        <f t="shared" si="4"/>
        <v>7.5109393332770908</v>
      </c>
      <c r="AF19" s="499">
        <f t="shared" si="4"/>
        <v>7.5651979249519501</v>
      </c>
      <c r="AG19" s="499">
        <f t="shared" si="4"/>
        <v>7.6194565166268085</v>
      </c>
      <c r="AH19" s="499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8"/>
      <c r="D20" s="500"/>
      <c r="E20" s="500"/>
      <c r="F20" s="500"/>
      <c r="G20" s="500"/>
      <c r="H20" s="500"/>
      <c r="I20" s="500"/>
      <c r="J20" s="500"/>
      <c r="K20" s="500"/>
      <c r="L20" s="500"/>
      <c r="M20" s="500"/>
      <c r="N20" s="500"/>
      <c r="O20" s="500"/>
      <c r="P20" s="500"/>
      <c r="Q20" s="500"/>
      <c r="R20" s="500"/>
      <c r="S20" s="500"/>
      <c r="T20" s="500"/>
      <c r="U20" s="500"/>
      <c r="V20" s="500"/>
      <c r="W20" s="500"/>
      <c r="X20" s="500"/>
      <c r="Y20" s="501"/>
      <c r="Z20" s="502"/>
      <c r="AA20" s="50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302</v>
      </c>
      <c r="C21" s="498"/>
      <c r="D21" s="503">
        <f>IF(AND(C7&lt;$D$7+Assumptions!$H$53,D7&lt;$D$7+Assumptions!$H$53),D12,IF(AND(C7&lt;$D$7+Assumptions!$H$53,D7&gt;$D$7+Assumptions!$H$53),D12*(1-$D$7)+D19*$D$7,D19))</f>
        <v>6.4169275458095569</v>
      </c>
      <c r="E21" s="504">
        <f>IF(AND(D7&lt;$D$7+Assumptions!$H$53,E7&lt;$D$7+Assumptions!$H$53),E12,IF(AND(D7&lt;$D$7+Assumptions!$H$53,E7&gt;=$D$7+Assumptions!$H$53),E12*(1-$D$7)+E19*$D$7,E19))</f>
        <v>6.4169275458095569</v>
      </c>
      <c r="F21" s="504">
        <f>IF(AND(E7&lt;$D$7+Assumptions!$H$53,F7&lt;$D$7+Assumptions!$H$53),F12,IF(AND(E7&lt;$D$7+Assumptions!$H$53,F7&gt;=$D$7+Assumptions!$H$53),F12*(1-$D$7)+F19*$D$7,F19))</f>
        <v>6.4169275458095569</v>
      </c>
      <c r="G21" s="504">
        <f>IF(AND(F7&lt;$D$7+Assumptions!$H$53,G7&lt;$D$7+Assumptions!$H$53),G12,IF(AND(F7&lt;$D$7+Assumptions!$H$53,G7&gt;=$D$7+Assumptions!$H$53),G12*(1-$D$7)+G19*$D$7,G19))</f>
        <v>6.4169275458095569</v>
      </c>
      <c r="H21" s="504">
        <f>IF(AND(G7&lt;$D$7+Assumptions!$H$53,H7&lt;$D$7+Assumptions!$H$53),H12,IF(AND(G7&lt;$D$7+Assumptions!$H$53,H7&gt;=$D$7+Assumptions!$H$53),H12*(1-$D$7)+H19*$D$7,H19))</f>
        <v>6.4169275458095569</v>
      </c>
      <c r="I21" s="504">
        <f>IF(AND(H7&lt;$D$7+Assumptions!$H$53,I7&lt;$D$7+Assumptions!$H$53),I12,IF(AND(H7&lt;$D$7+Assumptions!$H$53,I7&gt;=$D$7+Assumptions!$H$53),I12*(1-$D$7)+I19*$D$7,I19))</f>
        <v>6.4169275458095569</v>
      </c>
      <c r="J21" s="504">
        <f>IF(AND(I7&lt;$D$7+Assumptions!$H$53,J7&lt;$D$7+Assumptions!$H$53),J12,IF(AND(I7&lt;$D$7+Assumptions!$H$53,J7&gt;=$D$7+Assumptions!$H$53),J12*(1-$D$7)+J19*$D$7,J19))</f>
        <v>6.4169275458095569</v>
      </c>
      <c r="K21" s="504">
        <f>IF(AND(J7&lt;$D$7+Assumptions!$H$53,K7&lt;$D$7+Assumptions!$H$53),K12,IF(AND(J7&lt;$D$7+Assumptions!$H$53,K7&gt;=$D$7+Assumptions!$H$53),K12*(1-$D$7)+K19*$D$7,K19))</f>
        <v>6.4169275458095569</v>
      </c>
      <c r="L21" s="504">
        <f>IF(AND(K7&lt;$D$7+Assumptions!$H$53,L7&lt;$D$7+Assumptions!$H$53),L12,IF(AND(K7&lt;$D$7+Assumptions!$H$53,L7&gt;=$D$7+Assumptions!$H$53),L12*(1-$D$7)+L19*$D$7,L19))</f>
        <v>6.4169275458095569</v>
      </c>
      <c r="M21" s="504">
        <f>IF(AND(L7&lt;$D$7+Assumptions!$H$53,M7&lt;$D$7+Assumptions!$H$53),M12,IF(AND(L7&lt;$D$7+Assumptions!$H$53,M7&gt;=$D$7+Assumptions!$H$53),M12*(1-$D$7)+M19*$D$7,M19))</f>
        <v>6.4169275458095569</v>
      </c>
      <c r="N21" s="504">
        <f>IF(AND(M7&lt;$D$7+Assumptions!$H$53,N7&lt;$D$7+Assumptions!$H$53),N12,IF(AND(M7&lt;$D$7+Assumptions!$H$53,N7&gt;=$D$7+Assumptions!$H$53),N12*(1-$D$7)+N19*$D$7,N19))</f>
        <v>6.4169275458095569</v>
      </c>
      <c r="O21" s="504">
        <f>IF(AND(N7&lt;$D$7+Assumptions!$H$53,O7&lt;$D$7+Assumptions!$H$53),O12,IF(AND(N7&lt;$D$7+Assumptions!$H$53,O7&gt;=$D$7+Assumptions!$H$53),O12*(1-$D$7)+O19*$D$7,O19))</f>
        <v>6.4169275458095569</v>
      </c>
      <c r="P21" s="504">
        <f>IF(AND(O7&lt;$D$7+Assumptions!$H$53,P7&lt;$D$7+Assumptions!$H$53),P12,IF(AND(O7&lt;$D$7+Assumptions!$H$53,P7&gt;=$D$7+Assumptions!$H$53),P12*(1-$D$7)+P19*$D$7,P19))</f>
        <v>6.4169275458095569</v>
      </c>
      <c r="Q21" s="504">
        <f>IF(AND(P7&lt;$D$7+Assumptions!$H$53,Q7&lt;$D$7+Assumptions!$H$53),Q12,IF(AND(P7&lt;$D$7+Assumptions!$H$53,Q7&gt;=$D$7+Assumptions!$H$53),Q12*(1-$D$7)+Q19*$D$7,Q19))</f>
        <v>6.4169275458095569</v>
      </c>
      <c r="R21" s="505">
        <f>IF(AND(Q7&lt;$D$7+Assumptions!$H$53,R7&lt;$D$7+Assumptions!$H$53),R12,IF(AND(Q7&lt;$D$7+Assumptions!$H$53,R7&gt;=$D$7+Assumptions!$H$53),R12*(1-$D$7)+R19*$D$7,R19))</f>
        <v>6.4169275458095569</v>
      </c>
      <c r="S21" s="503">
        <f>IF(AND(R7&lt;$D$7+Assumptions!$H$53,S7&lt;$D$7+Assumptions!$H$53),S12,IF(AND(R7&lt;$D$7+Assumptions!$H$53,S7&gt;=$D$7+Assumptions!$H$53),S12*(1-$D$7)+S19*$D$7,S19))</f>
        <v>6.4169275458095569</v>
      </c>
      <c r="T21" s="504">
        <f>IF(AND(S7&lt;$D$7+Assumptions!$H$53,T7&lt;$D$7+Assumptions!$H$53),T12,IF(AND(S7&lt;$D$7+Assumptions!$H$53,T7&gt;=$D$7+Assumptions!$H$53),T12*(1-$D$7)+T19*$D$7,T19))</f>
        <v>6.4169275458095569</v>
      </c>
      <c r="U21" s="504">
        <f>IF(AND(T7&lt;$D$7+Assumptions!$H$53,U7&lt;$D$7+Assumptions!$H$53),U12,IF(AND(T7&lt;$D$7+Assumptions!$H$53,U7&gt;=$D$7+Assumptions!$H$53),U12*(1-$D$7)+U19*$D$7,U19))</f>
        <v>6.4169275458095569</v>
      </c>
      <c r="V21" s="504">
        <f>IF(AND(U7&lt;$D$7+Assumptions!$H$53,V7&lt;$D$7+Assumptions!$H$53),V12,IF(AND(U7&lt;$D$7+Assumptions!$H$53,V7&gt;=$D$7+Assumptions!$H$53),V12*(1-$D$7)+V19*$D$7,V19))</f>
        <v>6.4169275458095569</v>
      </c>
      <c r="W21" s="504">
        <f>IF(AND(V7&lt;$D$7+Assumptions!$H$53,W7&lt;$D$7+Assumptions!$H$53),W12,IF(AND(V7&lt;$D$7+Assumptions!$H$53,W7&gt;=$D$7+Assumptions!$H$53),W12*(1-$D$7)+W19*$D$7,W19))</f>
        <v>6.4169275458095569</v>
      </c>
      <c r="X21" s="504">
        <f>IF(AND(W7&lt;$D$7+Assumptions!$H$53,X7&lt;$D$7+Assumptions!$H$53),X12,IF(AND(W7&lt;$D$7+Assumptions!$H$53,X7&gt;=$D$7+Assumptions!$H$53),X12*(1-$D$7)+X19*$D$7,X19))</f>
        <v>6.8930619763052299</v>
      </c>
      <c r="Y21" s="504">
        <f>IF(AND(X7&lt;$D$7+Assumptions!$H$53,Y7&lt;$D$7+Assumptions!$H$53),Y12,IF(AND(X7&lt;$D$7+Assumptions!$H$53,Y7&gt;=$D$7+Assumptions!$H$53),Y12*(1-$D$7)+Y19*$D$7,Y19))</f>
        <v>7.1853877832279265</v>
      </c>
      <c r="Z21" s="504">
        <f>IF(AND(Y7&lt;$D$7+Assumptions!$H$53,Z7&lt;$D$7+Assumptions!$H$53),Z12,IF(AND(Y7&lt;$D$7+Assumptions!$H$53,Z7&gt;=$D$7+Assumptions!$H$53),Z12*(1-$D$7)+Z19*$D$7,Z19))</f>
        <v>7.2396463749027831</v>
      </c>
      <c r="AA21" s="504">
        <f>IF(AND(Z7&lt;$D$7+Assumptions!$H$53,AA7&lt;$D$7+Assumptions!$H$53),AA12,IF(AND(Z7&lt;$D$7+Assumptions!$H$53,AA7&gt;=$D$7+Assumptions!$H$53),AA12*(1-$D$7)+AA19*$D$7,AA19))</f>
        <v>7.2939049665776494</v>
      </c>
      <c r="AB21" s="504">
        <f>IF(AND(AA7&lt;$D$7+Assumptions!$H$53,AB7&lt;$D$7+Assumptions!$H$53),AB12,IF(AND(AA7&lt;$D$7+Assumptions!$H$53,AB7&gt;=$D$7+Assumptions!$H$53),AB12*(1-$D$7)+AB19*$D$7,AB19))</f>
        <v>7.3481635582525087</v>
      </c>
      <c r="AC21" s="504">
        <f>IF(AND(AB7&lt;$D$7+Assumptions!$H$53,AC7&lt;$D$7+Assumptions!$H$53),AC12,IF(AND(AB7&lt;$D$7+Assumptions!$H$53,AC7&gt;=$D$7+Assumptions!$H$53),AC12*(1-$D$7)+AC19*$D$7,AC19))</f>
        <v>7.402422149927367</v>
      </c>
      <c r="AD21" s="504">
        <f>IF(AND(AC7&lt;$D$7+Assumptions!$H$53,AD7&lt;$D$7+Assumptions!$H$53),AD12,IF(AND(AC7&lt;$D$7+Assumptions!$H$53,AD7&gt;=$D$7+Assumptions!$H$53),AD12*(1-$D$7)+AD19*$D$7,AD19))</f>
        <v>7.4566807416022245</v>
      </c>
      <c r="AE21" s="504">
        <f>IF(AND(AD7&lt;$D$7+Assumptions!$H$53,AE7&lt;$D$7+Assumptions!$H$53),AE12,IF(AND(AD7&lt;$D$7+Assumptions!$H$53,AE7&gt;=$D$7+Assumptions!$H$53),AE12*(1-$D$7)+AE19*$D$7,AE19))</f>
        <v>7.5109393332770908</v>
      </c>
      <c r="AF21" s="504">
        <f>IF(AND(AE7&lt;$D$7+Assumptions!$H$53,AF7&lt;$D$7+Assumptions!$H$53),AF12,IF(AND(AE7&lt;$D$7+Assumptions!$H$53,AF7&gt;=$D$7+Assumptions!$H$53),AF12*(1-$D$7)+AF19*$D$7,AF19))</f>
        <v>7.5651979249519501</v>
      </c>
      <c r="AG21" s="504">
        <f>IF(AND(AF7&lt;$D$7+Assumptions!$H$53,AG7&lt;$D$7+Assumptions!$H$53),AG12,IF(AND(AF7&lt;$D$7+Assumptions!$H$53,AG7&gt;=$D$7+Assumptions!$H$53),AG12*(1-$D$7)+AG19*$D$7,AG19))</f>
        <v>7.6194565166268085</v>
      </c>
      <c r="AH21" s="505">
        <f>IF(AND(AG7&lt;$D$7+Assumptions!$H$53,AH7&lt;$D$7+Assumptions!$H$53),AH12,IF(AND(AG7&lt;$D$7+Assumptions!$H$53,AH7&gt;=$D$7+Assumptions!$H$53),AH12*(1-$D$7)+AH19*$D$7,AH19))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8"/>
      <c r="D22" s="500"/>
      <c r="E22" s="500"/>
      <c r="F22" s="500"/>
      <c r="G22" s="500"/>
      <c r="H22" s="500"/>
      <c r="I22" s="500"/>
      <c r="J22" s="500"/>
      <c r="K22" s="500"/>
      <c r="L22" s="500"/>
      <c r="M22" s="500"/>
      <c r="N22" s="500"/>
      <c r="O22" s="500"/>
      <c r="P22" s="500"/>
      <c r="Q22" s="500"/>
      <c r="R22" s="500"/>
      <c r="S22" s="500"/>
      <c r="T22" s="500"/>
      <c r="U22" s="500"/>
      <c r="V22" s="500"/>
      <c r="W22" s="500"/>
      <c r="X22" s="500"/>
      <c r="Y22" s="501"/>
      <c r="Z22" s="502"/>
      <c r="AA22" s="50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8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90" t="s">
        <v>386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433</v>
      </c>
      <c r="C25" s="506"/>
      <c r="D25" s="494">
        <f>'Gas Curve'!G5</f>
        <v>3.1783749999999995</v>
      </c>
      <c r="E25" s="494">
        <f>'Gas Curve'!G6</f>
        <v>3.1596666666666668</v>
      </c>
      <c r="F25" s="494">
        <f>'Gas Curve'!G7</f>
        <v>3.1917083333333331</v>
      </c>
      <c r="G25" s="494">
        <f>'Gas Curve'!G8</f>
        <v>3.2408750000000004</v>
      </c>
      <c r="H25" s="494">
        <f>'Gas Curve'!G9</f>
        <v>3.300041666666667</v>
      </c>
      <c r="I25" s="494">
        <f>'Gas Curve'!G10</f>
        <v>3.3629583333333333</v>
      </c>
      <c r="J25" s="494">
        <f>'Gas Curve'!G11</f>
        <v>3.4279583333333341</v>
      </c>
      <c r="K25" s="494">
        <f>'Gas Curve'!G12</f>
        <v>3.4979583333333335</v>
      </c>
      <c r="L25" s="494">
        <f>'Gas Curve'!G13</f>
        <v>3.5729583333333337</v>
      </c>
      <c r="M25" s="494">
        <f>'Gas Curve'!G14</f>
        <v>3.6529583333333329</v>
      </c>
      <c r="N25" s="494">
        <f>'Gas Curve'!G15</f>
        <v>3.7379583333333333</v>
      </c>
      <c r="O25" s="494">
        <f>'Gas Curve'!G16</f>
        <v>3.8160833333333337</v>
      </c>
      <c r="P25" s="494">
        <f>'Gas Curve'!G17</f>
        <v>3.8856666666666668</v>
      </c>
      <c r="Q25" s="494">
        <f>'Gas Curve'!G18</f>
        <v>4.0229583333333343</v>
      </c>
      <c r="R25" s="494">
        <f>'Gas Curve'!G19</f>
        <v>4.127958333333333</v>
      </c>
      <c r="S25" s="494">
        <f>'Gas Curve'!G20</f>
        <v>4.2379583333333333</v>
      </c>
      <c r="T25" s="494">
        <f>'Gas Curve'!G21</f>
        <v>4.3529583333333335</v>
      </c>
      <c r="U25" s="494">
        <f>'Gas Curve'!G22</f>
        <v>4.4729583333333336</v>
      </c>
      <c r="V25" s="494">
        <f>'Gas Curve'!G23</f>
        <v>4.5979583333333336</v>
      </c>
      <c r="W25" s="494">
        <f>'Gas Curve'!G24</f>
        <v>4.7279583333333335</v>
      </c>
      <c r="X25" s="494">
        <f>'Gas Curve'!G25</f>
        <v>4.8629583333333333</v>
      </c>
      <c r="Y25" s="494">
        <v>2.2000000000000002</v>
      </c>
      <c r="Z25" s="494">
        <v>2.2000000000000002</v>
      </c>
      <c r="AA25" s="494">
        <v>2.2000000000000002</v>
      </c>
      <c r="AB25" s="494">
        <v>2.2000000000000002</v>
      </c>
      <c r="AC25" s="494">
        <v>2.2000000000000002</v>
      </c>
      <c r="AD25" s="494">
        <v>2.2000000000000002</v>
      </c>
      <c r="AE25" s="494">
        <v>2.2000000000000002</v>
      </c>
      <c r="AF25" s="494">
        <v>2.2000000000000002</v>
      </c>
      <c r="AG25" s="494">
        <v>2.2000000000000002</v>
      </c>
      <c r="AH25" s="494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233</v>
      </c>
      <c r="C26" s="13"/>
      <c r="D26" s="494">
        <v>2.5</v>
      </c>
      <c r="E26" s="494">
        <v>2.5</v>
      </c>
      <c r="F26" s="494">
        <v>2.5</v>
      </c>
      <c r="G26" s="494">
        <v>2.5</v>
      </c>
      <c r="H26" s="494">
        <v>2.5</v>
      </c>
      <c r="I26" s="494">
        <v>2.5</v>
      </c>
      <c r="J26" s="494">
        <v>2.5</v>
      </c>
      <c r="K26" s="494">
        <v>2.5</v>
      </c>
      <c r="L26" s="494">
        <v>2.5</v>
      </c>
      <c r="M26" s="494">
        <v>2.5</v>
      </c>
      <c r="N26" s="494">
        <v>2.5</v>
      </c>
      <c r="O26" s="494">
        <v>2.5</v>
      </c>
      <c r="P26" s="494">
        <v>2.5</v>
      </c>
      <c r="Q26" s="494">
        <v>2.5</v>
      </c>
      <c r="R26" s="494">
        <v>2.5</v>
      </c>
      <c r="S26" s="494">
        <v>2.5</v>
      </c>
      <c r="T26" s="494">
        <v>2.5</v>
      </c>
      <c r="U26" s="494">
        <v>2.5</v>
      </c>
      <c r="V26" s="494">
        <v>2.5</v>
      </c>
      <c r="W26" s="494">
        <v>2.5</v>
      </c>
      <c r="X26" s="494">
        <v>2.5</v>
      </c>
      <c r="Y26" s="494">
        <v>2.5</v>
      </c>
      <c r="Z26" s="494">
        <v>2.5</v>
      </c>
      <c r="AA26" s="494">
        <v>2.5</v>
      </c>
      <c r="AB26" s="494">
        <v>2.5</v>
      </c>
      <c r="AC26" s="494">
        <v>2.5</v>
      </c>
      <c r="AD26" s="494">
        <v>2.5</v>
      </c>
      <c r="AE26" s="494">
        <v>2.5</v>
      </c>
      <c r="AF26" s="494">
        <v>2.5</v>
      </c>
      <c r="AG26" s="494">
        <v>2.5</v>
      </c>
      <c r="AH26" s="494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37</v>
      </c>
      <c r="C27" s="13"/>
      <c r="D27" s="507">
        <v>1.5</v>
      </c>
      <c r="E27" s="507">
        <v>1.5</v>
      </c>
      <c r="F27" s="507">
        <v>1.5</v>
      </c>
      <c r="G27" s="507">
        <v>1.5</v>
      </c>
      <c r="H27" s="507">
        <v>1.5</v>
      </c>
      <c r="I27" s="507">
        <v>1.5</v>
      </c>
      <c r="J27" s="507">
        <v>1.5</v>
      </c>
      <c r="K27" s="507">
        <v>1.5</v>
      </c>
      <c r="L27" s="507">
        <v>1.5</v>
      </c>
      <c r="M27" s="507">
        <v>1.5</v>
      </c>
      <c r="N27" s="507">
        <v>1.5</v>
      </c>
      <c r="O27" s="507">
        <v>1.5</v>
      </c>
      <c r="P27" s="507">
        <v>1.5</v>
      </c>
      <c r="Q27" s="507">
        <v>1.5</v>
      </c>
      <c r="R27" s="507">
        <v>1.5</v>
      </c>
      <c r="S27" s="507">
        <v>1.5</v>
      </c>
      <c r="T27" s="507">
        <v>1.5</v>
      </c>
      <c r="U27" s="507">
        <v>1.5</v>
      </c>
      <c r="V27" s="507">
        <v>1.5</v>
      </c>
      <c r="W27" s="507">
        <v>1.5</v>
      </c>
      <c r="X27" s="507">
        <v>1.5</v>
      </c>
      <c r="Y27" s="507">
        <v>1.5</v>
      </c>
      <c r="Z27" s="507">
        <v>1.5</v>
      </c>
      <c r="AA27" s="507">
        <v>1.5</v>
      </c>
      <c r="AB27" s="507">
        <v>1.5</v>
      </c>
      <c r="AC27" s="507">
        <v>1.5</v>
      </c>
      <c r="AD27" s="507">
        <v>1.5</v>
      </c>
      <c r="AE27" s="507">
        <v>1.5</v>
      </c>
      <c r="AF27" s="507">
        <v>1.5</v>
      </c>
      <c r="AG27" s="507">
        <v>1.5</v>
      </c>
      <c r="AH27" s="507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234</v>
      </c>
      <c r="C28" s="13"/>
      <c r="D28" s="508">
        <f>Assumptions!$N$54</f>
        <v>1.4999999999999999E-2</v>
      </c>
      <c r="E28" s="508">
        <f>Assumptions!$N$54</f>
        <v>1.4999999999999999E-2</v>
      </c>
      <c r="F28" s="508">
        <f>Assumptions!$N$54</f>
        <v>1.4999999999999999E-2</v>
      </c>
      <c r="G28" s="508">
        <f>Assumptions!$N$54</f>
        <v>1.4999999999999999E-2</v>
      </c>
      <c r="H28" s="508">
        <f>Assumptions!$N$54</f>
        <v>1.4999999999999999E-2</v>
      </c>
      <c r="I28" s="508">
        <f>Assumptions!$N$54</f>
        <v>1.4999999999999999E-2</v>
      </c>
      <c r="J28" s="508">
        <f>Assumptions!$N$54</f>
        <v>1.4999999999999999E-2</v>
      </c>
      <c r="K28" s="508">
        <f>Assumptions!$N$54</f>
        <v>1.4999999999999999E-2</v>
      </c>
      <c r="L28" s="508">
        <f>Assumptions!$N$54</f>
        <v>1.4999999999999999E-2</v>
      </c>
      <c r="M28" s="508">
        <f>Assumptions!$N$54</f>
        <v>1.4999999999999999E-2</v>
      </c>
      <c r="N28" s="508">
        <f>Assumptions!$N$54</f>
        <v>1.4999999999999999E-2</v>
      </c>
      <c r="O28" s="508">
        <f>Assumptions!$N$54</f>
        <v>1.4999999999999999E-2</v>
      </c>
      <c r="P28" s="508">
        <f>Assumptions!$N$54</f>
        <v>1.4999999999999999E-2</v>
      </c>
      <c r="Q28" s="508">
        <f>Assumptions!$N$54</f>
        <v>1.4999999999999999E-2</v>
      </c>
      <c r="R28" s="508">
        <f>Assumptions!$N$54</f>
        <v>1.4999999999999999E-2</v>
      </c>
      <c r="S28" s="508">
        <f>Assumptions!$N$54</f>
        <v>1.4999999999999999E-2</v>
      </c>
      <c r="T28" s="508">
        <f>Assumptions!$N$54</f>
        <v>1.4999999999999999E-2</v>
      </c>
      <c r="U28" s="508">
        <f>Assumptions!$N$54</f>
        <v>1.4999999999999999E-2</v>
      </c>
      <c r="V28" s="508">
        <f>Assumptions!$N$54</f>
        <v>1.4999999999999999E-2</v>
      </c>
      <c r="W28" s="508">
        <f>Assumptions!$N$54</f>
        <v>1.4999999999999999E-2</v>
      </c>
      <c r="X28" s="508">
        <f>Assumptions!$N$54</f>
        <v>1.4999999999999999E-2</v>
      </c>
      <c r="Y28" s="508">
        <f>Assumptions!$N$54</f>
        <v>1.4999999999999999E-2</v>
      </c>
      <c r="Z28" s="508">
        <f>Assumptions!$N$54</f>
        <v>1.4999999999999999E-2</v>
      </c>
      <c r="AA28" s="508">
        <f>Assumptions!$N$54</f>
        <v>1.4999999999999999E-2</v>
      </c>
      <c r="AB28" s="508">
        <f>Assumptions!$N$54</f>
        <v>1.4999999999999999E-2</v>
      </c>
      <c r="AC28" s="508">
        <f>Assumptions!$N$54</f>
        <v>1.4999999999999999E-2</v>
      </c>
      <c r="AD28" s="508">
        <f>Assumptions!$N$54</f>
        <v>1.4999999999999999E-2</v>
      </c>
      <c r="AE28" s="508">
        <f>Assumptions!$N$54</f>
        <v>1.4999999999999999E-2</v>
      </c>
      <c r="AF28" s="508">
        <f>Assumptions!$N$54</f>
        <v>1.4999999999999999E-2</v>
      </c>
      <c r="AG28" s="508">
        <f>Assumptions!$N$54</f>
        <v>1.4999999999999999E-2</v>
      </c>
      <c r="AH28" s="508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7">
        <f>Assumptions!U13</f>
        <v>1</v>
      </c>
      <c r="B30" s="43" t="s">
        <v>231</v>
      </c>
      <c r="C30" s="12"/>
      <c r="D30" s="509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3.2260506249999992</v>
      </c>
      <c r="E30" s="510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3.2070616666666667</v>
      </c>
      <c r="F30" s="510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3.2395839583333328</v>
      </c>
      <c r="G30" s="510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3.2894881250000001</v>
      </c>
      <c r="H30" s="510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3.3495422916666668</v>
      </c>
      <c r="I30" s="510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3.4134027083333329</v>
      </c>
      <c r="J30" s="510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3.4793777083333337</v>
      </c>
      <c r="K30" s="510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3.5504277083333333</v>
      </c>
      <c r="L30" s="510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3.6265527083333335</v>
      </c>
      <c r="M30" s="510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3.7077527083333326</v>
      </c>
      <c r="N30" s="510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3.7940277083333327</v>
      </c>
      <c r="O30" s="510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3.8733245833333334</v>
      </c>
      <c r="P30" s="510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3.9439516666666665</v>
      </c>
      <c r="Q30" s="510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4.083302708333334</v>
      </c>
      <c r="R30" s="511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4.1898777083333325</v>
      </c>
      <c r="S30" s="509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4.3015277083333325</v>
      </c>
      <c r="T30" s="510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4.4182527083333332</v>
      </c>
      <c r="U30" s="510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4.5400527083333335</v>
      </c>
      <c r="V30" s="510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4.6669277083333327</v>
      </c>
      <c r="W30" s="510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4.7988777083333334</v>
      </c>
      <c r="X30" s="510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4.9359027083333329</v>
      </c>
      <c r="Y30" s="510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2.2330000000000001</v>
      </c>
      <c r="Z30" s="510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2.2330000000000001</v>
      </c>
      <c r="AA30" s="510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2.2330000000000001</v>
      </c>
      <c r="AB30" s="510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2.2330000000000001</v>
      </c>
      <c r="AC30" s="510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2.2330000000000001</v>
      </c>
      <c r="AD30" s="510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2.2330000000000001</v>
      </c>
      <c r="AE30" s="510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2.2330000000000001</v>
      </c>
      <c r="AF30" s="510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2.2330000000000001</v>
      </c>
      <c r="AG30" s="510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2.2330000000000001</v>
      </c>
      <c r="AH30" s="511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2.2330000000000001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90" t="s">
        <v>387</v>
      </c>
      <c r="C33" s="13"/>
      <c r="D33" s="357"/>
      <c r="E33" s="357"/>
      <c r="F33" s="357"/>
      <c r="G33" s="357"/>
      <c r="H33" s="357"/>
      <c r="I33" s="357"/>
      <c r="J33" s="357"/>
      <c r="K33" s="357"/>
      <c r="L33" s="357"/>
      <c r="M33" s="357"/>
      <c r="N33" s="357"/>
      <c r="O33" s="357"/>
      <c r="P33" s="357"/>
      <c r="Q33" s="357"/>
      <c r="R33" s="357"/>
      <c r="S33" s="357"/>
      <c r="T33" s="357"/>
      <c r="U33" s="357"/>
      <c r="V33" s="357"/>
      <c r="W33" s="357"/>
      <c r="X33" s="357"/>
      <c r="Y33" s="357"/>
      <c r="Z33" s="357"/>
      <c r="AA33" s="357"/>
      <c r="AB33" s="357"/>
      <c r="AC33" s="357"/>
      <c r="AD33" s="357"/>
      <c r="AE33" s="357"/>
      <c r="AF33" s="357"/>
      <c r="AG33" s="357"/>
      <c r="AH33" s="357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232</v>
      </c>
      <c r="C34" s="12"/>
      <c r="D34" s="495">
        <f>D44*'Price_Technical Assumption'!D30/1000</f>
        <v>33.234773538749991</v>
      </c>
      <c r="E34" s="495">
        <f>E44*'Price_Technical Assumption'!E30/1000</f>
        <v>33.039149290000005</v>
      </c>
      <c r="F34" s="495">
        <f>F44*'Price_Technical Assumption'!F30/1000</f>
        <v>33.374193938749997</v>
      </c>
      <c r="G34" s="495">
        <f>G44*'Price_Technical Assumption'!G30/1000</f>
        <v>33.888306663750001</v>
      </c>
      <c r="H34" s="495">
        <f>H44*'Price_Technical Assumption'!H30/1000</f>
        <v>34.506984688750002</v>
      </c>
      <c r="I34" s="495">
        <f>I44*'Price_Technical Assumption'!I30/1000</f>
        <v>35.164874701249992</v>
      </c>
      <c r="J34" s="495">
        <f>J44*'Price_Technical Assumption'!J30/1000</f>
        <v>35.84454915125</v>
      </c>
      <c r="K34" s="495">
        <f>K44*'Price_Technical Assumption'!K30/1000</f>
        <v>36.576506251250002</v>
      </c>
      <c r="L34" s="495">
        <f>L44*'Price_Technical Assumption'!L30/1000</f>
        <v>37.36074600125</v>
      </c>
      <c r="M34" s="495">
        <f>M44*'Price_Technical Assumption'!M30/1000</f>
        <v>38.197268401249993</v>
      </c>
      <c r="N34" s="495">
        <f>N44*'Price_Technical Assumption'!N30/1000</f>
        <v>39.086073451249995</v>
      </c>
      <c r="O34" s="495">
        <f>O44*'Price_Technical Assumption'!O30/1000</f>
        <v>39.902989857500003</v>
      </c>
      <c r="P34" s="495">
        <f>P44*'Price_Technical Assumption'!P30/1000</f>
        <v>40.630590069999997</v>
      </c>
      <c r="Q34" s="495">
        <f>Q44*'Price_Technical Assumption'!Q30/1000</f>
        <v>42.066184501250007</v>
      </c>
      <c r="R34" s="495">
        <f>R44*'Price_Technical Assumption'!R30/1000</f>
        <v>43.164120151249989</v>
      </c>
      <c r="S34" s="495">
        <f>S44*'Price_Technical Assumption'!S30/1000</f>
        <v>44.314338451249988</v>
      </c>
      <c r="T34" s="495">
        <f>T44*'Price_Technical Assumption'!T30/1000</f>
        <v>45.516839401249996</v>
      </c>
      <c r="U34" s="495">
        <f>U44*'Price_Technical Assumption'!U30/1000</f>
        <v>46.771623001249999</v>
      </c>
      <c r="V34" s="495">
        <f>V44*'Price_Technical Assumption'!V30/1000</f>
        <v>48.07868925124999</v>
      </c>
      <c r="W34" s="495">
        <f>W44*'Price_Technical Assumption'!W30/1000</f>
        <v>49.438038151250005</v>
      </c>
      <c r="X34" s="495">
        <f>X44*'Price_Technical Assumption'!X30/1000</f>
        <v>50.849669701249994</v>
      </c>
      <c r="Y34" s="495">
        <f>Y44*'Price_Technical Assumption'!Y30/1000</f>
        <v>23.004366000000001</v>
      </c>
      <c r="Z34" s="495">
        <f>Z44*'Price_Technical Assumption'!Z30/1000</f>
        <v>23.004366000000001</v>
      </c>
      <c r="AA34" s="495">
        <f>AA44*'Price_Technical Assumption'!AA30/1000</f>
        <v>23.004366000000001</v>
      </c>
      <c r="AB34" s="495">
        <f>AB44*'Price_Technical Assumption'!AB30/1000</f>
        <v>23.004366000000001</v>
      </c>
      <c r="AC34" s="495">
        <f>AC44*'Price_Technical Assumption'!AC30/1000</f>
        <v>23.004366000000001</v>
      </c>
      <c r="AD34" s="495">
        <f>AD44*'Price_Technical Assumption'!AD30/1000</f>
        <v>23.004366000000001</v>
      </c>
      <c r="AE34" s="495">
        <f>AE44*'Price_Technical Assumption'!AE30/1000</f>
        <v>23.004366000000001</v>
      </c>
      <c r="AF34" s="495">
        <f>AF44*'Price_Technical Assumption'!AF30/1000</f>
        <v>23.004366000000001</v>
      </c>
      <c r="AG34" s="495">
        <f>AG44*'Price_Technical Assumption'!AG30/1000</f>
        <v>23.004366000000001</v>
      </c>
      <c r="AH34" s="495">
        <f>AH44*'Price_Technical Assumption'!AH30/1000</f>
        <v>23.004366000000001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406</v>
      </c>
      <c r="C35" s="475"/>
      <c r="D35" s="512">
        <f>Assumptions!$H$60*(1+Assumptions!$N$11)^(D7)</f>
        <v>2.2437828830049185</v>
      </c>
      <c r="E35" s="512">
        <f>Assumptions!$H$60*(1+Assumptions!$N$11)^(E7)</f>
        <v>2.3110963694950661</v>
      </c>
      <c r="F35" s="512">
        <f>Assumptions!$H$60*(1+Assumptions!$N$11)^(F7)</f>
        <v>2.3804292605799184</v>
      </c>
      <c r="G35" s="512">
        <f>Assumptions!$H$60*(1+Assumptions!$N$11)^(G7)</f>
        <v>2.4518421383973159</v>
      </c>
      <c r="H35" s="512">
        <f>Assumptions!$H$60*(1+Assumptions!$N$11)^(H7)</f>
        <v>2.5253974025492352</v>
      </c>
      <c r="I35" s="512">
        <f>Assumptions!$H$60*(1+Assumptions!$N$11)^(I7)</f>
        <v>2.6011593246257125</v>
      </c>
      <c r="J35" s="512">
        <f>Assumptions!$H$60*(1+Assumptions!$N$11)^(J7)</f>
        <v>2.679194104364484</v>
      </c>
      <c r="K35" s="512">
        <f>Assumptions!$H$60*(1+Assumptions!$N$11)^(K7)</f>
        <v>2.7595699274954186</v>
      </c>
      <c r="L35" s="512">
        <f>Assumptions!$H$60*(1+Assumptions!$N$11)^(L7)</f>
        <v>2.8423570253202812</v>
      </c>
      <c r="M35" s="512">
        <f>Assumptions!$H$60*(1+Assumptions!$N$11)^(M7)</f>
        <v>2.9276277360798897</v>
      </c>
      <c r="N35" s="512">
        <f>Assumptions!$H$60*(1+Assumptions!$N$11)^(N7)</f>
        <v>3.0154565681622865</v>
      </c>
      <c r="O35" s="512">
        <f>Assumptions!$H$60*(1+Assumptions!$N$11)^(O7)</f>
        <v>3.1059202652071551</v>
      </c>
      <c r="P35" s="512">
        <f>Assumptions!$H$60*(1+Assumptions!$N$11)^(P7)</f>
        <v>3.1990978731633701</v>
      </c>
      <c r="Q35" s="512">
        <f>Assumptions!$H$60*(1+Assumptions!$N$11)^(Q7)</f>
        <v>3.295070809358271</v>
      </c>
      <c r="R35" s="512">
        <f>Assumptions!$H$60*(1+Assumptions!$N$11)^(R7)</f>
        <v>3.3939229336390193</v>
      </c>
      <c r="S35" s="512">
        <f>Assumptions!$H$60*(1+Assumptions!$N$11)^(S7)</f>
        <v>3.4957406216481899</v>
      </c>
      <c r="T35" s="512">
        <f>Assumptions!$H$60*(1+Assumptions!$N$11)^(T7)</f>
        <v>3.6006128402976358</v>
      </c>
      <c r="U35" s="512">
        <f>Assumptions!$H$60*(1+Assumptions!$N$11)^(U7)</f>
        <v>3.7086312255065645</v>
      </c>
      <c r="V35" s="512">
        <f>Assumptions!$H$60*(1+Assumptions!$N$11)^(V7)</f>
        <v>3.8198901622717623</v>
      </c>
      <c r="W35" s="512">
        <f>Assumptions!$H$60*(1+Assumptions!$N$11)^(W7)</f>
        <v>3.9344868671399147</v>
      </c>
      <c r="X35" s="512">
        <f>Assumptions!$H$60*(1+Assumptions!$N$11)^(X7)</f>
        <v>4.0525214731541119</v>
      </c>
      <c r="Y35" s="512">
        <f>Assumptions!$H$60*(1+Assumptions!$N$11)^(Y7)</f>
        <v>4.1740971173487358</v>
      </c>
      <c r="Z35" s="512">
        <f>Assumptions!$H$60*(1+Assumptions!$N$11)^(Z7)</f>
        <v>4.2993200308691977</v>
      </c>
      <c r="AA35" s="512">
        <f>Assumptions!$H$60*(1+Assumptions!$N$11)^(AA7)</f>
        <v>4.4282996317952747</v>
      </c>
      <c r="AB35" s="512">
        <f>Assumptions!$H$60*(1+Assumptions!$N$11)^(AB7)</f>
        <v>4.5611486207491332</v>
      </c>
      <c r="AC35" s="512">
        <f>Assumptions!$H$60*(1+Assumptions!$N$11)^(AC7)</f>
        <v>4.6979830793716069</v>
      </c>
      <c r="AD35" s="512">
        <f>Assumptions!$H$60*(1+Assumptions!$N$11)^(AD7)</f>
        <v>4.8389225717527555</v>
      </c>
      <c r="AE35" s="512">
        <f>Assumptions!$H$60*(1+Assumptions!$N$11)^(AE7)</f>
        <v>4.9840902489053374</v>
      </c>
      <c r="AF35" s="512">
        <f>Assumptions!$H$60*(1+Assumptions!$N$11)^(AF7)</f>
        <v>5.133612956372497</v>
      </c>
      <c r="AG35" s="512">
        <f>Assumptions!$H$60*(1+Assumptions!$N$11)^(AG7)</f>
        <v>5.2876213450636733</v>
      </c>
      <c r="AH35" s="512">
        <f>Assumptions!$H$60*(1+Assumptions!$N$11)^(AH7)</f>
        <v>5.4462499854155828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415</v>
      </c>
      <c r="C36" s="12"/>
      <c r="D36" s="492">
        <f>SUM(D34:D35)</f>
        <v>35.478556421754909</v>
      </c>
      <c r="E36" s="492">
        <f t="shared" ref="E36:AH36" si="5">SUM(E34:E35)</f>
        <v>35.350245659495073</v>
      </c>
      <c r="F36" s="492">
        <f t="shared" si="5"/>
        <v>35.754623199329913</v>
      </c>
      <c r="G36" s="492">
        <f t="shared" si="5"/>
        <v>36.340148802147318</v>
      </c>
      <c r="H36" s="492">
        <f t="shared" si="5"/>
        <v>37.03238209129924</v>
      </c>
      <c r="I36" s="492">
        <f t="shared" si="5"/>
        <v>37.766034025875705</v>
      </c>
      <c r="J36" s="492">
        <f t="shared" si="5"/>
        <v>38.523743255614484</v>
      </c>
      <c r="K36" s="492">
        <f t="shared" si="5"/>
        <v>39.336076178745422</v>
      </c>
      <c r="L36" s="492">
        <f t="shared" si="5"/>
        <v>40.203103026570282</v>
      </c>
      <c r="M36" s="492">
        <f t="shared" si="5"/>
        <v>41.124896137329884</v>
      </c>
      <c r="N36" s="492">
        <f t="shared" si="5"/>
        <v>42.10153001941228</v>
      </c>
      <c r="O36" s="492">
        <f t="shared" si="5"/>
        <v>43.008910122707157</v>
      </c>
      <c r="P36" s="492">
        <f t="shared" si="5"/>
        <v>43.829687943163364</v>
      </c>
      <c r="Q36" s="492">
        <f t="shared" si="5"/>
        <v>45.361255310608279</v>
      </c>
      <c r="R36" s="492">
        <f t="shared" si="5"/>
        <v>46.558043084889007</v>
      </c>
      <c r="S36" s="492">
        <f t="shared" si="5"/>
        <v>47.810079072898176</v>
      </c>
      <c r="T36" s="492">
        <f t="shared" si="5"/>
        <v>49.117452241547632</v>
      </c>
      <c r="U36" s="492">
        <f t="shared" si="5"/>
        <v>50.480254226756564</v>
      </c>
      <c r="V36" s="492">
        <f t="shared" si="5"/>
        <v>51.898579413521752</v>
      </c>
      <c r="W36" s="492">
        <f t="shared" si="5"/>
        <v>53.372525018389922</v>
      </c>
      <c r="X36" s="492">
        <f t="shared" si="5"/>
        <v>54.902191174404109</v>
      </c>
      <c r="Y36" s="492">
        <f t="shared" si="5"/>
        <v>27.178463117348738</v>
      </c>
      <c r="Z36" s="492">
        <f t="shared" si="5"/>
        <v>27.303686030869198</v>
      </c>
      <c r="AA36" s="492">
        <f t="shared" si="5"/>
        <v>27.432665631795274</v>
      </c>
      <c r="AB36" s="492">
        <f t="shared" si="5"/>
        <v>27.565514620749134</v>
      </c>
      <c r="AC36" s="492">
        <f t="shared" si="5"/>
        <v>27.702349079371608</v>
      </c>
      <c r="AD36" s="492">
        <f t="shared" si="5"/>
        <v>27.843288571752758</v>
      </c>
      <c r="AE36" s="492">
        <f t="shared" si="5"/>
        <v>27.988456248905337</v>
      </c>
      <c r="AF36" s="492">
        <f t="shared" si="5"/>
        <v>28.1379789563725</v>
      </c>
      <c r="AG36" s="492">
        <f t="shared" si="5"/>
        <v>28.291987345063674</v>
      </c>
      <c r="AH36" s="492">
        <f t="shared" si="5"/>
        <v>28.450615985415585</v>
      </c>
      <c r="AI36" s="495"/>
      <c r="AJ36" s="495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95"/>
      <c r="E37" s="495"/>
      <c r="F37" s="495"/>
      <c r="G37" s="495"/>
      <c r="H37" s="495"/>
      <c r="I37" s="495"/>
      <c r="J37" s="495"/>
      <c r="K37" s="495"/>
      <c r="L37" s="495"/>
      <c r="M37" s="495"/>
      <c r="N37" s="495"/>
      <c r="O37" s="495"/>
      <c r="P37" s="495"/>
      <c r="Q37" s="495"/>
      <c r="R37" s="495"/>
      <c r="S37" s="495"/>
      <c r="T37" s="495"/>
      <c r="U37" s="495"/>
      <c r="V37" s="495"/>
      <c r="W37" s="495"/>
      <c r="X37" s="495"/>
      <c r="Y37" s="495"/>
      <c r="Z37" s="495"/>
      <c r="AA37" s="495"/>
      <c r="AB37" s="495"/>
      <c r="AC37" s="495"/>
      <c r="AD37" s="495"/>
      <c r="AE37" s="495"/>
      <c r="AF37" s="495"/>
      <c r="AG37" s="495"/>
      <c r="AH37" s="495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7" t="str">
        <f>Assumptions!W14</f>
        <v>Pass-through</v>
      </c>
      <c r="B38" s="43" t="s">
        <v>240</v>
      </c>
      <c r="C38" s="12"/>
      <c r="D38" s="509">
        <f>IF($A$38="Pass-through",D36,D34)</f>
        <v>35.478556421754909</v>
      </c>
      <c r="E38" s="510">
        <f t="shared" ref="E38:AH38" si="6">IF($A$38="Pass-through",E36,E34)</f>
        <v>35.350245659495073</v>
      </c>
      <c r="F38" s="510">
        <f t="shared" si="6"/>
        <v>35.754623199329913</v>
      </c>
      <c r="G38" s="510">
        <f t="shared" si="6"/>
        <v>36.340148802147318</v>
      </c>
      <c r="H38" s="510">
        <f t="shared" si="6"/>
        <v>37.03238209129924</v>
      </c>
      <c r="I38" s="510">
        <f t="shared" si="6"/>
        <v>37.766034025875705</v>
      </c>
      <c r="J38" s="510">
        <f t="shared" si="6"/>
        <v>38.523743255614484</v>
      </c>
      <c r="K38" s="510">
        <f t="shared" si="6"/>
        <v>39.336076178745422</v>
      </c>
      <c r="L38" s="510">
        <f t="shared" si="6"/>
        <v>40.203103026570282</v>
      </c>
      <c r="M38" s="510">
        <f t="shared" si="6"/>
        <v>41.124896137329884</v>
      </c>
      <c r="N38" s="510">
        <f t="shared" si="6"/>
        <v>42.10153001941228</v>
      </c>
      <c r="O38" s="510">
        <f t="shared" si="6"/>
        <v>43.008910122707157</v>
      </c>
      <c r="P38" s="510">
        <f t="shared" si="6"/>
        <v>43.829687943163364</v>
      </c>
      <c r="Q38" s="510">
        <f t="shared" si="6"/>
        <v>45.361255310608279</v>
      </c>
      <c r="R38" s="511">
        <f t="shared" si="6"/>
        <v>46.558043084889007</v>
      </c>
      <c r="S38" s="509">
        <f t="shared" si="6"/>
        <v>47.810079072898176</v>
      </c>
      <c r="T38" s="510">
        <f t="shared" si="6"/>
        <v>49.117452241547632</v>
      </c>
      <c r="U38" s="510">
        <f t="shared" si="6"/>
        <v>50.480254226756564</v>
      </c>
      <c r="V38" s="510">
        <f t="shared" si="6"/>
        <v>51.898579413521752</v>
      </c>
      <c r="W38" s="510">
        <f t="shared" si="6"/>
        <v>53.372525018389922</v>
      </c>
      <c r="X38" s="510">
        <f t="shared" si="6"/>
        <v>54.902191174404109</v>
      </c>
      <c r="Y38" s="510">
        <f t="shared" si="6"/>
        <v>27.178463117348738</v>
      </c>
      <c r="Z38" s="510">
        <f t="shared" si="6"/>
        <v>27.303686030869198</v>
      </c>
      <c r="AA38" s="510">
        <f t="shared" si="6"/>
        <v>27.432665631795274</v>
      </c>
      <c r="AB38" s="510">
        <f t="shared" si="6"/>
        <v>27.565514620749134</v>
      </c>
      <c r="AC38" s="510">
        <f t="shared" si="6"/>
        <v>27.702349079371608</v>
      </c>
      <c r="AD38" s="510">
        <f t="shared" si="6"/>
        <v>27.843288571752758</v>
      </c>
      <c r="AE38" s="510">
        <f t="shared" si="6"/>
        <v>27.988456248905337</v>
      </c>
      <c r="AF38" s="510">
        <f t="shared" si="6"/>
        <v>28.1379789563725</v>
      </c>
      <c r="AG38" s="510">
        <f t="shared" si="6"/>
        <v>28.291987345063674</v>
      </c>
      <c r="AH38" s="511">
        <f t="shared" si="6"/>
        <v>28.450615985415585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90" t="s">
        <v>397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398</v>
      </c>
      <c r="C42" s="12"/>
      <c r="D42" s="65">
        <f>Assumptions!$H$14</f>
        <v>10100</v>
      </c>
      <c r="E42" s="65">
        <f>Assumptions!$H$14</f>
        <v>10100</v>
      </c>
      <c r="F42" s="65">
        <f>Assumptions!$H$14</f>
        <v>10100</v>
      </c>
      <c r="G42" s="65">
        <f>Assumptions!$H$14</f>
        <v>10100</v>
      </c>
      <c r="H42" s="65">
        <f>Assumptions!$H$14</f>
        <v>10100</v>
      </c>
      <c r="I42" s="65">
        <f>Assumptions!$H$14</f>
        <v>10100</v>
      </c>
      <c r="J42" s="65">
        <f>Assumptions!$H$14</f>
        <v>10100</v>
      </c>
      <c r="K42" s="65">
        <f>Assumptions!$H$14</f>
        <v>10100</v>
      </c>
      <c r="L42" s="65">
        <f>Assumptions!$H$14</f>
        <v>10100</v>
      </c>
      <c r="M42" s="65">
        <f>Assumptions!$H$14</f>
        <v>10100</v>
      </c>
      <c r="N42" s="65">
        <f>Assumptions!$H$14</f>
        <v>10100</v>
      </c>
      <c r="O42" s="65">
        <f>Assumptions!$H$14</f>
        <v>10100</v>
      </c>
      <c r="P42" s="65">
        <f>Assumptions!$H$14</f>
        <v>10100</v>
      </c>
      <c r="Q42" s="65">
        <f>Assumptions!$H$14</f>
        <v>10100</v>
      </c>
      <c r="R42" s="65">
        <f>Assumptions!$H$14</f>
        <v>10100</v>
      </c>
      <c r="S42" s="65">
        <f>Assumptions!$H$14</f>
        <v>10100</v>
      </c>
      <c r="T42" s="65">
        <f>Assumptions!$H$14</f>
        <v>10100</v>
      </c>
      <c r="U42" s="65">
        <f>Assumptions!$H$14</f>
        <v>10100</v>
      </c>
      <c r="V42" s="65">
        <f>Assumptions!$H$14</f>
        <v>10100</v>
      </c>
      <c r="W42" s="65">
        <f>Assumptions!$H$14</f>
        <v>10100</v>
      </c>
      <c r="X42" s="65">
        <f>Assumptions!$H$14</f>
        <v>10100</v>
      </c>
      <c r="Y42" s="65">
        <f>Assumptions!$H$14</f>
        <v>10100</v>
      </c>
      <c r="Z42" s="65">
        <f>Assumptions!$H$14</f>
        <v>10100</v>
      </c>
      <c r="AA42" s="65">
        <f>Assumptions!$H$14</f>
        <v>10100</v>
      </c>
      <c r="AB42" s="65">
        <f>Assumptions!$H$14</f>
        <v>10100</v>
      </c>
      <c r="AC42" s="65">
        <f>Assumptions!$H$14</f>
        <v>10100</v>
      </c>
      <c r="AD42" s="65">
        <f>Assumptions!$H$14</f>
        <v>10100</v>
      </c>
      <c r="AE42" s="65">
        <f>Assumptions!$H$14</f>
        <v>10100</v>
      </c>
      <c r="AF42" s="65">
        <f>Assumptions!$H$14</f>
        <v>10100</v>
      </c>
      <c r="AG42" s="65">
        <f>Assumptions!$H$14</f>
        <v>10100</v>
      </c>
      <c r="AH42" s="65">
        <f>Assumptions!$H$14</f>
        <v>10100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400</v>
      </c>
      <c r="C43" s="12"/>
      <c r="D43" s="517">
        <v>0.02</v>
      </c>
      <c r="E43" s="517">
        <v>0.02</v>
      </c>
      <c r="F43" s="517">
        <v>0.02</v>
      </c>
      <c r="G43" s="517">
        <v>0.02</v>
      </c>
      <c r="H43" s="517">
        <v>0.02</v>
      </c>
      <c r="I43" s="517">
        <v>0.02</v>
      </c>
      <c r="J43" s="517">
        <v>0.02</v>
      </c>
      <c r="K43" s="517">
        <v>0.02</v>
      </c>
      <c r="L43" s="517">
        <v>0.02</v>
      </c>
      <c r="M43" s="517">
        <v>0.02</v>
      </c>
      <c r="N43" s="517">
        <v>0.02</v>
      </c>
      <c r="O43" s="517">
        <v>0.02</v>
      </c>
      <c r="P43" s="517">
        <v>0.02</v>
      </c>
      <c r="Q43" s="517">
        <v>0.02</v>
      </c>
      <c r="R43" s="517">
        <v>0.02</v>
      </c>
      <c r="S43" s="517">
        <v>0.02</v>
      </c>
      <c r="T43" s="517">
        <v>0.02</v>
      </c>
      <c r="U43" s="517">
        <v>0.02</v>
      </c>
      <c r="V43" s="517">
        <v>0.02</v>
      </c>
      <c r="W43" s="517">
        <v>0.02</v>
      </c>
      <c r="X43" s="517">
        <v>0.02</v>
      </c>
      <c r="Y43" s="517">
        <v>0.02</v>
      </c>
      <c r="Z43" s="517">
        <v>0.02</v>
      </c>
      <c r="AA43" s="517">
        <v>0.02</v>
      </c>
      <c r="AB43" s="517">
        <v>0.02</v>
      </c>
      <c r="AC43" s="517">
        <v>0.02</v>
      </c>
      <c r="AD43" s="517">
        <v>0.02</v>
      </c>
      <c r="AE43" s="517">
        <v>0.02</v>
      </c>
      <c r="AF43" s="517">
        <v>0.02</v>
      </c>
      <c r="AG43" s="517">
        <v>0.02</v>
      </c>
      <c r="AH43" s="517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399</v>
      </c>
      <c r="C44" s="12"/>
      <c r="D44" s="514">
        <f>D42*(1+D43)</f>
        <v>10302</v>
      </c>
      <c r="E44" s="515">
        <f t="shared" ref="E44:AH44" si="7">E42*(1+E43)</f>
        <v>10302</v>
      </c>
      <c r="F44" s="515">
        <f t="shared" si="7"/>
        <v>10302</v>
      </c>
      <c r="G44" s="515">
        <f t="shared" si="7"/>
        <v>10302</v>
      </c>
      <c r="H44" s="515">
        <f t="shared" si="7"/>
        <v>10302</v>
      </c>
      <c r="I44" s="515">
        <f t="shared" si="7"/>
        <v>10302</v>
      </c>
      <c r="J44" s="515">
        <f t="shared" si="7"/>
        <v>10302</v>
      </c>
      <c r="K44" s="515">
        <f t="shared" si="7"/>
        <v>10302</v>
      </c>
      <c r="L44" s="515">
        <f t="shared" si="7"/>
        <v>10302</v>
      </c>
      <c r="M44" s="515">
        <f t="shared" si="7"/>
        <v>10302</v>
      </c>
      <c r="N44" s="515">
        <f t="shared" si="7"/>
        <v>10302</v>
      </c>
      <c r="O44" s="515">
        <f t="shared" si="7"/>
        <v>10302</v>
      </c>
      <c r="P44" s="515">
        <f t="shared" si="7"/>
        <v>10302</v>
      </c>
      <c r="Q44" s="515">
        <f t="shared" si="7"/>
        <v>10302</v>
      </c>
      <c r="R44" s="516">
        <f t="shared" si="7"/>
        <v>10302</v>
      </c>
      <c r="S44" s="514">
        <f t="shared" si="7"/>
        <v>10302</v>
      </c>
      <c r="T44" s="515">
        <f t="shared" si="7"/>
        <v>10302</v>
      </c>
      <c r="U44" s="515">
        <f t="shared" si="7"/>
        <v>10302</v>
      </c>
      <c r="V44" s="515">
        <f t="shared" si="7"/>
        <v>10302</v>
      </c>
      <c r="W44" s="515">
        <f t="shared" si="7"/>
        <v>10302</v>
      </c>
      <c r="X44" s="515">
        <f t="shared" si="7"/>
        <v>10302</v>
      </c>
      <c r="Y44" s="515">
        <f t="shared" si="7"/>
        <v>10302</v>
      </c>
      <c r="Z44" s="515">
        <f t="shared" si="7"/>
        <v>10302</v>
      </c>
      <c r="AA44" s="515">
        <f t="shared" si="7"/>
        <v>10302</v>
      </c>
      <c r="AB44" s="515">
        <f t="shared" si="7"/>
        <v>10302</v>
      </c>
      <c r="AC44" s="515">
        <f t="shared" si="7"/>
        <v>10302</v>
      </c>
      <c r="AD44" s="515">
        <f t="shared" si="7"/>
        <v>10302</v>
      </c>
      <c r="AE44" s="515">
        <f t="shared" si="7"/>
        <v>10302</v>
      </c>
      <c r="AF44" s="515">
        <f t="shared" si="7"/>
        <v>10302</v>
      </c>
      <c r="AG44" s="515">
        <f t="shared" si="7"/>
        <v>10302</v>
      </c>
      <c r="AH44" s="516">
        <f t="shared" si="7"/>
        <v>10302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Notes</vt:lpstr>
      <vt:lpstr>Tracking Sheet</vt:lpstr>
      <vt:lpstr>Assumptions</vt:lpstr>
      <vt:lpstr>IS</vt:lpstr>
      <vt:lpstr>Capital Budget</vt:lpstr>
      <vt:lpstr>Gas Curve</vt:lpstr>
      <vt:lpstr>Fixed and Variable Costs</vt:lpstr>
      <vt:lpstr>Returns Analysis</vt:lpstr>
      <vt:lpstr>Price_Technical Assumption</vt:lpstr>
      <vt:lpstr>Cash Flows</vt:lpstr>
      <vt:lpstr>Debt Structs</vt:lpstr>
      <vt:lpstr>Performance</vt:lpstr>
      <vt:lpstr>Perf.</vt:lpstr>
      <vt:lpstr>BS</vt:lpstr>
      <vt:lpstr>Debt</vt:lpstr>
      <vt:lpstr>Depreciation</vt:lpstr>
      <vt:lpstr>Taxes</vt:lpstr>
      <vt:lpstr>IDC</vt:lpstr>
      <vt:lpstr>Deg_Rate</vt:lpstr>
      <vt:lpstr>ISO_MW</vt:lpstr>
      <vt:lpstr>Assumptions!Print_Area</vt:lpstr>
      <vt:lpstr>BS!Print_Area</vt:lpstr>
      <vt:lpstr>'Cash Flows'!Print_Area</vt:lpstr>
      <vt:lpstr>Debt!Print_Area</vt:lpstr>
      <vt:lpstr>'Debt Structs'!Print_Area</vt:lpstr>
      <vt:lpstr>Depreciation!Print_Area</vt:lpstr>
      <vt:lpstr>IDC!Print_Area</vt:lpstr>
      <vt:lpstr>IS!Print_Area</vt:lpstr>
      <vt:lpstr>'Returns Analysis'!Print_Area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2000-04-13T21:53:12Z</cp:lastPrinted>
  <dcterms:created xsi:type="dcterms:W3CDTF">1999-04-02T01:38:38Z</dcterms:created>
  <dcterms:modified xsi:type="dcterms:W3CDTF">2014-09-03T11:34:36Z</dcterms:modified>
</cp:coreProperties>
</file>