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15" firstSheet="5" activeTab="9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Flows'!$A$60:$W$100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IS!$A$2:$W$46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F6" i="35" l="1"/>
  <c r="G6" i="35"/>
  <c r="F7" i="35"/>
  <c r="F8" i="35"/>
  <c r="G8" i="35"/>
  <c r="F9" i="35"/>
  <c r="G9" i="35"/>
  <c r="G11" i="35"/>
  <c r="H11" i="35"/>
  <c r="E28" i="35"/>
  <c r="F28" i="35"/>
  <c r="G28" i="35" s="1"/>
  <c r="H28" i="35" s="1"/>
  <c r="I28" i="35" s="1"/>
  <c r="J28" i="35" s="1"/>
  <c r="K28" i="35" s="1"/>
  <c r="L28" i="35" s="1"/>
  <c r="M28" i="35" s="1"/>
  <c r="N28" i="35" s="1"/>
  <c r="O28" i="35" s="1"/>
  <c r="P28" i="35" s="1"/>
  <c r="E35" i="35"/>
  <c r="F35" i="35"/>
  <c r="G35" i="35"/>
  <c r="H35" i="35" s="1"/>
  <c r="I35" i="35" s="1"/>
  <c r="J35" i="35" s="1"/>
  <c r="K35" i="35" s="1"/>
  <c r="L35" i="35" s="1"/>
  <c r="M35" i="35" s="1"/>
  <c r="N35" i="35" s="1"/>
  <c r="O35" i="35" s="1"/>
  <c r="P35" i="35" s="1"/>
  <c r="Q35" i="35" s="1"/>
  <c r="R35" i="35" s="1"/>
  <c r="C12" i="2"/>
  <c r="D12" i="2" s="1"/>
  <c r="AA13" i="2"/>
  <c r="U14" i="2"/>
  <c r="V14" i="2"/>
  <c r="W14" i="2"/>
  <c r="X14" i="2"/>
  <c r="Y14" i="2"/>
  <c r="Z14" i="2"/>
  <c r="AA14" i="2"/>
  <c r="AB14" i="2"/>
  <c r="AC14" i="2"/>
  <c r="N17" i="2"/>
  <c r="P17" i="2"/>
  <c r="C20" i="2"/>
  <c r="D20" i="2"/>
  <c r="O22" i="2"/>
  <c r="D25" i="2"/>
  <c r="O25" i="2"/>
  <c r="N26" i="2"/>
  <c r="D28" i="2"/>
  <c r="O30" i="2"/>
  <c r="G32" i="2"/>
  <c r="C34" i="2"/>
  <c r="D34" i="2"/>
  <c r="H35" i="2"/>
  <c r="D39" i="2"/>
  <c r="H39" i="2"/>
  <c r="D42" i="2"/>
  <c r="D46" i="2"/>
  <c r="G48" i="2"/>
  <c r="D52" i="2"/>
  <c r="C53" i="2"/>
  <c r="D53" i="2" s="1"/>
  <c r="H57" i="2"/>
  <c r="C59" i="2"/>
  <c r="D59" i="2" s="1"/>
  <c r="H60" i="2"/>
  <c r="H66" i="2"/>
  <c r="H68" i="2"/>
  <c r="O23" i="2" s="1"/>
  <c r="A72" i="2"/>
  <c r="A73" i="2"/>
  <c r="A74" i="2"/>
  <c r="A2" i="19"/>
  <c r="D8" i="19"/>
  <c r="E8" i="19" s="1"/>
  <c r="F8" i="19" s="1"/>
  <c r="G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E7" i="29"/>
  <c r="H7" i="29" s="1"/>
  <c r="F7" i="29"/>
  <c r="C8" i="29"/>
  <c r="E9" i="29"/>
  <c r="I9" i="29" s="1"/>
  <c r="F9" i="29"/>
  <c r="E10" i="29"/>
  <c r="I10" i="29" s="1"/>
  <c r="F10" i="29"/>
  <c r="E11" i="29"/>
  <c r="F11" i="29"/>
  <c r="I11" i="29"/>
  <c r="E12" i="29"/>
  <c r="F12" i="29"/>
  <c r="I12" i="29"/>
  <c r="E13" i="29"/>
  <c r="I13" i="29" s="1"/>
  <c r="F13" i="29"/>
  <c r="E14" i="29"/>
  <c r="I14" i="29" s="1"/>
  <c r="F14" i="29"/>
  <c r="D15" i="29"/>
  <c r="E18" i="29"/>
  <c r="F18" i="29"/>
  <c r="E19" i="29"/>
  <c r="F19" i="29"/>
  <c r="C20" i="29"/>
  <c r="D21" i="29"/>
  <c r="E23" i="29"/>
  <c r="F23" i="29"/>
  <c r="E24" i="29"/>
  <c r="F24" i="29"/>
  <c r="E25" i="29"/>
  <c r="F25" i="29"/>
  <c r="E26" i="29"/>
  <c r="F26" i="29"/>
  <c r="C27" i="29"/>
  <c r="F27" i="29" s="1"/>
  <c r="E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D36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 s="1"/>
  <c r="F52" i="29"/>
  <c r="F53" i="29"/>
  <c r="F54" i="29"/>
  <c r="F55" i="29"/>
  <c r="C56" i="29"/>
  <c r="F56" i="29"/>
  <c r="F57" i="29"/>
  <c r="F62" i="29"/>
  <c r="F64" i="29" s="1"/>
  <c r="F63" i="29"/>
  <c r="C64" i="29"/>
  <c r="C71" i="29"/>
  <c r="F71" i="29" s="1"/>
  <c r="C74" i="29"/>
  <c r="A2" i="33"/>
  <c r="B8" i="33"/>
  <c r="C8" i="33"/>
  <c r="D8" i="33"/>
  <c r="E8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C21" i="33"/>
  <c r="D21" i="33"/>
  <c r="E21" i="33"/>
  <c r="F21" i="33"/>
  <c r="G21" i="33"/>
  <c r="C22" i="33"/>
  <c r="D22" i="33"/>
  <c r="E22" i="33"/>
  <c r="F22" i="33"/>
  <c r="G22" i="33"/>
  <c r="B24" i="33"/>
  <c r="B27" i="33"/>
  <c r="B28" i="33"/>
  <c r="B32" i="33"/>
  <c r="B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64" i="33"/>
  <c r="B68" i="33"/>
  <c r="B90" i="33"/>
  <c r="L91" i="33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17" i="32"/>
  <c r="A18" i="32" s="1"/>
  <c r="A19" i="32" s="1"/>
  <c r="A20" i="32" s="1"/>
  <c r="Q20" i="32"/>
  <c r="R20" i="32" s="1"/>
  <c r="A21" i="32"/>
  <c r="A22" i="32" s="1"/>
  <c r="A23" i="32"/>
  <c r="A24" i="32" s="1"/>
  <c r="A25" i="32" s="1"/>
  <c r="A26" i="32" s="1"/>
  <c r="A27" i="32" s="1"/>
  <c r="A36" i="32"/>
  <c r="A37" i="32" s="1"/>
  <c r="A38" i="32"/>
  <c r="A39" i="32"/>
  <c r="A40" i="32" s="1"/>
  <c r="A41" i="32" s="1"/>
  <c r="A42" i="32" s="1"/>
  <c r="A43" i="32" s="1"/>
  <c r="A44" i="32" s="1"/>
  <c r="D63" i="32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G75" i="32"/>
  <c r="G76" i="32" s="1"/>
  <c r="G77" i="32"/>
  <c r="G78" i="32" s="1"/>
  <c r="G79" i="32" s="1"/>
  <c r="G80" i="32" s="1"/>
  <c r="G81" i="32" s="1"/>
  <c r="G82" i="32" s="1"/>
  <c r="G83" i="32" s="1"/>
  <c r="G84" i="32" s="1"/>
  <c r="G85" i="32" s="1"/>
  <c r="G86" i="32" s="1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 s="1"/>
  <c r="G13" i="7"/>
  <c r="H13" i="7"/>
  <c r="B14" i="7"/>
  <c r="B17" i="7"/>
  <c r="K17" i="7"/>
  <c r="L17" i="7"/>
  <c r="M17" i="7"/>
  <c r="N17" i="7"/>
  <c r="P17" i="7"/>
  <c r="Q17" i="7"/>
  <c r="S17" i="7"/>
  <c r="U17" i="7"/>
  <c r="V17" i="7"/>
  <c r="X17" i="7"/>
  <c r="Y17" i="7"/>
  <c r="AA17" i="7"/>
  <c r="AB17" i="7"/>
  <c r="AC17" i="7"/>
  <c r="AF17" i="7"/>
  <c r="AG17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K32" i="7" s="1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A32" i="7" s="1"/>
  <c r="AB27" i="7"/>
  <c r="AC27" i="7"/>
  <c r="AD27" i="7"/>
  <c r="AE27" i="7"/>
  <c r="AF27" i="7"/>
  <c r="AG27" i="7"/>
  <c r="AH27" i="7"/>
  <c r="B28" i="7"/>
  <c r="B32" i="7"/>
  <c r="J32" i="7"/>
  <c r="R32" i="7"/>
  <c r="S32" i="7"/>
  <c r="Z32" i="7"/>
  <c r="B33" i="7"/>
  <c r="B41" i="7"/>
  <c r="C41" i="7"/>
  <c r="B42" i="7"/>
  <c r="J42" i="7"/>
  <c r="J46" i="7" s="1"/>
  <c r="K42" i="7"/>
  <c r="L42" i="7"/>
  <c r="M42" i="7"/>
  <c r="N42" i="7"/>
  <c r="O42" i="7"/>
  <c r="P42" i="7"/>
  <c r="Q42" i="7"/>
  <c r="Q46" i="7" s="1"/>
  <c r="R42" i="7"/>
  <c r="R46" i="7" s="1"/>
  <c r="S42" i="7"/>
  <c r="T42" i="7"/>
  <c r="U42" i="7"/>
  <c r="V42" i="7"/>
  <c r="W42" i="7"/>
  <c r="X42" i="7"/>
  <c r="Y42" i="7"/>
  <c r="Z42" i="7"/>
  <c r="Z46" i="7" s="1"/>
  <c r="AA42" i="7"/>
  <c r="AB42" i="7"/>
  <c r="AC42" i="7"/>
  <c r="AD42" i="7"/>
  <c r="AE42" i="7"/>
  <c r="AF42" i="7"/>
  <c r="AG42" i="7"/>
  <c r="AH42" i="7"/>
  <c r="AH46" i="7" s="1"/>
  <c r="B43" i="7"/>
  <c r="B46" i="7"/>
  <c r="K46" i="7"/>
  <c r="L46" i="7"/>
  <c r="M46" i="7"/>
  <c r="N46" i="7"/>
  <c r="O46" i="7"/>
  <c r="P46" i="7"/>
  <c r="S46" i="7"/>
  <c r="T46" i="7"/>
  <c r="U46" i="7"/>
  <c r="V46" i="7"/>
  <c r="W46" i="7"/>
  <c r="X46" i="7"/>
  <c r="Y46" i="7"/>
  <c r="AA46" i="7"/>
  <c r="AB46" i="7"/>
  <c r="AC46" i="7"/>
  <c r="AD46" i="7"/>
  <c r="AE46" i="7"/>
  <c r="AF46" i="7"/>
  <c r="AG46" i="7"/>
  <c r="B47" i="7"/>
  <c r="A1" i="30"/>
  <c r="B1" i="30"/>
  <c r="A2" i="30"/>
  <c r="C11" i="30"/>
  <c r="C23" i="30"/>
  <c r="D26" i="30"/>
  <c r="E26" i="30"/>
  <c r="G6" i="26"/>
  <c r="G7" i="26"/>
  <c r="H7" i="26" s="1"/>
  <c r="G8" i="26"/>
  <c r="H8" i="26"/>
  <c r="H9" i="26"/>
  <c r="G10" i="26"/>
  <c r="H10" i="26" s="1"/>
  <c r="G11" i="26"/>
  <c r="G14" i="26"/>
  <c r="M25" i="3" s="1"/>
  <c r="G15" i="26"/>
  <c r="D16" i="26"/>
  <c r="G5" i="26" s="1"/>
  <c r="D25" i="3" s="1"/>
  <c r="D30" i="3" s="1"/>
  <c r="G22" i="26"/>
  <c r="G24" i="26"/>
  <c r="G25" i="26"/>
  <c r="D28" i="26"/>
  <c r="D40" i="26"/>
  <c r="D52" i="26"/>
  <c r="D64" i="26"/>
  <c r="G9" i="26" s="1"/>
  <c r="D76" i="26"/>
  <c r="D88" i="26"/>
  <c r="D100" i="26"/>
  <c r="G12" i="26" s="1"/>
  <c r="H12" i="26" s="1"/>
  <c r="D112" i="26"/>
  <c r="G13" i="26" s="1"/>
  <c r="D124" i="26"/>
  <c r="D136" i="26"/>
  <c r="D148" i="26"/>
  <c r="G16" i="26" s="1"/>
  <c r="D160" i="26"/>
  <c r="G17" i="26" s="1"/>
  <c r="H18" i="26" s="1"/>
  <c r="D172" i="26"/>
  <c r="G18" i="26" s="1"/>
  <c r="Q25" i="3" s="1"/>
  <c r="Q30" i="3" s="1"/>
  <c r="D184" i="26"/>
  <c r="G19" i="26" s="1"/>
  <c r="H19" i="26" s="1"/>
  <c r="D196" i="26"/>
  <c r="G20" i="26" s="1"/>
  <c r="H20" i="26" s="1"/>
  <c r="D208" i="26"/>
  <c r="G21" i="26" s="1"/>
  <c r="D220" i="26"/>
  <c r="D232" i="26"/>
  <c r="G23" i="26" s="1"/>
  <c r="H23" i="26" s="1"/>
  <c r="D244" i="26"/>
  <c r="D256" i="26"/>
  <c r="A2" i="18"/>
  <c r="C6" i="18"/>
  <c r="E32" i="18" s="1"/>
  <c r="F32" i="18" s="1"/>
  <c r="C7" i="18"/>
  <c r="C8" i="18"/>
  <c r="D8" i="18" s="1"/>
  <c r="C15" i="18"/>
  <c r="A16" i="18"/>
  <c r="C16" i="18"/>
  <c r="E16" i="18" s="1"/>
  <c r="F16" i="18" s="1"/>
  <c r="C17" i="18"/>
  <c r="C18" i="18"/>
  <c r="E18" i="18" s="1"/>
  <c r="F18" i="18" s="1"/>
  <c r="C19" i="18"/>
  <c r="C20" i="18"/>
  <c r="E20" i="18" s="1"/>
  <c r="F20" i="18" s="1"/>
  <c r="C21" i="18"/>
  <c r="C22" i="18"/>
  <c r="C23" i="18"/>
  <c r="C24" i="18"/>
  <c r="C25" i="18"/>
  <c r="C26" i="18"/>
  <c r="E26" i="18" s="1"/>
  <c r="F26" i="18" s="1"/>
  <c r="C27" i="18"/>
  <c r="E27" i="18"/>
  <c r="F27" i="18" s="1"/>
  <c r="C28" i="18"/>
  <c r="C29" i="18"/>
  <c r="H57" i="18"/>
  <c r="I57" i="18"/>
  <c r="J57" i="18"/>
  <c r="K57" i="18"/>
  <c r="L57" i="18"/>
  <c r="M57" i="18"/>
  <c r="D59" i="18"/>
  <c r="D15" i="18" s="1"/>
  <c r="D34" i="18" s="1"/>
  <c r="A2" i="4"/>
  <c r="C6" i="4"/>
  <c r="D17" i="4"/>
  <c r="E17" i="4"/>
  <c r="F17" i="4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/>
  <c r="E23" i="4"/>
  <c r="F23" i="4" s="1"/>
  <c r="G23" i="4"/>
  <c r="H23" i="4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3" i="4"/>
  <c r="B44" i="4"/>
  <c r="B2" i="3"/>
  <c r="D7" i="3"/>
  <c r="E7" i="3"/>
  <c r="F7" i="3"/>
  <c r="D8" i="3"/>
  <c r="D7" i="7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5" i="3"/>
  <c r="F25" i="3"/>
  <c r="G25" i="3"/>
  <c r="H25" i="3"/>
  <c r="H30" i="3" s="1"/>
  <c r="I25" i="3"/>
  <c r="J25" i="3"/>
  <c r="J30" i="3" s="1"/>
  <c r="K25" i="3"/>
  <c r="K30" i="3" s="1"/>
  <c r="K34" i="3" s="1"/>
  <c r="L25" i="3"/>
  <c r="N25" i="3"/>
  <c r="R25" i="3"/>
  <c r="R30" i="3" s="1"/>
  <c r="S25" i="3"/>
  <c r="S30" i="3" s="1"/>
  <c r="U25" i="3"/>
  <c r="V25" i="3"/>
  <c r="D28" i="3"/>
  <c r="E28" i="3"/>
  <c r="E30" i="3" s="1"/>
  <c r="F28" i="3"/>
  <c r="G28" i="3"/>
  <c r="H28" i="3"/>
  <c r="I28" i="3"/>
  <c r="J28" i="3"/>
  <c r="K28" i="3"/>
  <c r="L28" i="3"/>
  <c r="M28" i="3"/>
  <c r="M30" i="3" s="1"/>
  <c r="N28" i="3"/>
  <c r="N30" i="3" s="1"/>
  <c r="O28" i="3"/>
  <c r="P28" i="3"/>
  <c r="Q28" i="3"/>
  <c r="R28" i="3"/>
  <c r="S28" i="3"/>
  <c r="T28" i="3"/>
  <c r="U28" i="3"/>
  <c r="U30" i="3" s="1"/>
  <c r="V28" i="3"/>
  <c r="W28" i="3"/>
  <c r="X28" i="3"/>
  <c r="Y28" i="3"/>
  <c r="Z28" i="3"/>
  <c r="AA28" i="3"/>
  <c r="AB28" i="3"/>
  <c r="AC28" i="3"/>
  <c r="AC30" i="3" s="1"/>
  <c r="AD28" i="3"/>
  <c r="AD30" i="3" s="1"/>
  <c r="AE28" i="3"/>
  <c r="AF28" i="3"/>
  <c r="AG28" i="3"/>
  <c r="AH28" i="3"/>
  <c r="A30" i="3"/>
  <c r="F30" i="3"/>
  <c r="G30" i="3"/>
  <c r="I30" i="3"/>
  <c r="L30" i="3"/>
  <c r="V30" i="3"/>
  <c r="Y30" i="3"/>
  <c r="Z30" i="3"/>
  <c r="AA30" i="3"/>
  <c r="AB30" i="3"/>
  <c r="AE30" i="3"/>
  <c r="AF30" i="3"/>
  <c r="AG30" i="3"/>
  <c r="AH30" i="3"/>
  <c r="J34" i="3"/>
  <c r="R34" i="3"/>
  <c r="S34" i="3"/>
  <c r="Z34" i="3"/>
  <c r="AA34" i="3"/>
  <c r="AH34" i="3"/>
  <c r="D35" i="3"/>
  <c r="E35" i="3"/>
  <c r="F35" i="3"/>
  <c r="A38" i="3"/>
  <c r="D42" i="3"/>
  <c r="D44" i="3" s="1"/>
  <c r="E42" i="3"/>
  <c r="E44" i="3" s="1"/>
  <c r="F42" i="3"/>
  <c r="F44" i="3" s="1"/>
  <c r="F34" i="3" s="1"/>
  <c r="F36" i="3" s="1"/>
  <c r="G42" i="3"/>
  <c r="H42" i="3"/>
  <c r="H44" i="3" s="1"/>
  <c r="H34" i="3" s="1"/>
  <c r="I42" i="3"/>
  <c r="J42" i="3"/>
  <c r="K42" i="3"/>
  <c r="L42" i="3"/>
  <c r="L44" i="3" s="1"/>
  <c r="L34" i="3" s="1"/>
  <c r="M42" i="3"/>
  <c r="M44" i="3" s="1"/>
  <c r="N42" i="3"/>
  <c r="N44" i="3" s="1"/>
  <c r="N34" i="3" s="1"/>
  <c r="O42" i="3"/>
  <c r="P42" i="3"/>
  <c r="P44" i="3" s="1"/>
  <c r="Q42" i="3"/>
  <c r="R42" i="3"/>
  <c r="S42" i="3"/>
  <c r="T42" i="3"/>
  <c r="T44" i="3" s="1"/>
  <c r="U42" i="3"/>
  <c r="U44" i="3" s="1"/>
  <c r="V42" i="3"/>
  <c r="V44" i="3" s="1"/>
  <c r="V34" i="3" s="1"/>
  <c r="W42" i="3"/>
  <c r="X42" i="3"/>
  <c r="X44" i="3" s="1"/>
  <c r="Y42" i="3"/>
  <c r="Z42" i="3"/>
  <c r="AA42" i="3"/>
  <c r="AB42" i="3"/>
  <c r="AB44" i="3" s="1"/>
  <c r="AB34" i="3" s="1"/>
  <c r="AC42" i="3"/>
  <c r="AC44" i="3" s="1"/>
  <c r="AD42" i="3"/>
  <c r="AD44" i="3" s="1"/>
  <c r="AD34" i="3" s="1"/>
  <c r="AE42" i="3"/>
  <c r="AF42" i="3"/>
  <c r="AF44" i="3" s="1"/>
  <c r="AF34" i="3" s="1"/>
  <c r="AG42" i="3"/>
  <c r="AH42" i="3"/>
  <c r="G44" i="3"/>
  <c r="G34" i="3" s="1"/>
  <c r="I44" i="3"/>
  <c r="I34" i="3" s="1"/>
  <c r="J44" i="3"/>
  <c r="K44" i="3"/>
  <c r="O44" i="3"/>
  <c r="Q44" i="3"/>
  <c r="Q34" i="3" s="1"/>
  <c r="R44" i="3"/>
  <c r="S44" i="3"/>
  <c r="W44" i="3"/>
  <c r="Y44" i="3"/>
  <c r="Y34" i="3" s="1"/>
  <c r="Z44" i="3"/>
  <c r="AA44" i="3"/>
  <c r="AE44" i="3"/>
  <c r="AE34" i="3" s="1"/>
  <c r="AG44" i="3"/>
  <c r="AG34" i="3" s="1"/>
  <c r="AH44" i="3"/>
  <c r="A2" i="25"/>
  <c r="C6" i="25"/>
  <c r="D6" i="25"/>
  <c r="E6" i="25"/>
  <c r="C7" i="25"/>
  <c r="B8" i="25"/>
  <c r="C8" i="25"/>
  <c r="D8" i="25"/>
  <c r="E8" i="25"/>
  <c r="F8" i="25"/>
  <c r="B13" i="25"/>
  <c r="B18" i="25"/>
  <c r="B21" i="25"/>
  <c r="A41" i="25"/>
  <c r="A48" i="25"/>
  <c r="A55" i="25"/>
  <c r="B57" i="25"/>
  <c r="W58" i="25"/>
  <c r="AG58" i="25"/>
  <c r="B4" i="34"/>
  <c r="A2" i="8"/>
  <c r="B6" i="8"/>
  <c r="C6" i="8"/>
  <c r="D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B27" i="25" l="1"/>
  <c r="B37" i="25"/>
  <c r="B50" i="25"/>
  <c r="B43" i="25"/>
  <c r="AC34" i="3"/>
  <c r="U34" i="3"/>
  <c r="M34" i="3"/>
  <c r="E34" i="3"/>
  <c r="E36" i="3" s="1"/>
  <c r="E38" i="3" s="1"/>
  <c r="A17" i="18"/>
  <c r="D34" i="3"/>
  <c r="D36" i="3" s="1"/>
  <c r="D38" i="3" s="1"/>
  <c r="N32" i="2"/>
  <c r="O32" i="2" s="1"/>
  <c r="C10" i="4"/>
  <c r="C17" i="4"/>
  <c r="C26" i="4"/>
  <c r="N33" i="2" s="1"/>
  <c r="O33" i="2" s="1"/>
  <c r="S26" i="4"/>
  <c r="H17" i="26"/>
  <c r="P25" i="3"/>
  <c r="P30" i="3" s="1"/>
  <c r="P34" i="3" s="1"/>
  <c r="H16" i="26"/>
  <c r="O25" i="3"/>
  <c r="O30" i="3" s="1"/>
  <c r="O34" i="3" s="1"/>
  <c r="F38" i="3"/>
  <c r="E6" i="19"/>
  <c r="D6" i="33"/>
  <c r="E6" i="7"/>
  <c r="E21" i="3"/>
  <c r="F21" i="3"/>
  <c r="D6" i="4"/>
  <c r="D10" i="4" s="1"/>
  <c r="E25" i="18"/>
  <c r="F25" i="18" s="1"/>
  <c r="E19" i="18"/>
  <c r="F19" i="18" s="1"/>
  <c r="H14" i="26"/>
  <c r="E28" i="18"/>
  <c r="F28" i="18" s="1"/>
  <c r="E24" i="18"/>
  <c r="F24" i="18" s="1"/>
  <c r="H21" i="26"/>
  <c r="H22" i="26"/>
  <c r="T25" i="3"/>
  <c r="T30" i="3" s="1"/>
  <c r="T34" i="3" s="1"/>
  <c r="H13" i="26"/>
  <c r="X25" i="3"/>
  <c r="X30" i="3" s="1"/>
  <c r="X34" i="3" s="1"/>
  <c r="H25" i="26"/>
  <c r="H24" i="26"/>
  <c r="W25" i="3"/>
  <c r="W30" i="3" s="1"/>
  <c r="W34" i="3" s="1"/>
  <c r="C26" i="30"/>
  <c r="D27" i="30"/>
  <c r="C27" i="30" s="1"/>
  <c r="F6" i="19"/>
  <c r="E6" i="33"/>
  <c r="F6" i="7"/>
  <c r="E6" i="4"/>
  <c r="G7" i="3"/>
  <c r="C34" i="18"/>
  <c r="E17" i="18"/>
  <c r="F17" i="18" s="1"/>
  <c r="E23" i="18"/>
  <c r="F23" i="18" s="1"/>
  <c r="E30" i="18"/>
  <c r="F30" i="18" s="1"/>
  <c r="E22" i="18"/>
  <c r="F22" i="18" s="1"/>
  <c r="E15" i="18"/>
  <c r="E21" i="18"/>
  <c r="F21" i="18" s="1"/>
  <c r="E29" i="18"/>
  <c r="F29" i="18" s="1"/>
  <c r="E33" i="18"/>
  <c r="F33" i="18" s="1"/>
  <c r="E31" i="18"/>
  <c r="F31" i="18" s="1"/>
  <c r="H15" i="26"/>
  <c r="E8" i="3"/>
  <c r="D6" i="19"/>
  <c r="C6" i="33"/>
  <c r="D6" i="7"/>
  <c r="C7" i="4"/>
  <c r="D7" i="19"/>
  <c r="C7" i="33"/>
  <c r="H17" i="7"/>
  <c r="H27" i="7"/>
  <c r="H32" i="7" s="1"/>
  <c r="H42" i="7"/>
  <c r="H46" i="7" s="1"/>
  <c r="M32" i="7"/>
  <c r="U32" i="7"/>
  <c r="AC32" i="7"/>
  <c r="N32" i="7"/>
  <c r="V32" i="7"/>
  <c r="AD32" i="7"/>
  <c r="O32" i="7"/>
  <c r="W32" i="7"/>
  <c r="AE32" i="7"/>
  <c r="P32" i="7"/>
  <c r="X32" i="7"/>
  <c r="AF32" i="7"/>
  <c r="Q32" i="7"/>
  <c r="Y32" i="7"/>
  <c r="AG32" i="7"/>
  <c r="L32" i="7"/>
  <c r="T32" i="7"/>
  <c r="AB32" i="7"/>
  <c r="G27" i="7"/>
  <c r="G32" i="7" s="1"/>
  <c r="G42" i="7"/>
  <c r="G46" i="7" s="1"/>
  <c r="H11" i="26"/>
  <c r="AH32" i="7"/>
  <c r="E27" i="7"/>
  <c r="E32" i="7" s="1"/>
  <c r="E17" i="7"/>
  <c r="E42" i="7"/>
  <c r="E46" i="7" s="1"/>
  <c r="G17" i="7"/>
  <c r="O17" i="7"/>
  <c r="W17" i="7"/>
  <c r="AE17" i="7"/>
  <c r="J17" i="7"/>
  <c r="R17" i="7"/>
  <c r="Z17" i="7"/>
  <c r="AH17" i="7"/>
  <c r="AD17" i="7"/>
  <c r="T17" i="7"/>
  <c r="F13" i="7"/>
  <c r="G39" i="2"/>
  <c r="B36" i="6"/>
  <c r="F8" i="33"/>
  <c r="H8" i="19"/>
  <c r="H15" i="29"/>
  <c r="I7" i="29"/>
  <c r="F20" i="29"/>
  <c r="C21" i="29"/>
  <c r="C36" i="29" s="1"/>
  <c r="C68" i="29" s="1"/>
  <c r="F68" i="29" s="1"/>
  <c r="E20" i="29"/>
  <c r="E21" i="29" s="1"/>
  <c r="E36" i="29" s="1"/>
  <c r="F21" i="29"/>
  <c r="F36" i="29" s="1"/>
  <c r="F8" i="29"/>
  <c r="F15" i="29" s="1"/>
  <c r="C15" i="29"/>
  <c r="E8" i="29"/>
  <c r="I8" i="29" s="1"/>
  <c r="C36" i="2"/>
  <c r="H62" i="2"/>
  <c r="D58" i="2"/>
  <c r="D49" i="2"/>
  <c r="D35" i="2"/>
  <c r="D31" i="2"/>
  <c r="D23" i="2"/>
  <c r="O20" i="2"/>
  <c r="D57" i="2"/>
  <c r="D45" i="2"/>
  <c r="D41" i="2"/>
  <c r="D30" i="2"/>
  <c r="D27" i="2"/>
  <c r="D22" i="2"/>
  <c r="D51" i="2"/>
  <c r="D48" i="2"/>
  <c r="D32" i="2"/>
  <c r="O24" i="2"/>
  <c r="O19" i="2"/>
  <c r="D56" i="2"/>
  <c r="D44" i="2"/>
  <c r="D40" i="2"/>
  <c r="D24" i="2"/>
  <c r="O21" i="2"/>
  <c r="D50" i="2"/>
  <c r="D21" i="2"/>
  <c r="D36" i="2" s="1"/>
  <c r="D47" i="2"/>
  <c r="D43" i="2"/>
  <c r="D33" i="2"/>
  <c r="D29" i="2"/>
  <c r="D26" i="2"/>
  <c r="F27" i="7" l="1"/>
  <c r="F32" i="7" s="1"/>
  <c r="F17" i="7"/>
  <c r="F42" i="7"/>
  <c r="F46" i="7" s="1"/>
  <c r="O26" i="2"/>
  <c r="I8" i="19"/>
  <c r="G8" i="33"/>
  <c r="G8" i="25"/>
  <c r="A18" i="18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G6" i="19"/>
  <c r="F6" i="33"/>
  <c r="G6" i="7"/>
  <c r="F6" i="4"/>
  <c r="H7" i="3"/>
  <c r="H21" i="3"/>
  <c r="G35" i="3"/>
  <c r="G36" i="3" s="1"/>
  <c r="G38" i="3" s="1"/>
  <c r="F11" i="4" s="1"/>
  <c r="F6" i="25"/>
  <c r="E6" i="8"/>
  <c r="D14" i="7"/>
  <c r="D41" i="7"/>
  <c r="D43" i="7"/>
  <c r="D47" i="7" s="1"/>
  <c r="D13" i="7"/>
  <c r="E14" i="7"/>
  <c r="E41" i="7"/>
  <c r="E43" i="7"/>
  <c r="E47" i="7" s="1"/>
  <c r="F37" i="29"/>
  <c r="I15" i="29"/>
  <c r="E34" i="18"/>
  <c r="F15" i="18"/>
  <c r="G21" i="3"/>
  <c r="C16" i="4"/>
  <c r="K16" i="4"/>
  <c r="S16" i="4"/>
  <c r="AA16" i="4"/>
  <c r="D16" i="4"/>
  <c r="L16" i="4"/>
  <c r="T16" i="4"/>
  <c r="AB16" i="4"/>
  <c r="E16" i="4"/>
  <c r="M16" i="4"/>
  <c r="U16" i="4"/>
  <c r="AC16" i="4"/>
  <c r="F16" i="4"/>
  <c r="N16" i="4"/>
  <c r="V16" i="4"/>
  <c r="AD16" i="4"/>
  <c r="G16" i="4"/>
  <c r="O16" i="4"/>
  <c r="W16" i="4"/>
  <c r="AE16" i="4"/>
  <c r="J16" i="4"/>
  <c r="R16" i="4"/>
  <c r="Z16" i="4"/>
  <c r="P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Q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X16" i="4"/>
  <c r="Y16" i="4"/>
  <c r="AF16" i="4"/>
  <c r="I16" i="4"/>
  <c r="AG16" i="4"/>
  <c r="H16" i="4"/>
  <c r="D13" i="4"/>
  <c r="C61" i="2"/>
  <c r="B16" i="7"/>
  <c r="F14" i="7"/>
  <c r="F41" i="7"/>
  <c r="F43" i="7"/>
  <c r="F47" i="7" s="1"/>
  <c r="C11" i="4"/>
  <c r="C13" i="4" s="1"/>
  <c r="D11" i="4"/>
  <c r="C67" i="29"/>
  <c r="E15" i="29"/>
  <c r="E37" i="29" s="1"/>
  <c r="C58" i="29" s="1"/>
  <c r="C69" i="29"/>
  <c r="F69" i="29" s="1"/>
  <c r="E10" i="4"/>
  <c r="E13" i="4" s="1"/>
  <c r="B49" i="6"/>
  <c r="C12" i="25"/>
  <c r="E7" i="19"/>
  <c r="D7" i="33"/>
  <c r="E7" i="7"/>
  <c r="F8" i="3"/>
  <c r="D7" i="25"/>
  <c r="C7" i="8"/>
  <c r="D7" i="4"/>
  <c r="C76" i="2" s="1"/>
  <c r="E11" i="4"/>
  <c r="E7" i="33" l="1"/>
  <c r="F7" i="19"/>
  <c r="F7" i="7"/>
  <c r="G8" i="3"/>
  <c r="E7" i="25"/>
  <c r="E7" i="4"/>
  <c r="D76" i="2" s="1"/>
  <c r="D7" i="8"/>
  <c r="F28" i="7"/>
  <c r="F33" i="7" s="1"/>
  <c r="F18" i="7"/>
  <c r="F34" i="18"/>
  <c r="G15" i="18"/>
  <c r="D17" i="7"/>
  <c r="D42" i="7"/>
  <c r="D46" i="7" s="1"/>
  <c r="D27" i="7"/>
  <c r="D32" i="7" s="1"/>
  <c r="I13" i="7"/>
  <c r="F67" i="29"/>
  <c r="F72" i="29" s="1"/>
  <c r="F75" i="29" s="1"/>
  <c r="C72" i="29"/>
  <c r="C75" i="29" s="1"/>
  <c r="H6" i="19"/>
  <c r="G6" i="33"/>
  <c r="H6" i="7"/>
  <c r="G6" i="4"/>
  <c r="G10" i="4" s="1"/>
  <c r="G13" i="4" s="1"/>
  <c r="I7" i="3"/>
  <c r="H35" i="3"/>
  <c r="H36" i="3" s="1"/>
  <c r="H38" i="3" s="1"/>
  <c r="G11" i="4" s="1"/>
  <c r="F6" i="8"/>
  <c r="G6" i="25"/>
  <c r="A19" i="18"/>
  <c r="N29" i="2"/>
  <c r="O29" i="2" s="1"/>
  <c r="F58" i="29"/>
  <c r="F59" i="29" s="1"/>
  <c r="C59" i="29"/>
  <c r="C70" i="29" s="1"/>
  <c r="F70" i="29" s="1"/>
  <c r="F10" i="4"/>
  <c r="F13" i="4" s="1"/>
  <c r="J8" i="19"/>
  <c r="H8" i="33"/>
  <c r="H8" i="25"/>
  <c r="E28" i="7"/>
  <c r="E33" i="7" s="1"/>
  <c r="E18" i="7"/>
  <c r="G16" i="7"/>
  <c r="O16" i="7"/>
  <c r="W16" i="7"/>
  <c r="AE16" i="7"/>
  <c r="J16" i="7"/>
  <c r="R16" i="7"/>
  <c r="Z16" i="7"/>
  <c r="AH16" i="7"/>
  <c r="D16" i="7"/>
  <c r="N16" i="7"/>
  <c r="Y16" i="7"/>
  <c r="E16" i="7"/>
  <c r="E19" i="7" s="1"/>
  <c r="P16" i="7"/>
  <c r="AA16" i="7"/>
  <c r="F16" i="7"/>
  <c r="Q16" i="7"/>
  <c r="AB16" i="7"/>
  <c r="H16" i="7"/>
  <c r="S16" i="7"/>
  <c r="AC16" i="7"/>
  <c r="I16" i="7"/>
  <c r="T16" i="7"/>
  <c r="AD16" i="7"/>
  <c r="M16" i="7"/>
  <c r="X16" i="7"/>
  <c r="B19" i="7"/>
  <c r="B45" i="7"/>
  <c r="B48" i="7" s="1"/>
  <c r="AG16" i="7"/>
  <c r="B31" i="7"/>
  <c r="K16" i="7"/>
  <c r="L16" i="7"/>
  <c r="AF16" i="7"/>
  <c r="V16" i="7"/>
  <c r="U16" i="7"/>
  <c r="D18" i="7"/>
  <c r="D28" i="7"/>
  <c r="D33" i="7" s="1"/>
  <c r="G14" i="7"/>
  <c r="G41" i="7"/>
  <c r="G43" i="7"/>
  <c r="G47" i="7" s="1"/>
  <c r="B21" i="2"/>
  <c r="B50" i="2"/>
  <c r="C18" i="19"/>
  <c r="C20" i="19" s="1"/>
  <c r="C25" i="19" s="1"/>
  <c r="B24" i="2"/>
  <c r="B40" i="2"/>
  <c r="B44" i="2"/>
  <c r="B56" i="2"/>
  <c r="B32" i="2"/>
  <c r="B48" i="2"/>
  <c r="B51" i="2"/>
  <c r="B22" i="2"/>
  <c r="B27" i="2"/>
  <c r="B30" i="2"/>
  <c r="B41" i="2"/>
  <c r="B45" i="2"/>
  <c r="B57" i="2"/>
  <c r="B25" i="2"/>
  <c r="B52" i="2"/>
  <c r="C11" i="2"/>
  <c r="B26" i="2"/>
  <c r="B29" i="2"/>
  <c r="B33" i="2"/>
  <c r="B43" i="2"/>
  <c r="B47" i="2"/>
  <c r="B28" i="2"/>
  <c r="B46" i="2"/>
  <c r="B35" i="2"/>
  <c r="B58" i="2"/>
  <c r="B31" i="2"/>
  <c r="B39" i="2"/>
  <c r="B42" i="2"/>
  <c r="D61" i="2"/>
  <c r="C65" i="2" s="1"/>
  <c r="B23" i="2"/>
  <c r="B49" i="2"/>
  <c r="L69" i="33"/>
  <c r="E3" i="32"/>
  <c r="D3" i="32"/>
  <c r="AG51" i="25"/>
  <c r="W51" i="25" s="1"/>
  <c r="B20" i="2"/>
  <c r="B34" i="2"/>
  <c r="I6" i="19" l="1"/>
  <c r="H6" i="33"/>
  <c r="H6" i="4"/>
  <c r="H10" i="4" s="1"/>
  <c r="H13" i="4" s="1"/>
  <c r="J7" i="3"/>
  <c r="I6" i="7"/>
  <c r="J21" i="3"/>
  <c r="H6" i="25"/>
  <c r="I35" i="3"/>
  <c r="I36" i="3" s="1"/>
  <c r="I38" i="3" s="1"/>
  <c r="H11" i="4" s="1"/>
  <c r="G6" i="8"/>
  <c r="I27" i="7"/>
  <c r="I32" i="7" s="1"/>
  <c r="I42" i="7"/>
  <c r="I46" i="7" s="1"/>
  <c r="I17" i="7"/>
  <c r="A20" i="18"/>
  <c r="B53" i="2"/>
  <c r="G28" i="7"/>
  <c r="G33" i="7" s="1"/>
  <c r="G18" i="7"/>
  <c r="G19" i="7" s="1"/>
  <c r="D19" i="7"/>
  <c r="K8" i="19"/>
  <c r="I8" i="33"/>
  <c r="I8" i="25"/>
  <c r="F45" i="7"/>
  <c r="F48" i="7" s="1"/>
  <c r="E35" i="4" s="1"/>
  <c r="D11" i="8" s="1"/>
  <c r="F7" i="33"/>
  <c r="G7" i="19"/>
  <c r="G7" i="7"/>
  <c r="F7" i="4"/>
  <c r="H8" i="3"/>
  <c r="F7" i="25"/>
  <c r="E7" i="8"/>
  <c r="G45" i="7"/>
  <c r="G48" i="7" s="1"/>
  <c r="F35" i="4" s="1"/>
  <c r="E11" i="8" s="1"/>
  <c r="G5" i="35"/>
  <c r="D8" i="32"/>
  <c r="B89" i="33" s="1"/>
  <c r="B93" i="33" s="1"/>
  <c r="B16" i="32"/>
  <c r="C27" i="32"/>
  <c r="C35" i="32"/>
  <c r="C43" i="32"/>
  <c r="D59" i="32"/>
  <c r="C16" i="32"/>
  <c r="C21" i="32"/>
  <c r="C24" i="32"/>
  <c r="C40" i="32"/>
  <c r="G16" i="32"/>
  <c r="C23" i="32"/>
  <c r="C39" i="32"/>
  <c r="C18" i="32"/>
  <c r="C22" i="32"/>
  <c r="C26" i="32"/>
  <c r="C37" i="32"/>
  <c r="C42" i="32"/>
  <c r="C20" i="32"/>
  <c r="B35" i="32"/>
  <c r="C17" i="32"/>
  <c r="C19" i="32"/>
  <c r="C38" i="32"/>
  <c r="C41" i="32"/>
  <c r="C36" i="32"/>
  <c r="C44" i="32"/>
  <c r="C25" i="32"/>
  <c r="H16" i="18"/>
  <c r="G16" i="18" s="1"/>
  <c r="D21" i="7"/>
  <c r="E21" i="7" s="1"/>
  <c r="F21" i="7" s="1"/>
  <c r="B21" i="7"/>
  <c r="F5" i="35"/>
  <c r="H5" i="35"/>
  <c r="E59" i="32"/>
  <c r="E64" i="32" s="1"/>
  <c r="E8" i="32"/>
  <c r="L27" i="32"/>
  <c r="F19" i="7"/>
  <c r="D45" i="7"/>
  <c r="D48" i="7" s="1"/>
  <c r="I21" i="3"/>
  <c r="K18" i="19"/>
  <c r="S18" i="19"/>
  <c r="AA18" i="19"/>
  <c r="D18" i="19"/>
  <c r="L18" i="19"/>
  <c r="T18" i="19"/>
  <c r="AB18" i="19"/>
  <c r="E18" i="19"/>
  <c r="M18" i="19"/>
  <c r="U18" i="19"/>
  <c r="AC18" i="19"/>
  <c r="F18" i="19"/>
  <c r="N18" i="19"/>
  <c r="V18" i="19"/>
  <c r="AD18" i="19"/>
  <c r="G18" i="19"/>
  <c r="O18" i="19"/>
  <c r="W18" i="19"/>
  <c r="AE18" i="19"/>
  <c r="J18" i="19"/>
  <c r="R18" i="19"/>
  <c r="Z18" i="19"/>
  <c r="AH18" i="19"/>
  <c r="AF18" i="19"/>
  <c r="AG18" i="19"/>
  <c r="H18" i="19"/>
  <c r="I18" i="19"/>
  <c r="P18" i="19"/>
  <c r="Y18" i="19"/>
  <c r="X18" i="19"/>
  <c r="Q18" i="19"/>
  <c r="B50" i="7"/>
  <c r="D50" i="7"/>
  <c r="D11" i="2"/>
  <c r="H47" i="2"/>
  <c r="G41" i="19"/>
  <c r="O41" i="19"/>
  <c r="W41" i="19"/>
  <c r="AE41" i="19"/>
  <c r="J41" i="19"/>
  <c r="R41" i="19"/>
  <c r="Z41" i="19"/>
  <c r="AH41" i="19"/>
  <c r="E41" i="19"/>
  <c r="M41" i="19"/>
  <c r="U41" i="19"/>
  <c r="AC41" i="19"/>
  <c r="H41" i="19"/>
  <c r="T41" i="19"/>
  <c r="AG41" i="19"/>
  <c r="I41" i="19"/>
  <c r="V41" i="19"/>
  <c r="K41" i="19"/>
  <c r="X41" i="19"/>
  <c r="L41" i="19"/>
  <c r="Y41" i="19"/>
  <c r="H48" i="2"/>
  <c r="N41" i="19"/>
  <c r="AA41" i="19"/>
  <c r="F41" i="19"/>
  <c r="S41" i="19"/>
  <c r="AF41" i="19"/>
  <c r="AD41" i="19"/>
  <c r="C14" i="2"/>
  <c r="C41" i="19"/>
  <c r="C43" i="19" s="1"/>
  <c r="C45" i="19" s="1"/>
  <c r="C47" i="19" s="1"/>
  <c r="D41" i="19"/>
  <c r="AB41" i="19"/>
  <c r="P41" i="19"/>
  <c r="Q41" i="19"/>
  <c r="B56" i="25"/>
  <c r="B59" i="25" s="1"/>
  <c r="B36" i="25"/>
  <c r="B38" i="25" s="1"/>
  <c r="B49" i="25"/>
  <c r="B52" i="25" s="1"/>
  <c r="B42" i="25"/>
  <c r="B45" i="25" s="1"/>
  <c r="B25" i="25"/>
  <c r="E45" i="7"/>
  <c r="E48" i="7" s="1"/>
  <c r="D35" i="4" s="1"/>
  <c r="C11" i="8" s="1"/>
  <c r="B36" i="2"/>
  <c r="B59" i="2"/>
  <c r="H14" i="7"/>
  <c r="H41" i="7"/>
  <c r="H45" i="7" s="1"/>
  <c r="H43" i="7"/>
  <c r="H47" i="7" s="1"/>
  <c r="E31" i="7"/>
  <c r="E34" i="7" s="1"/>
  <c r="C12" i="8" s="1"/>
  <c r="M31" i="7"/>
  <c r="U31" i="7"/>
  <c r="AC31" i="7"/>
  <c r="F31" i="7"/>
  <c r="F34" i="7" s="1"/>
  <c r="D12" i="8" s="1"/>
  <c r="N31" i="7"/>
  <c r="V31" i="7"/>
  <c r="AD31" i="7"/>
  <c r="G31" i="7"/>
  <c r="O31" i="7"/>
  <c r="W31" i="7"/>
  <c r="AE31" i="7"/>
  <c r="H31" i="7"/>
  <c r="P31" i="7"/>
  <c r="X31" i="7"/>
  <c r="AF31" i="7"/>
  <c r="I31" i="7"/>
  <c r="Q31" i="7"/>
  <c r="Y31" i="7"/>
  <c r="AG31" i="7"/>
  <c r="D31" i="7"/>
  <c r="D34" i="7" s="1"/>
  <c r="B12" i="8" s="1"/>
  <c r="L31" i="7"/>
  <c r="T31" i="7"/>
  <c r="AB31" i="7"/>
  <c r="AA31" i="7"/>
  <c r="AH31" i="7"/>
  <c r="B34" i="7"/>
  <c r="J31" i="7"/>
  <c r="K31" i="7"/>
  <c r="Z31" i="7"/>
  <c r="R31" i="7"/>
  <c r="S31" i="7"/>
  <c r="H17" i="18" l="1"/>
  <c r="G17" i="18" s="1"/>
  <c r="G21" i="7"/>
  <c r="I16" i="32"/>
  <c r="H16" i="32" s="1"/>
  <c r="G17" i="32"/>
  <c r="G34" i="7"/>
  <c r="E12" i="8" s="1"/>
  <c r="D36" i="7"/>
  <c r="E36" i="7" s="1"/>
  <c r="F36" i="7" s="1"/>
  <c r="G36" i="7" s="1"/>
  <c r="B36" i="7"/>
  <c r="B61" i="2"/>
  <c r="B29" i="25"/>
  <c r="C25" i="25" s="1"/>
  <c r="C26" i="25"/>
  <c r="D35" i="32"/>
  <c r="C12" i="33" s="1"/>
  <c r="B36" i="32"/>
  <c r="E35" i="32"/>
  <c r="C18" i="33" s="1"/>
  <c r="J6" i="19"/>
  <c r="I6" i="33"/>
  <c r="J6" i="7"/>
  <c r="I6" i="4"/>
  <c r="I10" i="4" s="1"/>
  <c r="K7" i="3"/>
  <c r="K21" i="3"/>
  <c r="I6" i="25"/>
  <c r="J35" i="3"/>
  <c r="J36" i="3" s="1"/>
  <c r="J38" i="3" s="1"/>
  <c r="I11" i="4" s="1"/>
  <c r="H6" i="8"/>
  <c r="D16" i="32"/>
  <c r="C24" i="4"/>
  <c r="E50" i="7"/>
  <c r="B35" i="33"/>
  <c r="B48" i="33"/>
  <c r="L8" i="19"/>
  <c r="J8" i="33"/>
  <c r="J8" i="25"/>
  <c r="G10" i="35"/>
  <c r="D29" i="35" s="1"/>
  <c r="A21" i="18"/>
  <c r="H7" i="19"/>
  <c r="G7" i="33"/>
  <c r="H7" i="7"/>
  <c r="G7" i="4"/>
  <c r="I8" i="3"/>
  <c r="F7" i="8"/>
  <c r="G7" i="25"/>
  <c r="H48" i="7"/>
  <c r="G35" i="4" s="1"/>
  <c r="F11" i="8" s="1"/>
  <c r="D19" i="19"/>
  <c r="D20" i="19" s="1"/>
  <c r="D25" i="19" s="1"/>
  <c r="E19" i="19"/>
  <c r="E20" i="19" s="1"/>
  <c r="E25" i="19" s="1"/>
  <c r="F19" i="19"/>
  <c r="F20" i="19" s="1"/>
  <c r="F25" i="19" s="1"/>
  <c r="G19" i="19"/>
  <c r="G20" i="19" s="1"/>
  <c r="G25" i="19" s="1"/>
  <c r="H19" i="19"/>
  <c r="H20" i="19" s="1"/>
  <c r="H25" i="19" s="1"/>
  <c r="C35" i="4"/>
  <c r="B11" i="8" s="1"/>
  <c r="L16" i="32"/>
  <c r="E16" i="32"/>
  <c r="J16" i="32" s="1"/>
  <c r="B12" i="2"/>
  <c r="D14" i="2"/>
  <c r="B14" i="2"/>
  <c r="N27" i="32"/>
  <c r="H34" i="7"/>
  <c r="F12" i="8" s="1"/>
  <c r="H18" i="7"/>
  <c r="H19" i="7" s="1"/>
  <c r="H28" i="7"/>
  <c r="H33" i="7" s="1"/>
  <c r="B11" i="2"/>
  <c r="I5" i="35"/>
  <c r="I10" i="35" s="1"/>
  <c r="H10" i="35"/>
  <c r="D64" i="32"/>
  <c r="I16" i="18"/>
  <c r="D15" i="35"/>
  <c r="F10" i="35"/>
  <c r="I14" i="7"/>
  <c r="I43" i="7"/>
  <c r="I47" i="7" s="1"/>
  <c r="I41" i="7"/>
  <c r="I45" i="7" s="1"/>
  <c r="I48" i="7" s="1"/>
  <c r="H35" i="4" s="1"/>
  <c r="G11" i="8" s="1"/>
  <c r="G18" i="18" l="1"/>
  <c r="H18" i="18"/>
  <c r="E15" i="35"/>
  <c r="F15" i="35" s="1"/>
  <c r="G15" i="35" s="1"/>
  <c r="H15" i="35" s="1"/>
  <c r="D36" i="35"/>
  <c r="D17" i="35"/>
  <c r="D16" i="35" s="1"/>
  <c r="E17" i="35"/>
  <c r="E16" i="35" s="1"/>
  <c r="H17" i="35"/>
  <c r="H16" i="35" s="1"/>
  <c r="F17" i="35"/>
  <c r="F16" i="35" s="1"/>
  <c r="G17" i="35"/>
  <c r="G16" i="35" s="1"/>
  <c r="D24" i="4"/>
  <c r="D30" i="4" s="1"/>
  <c r="F50" i="7"/>
  <c r="B17" i="32"/>
  <c r="B67" i="33"/>
  <c r="B81" i="33"/>
  <c r="I19" i="19"/>
  <c r="I20" i="19" s="1"/>
  <c r="I25" i="19" s="1"/>
  <c r="D36" i="32"/>
  <c r="D22" i="35"/>
  <c r="B40" i="33"/>
  <c r="B39" i="33"/>
  <c r="K6" i="19"/>
  <c r="J6" i="33"/>
  <c r="K6" i="7"/>
  <c r="J6" i="4"/>
  <c r="J10" i="4" s="1"/>
  <c r="L7" i="3"/>
  <c r="J6" i="25"/>
  <c r="K35" i="3"/>
  <c r="K36" i="3" s="1"/>
  <c r="K38" i="3" s="1"/>
  <c r="J11" i="4" s="1"/>
  <c r="I6" i="8"/>
  <c r="H36" i="7"/>
  <c r="H21" i="7"/>
  <c r="N31" i="2"/>
  <c r="O31" i="2" s="1"/>
  <c r="C30" i="4"/>
  <c r="H74" i="32"/>
  <c r="I28" i="7"/>
  <c r="I33" i="7" s="1"/>
  <c r="I34" i="7" s="1"/>
  <c r="G12" i="8" s="1"/>
  <c r="I18" i="7"/>
  <c r="I19" i="7" s="1"/>
  <c r="I13" i="4"/>
  <c r="B52" i="33"/>
  <c r="B53" i="33"/>
  <c r="I7" i="19"/>
  <c r="H7" i="33"/>
  <c r="I7" i="7"/>
  <c r="H7" i="4"/>
  <c r="J8" i="3"/>
  <c r="G7" i="8"/>
  <c r="H7" i="25"/>
  <c r="J14" i="7"/>
  <c r="J43" i="7"/>
  <c r="J47" i="7" s="1"/>
  <c r="J41" i="7"/>
  <c r="J45" i="7" s="1"/>
  <c r="M8" i="19"/>
  <c r="K8" i="33"/>
  <c r="K8" i="25"/>
  <c r="I17" i="32"/>
  <c r="L17" i="32"/>
  <c r="N16" i="32"/>
  <c r="M16" i="32" s="1"/>
  <c r="Q16" i="32" s="1"/>
  <c r="R16" i="32" s="1"/>
  <c r="R22" i="32" s="1"/>
  <c r="D25" i="35"/>
  <c r="O27" i="32"/>
  <c r="L28" i="32" s="1"/>
  <c r="A22" i="18"/>
  <c r="I17" i="18"/>
  <c r="B86" i="33" l="1"/>
  <c r="B85" i="33"/>
  <c r="I77" i="32"/>
  <c r="I81" i="32"/>
  <c r="I85" i="32"/>
  <c r="I75" i="32"/>
  <c r="I79" i="32"/>
  <c r="I83" i="32"/>
  <c r="I82" i="32"/>
  <c r="I86" i="32"/>
  <c r="I76" i="32"/>
  <c r="I80" i="32"/>
  <c r="J74" i="32"/>
  <c r="D31" i="35" s="1"/>
  <c r="I78" i="32"/>
  <c r="I84" i="32"/>
  <c r="I74" i="32"/>
  <c r="B71" i="33"/>
  <c r="B72" i="33"/>
  <c r="L6" i="19"/>
  <c r="K6" i="33"/>
  <c r="L6" i="7"/>
  <c r="M21" i="3"/>
  <c r="K6" i="4"/>
  <c r="M7" i="3"/>
  <c r="K6" i="25"/>
  <c r="L35" i="3"/>
  <c r="L36" i="3" s="1"/>
  <c r="L38" i="3" s="1"/>
  <c r="K11" i="4" s="1"/>
  <c r="J6" i="8"/>
  <c r="N8" i="19"/>
  <c r="L8" i="33"/>
  <c r="L8" i="25"/>
  <c r="M27" i="32"/>
  <c r="J13" i="4"/>
  <c r="D17" i="32"/>
  <c r="E17" i="32" s="1"/>
  <c r="J17" i="32" s="1"/>
  <c r="B18" i="32"/>
  <c r="A23" i="18"/>
  <c r="L21" i="3"/>
  <c r="D12" i="33"/>
  <c r="E36" i="32"/>
  <c r="E24" i="4"/>
  <c r="E30" i="4" s="1"/>
  <c r="G50" i="7"/>
  <c r="J28" i="7"/>
  <c r="J33" i="7" s="1"/>
  <c r="J34" i="7" s="1"/>
  <c r="H12" i="8" s="1"/>
  <c r="J18" i="7"/>
  <c r="J19" i="7" s="1"/>
  <c r="N28" i="32"/>
  <c r="E22" i="35"/>
  <c r="D24" i="35"/>
  <c r="D23" i="35" s="1"/>
  <c r="N17" i="32"/>
  <c r="M17" i="32" s="1"/>
  <c r="L18" i="32"/>
  <c r="J48" i="7"/>
  <c r="I21" i="7"/>
  <c r="K41" i="7"/>
  <c r="K45" i="7" s="1"/>
  <c r="K48" i="7" s="1"/>
  <c r="J35" i="4" s="1"/>
  <c r="I11" i="8" s="1"/>
  <c r="K43" i="7"/>
  <c r="K47" i="7" s="1"/>
  <c r="K14" i="7"/>
  <c r="D31" i="4"/>
  <c r="D33" i="4"/>
  <c r="H17" i="32"/>
  <c r="J7" i="19"/>
  <c r="I7" i="33"/>
  <c r="J7" i="7"/>
  <c r="I7" i="4"/>
  <c r="K8" i="3"/>
  <c r="I7" i="25"/>
  <c r="H7" i="8"/>
  <c r="C31" i="4"/>
  <c r="C33" i="4"/>
  <c r="I36" i="7"/>
  <c r="J36" i="7" s="1"/>
  <c r="I18" i="18"/>
  <c r="H19" i="18"/>
  <c r="M8" i="33" l="1"/>
  <c r="O8" i="19"/>
  <c r="M8" i="25"/>
  <c r="C77" i="2"/>
  <c r="D11" i="33"/>
  <c r="D15" i="33" s="1"/>
  <c r="D37" i="4"/>
  <c r="D11" i="25"/>
  <c r="C38" i="6"/>
  <c r="C29" i="6"/>
  <c r="C11" i="6" s="1"/>
  <c r="C13" i="6" s="1"/>
  <c r="I35" i="4"/>
  <c r="H11" i="8" s="1"/>
  <c r="K19" i="19"/>
  <c r="K20" i="19" s="1"/>
  <c r="K25" i="19" s="1"/>
  <c r="J19" i="19"/>
  <c r="J20" i="19" s="1"/>
  <c r="J25" i="19" s="1"/>
  <c r="H23" i="18"/>
  <c r="A24" i="18"/>
  <c r="D18" i="32"/>
  <c r="E18" i="32" s="1"/>
  <c r="J18" i="32" s="1"/>
  <c r="K7" i="19"/>
  <c r="J7" i="33"/>
  <c r="K7" i="7"/>
  <c r="J7" i="4"/>
  <c r="L8" i="3"/>
  <c r="J7" i="25"/>
  <c r="I7" i="8"/>
  <c r="E31" i="4"/>
  <c r="E33" i="4"/>
  <c r="E25" i="35"/>
  <c r="O28" i="32"/>
  <c r="L29" i="32" s="1"/>
  <c r="G18" i="32"/>
  <c r="D18" i="33"/>
  <c r="B37" i="32"/>
  <c r="L6" i="33"/>
  <c r="M6" i="19"/>
  <c r="M6" i="7"/>
  <c r="L6" i="4"/>
  <c r="L10" i="4" s="1"/>
  <c r="N7" i="3"/>
  <c r="L6" i="25"/>
  <c r="M35" i="3"/>
  <c r="M36" i="3" s="1"/>
  <c r="M38" i="3" s="1"/>
  <c r="L11" i="4" s="1"/>
  <c r="K6" i="8"/>
  <c r="K18" i="7"/>
  <c r="K19" i="7" s="1"/>
  <c r="K28" i="7"/>
  <c r="K33" i="7" s="1"/>
  <c r="K34" i="7" s="1"/>
  <c r="I12" i="8" s="1"/>
  <c r="F22" i="35"/>
  <c r="E24" i="35"/>
  <c r="E23" i="35" s="1"/>
  <c r="K10" i="4"/>
  <c r="K13" i="4" s="1"/>
  <c r="H50" i="7"/>
  <c r="F24" i="4"/>
  <c r="F30" i="4" s="1"/>
  <c r="D30" i="35"/>
  <c r="E30" i="35" s="1"/>
  <c r="F30" i="35" s="1"/>
  <c r="G30" i="35" s="1"/>
  <c r="H30" i="35" s="1"/>
  <c r="I30" i="35" s="1"/>
  <c r="J30" i="35" s="1"/>
  <c r="K30" i="35" s="1"/>
  <c r="L30" i="35" s="1"/>
  <c r="M30" i="35" s="1"/>
  <c r="N30" i="35" s="1"/>
  <c r="O30" i="35" s="1"/>
  <c r="P30" i="35" s="1"/>
  <c r="K74" i="32"/>
  <c r="L19" i="32"/>
  <c r="N18" i="32"/>
  <c r="M18" i="32" s="1"/>
  <c r="I19" i="18"/>
  <c r="J21" i="7"/>
  <c r="G19" i="18"/>
  <c r="B77" i="2"/>
  <c r="C11" i="33"/>
  <c r="C15" i="33" s="1"/>
  <c r="B38" i="6"/>
  <c r="C37" i="4"/>
  <c r="C11" i="25"/>
  <c r="C13" i="25" s="1"/>
  <c r="M28" i="32"/>
  <c r="L41" i="7"/>
  <c r="L45" i="7" s="1"/>
  <c r="L43" i="7"/>
  <c r="L47" i="7" s="1"/>
  <c r="L14" i="7"/>
  <c r="L48" i="7" l="1"/>
  <c r="F24" i="35"/>
  <c r="D37" i="32"/>
  <c r="H24" i="18"/>
  <c r="A25" i="18"/>
  <c r="F31" i="4"/>
  <c r="F33" i="4"/>
  <c r="M6" i="33"/>
  <c r="N6" i="19"/>
  <c r="N6" i="7"/>
  <c r="O21" i="3"/>
  <c r="M6" i="4"/>
  <c r="O7" i="3"/>
  <c r="N35" i="3"/>
  <c r="N36" i="3" s="1"/>
  <c r="N38" i="3" s="1"/>
  <c r="M11" i="4" s="1"/>
  <c r="L6" i="8"/>
  <c r="M6" i="25"/>
  <c r="D77" i="2"/>
  <c r="E11" i="33"/>
  <c r="E37" i="4"/>
  <c r="E11" i="25"/>
  <c r="D38" i="6"/>
  <c r="D29" i="6"/>
  <c r="D11" i="6" s="1"/>
  <c r="D13" i="6" s="1"/>
  <c r="B79" i="2"/>
  <c r="G24" i="4"/>
  <c r="G30" i="4" s="1"/>
  <c r="I50" i="7"/>
  <c r="L13" i="4"/>
  <c r="K36" i="7"/>
  <c r="K21" i="7"/>
  <c r="N21" i="3"/>
  <c r="B11" i="6"/>
  <c r="B13" i="6" s="1"/>
  <c r="B37" i="6" s="1"/>
  <c r="M41" i="7"/>
  <c r="M45" i="7" s="1"/>
  <c r="M48" i="7" s="1"/>
  <c r="L35" i="4" s="1"/>
  <c r="K11" i="8" s="1"/>
  <c r="M43" i="7"/>
  <c r="M47" i="7" s="1"/>
  <c r="M14" i="7"/>
  <c r="N8" i="33"/>
  <c r="P8" i="19"/>
  <c r="N8" i="25"/>
  <c r="L7" i="19"/>
  <c r="K7" i="33"/>
  <c r="L7" i="7"/>
  <c r="K7" i="4"/>
  <c r="M8" i="3"/>
  <c r="K7" i="25"/>
  <c r="J7" i="8"/>
  <c r="L28" i="7"/>
  <c r="L33" i="7" s="1"/>
  <c r="L34" i="7" s="1"/>
  <c r="J12" i="8" s="1"/>
  <c r="L18" i="7"/>
  <c r="L19" i="7" s="1"/>
  <c r="N19" i="32"/>
  <c r="M19" i="32" s="1"/>
  <c r="L20" i="32"/>
  <c r="N20" i="32" s="1"/>
  <c r="M20" i="32" s="1"/>
  <c r="I18" i="32"/>
  <c r="H18" i="32" s="1"/>
  <c r="G19" i="32"/>
  <c r="B19" i="32"/>
  <c r="F25" i="35"/>
  <c r="G22" i="35" s="1"/>
  <c r="O29" i="32"/>
  <c r="G20" i="18"/>
  <c r="H20" i="18"/>
  <c r="D32" i="35"/>
  <c r="H75" i="32"/>
  <c r="N29" i="32"/>
  <c r="M29" i="32" s="1"/>
  <c r="L30" i="32"/>
  <c r="G24" i="35" l="1"/>
  <c r="B42" i="6"/>
  <c r="B39" i="6"/>
  <c r="B35" i="6"/>
  <c r="N14" i="7"/>
  <c r="N41" i="7"/>
  <c r="N45" i="7" s="1"/>
  <c r="N48" i="7" s="1"/>
  <c r="M35" i="4" s="1"/>
  <c r="L11" i="8" s="1"/>
  <c r="N43" i="7"/>
  <c r="N47" i="7" s="1"/>
  <c r="E12" i="33"/>
  <c r="E37" i="32"/>
  <c r="E29" i="35"/>
  <c r="J75" i="32"/>
  <c r="H21" i="18"/>
  <c r="I21" i="18" s="1"/>
  <c r="M10" i="4"/>
  <c r="M13" i="4" s="1"/>
  <c r="H25" i="18"/>
  <c r="A26" i="18"/>
  <c r="N30" i="32"/>
  <c r="I19" i="32"/>
  <c r="H24" i="4"/>
  <c r="H30" i="4" s="1"/>
  <c r="J50" i="7"/>
  <c r="E15" i="33"/>
  <c r="Q8" i="19"/>
  <c r="O8" i="33"/>
  <c r="O8" i="25"/>
  <c r="M7" i="19"/>
  <c r="L7" i="33"/>
  <c r="M7" i="7"/>
  <c r="L7" i="4"/>
  <c r="N8" i="3"/>
  <c r="L7" i="25"/>
  <c r="K7" i="8"/>
  <c r="L21" i="7"/>
  <c r="M21" i="7" s="1"/>
  <c r="M28" i="7"/>
  <c r="M33" i="7" s="1"/>
  <c r="M34" i="7" s="1"/>
  <c r="K12" i="8" s="1"/>
  <c r="M18" i="7"/>
  <c r="M19" i="7" s="1"/>
  <c r="F23" i="35"/>
  <c r="G31" i="4"/>
  <c r="G33" i="4"/>
  <c r="D19" i="32"/>
  <c r="E19" i="32" s="1"/>
  <c r="J19" i="32" s="1"/>
  <c r="B20" i="32"/>
  <c r="F11" i="33"/>
  <c r="F37" i="4"/>
  <c r="F11" i="25"/>
  <c r="E38" i="6"/>
  <c r="E29" i="6"/>
  <c r="I20" i="18"/>
  <c r="L36" i="7"/>
  <c r="M36" i="7" s="1"/>
  <c r="O6" i="19"/>
  <c r="N6" i="33"/>
  <c r="O6" i="7"/>
  <c r="N6" i="4"/>
  <c r="N10" i="4" s="1"/>
  <c r="P7" i="3"/>
  <c r="P21" i="3"/>
  <c r="O35" i="3"/>
  <c r="O36" i="3" s="1"/>
  <c r="O38" i="3" s="1"/>
  <c r="N11" i="4" s="1"/>
  <c r="M6" i="8"/>
  <c r="N6" i="25"/>
  <c r="K35" i="4"/>
  <c r="J11" i="8" s="1"/>
  <c r="M19" i="19"/>
  <c r="M20" i="19" s="1"/>
  <c r="M25" i="19" s="1"/>
  <c r="L19" i="19"/>
  <c r="L20" i="19" s="1"/>
  <c r="L25" i="19" s="1"/>
  <c r="H19" i="32" l="1"/>
  <c r="N19" i="19"/>
  <c r="N20" i="19" s="1"/>
  <c r="N25" i="19" s="1"/>
  <c r="D20" i="32"/>
  <c r="E20" i="32" s="1"/>
  <c r="J20" i="32" s="1"/>
  <c r="G21" i="18"/>
  <c r="G25" i="35"/>
  <c r="H22" i="35" s="1"/>
  <c r="O30" i="32"/>
  <c r="L31" i="32" s="1"/>
  <c r="R8" i="19"/>
  <c r="P8" i="33"/>
  <c r="P8" i="25"/>
  <c r="H26" i="18"/>
  <c r="A27" i="18"/>
  <c r="E31" i="35"/>
  <c r="K75" i="32"/>
  <c r="B48" i="6"/>
  <c r="B56" i="6"/>
  <c r="N21" i="7"/>
  <c r="N36" i="7"/>
  <c r="G11" i="33"/>
  <c r="G37" i="4"/>
  <c r="G11" i="25"/>
  <c r="F29" i="6"/>
  <c r="F38" i="6"/>
  <c r="N13" i="4"/>
  <c r="E11" i="6"/>
  <c r="E13" i="6" s="1"/>
  <c r="K50" i="7"/>
  <c r="I24" i="4"/>
  <c r="I30" i="4" s="1"/>
  <c r="B45" i="6"/>
  <c r="C24" i="6" s="1"/>
  <c r="B44" i="6"/>
  <c r="N18" i="7"/>
  <c r="N19" i="7" s="1"/>
  <c r="N28" i="7"/>
  <c r="N33" i="7" s="1"/>
  <c r="N34" i="7" s="1"/>
  <c r="L12" i="8" s="1"/>
  <c r="O14" i="7"/>
  <c r="O41" i="7"/>
  <c r="O45" i="7" s="1"/>
  <c r="O43" i="7"/>
  <c r="O47" i="7" s="1"/>
  <c r="H31" i="4"/>
  <c r="H33" i="4"/>
  <c r="E18" i="33"/>
  <c r="B38" i="32"/>
  <c r="P6" i="19"/>
  <c r="O6" i="33"/>
  <c r="P6" i="7"/>
  <c r="O6" i="4"/>
  <c r="O10" i="4" s="1"/>
  <c r="Q7" i="3"/>
  <c r="Q21" i="3"/>
  <c r="P35" i="3"/>
  <c r="P36" i="3" s="1"/>
  <c r="P38" i="3" s="1"/>
  <c r="O11" i="4" s="1"/>
  <c r="N6" i="8"/>
  <c r="O6" i="25"/>
  <c r="M7" i="33"/>
  <c r="N7" i="19"/>
  <c r="N7" i="7"/>
  <c r="M7" i="4"/>
  <c r="O8" i="3"/>
  <c r="M7" i="25"/>
  <c r="L7" i="8"/>
  <c r="G20" i="32"/>
  <c r="G23" i="35"/>
  <c r="H27" i="18" l="1"/>
  <c r="A28" i="18"/>
  <c r="B21" i="32"/>
  <c r="O48" i="7"/>
  <c r="N7" i="33"/>
  <c r="O7" i="19"/>
  <c r="O7" i="7"/>
  <c r="N7" i="4"/>
  <c r="P8" i="3"/>
  <c r="M7" i="8"/>
  <c r="N7" i="25"/>
  <c r="B57" i="6"/>
  <c r="C39" i="4" s="1"/>
  <c r="C41" i="4" s="1"/>
  <c r="I31" i="4"/>
  <c r="I33" i="4"/>
  <c r="F11" i="6"/>
  <c r="F13" i="6" s="1"/>
  <c r="D38" i="32"/>
  <c r="C27" i="6"/>
  <c r="C28" i="6"/>
  <c r="B50" i="6"/>
  <c r="B52" i="6" s="1"/>
  <c r="C16" i="25"/>
  <c r="H22" i="18"/>
  <c r="I22" i="18" s="1"/>
  <c r="I23" i="18" s="1"/>
  <c r="I24" i="18" s="1"/>
  <c r="I25" i="18" s="1"/>
  <c r="I26" i="18" s="1"/>
  <c r="I27" i="18" s="1"/>
  <c r="O21" i="7"/>
  <c r="O13" i="4"/>
  <c r="P14" i="7"/>
  <c r="P41" i="7"/>
  <c r="P45" i="7" s="1"/>
  <c r="P43" i="7"/>
  <c r="P47" i="7" s="1"/>
  <c r="L50" i="7"/>
  <c r="J24" i="4"/>
  <c r="J30" i="4" s="1"/>
  <c r="S8" i="19"/>
  <c r="Q8" i="33"/>
  <c r="Q8" i="25"/>
  <c r="I20" i="32"/>
  <c r="H20" i="32" s="1"/>
  <c r="G21" i="32"/>
  <c r="H11" i="33"/>
  <c r="G38" i="6"/>
  <c r="H37" i="4"/>
  <c r="H11" i="25"/>
  <c r="G29" i="6"/>
  <c r="G11" i="6" s="1"/>
  <c r="G13" i="6" s="1"/>
  <c r="E32" i="35"/>
  <c r="H76" i="32"/>
  <c r="N31" i="32"/>
  <c r="B74" i="32"/>
  <c r="M30" i="32"/>
  <c r="O28" i="7"/>
  <c r="O33" i="7" s="1"/>
  <c r="O34" i="7" s="1"/>
  <c r="M12" i="8" s="1"/>
  <c r="O18" i="7"/>
  <c r="O19" i="7" s="1"/>
  <c r="H25" i="35"/>
  <c r="O31" i="32"/>
  <c r="Q6" i="19"/>
  <c r="P6" i="33"/>
  <c r="Q6" i="7"/>
  <c r="P6" i="4"/>
  <c r="P10" i="4" s="1"/>
  <c r="R7" i="3"/>
  <c r="R21" i="3" s="1"/>
  <c r="P6" i="25"/>
  <c r="Q35" i="3"/>
  <c r="Q36" i="3" s="1"/>
  <c r="Q38" i="3" s="1"/>
  <c r="P11" i="4" s="1"/>
  <c r="O6" i="8"/>
  <c r="H24" i="35"/>
  <c r="I22" i="35"/>
  <c r="C33" i="6" l="1"/>
  <c r="I24" i="35"/>
  <c r="R6" i="19"/>
  <c r="Q6" i="33"/>
  <c r="R6" i="7"/>
  <c r="Q6" i="4"/>
  <c r="Q10" i="4" s="1"/>
  <c r="S7" i="3"/>
  <c r="S21" i="3" s="1"/>
  <c r="Q6" i="25"/>
  <c r="R35" i="3"/>
  <c r="R36" i="3" s="1"/>
  <c r="R38" i="3" s="1"/>
  <c r="Q11" i="4" s="1"/>
  <c r="P6" i="8"/>
  <c r="B10" i="8"/>
  <c r="B13" i="8" s="1"/>
  <c r="C43" i="4"/>
  <c r="C44" i="4" s="1"/>
  <c r="C46" i="4" s="1"/>
  <c r="P13" i="4"/>
  <c r="Q14" i="7"/>
  <c r="Q43" i="7"/>
  <c r="Q47" i="7" s="1"/>
  <c r="Q41" i="7"/>
  <c r="Q45" i="7" s="1"/>
  <c r="Q48" i="7" s="1"/>
  <c r="J31" i="4"/>
  <c r="J33" i="4"/>
  <c r="G22" i="18"/>
  <c r="G23" i="18" s="1"/>
  <c r="G24" i="18" s="1"/>
  <c r="G25" i="18" s="1"/>
  <c r="G26" i="18" s="1"/>
  <c r="G27" i="18" s="1"/>
  <c r="N35" i="4"/>
  <c r="M11" i="8" s="1"/>
  <c r="O19" i="19"/>
  <c r="O20" i="19" s="1"/>
  <c r="O25" i="19" s="1"/>
  <c r="T8" i="19"/>
  <c r="R8" i="33"/>
  <c r="R8" i="25"/>
  <c r="H23" i="35"/>
  <c r="F12" i="33"/>
  <c r="F15" i="33" s="1"/>
  <c r="E38" i="32"/>
  <c r="O36" i="7"/>
  <c r="C76" i="32"/>
  <c r="C80" i="32"/>
  <c r="C84" i="32"/>
  <c r="C88" i="32"/>
  <c r="C85" i="32"/>
  <c r="C75" i="32"/>
  <c r="C79" i="32"/>
  <c r="C74" i="32"/>
  <c r="C78" i="32"/>
  <c r="C83" i="32"/>
  <c r="C81" i="32"/>
  <c r="C86" i="32"/>
  <c r="C77" i="32"/>
  <c r="C82" i="32"/>
  <c r="C87" i="32"/>
  <c r="D74" i="32"/>
  <c r="D38" i="35" s="1"/>
  <c r="M31" i="32"/>
  <c r="M50" i="7"/>
  <c r="K24" i="4"/>
  <c r="K30" i="4" s="1"/>
  <c r="B58" i="6"/>
  <c r="D21" i="32"/>
  <c r="E21" i="32" s="1"/>
  <c r="J21" i="32" s="1"/>
  <c r="I25" i="35" s="1"/>
  <c r="J22" i="35" s="1"/>
  <c r="J24" i="35" s="1"/>
  <c r="P7" i="19"/>
  <c r="O7" i="33"/>
  <c r="O7" i="4"/>
  <c r="Q8" i="3"/>
  <c r="N7" i="8"/>
  <c r="P7" i="7"/>
  <c r="O7" i="25"/>
  <c r="F29" i="35"/>
  <c r="J76" i="32"/>
  <c r="I21" i="32"/>
  <c r="I28" i="18"/>
  <c r="A29" i="18"/>
  <c r="H28" i="18"/>
  <c r="P48" i="7"/>
  <c r="C26" i="6"/>
  <c r="C30" i="6" s="1"/>
  <c r="I11" i="33"/>
  <c r="I11" i="25"/>
  <c r="I37" i="4"/>
  <c r="H38" i="6"/>
  <c r="H29" i="6"/>
  <c r="H11" i="6" s="1"/>
  <c r="H13" i="6" s="1"/>
  <c r="P18" i="7"/>
  <c r="P19" i="7" s="1"/>
  <c r="P21" i="7" s="1"/>
  <c r="P28" i="7"/>
  <c r="P33" i="7" s="1"/>
  <c r="P34" i="7" s="1"/>
  <c r="N12" i="8" s="1"/>
  <c r="B78" i="2" l="1"/>
  <c r="D42" i="19"/>
  <c r="D43" i="19" s="1"/>
  <c r="A30" i="18"/>
  <c r="I29" i="18"/>
  <c r="H29" i="18"/>
  <c r="B22" i="32"/>
  <c r="P36" i="7"/>
  <c r="Q18" i="7"/>
  <c r="Q19" i="7" s="1"/>
  <c r="Q21" i="7" s="1"/>
  <c r="Q28" i="7"/>
  <c r="Q33" i="7" s="1"/>
  <c r="Q34" i="7" s="1"/>
  <c r="O12" i="8" s="1"/>
  <c r="H21" i="32"/>
  <c r="Q7" i="19"/>
  <c r="P7" i="33"/>
  <c r="Q7" i="7"/>
  <c r="P7" i="4"/>
  <c r="R8" i="3"/>
  <c r="O7" i="8"/>
  <c r="P7" i="25"/>
  <c r="K31" i="4"/>
  <c r="K33" i="4"/>
  <c r="I23" i="35"/>
  <c r="G22" i="32"/>
  <c r="I22" i="32" s="1"/>
  <c r="N50" i="7"/>
  <c r="L24" i="4"/>
  <c r="L30" i="4" s="1"/>
  <c r="G28" i="18"/>
  <c r="G29" i="18" s="1"/>
  <c r="F18" i="33"/>
  <c r="B39" i="32"/>
  <c r="O35" i="4"/>
  <c r="N11" i="8" s="1"/>
  <c r="P19" i="19"/>
  <c r="P20" i="19" s="1"/>
  <c r="P25" i="19" s="1"/>
  <c r="F31" i="35"/>
  <c r="K76" i="32"/>
  <c r="J11" i="33"/>
  <c r="I38" i="6"/>
  <c r="J11" i="25"/>
  <c r="J37" i="4"/>
  <c r="I29" i="6"/>
  <c r="S6" i="19"/>
  <c r="R6" i="33"/>
  <c r="S6" i="7"/>
  <c r="T21" i="3"/>
  <c r="R6" i="4"/>
  <c r="R10" i="4" s="1"/>
  <c r="R13" i="4" s="1"/>
  <c r="T7" i="3"/>
  <c r="R6" i="25"/>
  <c r="Q6" i="8"/>
  <c r="S35" i="3"/>
  <c r="S36" i="3" s="1"/>
  <c r="S38" i="3" s="1"/>
  <c r="R11" i="4" s="1"/>
  <c r="B16" i="8"/>
  <c r="B24" i="8"/>
  <c r="B28" i="8"/>
  <c r="Q13" i="4"/>
  <c r="D37" i="35"/>
  <c r="E74" i="32"/>
  <c r="B75" i="32" s="1"/>
  <c r="U8" i="19"/>
  <c r="S8" i="33"/>
  <c r="S8" i="25"/>
  <c r="P35" i="4"/>
  <c r="O11" i="8" s="1"/>
  <c r="Q19" i="19"/>
  <c r="Q20" i="19" s="1"/>
  <c r="Q25" i="19" s="1"/>
  <c r="R14" i="7"/>
  <c r="R43" i="7"/>
  <c r="R47" i="7" s="1"/>
  <c r="R41" i="7"/>
  <c r="R45" i="7" s="1"/>
  <c r="R48" i="7" s="1"/>
  <c r="C36" i="6"/>
  <c r="R21" i="7" l="1"/>
  <c r="B29" i="8"/>
  <c r="D39" i="32"/>
  <c r="K11" i="33"/>
  <c r="J38" i="6"/>
  <c r="J29" i="6"/>
  <c r="J11" i="6" s="1"/>
  <c r="J13" i="6" s="1"/>
  <c r="K37" i="4"/>
  <c r="K11" i="25"/>
  <c r="D12" i="25"/>
  <c r="D13" i="25" s="1"/>
  <c r="C49" i="6"/>
  <c r="B21" i="8"/>
  <c r="B19" i="8"/>
  <c r="C37" i="6"/>
  <c r="V8" i="19"/>
  <c r="T8" i="33"/>
  <c r="T8" i="25"/>
  <c r="S14" i="7"/>
  <c r="S41" i="7"/>
  <c r="S45" i="7" s="1"/>
  <c r="S43" i="7"/>
  <c r="S47" i="7" s="1"/>
  <c r="D22" i="32"/>
  <c r="E22" i="32" s="1"/>
  <c r="J22" i="32" s="1"/>
  <c r="J25" i="35" s="1"/>
  <c r="J23" i="35" s="1"/>
  <c r="B23" i="32"/>
  <c r="D75" i="32"/>
  <c r="F32" i="35"/>
  <c r="H77" i="32"/>
  <c r="R7" i="19"/>
  <c r="Q7" i="33"/>
  <c r="Q7" i="4"/>
  <c r="S8" i="3"/>
  <c r="Q7" i="25"/>
  <c r="P7" i="8"/>
  <c r="R7" i="7"/>
  <c r="R28" i="7"/>
  <c r="R33" i="7" s="1"/>
  <c r="R34" i="7" s="1"/>
  <c r="P12" i="8" s="1"/>
  <c r="R18" i="7"/>
  <c r="R19" i="7" s="1"/>
  <c r="E37" i="35"/>
  <c r="D39" i="35"/>
  <c r="E36" i="35" s="1"/>
  <c r="I11" i="6"/>
  <c r="I13" i="6" s="1"/>
  <c r="H30" i="18"/>
  <c r="G30" i="18" s="1"/>
  <c r="I30" i="18"/>
  <c r="A31" i="18"/>
  <c r="L31" i="4"/>
  <c r="L33" i="4"/>
  <c r="Q35" i="4"/>
  <c r="P11" i="8" s="1"/>
  <c r="R19" i="19"/>
  <c r="R20" i="19" s="1"/>
  <c r="R25" i="19" s="1"/>
  <c r="B30" i="8"/>
  <c r="T6" i="19"/>
  <c r="S6" i="33"/>
  <c r="T6" i="7"/>
  <c r="S6" i="4"/>
  <c r="S10" i="4" s="1"/>
  <c r="U7" i="3"/>
  <c r="S6" i="25"/>
  <c r="R6" i="8"/>
  <c r="T35" i="3"/>
  <c r="T36" i="3" s="1"/>
  <c r="T38" i="3" s="1"/>
  <c r="S11" i="4" s="1"/>
  <c r="O50" i="7"/>
  <c r="M24" i="4"/>
  <c r="M30" i="4" s="1"/>
  <c r="Q36" i="7"/>
  <c r="H22" i="32"/>
  <c r="G31" i="18" l="1"/>
  <c r="H31" i="18"/>
  <c r="I31" i="18"/>
  <c r="A32" i="18"/>
  <c r="S48" i="7"/>
  <c r="B22" i="8"/>
  <c r="C18" i="8" s="1"/>
  <c r="T6" i="33"/>
  <c r="U6" i="19"/>
  <c r="U6" i="7"/>
  <c r="T6" i="4"/>
  <c r="V7" i="3"/>
  <c r="T6" i="25"/>
  <c r="U35" i="3"/>
  <c r="U36" i="3" s="1"/>
  <c r="U38" i="3" s="1"/>
  <c r="T11" i="4" s="1"/>
  <c r="S6" i="8"/>
  <c r="S13" i="4"/>
  <c r="E38" i="35"/>
  <c r="E75" i="32"/>
  <c r="B76" i="32" s="1"/>
  <c r="U21" i="3"/>
  <c r="S7" i="19"/>
  <c r="R7" i="33"/>
  <c r="S7" i="7"/>
  <c r="R7" i="4"/>
  <c r="T8" i="3"/>
  <c r="R7" i="25"/>
  <c r="Q7" i="8"/>
  <c r="C79" i="2"/>
  <c r="G29" i="35"/>
  <c r="J77" i="32"/>
  <c r="S18" i="7"/>
  <c r="S19" i="7" s="1"/>
  <c r="S28" i="7"/>
  <c r="S33" i="7" s="1"/>
  <c r="S34" i="7" s="1"/>
  <c r="Q12" i="8" s="1"/>
  <c r="R36" i="7"/>
  <c r="S36" i="7" s="1"/>
  <c r="L11" i="33"/>
  <c r="L37" i="4"/>
  <c r="L11" i="25"/>
  <c r="K29" i="6"/>
  <c r="K11" i="6" s="1"/>
  <c r="K13" i="6" s="1"/>
  <c r="K38" i="6"/>
  <c r="G12" i="33"/>
  <c r="G15" i="33" s="1"/>
  <c r="E39" i="32"/>
  <c r="M31" i="4"/>
  <c r="M33" i="4"/>
  <c r="P50" i="7"/>
  <c r="N24" i="4"/>
  <c r="N30" i="4" s="1"/>
  <c r="T41" i="7"/>
  <c r="T45" i="7" s="1"/>
  <c r="T48" i="7" s="1"/>
  <c r="T43" i="7"/>
  <c r="T47" i="7" s="1"/>
  <c r="T14" i="7"/>
  <c r="W8" i="19"/>
  <c r="U8" i="33"/>
  <c r="U8" i="25"/>
  <c r="C42" i="6"/>
  <c r="C35" i="6"/>
  <c r="C39" i="6" s="1"/>
  <c r="B33" i="8"/>
  <c r="B41" i="8"/>
  <c r="E39" i="35"/>
  <c r="F36" i="35" s="1"/>
  <c r="F37" i="35"/>
  <c r="D23" i="32"/>
  <c r="E23" i="32" s="1"/>
  <c r="B24" i="32" s="1"/>
  <c r="S21" i="7"/>
  <c r="D24" i="32" l="1"/>
  <c r="E24" i="32" s="1"/>
  <c r="B25" i="32" s="1"/>
  <c r="C45" i="6"/>
  <c r="D24" i="6" s="1"/>
  <c r="C44" i="6"/>
  <c r="N31" i="4"/>
  <c r="N33" i="4"/>
  <c r="G31" i="35"/>
  <c r="K77" i="32"/>
  <c r="G37" i="35"/>
  <c r="T36" i="7"/>
  <c r="T10" i="4"/>
  <c r="T13" i="4" s="1"/>
  <c r="H32" i="18"/>
  <c r="I32" i="18"/>
  <c r="A33" i="18"/>
  <c r="Q50" i="7"/>
  <c r="O24" i="4"/>
  <c r="O30" i="4" s="1"/>
  <c r="M11" i="33"/>
  <c r="M15" i="33" s="1"/>
  <c r="M37" i="4"/>
  <c r="M11" i="25"/>
  <c r="L29" i="6"/>
  <c r="L38" i="6"/>
  <c r="U6" i="33"/>
  <c r="V6" i="19"/>
  <c r="V6" i="7"/>
  <c r="W21" i="3"/>
  <c r="U6" i="4"/>
  <c r="W7" i="3"/>
  <c r="V35" i="3"/>
  <c r="V36" i="3" s="1"/>
  <c r="V38" i="3" s="1"/>
  <c r="U11" i="4" s="1"/>
  <c r="U6" i="25"/>
  <c r="T6" i="8"/>
  <c r="R35" i="4"/>
  <c r="Q11" i="8" s="1"/>
  <c r="S19" i="19"/>
  <c r="S20" i="19" s="1"/>
  <c r="S25" i="19" s="1"/>
  <c r="X8" i="19"/>
  <c r="V8" i="33"/>
  <c r="V8" i="25"/>
  <c r="C17" i="33"/>
  <c r="C24" i="33" s="1"/>
  <c r="C15" i="25"/>
  <c r="G18" i="33"/>
  <c r="B40" i="32"/>
  <c r="D76" i="32"/>
  <c r="V21" i="3"/>
  <c r="T21" i="7"/>
  <c r="B36" i="8"/>
  <c r="B38" i="8"/>
  <c r="T28" i="7"/>
  <c r="T33" i="7" s="1"/>
  <c r="T34" i="7" s="1"/>
  <c r="R12" i="8" s="1"/>
  <c r="T18" i="7"/>
  <c r="T19" i="7" s="1"/>
  <c r="U41" i="7"/>
  <c r="U45" i="7" s="1"/>
  <c r="U43" i="7"/>
  <c r="U47" i="7" s="1"/>
  <c r="U14" i="7"/>
  <c r="C48" i="6"/>
  <c r="C56" i="6"/>
  <c r="T7" i="19"/>
  <c r="S7" i="33"/>
  <c r="T7" i="7"/>
  <c r="S7" i="4"/>
  <c r="U8" i="3"/>
  <c r="S7" i="25"/>
  <c r="R7" i="8"/>
  <c r="S35" i="4"/>
  <c r="R11" i="8" s="1"/>
  <c r="T19" i="19"/>
  <c r="T20" i="19" s="1"/>
  <c r="T25" i="19" s="1"/>
  <c r="G32" i="18"/>
  <c r="B26" i="32" l="1"/>
  <c r="D25" i="32"/>
  <c r="E25" i="32" s="1"/>
  <c r="U7" i="19"/>
  <c r="T7" i="33"/>
  <c r="U7" i="7"/>
  <c r="T7" i="4"/>
  <c r="T7" i="25"/>
  <c r="V8" i="3"/>
  <c r="S7" i="8"/>
  <c r="U28" i="7"/>
  <c r="U33" i="7" s="1"/>
  <c r="U34" i="7" s="1"/>
  <c r="S12" i="8" s="1"/>
  <c r="U18" i="7"/>
  <c r="U19" i="7" s="1"/>
  <c r="U10" i="4"/>
  <c r="U13" i="4" s="1"/>
  <c r="U48" i="7"/>
  <c r="F38" i="35"/>
  <c r="F39" i="35" s="1"/>
  <c r="G36" i="35" s="1"/>
  <c r="E76" i="32"/>
  <c r="B77" i="32" s="1"/>
  <c r="D40" i="32"/>
  <c r="O31" i="4"/>
  <c r="O33" i="4"/>
  <c r="H37" i="35"/>
  <c r="C57" i="6"/>
  <c r="D39" i="4" s="1"/>
  <c r="D41" i="4" s="1"/>
  <c r="V41" i="7"/>
  <c r="V45" i="7" s="1"/>
  <c r="V43" i="7"/>
  <c r="V47" i="7" s="1"/>
  <c r="V14" i="7"/>
  <c r="R50" i="7"/>
  <c r="P24" i="4"/>
  <c r="P30" i="4" s="1"/>
  <c r="D28" i="6"/>
  <c r="D26" i="6" s="1"/>
  <c r="D27" i="6"/>
  <c r="G33" i="18"/>
  <c r="D32" i="19"/>
  <c r="C18" i="25"/>
  <c r="C21" i="25" s="1"/>
  <c r="I33" i="18"/>
  <c r="H33" i="18"/>
  <c r="H34" i="18" s="1"/>
  <c r="C58" i="6"/>
  <c r="B39" i="8"/>
  <c r="C35" i="8" s="1"/>
  <c r="C27" i="33"/>
  <c r="C28" i="33"/>
  <c r="L11" i="6"/>
  <c r="L13" i="6" s="1"/>
  <c r="G32" i="35"/>
  <c r="H78" i="32"/>
  <c r="Y8" i="19"/>
  <c r="W8" i="33"/>
  <c r="W8" i="25"/>
  <c r="N11" i="33"/>
  <c r="N15" i="33" s="1"/>
  <c r="N37" i="4"/>
  <c r="N11" i="25"/>
  <c r="M29" i="6"/>
  <c r="M11" i="6" s="1"/>
  <c r="M13" i="6" s="1"/>
  <c r="M38" i="6"/>
  <c r="C50" i="6"/>
  <c r="C52" i="6" s="1"/>
  <c r="D16" i="25"/>
  <c r="U21" i="7"/>
  <c r="W6" i="19"/>
  <c r="V6" i="33"/>
  <c r="V6" i="4"/>
  <c r="V10" i="4" s="1"/>
  <c r="V13" i="4" s="1"/>
  <c r="X7" i="3"/>
  <c r="X21" i="3" s="1"/>
  <c r="W6" i="7"/>
  <c r="W35" i="3"/>
  <c r="W36" i="3" s="1"/>
  <c r="W38" i="3" s="1"/>
  <c r="V11" i="4" s="1"/>
  <c r="V6" i="25"/>
  <c r="U6" i="8"/>
  <c r="S50" i="7" l="1"/>
  <c r="Q24" i="4"/>
  <c r="Q30" i="4" s="1"/>
  <c r="U7" i="33"/>
  <c r="V7" i="19"/>
  <c r="V7" i="7"/>
  <c r="U7" i="4"/>
  <c r="U7" i="25"/>
  <c r="T7" i="8"/>
  <c r="W8" i="3"/>
  <c r="D26" i="32"/>
  <c r="E26" i="32" s="1"/>
  <c r="B27" i="32" s="1"/>
  <c r="D27" i="32" s="1"/>
  <c r="E27" i="32" s="1"/>
  <c r="B80" i="2"/>
  <c r="C43" i="25"/>
  <c r="C45" i="25" s="1"/>
  <c r="C57" i="25"/>
  <c r="C59" i="25" s="1"/>
  <c r="C27" i="25"/>
  <c r="C28" i="25" s="1"/>
  <c r="C29" i="25" s="1"/>
  <c r="D25" i="25" s="1"/>
  <c r="C37" i="25"/>
  <c r="C38" i="25" s="1"/>
  <c r="C50" i="25"/>
  <c r="C52" i="25" s="1"/>
  <c r="T35" i="4"/>
  <c r="S11" i="8" s="1"/>
  <c r="U19" i="19"/>
  <c r="U20" i="19" s="1"/>
  <c r="U25" i="19" s="1"/>
  <c r="D37" i="19"/>
  <c r="D45" i="19" s="1"/>
  <c r="D47" i="19" s="1"/>
  <c r="O11" i="33"/>
  <c r="O15" i="33" s="1"/>
  <c r="O37" i="4"/>
  <c r="O11" i="25"/>
  <c r="N29" i="6"/>
  <c r="N11" i="6" s="1"/>
  <c r="N13" i="6" s="1"/>
  <c r="N38" i="6"/>
  <c r="V48" i="7"/>
  <c r="C49" i="33"/>
  <c r="C82" i="33"/>
  <c r="V28" i="7"/>
  <c r="V33" i="7" s="1"/>
  <c r="V34" i="7" s="1"/>
  <c r="T12" i="8" s="1"/>
  <c r="V18" i="7"/>
  <c r="V19" i="7" s="1"/>
  <c r="V21" i="7" s="1"/>
  <c r="C36" i="33"/>
  <c r="C68" i="33"/>
  <c r="C90" i="33"/>
  <c r="C93" i="33" s="1"/>
  <c r="H12" i="33"/>
  <c r="H15" i="33" s="1"/>
  <c r="E40" i="32"/>
  <c r="D33" i="6"/>
  <c r="D30" i="6"/>
  <c r="Z8" i="19"/>
  <c r="X8" i="25"/>
  <c r="C10" i="8"/>
  <c r="C13" i="8" s="1"/>
  <c r="D43" i="4"/>
  <c r="D44" i="4" s="1"/>
  <c r="U36" i="7"/>
  <c r="W14" i="7"/>
  <c r="W41" i="7"/>
  <c r="W45" i="7" s="1"/>
  <c r="W43" i="7"/>
  <c r="W47" i="7" s="1"/>
  <c r="H29" i="35"/>
  <c r="J78" i="32"/>
  <c r="P31" i="4"/>
  <c r="P33" i="4"/>
  <c r="D77" i="32"/>
  <c r="X6" i="19"/>
  <c r="W6" i="33"/>
  <c r="X6" i="7"/>
  <c r="W6" i="4"/>
  <c r="W10" i="4" s="1"/>
  <c r="Y7" i="3"/>
  <c r="X35" i="3"/>
  <c r="X36" i="3" s="1"/>
  <c r="X38" i="3" s="1"/>
  <c r="W11" i="4" s="1"/>
  <c r="V6" i="8"/>
  <c r="W6" i="25"/>
  <c r="I37" i="35"/>
  <c r="W21" i="7" l="1"/>
  <c r="G38" i="35"/>
  <c r="G39" i="35" s="1"/>
  <c r="H36" i="35" s="1"/>
  <c r="E77" i="32"/>
  <c r="B78" i="32" s="1"/>
  <c r="P11" i="33"/>
  <c r="P15" i="33" s="1"/>
  <c r="O38" i="6"/>
  <c r="P37" i="4"/>
  <c r="P11" i="25"/>
  <c r="O29" i="6"/>
  <c r="O11" i="6" s="1"/>
  <c r="O13" i="6" s="1"/>
  <c r="V36" i="7"/>
  <c r="W28" i="7"/>
  <c r="W33" i="7" s="1"/>
  <c r="W34" i="7" s="1"/>
  <c r="U12" i="8" s="1"/>
  <c r="W18" i="7"/>
  <c r="W19" i="7" s="1"/>
  <c r="W13" i="4"/>
  <c r="D46" i="4"/>
  <c r="C71" i="33"/>
  <c r="C72" i="33"/>
  <c r="J37" i="35"/>
  <c r="X41" i="7"/>
  <c r="X45" i="7" s="1"/>
  <c r="X43" i="7"/>
  <c r="X47" i="7" s="1"/>
  <c r="X14" i="7"/>
  <c r="H31" i="35"/>
  <c r="K78" i="32"/>
  <c r="D37" i="6"/>
  <c r="D35" i="6" s="1"/>
  <c r="D36" i="6"/>
  <c r="C40" i="33"/>
  <c r="C39" i="33"/>
  <c r="C52" i="33"/>
  <c r="C53" i="33"/>
  <c r="Y6" i="19"/>
  <c r="Y6" i="7"/>
  <c r="X6" i="4"/>
  <c r="X10" i="4" s="1"/>
  <c r="Z7" i="3"/>
  <c r="X6" i="25"/>
  <c r="Y35" i="3"/>
  <c r="Y36" i="3" s="1"/>
  <c r="Y38" i="3" s="1"/>
  <c r="X11" i="4" s="1"/>
  <c r="W6" i="8"/>
  <c r="Z21" i="3"/>
  <c r="U35" i="4"/>
  <c r="T11" i="8" s="1"/>
  <c r="V19" i="19"/>
  <c r="V20" i="19" s="1"/>
  <c r="V25" i="19" s="1"/>
  <c r="C28" i="8"/>
  <c r="C16" i="8"/>
  <c r="C24" i="8"/>
  <c r="H18" i="33"/>
  <c r="B41" i="32"/>
  <c r="Y21" i="3"/>
  <c r="W48" i="7"/>
  <c r="AA8" i="19"/>
  <c r="Y8" i="25"/>
  <c r="C85" i="33"/>
  <c r="C86" i="33"/>
  <c r="D26" i="25"/>
  <c r="V7" i="33"/>
  <c r="W7" i="19"/>
  <c r="W7" i="7"/>
  <c r="V7" i="4"/>
  <c r="X8" i="3"/>
  <c r="U7" i="8"/>
  <c r="V7" i="25"/>
  <c r="Q31" i="4"/>
  <c r="Q33" i="4"/>
  <c r="R24" i="4"/>
  <c r="R30" i="4" s="1"/>
  <c r="T50" i="7"/>
  <c r="D48" i="6" l="1"/>
  <c r="D56" i="6"/>
  <c r="Q11" i="33"/>
  <c r="Q15" i="33" s="1"/>
  <c r="Q37" i="4"/>
  <c r="Q11" i="25"/>
  <c r="P29" i="6"/>
  <c r="P11" i="6" s="1"/>
  <c r="P13" i="6" s="1"/>
  <c r="P38" i="6"/>
  <c r="X7" i="19"/>
  <c r="W7" i="33"/>
  <c r="X7" i="7"/>
  <c r="W7" i="4"/>
  <c r="Y8" i="3"/>
  <c r="W7" i="25"/>
  <c r="V7" i="8"/>
  <c r="R31" i="4"/>
  <c r="R33" i="4"/>
  <c r="H32" i="35"/>
  <c r="H79" i="32"/>
  <c r="C78" i="2"/>
  <c r="E42" i="19"/>
  <c r="E43" i="19" s="1"/>
  <c r="C30" i="8"/>
  <c r="AB8" i="19"/>
  <c r="Z8" i="25"/>
  <c r="C19" i="8"/>
  <c r="C21" i="8"/>
  <c r="X28" i="7"/>
  <c r="X33" i="7" s="1"/>
  <c r="X34" i="7" s="1"/>
  <c r="V12" i="8" s="1"/>
  <c r="X18" i="7"/>
  <c r="X19" i="7" s="1"/>
  <c r="Z6" i="19"/>
  <c r="Z6" i="7"/>
  <c r="Y6" i="4"/>
  <c r="Y10" i="4" s="1"/>
  <c r="Y13" i="4" s="1"/>
  <c r="AA7" i="3"/>
  <c r="AA21" i="3"/>
  <c r="Y6" i="25"/>
  <c r="Z35" i="3"/>
  <c r="Z36" i="3" s="1"/>
  <c r="Z38" i="3" s="1"/>
  <c r="Y11" i="4" s="1"/>
  <c r="X6" i="8"/>
  <c r="X48" i="7"/>
  <c r="X13" i="4"/>
  <c r="K37" i="35"/>
  <c r="D78" i="32"/>
  <c r="C29" i="8"/>
  <c r="V35" i="4"/>
  <c r="U11" i="8" s="1"/>
  <c r="W19" i="19"/>
  <c r="W20" i="19" s="1"/>
  <c r="W25" i="19" s="1"/>
  <c r="Y14" i="7"/>
  <c r="Y41" i="7"/>
  <c r="Y45" i="7" s="1"/>
  <c r="Y48" i="7" s="1"/>
  <c r="Y43" i="7"/>
  <c r="Y47" i="7" s="1"/>
  <c r="E12" i="25"/>
  <c r="E13" i="25" s="1"/>
  <c r="D49" i="6"/>
  <c r="S24" i="4"/>
  <c r="S30" i="4" s="1"/>
  <c r="U50" i="7"/>
  <c r="D41" i="32"/>
  <c r="D39" i="6"/>
  <c r="D42" i="6"/>
  <c r="W36" i="7"/>
  <c r="X21" i="7"/>
  <c r="C33" i="8" l="1"/>
  <c r="C41" i="8"/>
  <c r="AA6" i="19"/>
  <c r="AA6" i="7"/>
  <c r="AB21" i="3"/>
  <c r="Z6" i="4"/>
  <c r="Z10" i="4" s="1"/>
  <c r="AB7" i="3"/>
  <c r="Z6" i="25"/>
  <c r="AA35" i="3"/>
  <c r="AA36" i="3" s="1"/>
  <c r="AA38" i="3" s="1"/>
  <c r="Z11" i="4" s="1"/>
  <c r="Y6" i="8"/>
  <c r="I29" i="35"/>
  <c r="J79" i="32"/>
  <c r="W35" i="4"/>
  <c r="V11" i="8" s="1"/>
  <c r="X19" i="19"/>
  <c r="X20" i="19" s="1"/>
  <c r="X25" i="19" s="1"/>
  <c r="Y7" i="19"/>
  <c r="Y7" i="7"/>
  <c r="X7" i="4"/>
  <c r="Z8" i="3"/>
  <c r="W7" i="8"/>
  <c r="X7" i="25"/>
  <c r="I12" i="33"/>
  <c r="I15" i="33" s="1"/>
  <c r="E41" i="32"/>
  <c r="L37" i="35"/>
  <c r="D79" i="2"/>
  <c r="Z14" i="7"/>
  <c r="Z41" i="7"/>
  <c r="Z45" i="7" s="1"/>
  <c r="Z43" i="7"/>
  <c r="Z47" i="7" s="1"/>
  <c r="C22" i="8"/>
  <c r="D18" i="8" s="1"/>
  <c r="Y21" i="7"/>
  <c r="T24" i="4"/>
  <c r="T30" i="4" s="1"/>
  <c r="V50" i="7"/>
  <c r="AC8" i="19"/>
  <c r="AA8" i="25"/>
  <c r="R11" i="33"/>
  <c r="R15" i="33" s="1"/>
  <c r="Q38" i="6"/>
  <c r="R37" i="4"/>
  <c r="R11" i="25"/>
  <c r="Q29" i="6"/>
  <c r="Q11" i="6" s="1"/>
  <c r="Q13" i="6" s="1"/>
  <c r="X35" i="4"/>
  <c r="W11" i="8" s="1"/>
  <c r="Y19" i="19"/>
  <c r="Y20" i="19" s="1"/>
  <c r="Y25" i="19" s="1"/>
  <c r="X36" i="7"/>
  <c r="S31" i="4"/>
  <c r="S33" i="4"/>
  <c r="Y18" i="7"/>
  <c r="Y19" i="7" s="1"/>
  <c r="Y28" i="7"/>
  <c r="Y33" i="7" s="1"/>
  <c r="Y34" i="7" s="1"/>
  <c r="W12" i="8" s="1"/>
  <c r="H38" i="35"/>
  <c r="H39" i="35" s="1"/>
  <c r="I36" i="35" s="1"/>
  <c r="E78" i="32"/>
  <c r="B79" i="32" s="1"/>
  <c r="D45" i="6"/>
  <c r="E24" i="6" s="1"/>
  <c r="D44" i="6"/>
  <c r="D50" i="6"/>
  <c r="D52" i="6" s="1"/>
  <c r="E16" i="25"/>
  <c r="T31" i="4" l="1"/>
  <c r="T33" i="4"/>
  <c r="Z28" i="7"/>
  <c r="Z33" i="7" s="1"/>
  <c r="Z34" i="7" s="1"/>
  <c r="X12" i="8" s="1"/>
  <c r="Z18" i="7"/>
  <c r="Z19" i="7" s="1"/>
  <c r="AB6" i="19"/>
  <c r="AB6" i="7"/>
  <c r="AC21" i="3"/>
  <c r="AA6" i="25"/>
  <c r="AA6" i="4"/>
  <c r="AA10" i="4" s="1"/>
  <c r="AA13" i="4" s="1"/>
  <c r="AB35" i="3"/>
  <c r="AB36" i="3" s="1"/>
  <c r="AB38" i="3" s="1"/>
  <c r="AA11" i="4" s="1"/>
  <c r="AC7" i="3"/>
  <c r="Z6" i="8"/>
  <c r="AD8" i="19"/>
  <c r="AB8" i="25"/>
  <c r="D79" i="32"/>
  <c r="Z13" i="4"/>
  <c r="Z7" i="19"/>
  <c r="Z7" i="7"/>
  <c r="Y7" i="4"/>
  <c r="AA8" i="3"/>
  <c r="Y7" i="25"/>
  <c r="X7" i="8"/>
  <c r="AA14" i="7"/>
  <c r="AA41" i="7"/>
  <c r="AA45" i="7" s="1"/>
  <c r="AA48" i="7" s="1"/>
  <c r="AA43" i="7"/>
  <c r="AA47" i="7" s="1"/>
  <c r="Z21" i="7"/>
  <c r="I31" i="35"/>
  <c r="K79" i="32"/>
  <c r="D57" i="6"/>
  <c r="S11" i="33"/>
  <c r="S15" i="33" s="1"/>
  <c r="R38" i="6"/>
  <c r="S37" i="4"/>
  <c r="S11" i="25"/>
  <c r="R29" i="6"/>
  <c r="R11" i="6" s="1"/>
  <c r="R13" i="6" s="1"/>
  <c r="E28" i="6"/>
  <c r="E27" i="6"/>
  <c r="E26" i="6"/>
  <c r="Z48" i="7"/>
  <c r="C36" i="8"/>
  <c r="C38" i="8"/>
  <c r="Y36" i="7"/>
  <c r="Z36" i="7" s="1"/>
  <c r="M37" i="35"/>
  <c r="I18" i="33"/>
  <c r="B42" i="32"/>
  <c r="D17" i="33"/>
  <c r="D24" i="33" s="1"/>
  <c r="D15" i="25"/>
  <c r="W50" i="7"/>
  <c r="U24" i="4"/>
  <c r="U30" i="4" s="1"/>
  <c r="I32" i="35" l="1"/>
  <c r="H80" i="32"/>
  <c r="I38" i="35"/>
  <c r="I39" i="35" s="1"/>
  <c r="J36" i="35" s="1"/>
  <c r="E79" i="32"/>
  <c r="B80" i="32" s="1"/>
  <c r="D28" i="33"/>
  <c r="D27" i="33"/>
  <c r="C39" i="8"/>
  <c r="D35" i="8" s="1"/>
  <c r="AA7" i="19"/>
  <c r="AA7" i="7"/>
  <c r="Z7" i="4"/>
  <c r="AB8" i="3"/>
  <c r="Z7" i="25"/>
  <c r="Y7" i="8"/>
  <c r="AB41" i="7"/>
  <c r="AB45" i="7" s="1"/>
  <c r="AB48" i="7" s="1"/>
  <c r="AB14" i="7"/>
  <c r="AB43" i="7"/>
  <c r="AB47" i="7" s="1"/>
  <c r="AC6" i="19"/>
  <c r="AC6" i="7"/>
  <c r="AB6" i="25"/>
  <c r="AC35" i="3"/>
  <c r="AC36" i="3" s="1"/>
  <c r="AC38" i="3" s="1"/>
  <c r="AB11" i="4" s="1"/>
  <c r="AA6" i="8"/>
  <c r="AB6" i="4"/>
  <c r="AB10" i="4" s="1"/>
  <c r="AD7" i="3"/>
  <c r="AD21" i="3" s="1"/>
  <c r="E39" i="4"/>
  <c r="E41" i="4" s="1"/>
  <c r="D58" i="6"/>
  <c r="U31" i="4"/>
  <c r="U33" i="4"/>
  <c r="N37" i="35"/>
  <c r="E30" i="6"/>
  <c r="E33" i="6"/>
  <c r="Z35" i="4"/>
  <c r="Y11" i="8" s="1"/>
  <c r="AA19" i="19"/>
  <c r="AA20" i="19" s="1"/>
  <c r="AA25" i="19" s="1"/>
  <c r="T11" i="33"/>
  <c r="T15" i="33" s="1"/>
  <c r="T37" i="4"/>
  <c r="T11" i="25"/>
  <c r="S38" i="6"/>
  <c r="S29" i="6"/>
  <c r="S11" i="6" s="1"/>
  <c r="S13" i="6" s="1"/>
  <c r="D42" i="32"/>
  <c r="AA18" i="7"/>
  <c r="AA19" i="7" s="1"/>
  <c r="AA21" i="7" s="1"/>
  <c r="AA28" i="7"/>
  <c r="AA33" i="7" s="1"/>
  <c r="AA34" i="7" s="1"/>
  <c r="Y12" i="8" s="1"/>
  <c r="Y35" i="4"/>
  <c r="X11" i="8" s="1"/>
  <c r="Z19" i="19"/>
  <c r="Z20" i="19" s="1"/>
  <c r="Z25" i="19" s="1"/>
  <c r="X50" i="7"/>
  <c r="V24" i="4"/>
  <c r="V30" i="4" s="1"/>
  <c r="AA36" i="7"/>
  <c r="AE8" i="19"/>
  <c r="AC8" i="25"/>
  <c r="E32" i="19"/>
  <c r="D18" i="25"/>
  <c r="D21" i="25" s="1"/>
  <c r="E43" i="4" l="1"/>
  <c r="E44" i="4"/>
  <c r="E46" i="4" s="1"/>
  <c r="D10" i="8"/>
  <c r="D13" i="8" s="1"/>
  <c r="AC41" i="7"/>
  <c r="AC45" i="7" s="1"/>
  <c r="AC48" i="7" s="1"/>
  <c r="AC14" i="7"/>
  <c r="AC43" i="7"/>
  <c r="AC47" i="7" s="1"/>
  <c r="D68" i="33"/>
  <c r="D36" i="33"/>
  <c r="D90" i="33"/>
  <c r="D93" i="33" s="1"/>
  <c r="D49" i="33"/>
  <c r="D82" i="33"/>
  <c r="J12" i="33"/>
  <c r="J15" i="33" s="1"/>
  <c r="E42" i="32"/>
  <c r="AD6" i="19"/>
  <c r="AD6" i="7"/>
  <c r="AE21" i="3"/>
  <c r="AC6" i="4"/>
  <c r="AC10" i="4" s="1"/>
  <c r="AE7" i="3"/>
  <c r="AD35" i="3"/>
  <c r="AD36" i="3" s="1"/>
  <c r="AD38" i="3" s="1"/>
  <c r="AC11" i="4" s="1"/>
  <c r="AB6" i="8"/>
  <c r="AC6" i="25"/>
  <c r="C80" i="2"/>
  <c r="D43" i="25"/>
  <c r="D45" i="25" s="1"/>
  <c r="D57" i="25"/>
  <c r="D59" i="25" s="1"/>
  <c r="D50" i="25"/>
  <c r="D52" i="25" s="1"/>
  <c r="D37" i="25"/>
  <c r="D38" i="25" s="1"/>
  <c r="D27" i="25"/>
  <c r="D28" i="25" s="1"/>
  <c r="D29" i="25" s="1"/>
  <c r="E25" i="25" s="1"/>
  <c r="AB13" i="4"/>
  <c r="V31" i="4"/>
  <c r="V33" i="4"/>
  <c r="D80" i="32"/>
  <c r="Y50" i="7"/>
  <c r="W24" i="4"/>
  <c r="W30" i="4" s="1"/>
  <c r="E37" i="19"/>
  <c r="E45" i="19" s="1"/>
  <c r="E47" i="19" s="1"/>
  <c r="O37" i="35"/>
  <c r="J29" i="35"/>
  <c r="J80" i="32"/>
  <c r="E36" i="6"/>
  <c r="AB7" i="19"/>
  <c r="AA7" i="4"/>
  <c r="AC8" i="3"/>
  <c r="AB7" i="7"/>
  <c r="AA7" i="25"/>
  <c r="Z7" i="8"/>
  <c r="AF8" i="19"/>
  <c r="AD8" i="25"/>
  <c r="U11" i="33"/>
  <c r="U15" i="33" s="1"/>
  <c r="U37" i="4"/>
  <c r="U11" i="25"/>
  <c r="T38" i="6"/>
  <c r="T29" i="6"/>
  <c r="T11" i="6" s="1"/>
  <c r="T13" i="6" s="1"/>
  <c r="AB18" i="7"/>
  <c r="AB19" i="7" s="1"/>
  <c r="AB21" i="7" s="1"/>
  <c r="AB28" i="7"/>
  <c r="AB33" i="7" s="1"/>
  <c r="AB34" i="7" s="1"/>
  <c r="Z12" i="8" s="1"/>
  <c r="AA35" i="4"/>
  <c r="Z11" i="8" s="1"/>
  <c r="AB19" i="19"/>
  <c r="AB20" i="19" s="1"/>
  <c r="AB25" i="19" s="1"/>
  <c r="AC21" i="7" l="1"/>
  <c r="D78" i="2"/>
  <c r="F42" i="19"/>
  <c r="F43" i="19" s="1"/>
  <c r="F12" i="25"/>
  <c r="F13" i="25" s="1"/>
  <c r="E49" i="6"/>
  <c r="E37" i="6"/>
  <c r="J18" i="33"/>
  <c r="B43" i="32"/>
  <c r="AC28" i="7"/>
  <c r="AC33" i="7" s="1"/>
  <c r="AC34" i="7" s="1"/>
  <c r="AA12" i="8" s="1"/>
  <c r="AC18" i="7"/>
  <c r="AC19" i="7" s="1"/>
  <c r="W31" i="4"/>
  <c r="W33" i="4"/>
  <c r="AB36" i="7"/>
  <c r="AC36" i="7" s="1"/>
  <c r="AC7" i="19"/>
  <c r="AC7" i="7"/>
  <c r="AB7" i="25"/>
  <c r="AB7" i="4"/>
  <c r="AD8" i="3"/>
  <c r="AA7" i="8"/>
  <c r="Z50" i="7"/>
  <c r="X24" i="4"/>
  <c r="X30" i="4" s="1"/>
  <c r="AE6" i="19"/>
  <c r="AE6" i="7"/>
  <c r="AD6" i="4"/>
  <c r="AD10" i="4" s="1"/>
  <c r="AF7" i="3"/>
  <c r="AF21" i="3"/>
  <c r="AE35" i="3"/>
  <c r="AE36" i="3" s="1"/>
  <c r="AE38" i="3" s="1"/>
  <c r="AD11" i="4" s="1"/>
  <c r="AC6" i="8"/>
  <c r="AD6" i="25"/>
  <c r="D52" i="33"/>
  <c r="D53" i="33"/>
  <c r="AC13" i="4"/>
  <c r="D28" i="8"/>
  <c r="D16" i="8"/>
  <c r="D24" i="8"/>
  <c r="E26" i="25"/>
  <c r="D86" i="33"/>
  <c r="D85" i="33"/>
  <c r="P37" i="35"/>
  <c r="J38" i="35"/>
  <c r="J39" i="35" s="1"/>
  <c r="K36" i="35" s="1"/>
  <c r="E80" i="32"/>
  <c r="B81" i="32" s="1"/>
  <c r="D39" i="33"/>
  <c r="D40" i="33"/>
  <c r="AB35" i="4"/>
  <c r="AA11" i="8" s="1"/>
  <c r="AC19" i="19"/>
  <c r="AC20" i="19" s="1"/>
  <c r="AC25" i="19" s="1"/>
  <c r="AG8" i="19"/>
  <c r="AE8" i="25"/>
  <c r="V11" i="33"/>
  <c r="V15" i="33" s="1"/>
  <c r="U29" i="6"/>
  <c r="V37" i="4"/>
  <c r="V11" i="25"/>
  <c r="U38" i="6"/>
  <c r="AD41" i="7"/>
  <c r="AD45" i="7" s="1"/>
  <c r="AD48" i="7" s="1"/>
  <c r="AD43" i="7"/>
  <c r="AD47" i="7" s="1"/>
  <c r="AD14" i="7"/>
  <c r="D71" i="33"/>
  <c r="D72" i="33"/>
  <c r="J31" i="35"/>
  <c r="K80" i="32"/>
  <c r="AC35" i="4" l="1"/>
  <c r="AB11" i="8" s="1"/>
  <c r="AD19" i="19"/>
  <c r="AD20" i="19" s="1"/>
  <c r="AD25" i="19" s="1"/>
  <c r="Q37" i="35"/>
  <c r="J32" i="35"/>
  <c r="H81" i="32"/>
  <c r="X31" i="4"/>
  <c r="X33" i="4"/>
  <c r="AD36" i="7"/>
  <c r="AA50" i="7"/>
  <c r="Y24" i="4"/>
  <c r="Y30" i="4" s="1"/>
  <c r="W11" i="33"/>
  <c r="W15" i="33" s="1"/>
  <c r="W37" i="4"/>
  <c r="W44" i="25"/>
  <c r="W11" i="25"/>
  <c r="V38" i="6"/>
  <c r="V29" i="6"/>
  <c r="AF6" i="19"/>
  <c r="AF6" i="7"/>
  <c r="AE6" i="4"/>
  <c r="AE10" i="4" s="1"/>
  <c r="AE13" i="4" s="1"/>
  <c r="AG7" i="3"/>
  <c r="AF35" i="3"/>
  <c r="AF36" i="3" s="1"/>
  <c r="AF38" i="3" s="1"/>
  <c r="AE11" i="4" s="1"/>
  <c r="AD6" i="8"/>
  <c r="AE6" i="25"/>
  <c r="AD7" i="19"/>
  <c r="AD7" i="7"/>
  <c r="AC7" i="25"/>
  <c r="AE8" i="3"/>
  <c r="AB7" i="8"/>
  <c r="AC7" i="4"/>
  <c r="D19" i="8"/>
  <c r="D21" i="8"/>
  <c r="U11" i="6"/>
  <c r="U13" i="6" s="1"/>
  <c r="AD13" i="4"/>
  <c r="AD28" i="7"/>
  <c r="AD33" i="7" s="1"/>
  <c r="AD34" i="7" s="1"/>
  <c r="AB12" i="8" s="1"/>
  <c r="AD18" i="7"/>
  <c r="AD19" i="7" s="1"/>
  <c r="D43" i="32"/>
  <c r="AH8" i="19"/>
  <c r="AG8" i="25" s="1"/>
  <c r="AF8" i="25"/>
  <c r="D81" i="32"/>
  <c r="AE14" i="7"/>
  <c r="AE41" i="7"/>
  <c r="AE45" i="7" s="1"/>
  <c r="AE43" i="7"/>
  <c r="AE47" i="7" s="1"/>
  <c r="D29" i="8"/>
  <c r="D30" i="8" s="1"/>
  <c r="E39" i="6"/>
  <c r="E42" i="6"/>
  <c r="E35" i="6"/>
  <c r="AD21" i="7"/>
  <c r="D33" i="8" l="1"/>
  <c r="D41" i="8"/>
  <c r="AE28" i="7"/>
  <c r="AE33" i="7" s="1"/>
  <c r="AE34" i="7" s="1"/>
  <c r="AC12" i="8" s="1"/>
  <c r="AE18" i="7"/>
  <c r="AE19" i="7" s="1"/>
  <c r="AE7" i="19"/>
  <c r="AE7" i="7"/>
  <c r="AD7" i="4"/>
  <c r="AF8" i="3"/>
  <c r="AC7" i="8"/>
  <c r="AD7" i="25"/>
  <c r="AG6" i="19"/>
  <c r="AG6" i="7"/>
  <c r="AF6" i="4"/>
  <c r="AF10" i="4" s="1"/>
  <c r="AH7" i="3"/>
  <c r="AF6" i="25"/>
  <c r="AG35" i="3"/>
  <c r="AG36" i="3" s="1"/>
  <c r="AG38" i="3" s="1"/>
  <c r="AF11" i="4" s="1"/>
  <c r="AE6" i="8"/>
  <c r="AH21" i="3"/>
  <c r="AF41" i="7"/>
  <c r="AF45" i="7" s="1"/>
  <c r="AF48" i="7" s="1"/>
  <c r="AF43" i="7"/>
  <c r="AF47" i="7" s="1"/>
  <c r="AF14" i="7"/>
  <c r="Y31" i="4"/>
  <c r="Y33" i="4"/>
  <c r="AE21" i="7"/>
  <c r="K12" i="33"/>
  <c r="K15" i="33" s="1"/>
  <c r="E43" i="32"/>
  <c r="K29" i="35"/>
  <c r="J81" i="32"/>
  <c r="E48" i="6"/>
  <c r="E56" i="6"/>
  <c r="E45" i="6"/>
  <c r="F24" i="6" s="1"/>
  <c r="E44" i="6"/>
  <c r="K38" i="35"/>
  <c r="K39" i="35" s="1"/>
  <c r="L36" i="35" s="1"/>
  <c r="E81" i="32"/>
  <c r="B82" i="32" s="1"/>
  <c r="AG21" i="3"/>
  <c r="AB50" i="7"/>
  <c r="Z24" i="4"/>
  <c r="Z30" i="4" s="1"/>
  <c r="R37" i="35"/>
  <c r="D22" i="8"/>
  <c r="E18" i="8" s="1"/>
  <c r="V11" i="6"/>
  <c r="V13" i="6" s="1"/>
  <c r="AE36" i="7"/>
  <c r="AE48" i="7"/>
  <c r="W38" i="6"/>
  <c r="X37" i="4"/>
  <c r="X11" i="25"/>
  <c r="W29" i="6"/>
  <c r="W11" i="6" s="1"/>
  <c r="W13" i="6" s="1"/>
  <c r="AF7" i="19" l="1"/>
  <c r="AF7" i="7"/>
  <c r="AE7" i="4"/>
  <c r="AG8" i="3"/>
  <c r="AE7" i="25"/>
  <c r="AD7" i="8"/>
  <c r="AA24" i="4"/>
  <c r="AA30" i="4" s="1"/>
  <c r="AC50" i="7"/>
  <c r="D38" i="8"/>
  <c r="D36" i="8"/>
  <c r="E50" i="6"/>
  <c r="E52" i="6" s="1"/>
  <c r="F16" i="25"/>
  <c r="D82" i="32"/>
  <c r="AF28" i="7"/>
  <c r="AF33" i="7" s="1"/>
  <c r="AF34" i="7" s="1"/>
  <c r="AD12" i="8" s="1"/>
  <c r="AF18" i="7"/>
  <c r="AF19" i="7" s="1"/>
  <c r="AF13" i="4"/>
  <c r="AF21" i="7"/>
  <c r="AH6" i="19"/>
  <c r="AH6" i="7"/>
  <c r="AG6" i="4"/>
  <c r="AG10" i="4" s="1"/>
  <c r="AG13" i="4" s="1"/>
  <c r="AG6" i="25"/>
  <c r="AH35" i="3"/>
  <c r="AH36" i="3" s="1"/>
  <c r="AH38" i="3" s="1"/>
  <c r="AG11" i="4" s="1"/>
  <c r="AF6" i="8"/>
  <c r="K31" i="35"/>
  <c r="K81" i="32"/>
  <c r="AD35" i="4"/>
  <c r="AC11" i="8" s="1"/>
  <c r="AE19" i="19"/>
  <c r="AE20" i="19" s="1"/>
  <c r="AE25" i="19" s="1"/>
  <c r="AG43" i="7"/>
  <c r="AG47" i="7" s="1"/>
  <c r="AG14" i="7"/>
  <c r="AG41" i="7"/>
  <c r="AG45" i="7" s="1"/>
  <c r="AG48" i="7" s="1"/>
  <c r="AF36" i="7"/>
  <c r="F28" i="6"/>
  <c r="F26" i="6" s="1"/>
  <c r="F27" i="6"/>
  <c r="Y37" i="4"/>
  <c r="Y11" i="25"/>
  <c r="X38" i="6"/>
  <c r="X29" i="6"/>
  <c r="X11" i="6" s="1"/>
  <c r="X13" i="6" s="1"/>
  <c r="E57" i="6"/>
  <c r="F39" i="4" s="1"/>
  <c r="F41" i="4" s="1"/>
  <c r="K18" i="33"/>
  <c r="B44" i="32"/>
  <c r="D44" i="32" s="1"/>
  <c r="AE35" i="4"/>
  <c r="AD11" i="8" s="1"/>
  <c r="AF19" i="19"/>
  <c r="AF20" i="19" s="1"/>
  <c r="AF25" i="19" s="1"/>
  <c r="Z31" i="4"/>
  <c r="Z33" i="4"/>
  <c r="E17" i="33"/>
  <c r="E24" i="33" s="1"/>
  <c r="E15" i="25"/>
  <c r="L12" i="33" l="1"/>
  <c r="L15" i="33" s="1"/>
  <c r="E44" i="32"/>
  <c r="L18" i="33" s="1"/>
  <c r="AH14" i="7"/>
  <c r="AH43" i="7"/>
  <c r="AH47" i="7" s="1"/>
  <c r="AH41" i="7"/>
  <c r="AH45" i="7" s="1"/>
  <c r="F30" i="6"/>
  <c r="F33" i="6"/>
  <c r="K32" i="35"/>
  <c r="H82" i="32"/>
  <c r="AG7" i="19"/>
  <c r="AG7" i="7"/>
  <c r="AF7" i="4"/>
  <c r="AH8" i="3"/>
  <c r="AE7" i="8"/>
  <c r="AF7" i="25"/>
  <c r="Y38" i="6"/>
  <c r="Z11" i="25"/>
  <c r="Z37" i="4"/>
  <c r="Y29" i="6"/>
  <c r="Y11" i="6" s="1"/>
  <c r="Y13" i="6" s="1"/>
  <c r="AF35" i="4"/>
  <c r="AE11" i="8" s="1"/>
  <c r="AG19" i="19"/>
  <c r="AG20" i="19" s="1"/>
  <c r="AG25" i="19" s="1"/>
  <c r="E18" i="25"/>
  <c r="E21" i="25" s="1"/>
  <c r="F32" i="19"/>
  <c r="AG36" i="7"/>
  <c r="AG28" i="7"/>
  <c r="AG33" i="7" s="1"/>
  <c r="AG34" i="7" s="1"/>
  <c r="AE12" i="8" s="1"/>
  <c r="AG18" i="7"/>
  <c r="AG19" i="7" s="1"/>
  <c r="AG21" i="7" s="1"/>
  <c r="D39" i="8"/>
  <c r="E35" i="8" s="1"/>
  <c r="F43" i="4"/>
  <c r="F44" i="4"/>
  <c r="F46" i="4"/>
  <c r="G42" i="19" s="1"/>
  <c r="G43" i="19" s="1"/>
  <c r="E10" i="8"/>
  <c r="E13" i="8" s="1"/>
  <c r="E28" i="33"/>
  <c r="E27" i="33"/>
  <c r="AB24" i="4"/>
  <c r="AB30" i="4" s="1"/>
  <c r="AD50" i="7"/>
  <c r="E58" i="6"/>
  <c r="L38" i="35"/>
  <c r="L39" i="35" s="1"/>
  <c r="M36" i="35" s="1"/>
  <c r="E82" i="32"/>
  <c r="B83" i="32" s="1"/>
  <c r="AA31" i="4"/>
  <c r="AA33" i="4"/>
  <c r="AB31" i="4" l="1"/>
  <c r="AB33" i="4"/>
  <c r="E28" i="8"/>
  <c r="E16" i="8"/>
  <c r="E24" i="8"/>
  <c r="AH48" i="7"/>
  <c r="E82" i="33"/>
  <c r="E49" i="33"/>
  <c r="AH28" i="7"/>
  <c r="AH33" i="7" s="1"/>
  <c r="AH34" i="7" s="1"/>
  <c r="AF12" i="8" s="1"/>
  <c r="AH18" i="7"/>
  <c r="AH19" i="7" s="1"/>
  <c r="AH21" i="7" s="1"/>
  <c r="D80" i="2"/>
  <c r="E43" i="25"/>
  <c r="E45" i="25" s="1"/>
  <c r="E57" i="25"/>
  <c r="E59" i="25" s="1"/>
  <c r="E27" i="25"/>
  <c r="E28" i="25" s="1"/>
  <c r="E29" i="25" s="1"/>
  <c r="F25" i="25" s="1"/>
  <c r="E37" i="25"/>
  <c r="E38" i="25" s="1"/>
  <c r="E50" i="25"/>
  <c r="E52" i="25" s="1"/>
  <c r="L29" i="35"/>
  <c r="J82" i="32"/>
  <c r="D83" i="32"/>
  <c r="AC24" i="4"/>
  <c r="AC30" i="4" s="1"/>
  <c r="AE50" i="7"/>
  <c r="F37" i="19"/>
  <c r="F45" i="19" s="1"/>
  <c r="F47" i="19" s="1"/>
  <c r="AH7" i="19"/>
  <c r="AH7" i="7"/>
  <c r="AG7" i="4"/>
  <c r="AG7" i="25"/>
  <c r="AF7" i="8"/>
  <c r="Z38" i="6"/>
  <c r="AA37" i="4"/>
  <c r="AA11" i="25"/>
  <c r="Z29" i="6"/>
  <c r="Z11" i="6" s="1"/>
  <c r="Z13" i="6" s="1"/>
  <c r="AH36" i="7"/>
  <c r="E36" i="33"/>
  <c r="E90" i="33"/>
  <c r="E93" i="33" s="1"/>
  <c r="E68" i="33"/>
  <c r="F36" i="6"/>
  <c r="F26" i="25" l="1"/>
  <c r="AG35" i="4"/>
  <c r="AF11" i="8" s="1"/>
  <c r="AH19" i="19"/>
  <c r="AH20" i="19" s="1"/>
  <c r="AH25" i="19" s="1"/>
  <c r="E21" i="8"/>
  <c r="E19" i="8"/>
  <c r="M38" i="35"/>
  <c r="M39" i="35" s="1"/>
  <c r="N36" i="35" s="1"/>
  <c r="E83" i="32"/>
  <c r="B84" i="32" s="1"/>
  <c r="L31" i="35"/>
  <c r="K82" i="32"/>
  <c r="G12" i="25"/>
  <c r="G13" i="25" s="1"/>
  <c r="F49" i="6"/>
  <c r="F37" i="6"/>
  <c r="E71" i="33"/>
  <c r="E72" i="33"/>
  <c r="E39" i="33"/>
  <c r="E40" i="33"/>
  <c r="AF50" i="7"/>
  <c r="AD24" i="4"/>
  <c r="AD30" i="4" s="1"/>
  <c r="AB37" i="4"/>
  <c r="AB11" i="25"/>
  <c r="AA38" i="6"/>
  <c r="AA29" i="6"/>
  <c r="AA11" i="6" s="1"/>
  <c r="AA13" i="6" s="1"/>
  <c r="E29" i="8"/>
  <c r="E30" i="8" s="1"/>
  <c r="AC31" i="4"/>
  <c r="AC33" i="4"/>
  <c r="E53" i="33"/>
  <c r="E52" i="33"/>
  <c r="E86" i="33"/>
  <c r="E85" i="33"/>
  <c r="E41" i="8" l="1"/>
  <c r="E33" i="8"/>
  <c r="E22" i="8"/>
  <c r="F18" i="8" s="1"/>
  <c r="L32" i="35"/>
  <c r="H83" i="32"/>
  <c r="F42" i="6"/>
  <c r="F35" i="6"/>
  <c r="AD31" i="4"/>
  <c r="AD33" i="4"/>
  <c r="AE24" i="4"/>
  <c r="AE30" i="4" s="1"/>
  <c r="AG50" i="7"/>
  <c r="AC37" i="4"/>
  <c r="AC11" i="25"/>
  <c r="AB38" i="6"/>
  <c r="AB29" i="6"/>
  <c r="AB11" i="6" s="1"/>
  <c r="AB13" i="6" s="1"/>
  <c r="D84" i="32"/>
  <c r="F56" i="6" l="1"/>
  <c r="F48" i="6"/>
  <c r="F45" i="6"/>
  <c r="G24" i="6" s="1"/>
  <c r="F44" i="6"/>
  <c r="F39" i="6"/>
  <c r="AH50" i="7"/>
  <c r="AG24" i="4" s="1"/>
  <c r="AG30" i="4" s="1"/>
  <c r="AF24" i="4"/>
  <c r="AF30" i="4" s="1"/>
  <c r="AE31" i="4"/>
  <c r="AE33" i="4"/>
  <c r="M29" i="35"/>
  <c r="J83" i="32"/>
  <c r="E38" i="8"/>
  <c r="E36" i="8"/>
  <c r="N38" i="35"/>
  <c r="N39" i="35" s="1"/>
  <c r="O36" i="35" s="1"/>
  <c r="E84" i="32"/>
  <c r="B85" i="32" s="1"/>
  <c r="AD37" i="4"/>
  <c r="AD11" i="25"/>
  <c r="AC38" i="6"/>
  <c r="AC29" i="6"/>
  <c r="F15" i="25"/>
  <c r="F17" i="33"/>
  <c r="F24" i="33" s="1"/>
  <c r="AF31" i="4" l="1"/>
  <c r="AF33" i="4"/>
  <c r="F18" i="25"/>
  <c r="F21" i="25" s="1"/>
  <c r="G32" i="19"/>
  <c r="AG31" i="4"/>
  <c r="AG33" i="4"/>
  <c r="F58" i="6"/>
  <c r="AC11" i="6"/>
  <c r="AC13" i="6" s="1"/>
  <c r="M31" i="35"/>
  <c r="K83" i="32"/>
  <c r="E39" i="8"/>
  <c r="F35" i="8" s="1"/>
  <c r="AE37" i="4"/>
  <c r="AE11" i="25"/>
  <c r="AD38" i="6"/>
  <c r="AD29" i="6"/>
  <c r="AD11" i="6" s="1"/>
  <c r="AD13" i="6" s="1"/>
  <c r="F57" i="6"/>
  <c r="G39" i="4" s="1"/>
  <c r="G41" i="4" s="1"/>
  <c r="D85" i="32"/>
  <c r="G27" i="6"/>
  <c r="F50" i="6"/>
  <c r="F52" i="6" s="1"/>
  <c r="G16" i="25"/>
  <c r="F28" i="33"/>
  <c r="F27" i="33"/>
  <c r="G28" i="6" l="1"/>
  <c r="F36" i="33"/>
  <c r="F90" i="33"/>
  <c r="F93" i="33" s="1"/>
  <c r="F68" i="33"/>
  <c r="AG37" i="4"/>
  <c r="AG11" i="25"/>
  <c r="AF38" i="6"/>
  <c r="AF29" i="6"/>
  <c r="AF11" i="6" s="1"/>
  <c r="AF13" i="6" s="1"/>
  <c r="O38" i="35"/>
  <c r="O39" i="35" s="1"/>
  <c r="P36" i="35" s="1"/>
  <c r="E85" i="32"/>
  <c r="B86" i="32" s="1"/>
  <c r="G43" i="4"/>
  <c r="G44" i="4" s="1"/>
  <c r="F10" i="8"/>
  <c r="F13" i="8" s="1"/>
  <c r="G37" i="19"/>
  <c r="G45" i="19" s="1"/>
  <c r="G47" i="19" s="1"/>
  <c r="F82" i="33"/>
  <c r="F49" i="33"/>
  <c r="F27" i="25"/>
  <c r="F28" i="25" s="1"/>
  <c r="F29" i="25" s="1"/>
  <c r="G25" i="25" s="1"/>
  <c r="F37" i="25"/>
  <c r="F38" i="25" s="1"/>
  <c r="F50" i="25"/>
  <c r="F52" i="25" s="1"/>
  <c r="F43" i="25"/>
  <c r="F45" i="25" s="1"/>
  <c r="F57" i="25"/>
  <c r="F59" i="25" s="1"/>
  <c r="M32" i="35"/>
  <c r="H84" i="32"/>
  <c r="AE38" i="6"/>
  <c r="AE29" i="6"/>
  <c r="AE11" i="6" s="1"/>
  <c r="AE13" i="6" s="1"/>
  <c r="AF37" i="4"/>
  <c r="AG44" i="25"/>
  <c r="AF11" i="25"/>
  <c r="F53" i="33" l="1"/>
  <c r="F52" i="33"/>
  <c r="D86" i="32"/>
  <c r="F40" i="33"/>
  <c r="F39" i="33"/>
  <c r="N29" i="35"/>
  <c r="J84" i="32"/>
  <c r="G46" i="4"/>
  <c r="H42" i="19" s="1"/>
  <c r="H43" i="19" s="1"/>
  <c r="G26" i="25"/>
  <c r="F28" i="8"/>
  <c r="F16" i="8"/>
  <c r="F24" i="8"/>
  <c r="G30" i="6"/>
  <c r="G33" i="6"/>
  <c r="G26" i="6"/>
  <c r="F71" i="33"/>
  <c r="F72" i="33"/>
  <c r="F86" i="33"/>
  <c r="F85" i="33"/>
  <c r="G36" i="6" l="1"/>
  <c r="F19" i="8"/>
  <c r="F21" i="8"/>
  <c r="P38" i="35"/>
  <c r="P39" i="35" s="1"/>
  <c r="Q36" i="35" s="1"/>
  <c r="E86" i="32"/>
  <c r="B87" i="32" s="1"/>
  <c r="F29" i="8"/>
  <c r="F30" i="8" s="1"/>
  <c r="N31" i="35"/>
  <c r="K84" i="32"/>
  <c r="F41" i="8" l="1"/>
  <c r="F33" i="8"/>
  <c r="F22" i="8"/>
  <c r="G18" i="8" s="1"/>
  <c r="D87" i="32"/>
  <c r="H12" i="25"/>
  <c r="H13" i="25" s="1"/>
  <c r="G49" i="6"/>
  <c r="N32" i="35"/>
  <c r="H85" i="32"/>
  <c r="G37" i="6"/>
  <c r="G17" i="33" l="1"/>
  <c r="G24" i="33" s="1"/>
  <c r="G15" i="25"/>
  <c r="Q38" i="35"/>
  <c r="Q39" i="35" s="1"/>
  <c r="R36" i="35" s="1"/>
  <c r="E87" i="32"/>
  <c r="B88" i="32" s="1"/>
  <c r="D88" i="32" s="1"/>
  <c r="F38" i="8"/>
  <c r="F36" i="8"/>
  <c r="G42" i="6"/>
  <c r="G39" i="6"/>
  <c r="G35" i="6"/>
  <c r="O29" i="35"/>
  <c r="J85" i="32"/>
  <c r="H32" i="19" l="1"/>
  <c r="G18" i="25"/>
  <c r="G21" i="25" s="1"/>
  <c r="G44" i="6"/>
  <c r="G45" i="6"/>
  <c r="H24" i="6" s="1"/>
  <c r="F39" i="8"/>
  <c r="G35" i="8" s="1"/>
  <c r="O31" i="35"/>
  <c r="K85" i="32"/>
  <c r="R38" i="35"/>
  <c r="R39" i="35" s="1"/>
  <c r="E88" i="32"/>
  <c r="G48" i="6"/>
  <c r="G56" i="6"/>
  <c r="G27" i="33"/>
  <c r="G28" i="33"/>
  <c r="G36" i="33" l="1"/>
  <c r="G90" i="33"/>
  <c r="G93" i="33" s="1"/>
  <c r="G68" i="33"/>
  <c r="O32" i="35"/>
  <c r="H86" i="32"/>
  <c r="G50" i="6"/>
  <c r="G52" i="6" s="1"/>
  <c r="H16" i="25"/>
  <c r="G57" i="6"/>
  <c r="H39" i="4" s="1"/>
  <c r="H41" i="4" s="1"/>
  <c r="G27" i="25"/>
  <c r="G28" i="25" s="1"/>
  <c r="G29" i="25" s="1"/>
  <c r="H25" i="25" s="1"/>
  <c r="G37" i="25"/>
  <c r="G38" i="25" s="1"/>
  <c r="G43" i="25"/>
  <c r="G45" i="25" s="1"/>
  <c r="G50" i="25"/>
  <c r="G52" i="25" s="1"/>
  <c r="G57" i="25"/>
  <c r="G59" i="25" s="1"/>
  <c r="H27" i="6"/>
  <c r="G82" i="33"/>
  <c r="G49" i="33"/>
  <c r="H37" i="19"/>
  <c r="H45" i="19" s="1"/>
  <c r="H47" i="19" s="1"/>
  <c r="H26" i="25" l="1"/>
  <c r="H43" i="4"/>
  <c r="H46" i="4" s="1"/>
  <c r="I42" i="19" s="1"/>
  <c r="I43" i="19" s="1"/>
  <c r="H44" i="4"/>
  <c r="G10" i="8"/>
  <c r="G13" i="8" s="1"/>
  <c r="G53" i="33"/>
  <c r="G52" i="33"/>
  <c r="P29" i="35"/>
  <c r="J86" i="32"/>
  <c r="G85" i="33"/>
  <c r="G86" i="33"/>
  <c r="G72" i="33"/>
  <c r="G71" i="33"/>
  <c r="H28" i="6"/>
  <c r="G58" i="6"/>
  <c r="G40" i="33"/>
  <c r="G39" i="33"/>
  <c r="H33" i="6" l="1"/>
  <c r="H26" i="6"/>
  <c r="H30" i="6" s="1"/>
  <c r="C56" i="33"/>
  <c r="C55" i="33"/>
  <c r="G24" i="8"/>
  <c r="G16" i="8"/>
  <c r="G28" i="8"/>
  <c r="C42" i="33"/>
  <c r="C43" i="33"/>
  <c r="P31" i="35"/>
  <c r="K86" i="32"/>
  <c r="P32" i="35" s="1"/>
  <c r="G19" i="8" l="1"/>
  <c r="G21" i="8"/>
  <c r="G29" i="8"/>
  <c r="G30" i="8" s="1"/>
  <c r="H36" i="6"/>
  <c r="G33" i="8" l="1"/>
  <c r="G41" i="8"/>
  <c r="I12" i="25"/>
  <c r="I13" i="25" s="1"/>
  <c r="H49" i="6"/>
  <c r="H37" i="6"/>
  <c r="G22" i="8"/>
  <c r="H18" i="8" s="1"/>
  <c r="H42" i="6" l="1"/>
  <c r="H35" i="6"/>
  <c r="H17" i="33"/>
  <c r="H24" i="33" s="1"/>
  <c r="H15" i="25"/>
  <c r="G38" i="8"/>
  <c r="G36" i="8"/>
  <c r="I32" i="19" l="1"/>
  <c r="H18" i="25"/>
  <c r="H21" i="25" s="1"/>
  <c r="H48" i="6"/>
  <c r="H56" i="6"/>
  <c r="H39" i="6"/>
  <c r="H27" i="33"/>
  <c r="H28" i="33"/>
  <c r="G39" i="8"/>
  <c r="H35" i="8" s="1"/>
  <c r="H44" i="6"/>
  <c r="H45" i="6"/>
  <c r="I24" i="6" s="1"/>
  <c r="I26" i="6" l="1"/>
  <c r="I27" i="6"/>
  <c r="I28" i="6"/>
  <c r="H50" i="6"/>
  <c r="H52" i="6" s="1"/>
  <c r="I16" i="25"/>
  <c r="I37" i="19"/>
  <c r="I45" i="19" s="1"/>
  <c r="I47" i="19" s="1"/>
  <c r="H57" i="6"/>
  <c r="I39" i="4" s="1"/>
  <c r="I41" i="4" s="1"/>
  <c r="H82" i="33"/>
  <c r="H49" i="33"/>
  <c r="H53" i="33" s="1"/>
  <c r="H36" i="33"/>
  <c r="H40" i="33" s="1"/>
  <c r="H68" i="33"/>
  <c r="H90" i="33"/>
  <c r="H93" i="33" s="1"/>
  <c r="H27" i="25"/>
  <c r="H28" i="25" s="1"/>
  <c r="H29" i="25" s="1"/>
  <c r="I25" i="25" s="1"/>
  <c r="H37" i="25"/>
  <c r="H38" i="25" s="1"/>
  <c r="H50" i="25"/>
  <c r="H52" i="25" s="1"/>
  <c r="H57" i="25"/>
  <c r="H59" i="25" s="1"/>
  <c r="H43" i="25"/>
  <c r="H45" i="25" s="1"/>
  <c r="H58" i="6" l="1"/>
  <c r="I26" i="25"/>
  <c r="H72" i="33"/>
  <c r="H71" i="33"/>
  <c r="H85" i="33"/>
  <c r="H86" i="33"/>
  <c r="I33" i="6"/>
  <c r="I30" i="6"/>
  <c r="I43" i="4"/>
  <c r="I46" i="4" s="1"/>
  <c r="J42" i="19" s="1"/>
  <c r="J43" i="19" s="1"/>
  <c r="I44" i="4"/>
  <c r="H10" i="8"/>
  <c r="H13" i="8" s="1"/>
  <c r="I36" i="6" l="1"/>
  <c r="I37" i="6"/>
  <c r="I35" i="6" s="1"/>
  <c r="H28" i="8"/>
  <c r="H24" i="8"/>
  <c r="H16" i="8"/>
  <c r="I48" i="6" l="1"/>
  <c r="I56" i="6"/>
  <c r="H21" i="8"/>
  <c r="H19" i="8"/>
  <c r="H29" i="8"/>
  <c r="H30" i="8" s="1"/>
  <c r="I42" i="6"/>
  <c r="I39" i="6"/>
  <c r="J12" i="25"/>
  <c r="J13" i="25" s="1"/>
  <c r="I49" i="6"/>
  <c r="H41" i="8" l="1"/>
  <c r="H33" i="8"/>
  <c r="H22" i="8"/>
  <c r="I18" i="8" s="1"/>
  <c r="I45" i="6"/>
  <c r="J24" i="6" s="1"/>
  <c r="I44" i="6"/>
  <c r="I50" i="6"/>
  <c r="I52" i="6" s="1"/>
  <c r="J16" i="25"/>
  <c r="I15" i="25" l="1"/>
  <c r="I17" i="33"/>
  <c r="I24" i="33" s="1"/>
  <c r="I57" i="6"/>
  <c r="J27" i="6"/>
  <c r="J28" i="6"/>
  <c r="J26" i="6" s="1"/>
  <c r="H36" i="8"/>
  <c r="H38" i="8"/>
  <c r="J39" i="4" l="1"/>
  <c r="J41" i="4" s="1"/>
  <c r="I58" i="6"/>
  <c r="J30" i="6"/>
  <c r="J33" i="6"/>
  <c r="I28" i="33"/>
  <c r="I27" i="33"/>
  <c r="H39" i="8"/>
  <c r="I35" i="8" s="1"/>
  <c r="J32" i="19"/>
  <c r="I18" i="25"/>
  <c r="I21" i="25" s="1"/>
  <c r="I82" i="33" l="1"/>
  <c r="I49" i="33"/>
  <c r="I53" i="33" s="1"/>
  <c r="J43" i="4"/>
  <c r="J46" i="4" s="1"/>
  <c r="K42" i="19" s="1"/>
  <c r="K43" i="19" s="1"/>
  <c r="J44" i="4"/>
  <c r="I10" i="8"/>
  <c r="I13" i="8" s="1"/>
  <c r="I57" i="25"/>
  <c r="I59" i="25" s="1"/>
  <c r="I27" i="25"/>
  <c r="I28" i="25" s="1"/>
  <c r="I29" i="25" s="1"/>
  <c r="J25" i="25" s="1"/>
  <c r="I37" i="25"/>
  <c r="I38" i="25" s="1"/>
  <c r="I50" i="25"/>
  <c r="I52" i="25" s="1"/>
  <c r="I43" i="25"/>
  <c r="I45" i="25" s="1"/>
  <c r="J36" i="6"/>
  <c r="J37" i="6"/>
  <c r="J35" i="6" s="1"/>
  <c r="I68" i="33"/>
  <c r="I36" i="33"/>
  <c r="I40" i="33" s="1"/>
  <c r="I90" i="33"/>
  <c r="I93" i="33" s="1"/>
  <c r="J37" i="19"/>
  <c r="J45" i="19" s="1"/>
  <c r="J47" i="19" s="1"/>
  <c r="J48" i="6" l="1"/>
  <c r="J56" i="6"/>
  <c r="I16" i="8"/>
  <c r="I24" i="8"/>
  <c r="I28" i="8"/>
  <c r="J26" i="25"/>
  <c r="J42" i="6"/>
  <c r="J39" i="6"/>
  <c r="J49" i="6"/>
  <c r="K12" i="25"/>
  <c r="K13" i="25" s="1"/>
  <c r="I72" i="33"/>
  <c r="I71" i="33"/>
  <c r="I85" i="33"/>
  <c r="I86" i="33"/>
  <c r="J45" i="6" l="1"/>
  <c r="K24" i="6" s="1"/>
  <c r="J44" i="6"/>
  <c r="C98" i="33"/>
  <c r="C97" i="33"/>
  <c r="J50" i="6"/>
  <c r="J52" i="6" s="1"/>
  <c r="K16" i="25"/>
  <c r="I29" i="8"/>
  <c r="I30" i="8" s="1"/>
  <c r="I21" i="8"/>
  <c r="I19" i="8"/>
  <c r="I33" i="8" l="1"/>
  <c r="I41" i="8"/>
  <c r="I22" i="8"/>
  <c r="J18" i="8" s="1"/>
  <c r="J20" i="8"/>
  <c r="K27" i="6"/>
  <c r="K28" i="6"/>
  <c r="K26" i="6" s="1"/>
  <c r="J57" i="6"/>
  <c r="K39" i="4" l="1"/>
  <c r="K41" i="4" s="1"/>
  <c r="J58" i="6"/>
  <c r="I38" i="8"/>
  <c r="I36" i="8"/>
  <c r="K33" i="6"/>
  <c r="K30" i="6"/>
  <c r="J17" i="33"/>
  <c r="J24" i="33" s="1"/>
  <c r="J15" i="25"/>
  <c r="J28" i="33" l="1"/>
  <c r="J27" i="33"/>
  <c r="J10" i="8"/>
  <c r="J13" i="8" s="1"/>
  <c r="K43" i="4"/>
  <c r="K36" i="6"/>
  <c r="I39" i="8"/>
  <c r="J35" i="8" s="1"/>
  <c r="J18" i="25"/>
  <c r="J21" i="25" s="1"/>
  <c r="K32" i="19"/>
  <c r="K46" i="4" l="1"/>
  <c r="L42" i="19" s="1"/>
  <c r="L43" i="19" s="1"/>
  <c r="J49" i="33"/>
  <c r="J53" i="33" s="1"/>
  <c r="J82" i="33"/>
  <c r="K44" i="4"/>
  <c r="J27" i="25"/>
  <c r="J28" i="25" s="1"/>
  <c r="J29" i="25" s="1"/>
  <c r="K25" i="25" s="1"/>
  <c r="J37" i="25"/>
  <c r="J38" i="25" s="1"/>
  <c r="J50" i="25"/>
  <c r="J52" i="25" s="1"/>
  <c r="J43" i="25"/>
  <c r="J45" i="25" s="1"/>
  <c r="J57" i="25"/>
  <c r="J59" i="25" s="1"/>
  <c r="L12" i="25"/>
  <c r="L13" i="25" s="1"/>
  <c r="K49" i="6"/>
  <c r="K37" i="6"/>
  <c r="J16" i="8"/>
  <c r="J24" i="8"/>
  <c r="J28" i="8"/>
  <c r="K37" i="19"/>
  <c r="K45" i="19" s="1"/>
  <c r="K47" i="19" s="1"/>
  <c r="J36" i="33"/>
  <c r="J40" i="33" s="1"/>
  <c r="J68" i="33"/>
  <c r="J90" i="33"/>
  <c r="J93" i="33" s="1"/>
  <c r="J29" i="8" l="1"/>
  <c r="J71" i="33"/>
  <c r="J72" i="33"/>
  <c r="K26" i="25"/>
  <c r="K42" i="6"/>
  <c r="K35" i="6"/>
  <c r="J30" i="8"/>
  <c r="J21" i="8"/>
  <c r="J19" i="8"/>
  <c r="J86" i="33"/>
  <c r="J85" i="33"/>
  <c r="J22" i="8" l="1"/>
  <c r="K18" i="8" s="1"/>
  <c r="J33" i="8"/>
  <c r="J41" i="8"/>
  <c r="K45" i="6"/>
  <c r="L24" i="6" s="1"/>
  <c r="K44" i="6"/>
  <c r="K20" i="8"/>
  <c r="K48" i="6"/>
  <c r="K56" i="6"/>
  <c r="K39" i="6"/>
  <c r="L28" i="6" l="1"/>
  <c r="L27" i="6"/>
  <c r="K57" i="6"/>
  <c r="L39" i="4" s="1"/>
  <c r="L41" i="4" s="1"/>
  <c r="K50" i="6"/>
  <c r="K52" i="6" s="1"/>
  <c r="L16" i="25"/>
  <c r="K17" i="33"/>
  <c r="K24" i="33" s="1"/>
  <c r="K15" i="25"/>
  <c r="J36" i="8"/>
  <c r="J38" i="8"/>
  <c r="K27" i="33" l="1"/>
  <c r="K28" i="33"/>
  <c r="L33" i="6"/>
  <c r="K10" i="8"/>
  <c r="K13" i="8" s="1"/>
  <c r="L43" i="4"/>
  <c r="L44" i="4" s="1"/>
  <c r="K18" i="25"/>
  <c r="K21" i="25" s="1"/>
  <c r="L32" i="19"/>
  <c r="J39" i="8"/>
  <c r="K35" i="8" s="1"/>
  <c r="L26" i="6"/>
  <c r="L30" i="6" s="1"/>
  <c r="K58" i="6"/>
  <c r="K36" i="33" l="1"/>
  <c r="K40" i="33" s="1"/>
  <c r="K68" i="33"/>
  <c r="K90" i="33"/>
  <c r="K93" i="33" s="1"/>
  <c r="L46" i="4"/>
  <c r="M42" i="19" s="1"/>
  <c r="M43" i="19" s="1"/>
  <c r="K28" i="8"/>
  <c r="K16" i="8"/>
  <c r="K24" i="8"/>
  <c r="K43" i="25"/>
  <c r="K45" i="25" s="1"/>
  <c r="K57" i="25"/>
  <c r="K59" i="25" s="1"/>
  <c r="K37" i="25"/>
  <c r="K38" i="25" s="1"/>
  <c r="K50" i="25"/>
  <c r="K52" i="25" s="1"/>
  <c r="K27" i="25"/>
  <c r="K28" i="25" s="1"/>
  <c r="K29" i="25" s="1"/>
  <c r="L25" i="25" s="1"/>
  <c r="L36" i="6"/>
  <c r="L37" i="19"/>
  <c r="L45" i="19" s="1"/>
  <c r="L47" i="19" s="1"/>
  <c r="K49" i="33"/>
  <c r="K53" i="33" s="1"/>
  <c r="K82" i="33"/>
  <c r="L26" i="25" l="1"/>
  <c r="K29" i="8"/>
  <c r="K21" i="8"/>
  <c r="K19" i="8"/>
  <c r="M12" i="25"/>
  <c r="M13" i="25" s="1"/>
  <c r="L49" i="6"/>
  <c r="L37" i="6"/>
  <c r="K30" i="8"/>
  <c r="K85" i="33"/>
  <c r="K86" i="33"/>
  <c r="K71" i="33"/>
  <c r="K72" i="33"/>
  <c r="L20" i="8" l="1"/>
  <c r="K22" i="8"/>
  <c r="L18" i="8" s="1"/>
  <c r="K41" i="8"/>
  <c r="K33" i="8"/>
  <c r="L42" i="6"/>
  <c r="L35" i="6"/>
  <c r="L39" i="6" s="1"/>
  <c r="L17" i="33" l="1"/>
  <c r="L24" i="33" s="1"/>
  <c r="L15" i="25"/>
  <c r="L48" i="6"/>
  <c r="L56" i="6"/>
  <c r="L45" i="6"/>
  <c r="M24" i="6" s="1"/>
  <c r="L44" i="6"/>
  <c r="K36" i="8"/>
  <c r="K38" i="8"/>
  <c r="K39" i="8" l="1"/>
  <c r="L35" i="8" s="1"/>
  <c r="L57" i="6"/>
  <c r="M39" i="4" s="1"/>
  <c r="M41" i="4" s="1"/>
  <c r="L50" i="6"/>
  <c r="L52" i="6" s="1"/>
  <c r="M16" i="25"/>
  <c r="L27" i="33"/>
  <c r="L28" i="33"/>
  <c r="M27" i="6"/>
  <c r="L18" i="25"/>
  <c r="L21" i="25" s="1"/>
  <c r="M32" i="19"/>
  <c r="L49" i="33" l="1"/>
  <c r="L53" i="33" s="1"/>
  <c r="L82" i="33"/>
  <c r="M43" i="4"/>
  <c r="M44" i="4"/>
  <c r="M46" i="4"/>
  <c r="N42" i="19" s="1"/>
  <c r="N43" i="19" s="1"/>
  <c r="L10" i="8"/>
  <c r="L13" i="8" s="1"/>
  <c r="L43" i="25"/>
  <c r="L45" i="25" s="1"/>
  <c r="L57" i="25"/>
  <c r="L59" i="25" s="1"/>
  <c r="L50" i="25"/>
  <c r="L52" i="25" s="1"/>
  <c r="L27" i="25"/>
  <c r="L28" i="25" s="1"/>
  <c r="L29" i="25" s="1"/>
  <c r="M25" i="25" s="1"/>
  <c r="L37" i="25"/>
  <c r="L38" i="25" s="1"/>
  <c r="L58" i="6"/>
  <c r="M37" i="19"/>
  <c r="M45" i="19" s="1"/>
  <c r="M47" i="19" s="1"/>
  <c r="L68" i="33"/>
  <c r="L36" i="33"/>
  <c r="L40" i="33" s="1"/>
  <c r="L90" i="33"/>
  <c r="L93" i="33" s="1"/>
  <c r="M28" i="6"/>
  <c r="L28" i="8" l="1"/>
  <c r="L16" i="8"/>
  <c r="L24" i="8"/>
  <c r="M33" i="6"/>
  <c r="M26" i="6"/>
  <c r="M30" i="6" s="1"/>
  <c r="C95" i="33"/>
  <c r="C94" i="33"/>
  <c r="M26" i="25"/>
  <c r="L71" i="33"/>
  <c r="L72" i="33"/>
  <c r="L86" i="33"/>
  <c r="L85" i="33"/>
  <c r="L30" i="8" l="1"/>
  <c r="C75" i="33"/>
  <c r="C74" i="33"/>
  <c r="M36" i="6"/>
  <c r="L29" i="8"/>
  <c r="L21" i="8"/>
  <c r="L19" i="8"/>
  <c r="L33" i="8" l="1"/>
  <c r="L41" i="8"/>
  <c r="M20" i="8"/>
  <c r="M49" i="6"/>
  <c r="N12" i="25"/>
  <c r="N13" i="25" s="1"/>
  <c r="M37" i="6"/>
  <c r="L22" i="8"/>
  <c r="M18" i="8" s="1"/>
  <c r="M39" i="6" l="1"/>
  <c r="M42" i="6"/>
  <c r="M35" i="6"/>
  <c r="L38" i="8"/>
  <c r="L36" i="8"/>
  <c r="M17" i="33"/>
  <c r="M24" i="33" s="1"/>
  <c r="M15" i="25"/>
  <c r="M28" i="33" l="1"/>
  <c r="M27" i="33"/>
  <c r="L39" i="8"/>
  <c r="M35" i="8" s="1"/>
  <c r="M18" i="25"/>
  <c r="M21" i="25" s="1"/>
  <c r="N32" i="19"/>
  <c r="M56" i="6"/>
  <c r="M48" i="6"/>
  <c r="M45" i="6"/>
  <c r="N24" i="6" s="1"/>
  <c r="M44" i="6"/>
  <c r="M82" i="33" l="1"/>
  <c r="M86" i="33" s="1"/>
  <c r="M49" i="33"/>
  <c r="M53" i="33" s="1"/>
  <c r="N37" i="19"/>
  <c r="N45" i="19" s="1"/>
  <c r="N47" i="19" s="1"/>
  <c r="N27" i="6"/>
  <c r="N28" i="6" s="1"/>
  <c r="M43" i="25"/>
  <c r="M45" i="25" s="1"/>
  <c r="M57" i="25"/>
  <c r="M59" i="25" s="1"/>
  <c r="M27" i="25"/>
  <c r="M28" i="25" s="1"/>
  <c r="M29" i="25" s="1"/>
  <c r="N25" i="25" s="1"/>
  <c r="M37" i="25"/>
  <c r="M38" i="25" s="1"/>
  <c r="M50" i="25"/>
  <c r="M52" i="25" s="1"/>
  <c r="M57" i="6"/>
  <c r="N39" i="4" s="1"/>
  <c r="N41" i="4" s="1"/>
  <c r="M50" i="6"/>
  <c r="M52" i="6" s="1"/>
  <c r="N16" i="25"/>
  <c r="M90" i="33"/>
  <c r="M68" i="33"/>
  <c r="M72" i="33" s="1"/>
  <c r="M36" i="33"/>
  <c r="M40" i="33" s="1"/>
  <c r="N30" i="6" l="1"/>
  <c r="N33" i="6"/>
  <c r="N26" i="6"/>
  <c r="N43" i="4"/>
  <c r="N44" i="4"/>
  <c r="N46" i="4" s="1"/>
  <c r="O42" i="19" s="1"/>
  <c r="O43" i="19" s="1"/>
  <c r="M10" i="8"/>
  <c r="M13" i="8" s="1"/>
  <c r="M58" i="6"/>
  <c r="N26" i="25"/>
  <c r="M28" i="8" l="1"/>
  <c r="M16" i="8"/>
  <c r="M24" i="8"/>
  <c r="N36" i="6"/>
  <c r="N37" i="6" s="1"/>
  <c r="N39" i="6" l="1"/>
  <c r="N42" i="6"/>
  <c r="N35" i="6"/>
  <c r="M29" i="8"/>
  <c r="M30" i="8" s="1"/>
  <c r="N49" i="6"/>
  <c r="O12" i="25"/>
  <c r="O13" i="25" s="1"/>
  <c r="M21" i="8"/>
  <c r="M19" i="8"/>
  <c r="M41" i="8" l="1"/>
  <c r="M33" i="8"/>
  <c r="M22" i="8"/>
  <c r="N18" i="8" s="1"/>
  <c r="N56" i="6"/>
  <c r="N48" i="6"/>
  <c r="N20" i="8"/>
  <c r="N45" i="6"/>
  <c r="O24" i="6" s="1"/>
  <c r="N44" i="6"/>
  <c r="N17" i="33" l="1"/>
  <c r="N24" i="33" s="1"/>
  <c r="N15" i="25"/>
  <c r="N57" i="6"/>
  <c r="O39" i="4" s="1"/>
  <c r="O41" i="4" s="1"/>
  <c r="O27" i="6"/>
  <c r="N50" i="6"/>
  <c r="N52" i="6" s="1"/>
  <c r="O16" i="25"/>
  <c r="N58" i="6"/>
  <c r="M38" i="8"/>
  <c r="M36" i="8"/>
  <c r="N27" i="33" l="1"/>
  <c r="N28" i="33"/>
  <c r="O28" i="6"/>
  <c r="M39" i="8"/>
  <c r="N35" i="8" s="1"/>
  <c r="O46" i="4"/>
  <c r="P42" i="19" s="1"/>
  <c r="P43" i="19" s="1"/>
  <c r="O43" i="4"/>
  <c r="O44" i="4"/>
  <c r="N10" i="8"/>
  <c r="N13" i="8" s="1"/>
  <c r="O32" i="19"/>
  <c r="N18" i="25"/>
  <c r="N21" i="25" s="1"/>
  <c r="O37" i="19" l="1"/>
  <c r="O45" i="19" s="1"/>
  <c r="O47" i="19" s="1"/>
  <c r="N36" i="33"/>
  <c r="N40" i="33" s="1"/>
  <c r="N90" i="33"/>
  <c r="N68" i="33"/>
  <c r="N72" i="33" s="1"/>
  <c r="O30" i="6"/>
  <c r="O33" i="6"/>
  <c r="O26" i="6"/>
  <c r="N27" i="25"/>
  <c r="N28" i="25" s="1"/>
  <c r="N29" i="25" s="1"/>
  <c r="O25" i="25" s="1"/>
  <c r="N37" i="25"/>
  <c r="N38" i="25" s="1"/>
  <c r="N50" i="25"/>
  <c r="N52" i="25" s="1"/>
  <c r="N43" i="25"/>
  <c r="N45" i="25" s="1"/>
  <c r="N57" i="25"/>
  <c r="N59" i="25" s="1"/>
  <c r="N28" i="8"/>
  <c r="N16" i="8"/>
  <c r="N24" i="8"/>
  <c r="N82" i="33"/>
  <c r="N86" i="33" s="1"/>
  <c r="N49" i="33"/>
  <c r="N53" i="33" s="1"/>
  <c r="N19" i="8" l="1"/>
  <c r="N21" i="8"/>
  <c r="O36" i="6"/>
  <c r="O26" i="25"/>
  <c r="N29" i="8"/>
  <c r="N30" i="8" s="1"/>
  <c r="N41" i="8" l="1"/>
  <c r="N33" i="8"/>
  <c r="O49" i="6"/>
  <c r="P12" i="25"/>
  <c r="P13" i="25" s="1"/>
  <c r="N22" i="8"/>
  <c r="O18" i="8" s="1"/>
  <c r="O37" i="6"/>
  <c r="O20" i="8"/>
  <c r="O17" i="33" l="1"/>
  <c r="O24" i="33" s="1"/>
  <c r="O15" i="25"/>
  <c r="O42" i="6"/>
  <c r="O35" i="6"/>
  <c r="N36" i="8"/>
  <c r="N38" i="8"/>
  <c r="N39" i="8" l="1"/>
  <c r="O35" i="8" s="1"/>
  <c r="O27" i="33"/>
  <c r="O28" i="33"/>
  <c r="O56" i="6"/>
  <c r="O48" i="6"/>
  <c r="O39" i="6"/>
  <c r="O44" i="6"/>
  <c r="O45" i="6"/>
  <c r="P24" i="6" s="1"/>
  <c r="O18" i="25"/>
  <c r="O21" i="25" s="1"/>
  <c r="P32" i="19"/>
  <c r="P37" i="19" l="1"/>
  <c r="P45" i="19" s="1"/>
  <c r="P47" i="19" s="1"/>
  <c r="O50" i="6"/>
  <c r="O52" i="6" s="1"/>
  <c r="P16" i="25"/>
  <c r="P27" i="6"/>
  <c r="P28" i="6"/>
  <c r="O27" i="25"/>
  <c r="O28" i="25" s="1"/>
  <c r="O29" i="25" s="1"/>
  <c r="P25" i="25" s="1"/>
  <c r="O37" i="25"/>
  <c r="O38" i="25" s="1"/>
  <c r="O43" i="25"/>
  <c r="O45" i="25" s="1"/>
  <c r="O50" i="25"/>
  <c r="O52" i="25" s="1"/>
  <c r="O57" i="25"/>
  <c r="O59" i="25" s="1"/>
  <c r="O57" i="6"/>
  <c r="P39" i="4" s="1"/>
  <c r="P41" i="4" s="1"/>
  <c r="O82" i="33"/>
  <c r="O86" i="33" s="1"/>
  <c r="O49" i="33"/>
  <c r="O53" i="33" s="1"/>
  <c r="O90" i="33"/>
  <c r="O68" i="33"/>
  <c r="O72" i="33" s="1"/>
  <c r="O36" i="33"/>
  <c r="O40" i="33" s="1"/>
  <c r="P26" i="25" l="1"/>
  <c r="O58" i="6"/>
  <c r="P33" i="6"/>
  <c r="P26" i="6"/>
  <c r="P30" i="6" s="1"/>
  <c r="P43" i="4"/>
  <c r="P44" i="4" s="1"/>
  <c r="O10" i="8"/>
  <c r="O13" i="8" s="1"/>
  <c r="P46" i="4" l="1"/>
  <c r="Q42" i="19" s="1"/>
  <c r="Q43" i="19" s="1"/>
  <c r="P36" i="6"/>
  <c r="O28" i="8"/>
  <c r="O16" i="8"/>
  <c r="O24" i="8"/>
  <c r="O29" i="8" l="1"/>
  <c r="O30" i="8" s="1"/>
  <c r="O19" i="8"/>
  <c r="O21" i="8"/>
  <c r="Q12" i="25"/>
  <c r="Q13" i="25" s="1"/>
  <c r="P49" i="6"/>
  <c r="P37" i="6"/>
  <c r="O33" i="8" l="1"/>
  <c r="O41" i="8"/>
  <c r="O22" i="8"/>
  <c r="P18" i="8" s="1"/>
  <c r="P20" i="8"/>
  <c r="P42" i="6"/>
  <c r="P39" i="6"/>
  <c r="P35" i="6"/>
  <c r="O36" i="8" l="1"/>
  <c r="O38" i="8"/>
  <c r="P56" i="6"/>
  <c r="P48" i="6"/>
  <c r="P44" i="6"/>
  <c r="P45" i="6"/>
  <c r="Q24" i="6" s="1"/>
  <c r="P15" i="25"/>
  <c r="P17" i="33"/>
  <c r="P24" i="33" s="1"/>
  <c r="Q32" i="19" l="1"/>
  <c r="P18" i="25"/>
  <c r="P21" i="25" s="1"/>
  <c r="P27" i="33"/>
  <c r="P28" i="33"/>
  <c r="Q27" i="6"/>
  <c r="Q28" i="6"/>
  <c r="O39" i="8"/>
  <c r="P35" i="8" s="1"/>
  <c r="P50" i="6"/>
  <c r="P52" i="6" s="1"/>
  <c r="Q16" i="25"/>
  <c r="P57" i="6"/>
  <c r="Q39" i="4" s="1"/>
  <c r="Q41" i="4" s="1"/>
  <c r="P58" i="6"/>
  <c r="Q37" i="19" l="1"/>
  <c r="Q45" i="19" s="1"/>
  <c r="Q47" i="19" s="1"/>
  <c r="Q33" i="6"/>
  <c r="Q30" i="6"/>
  <c r="Q43" i="4"/>
  <c r="P10" i="8"/>
  <c r="P13" i="8" s="1"/>
  <c r="Q26" i="6"/>
  <c r="P82" i="33"/>
  <c r="P86" i="33" s="1"/>
  <c r="P49" i="33"/>
  <c r="P53" i="33" s="1"/>
  <c r="P36" i="33"/>
  <c r="P40" i="33" s="1"/>
  <c r="P68" i="33"/>
  <c r="P72" i="33" s="1"/>
  <c r="P90" i="33"/>
  <c r="P27" i="25"/>
  <c r="P28" i="25" s="1"/>
  <c r="P29" i="25" s="1"/>
  <c r="Q25" i="25" s="1"/>
  <c r="P37" i="25"/>
  <c r="P38" i="25" s="1"/>
  <c r="P50" i="25"/>
  <c r="P52" i="25" s="1"/>
  <c r="P57" i="25"/>
  <c r="P59" i="25" s="1"/>
  <c r="P43" i="25"/>
  <c r="P45" i="25" s="1"/>
  <c r="Q46" i="4" l="1"/>
  <c r="R42" i="19" s="1"/>
  <c r="R43" i="19" s="1"/>
  <c r="P16" i="8"/>
  <c r="P24" i="8"/>
  <c r="P28" i="8"/>
  <c r="Q44" i="4"/>
  <c r="Q36" i="6"/>
  <c r="Q26" i="25"/>
  <c r="Q49" i="6" l="1"/>
  <c r="R12" i="25"/>
  <c r="R13" i="25" s="1"/>
  <c r="Q37" i="6"/>
  <c r="P29" i="8"/>
  <c r="P30" i="8" s="1"/>
  <c r="P21" i="8"/>
  <c r="P19" i="8"/>
  <c r="P33" i="8" l="1"/>
  <c r="P41" i="8"/>
  <c r="Q42" i="6"/>
  <c r="Q39" i="6"/>
  <c r="Q35" i="6"/>
  <c r="P22" i="8"/>
  <c r="Q18" i="8" s="1"/>
  <c r="Q20" i="8"/>
  <c r="P36" i="8" l="1"/>
  <c r="P38" i="8"/>
  <c r="Q48" i="6"/>
  <c r="Q56" i="6"/>
  <c r="Q45" i="6"/>
  <c r="R24" i="6" s="1"/>
  <c r="Q44" i="6"/>
  <c r="Q17" i="33"/>
  <c r="Q24" i="33" s="1"/>
  <c r="Q15" i="25"/>
  <c r="Q28" i="33" l="1"/>
  <c r="Q27" i="33"/>
  <c r="Q57" i="6"/>
  <c r="R39" i="4" s="1"/>
  <c r="R41" i="4" s="1"/>
  <c r="R32" i="19"/>
  <c r="Q18" i="25"/>
  <c r="Q21" i="25" s="1"/>
  <c r="Q58" i="6"/>
  <c r="P39" i="8"/>
  <c r="Q35" i="8" s="1"/>
  <c r="R27" i="6"/>
  <c r="R28" i="6"/>
  <c r="R26" i="6" s="1"/>
  <c r="Q50" i="6"/>
  <c r="Q52" i="6" s="1"/>
  <c r="R16" i="25"/>
  <c r="Q37" i="8"/>
  <c r="R37" i="19" l="1"/>
  <c r="R45" i="19" s="1"/>
  <c r="R47" i="19" s="1"/>
  <c r="Q57" i="25"/>
  <c r="Q59" i="25" s="1"/>
  <c r="Q27" i="25"/>
  <c r="Q28" i="25" s="1"/>
  <c r="Q29" i="25" s="1"/>
  <c r="R25" i="25" s="1"/>
  <c r="Q37" i="25"/>
  <c r="Q38" i="25" s="1"/>
  <c r="Q50" i="25"/>
  <c r="Q52" i="25" s="1"/>
  <c r="Q43" i="25"/>
  <c r="Q45" i="25" s="1"/>
  <c r="R43" i="4"/>
  <c r="R44" i="4" s="1"/>
  <c r="Q10" i="8"/>
  <c r="Q13" i="8" s="1"/>
  <c r="R33" i="6"/>
  <c r="R30" i="6"/>
  <c r="B20" i="6"/>
  <c r="Q36" i="33"/>
  <c r="Q40" i="33" s="1"/>
  <c r="Q68" i="33"/>
  <c r="Q72" i="33" s="1"/>
  <c r="Q90" i="33"/>
  <c r="Q82" i="33"/>
  <c r="Q86" i="33" s="1"/>
  <c r="Q49" i="33"/>
  <c r="Q53" i="33" s="1"/>
  <c r="R46" i="4" l="1"/>
  <c r="S42" i="19" s="1"/>
  <c r="S43" i="19" s="1"/>
  <c r="R36" i="6"/>
  <c r="R37" i="6"/>
  <c r="R26" i="25"/>
  <c r="Q16" i="8"/>
  <c r="Q24" i="8"/>
  <c r="Q28" i="8"/>
  <c r="Q21" i="8" l="1"/>
  <c r="Q19" i="8"/>
  <c r="Q29" i="8"/>
  <c r="Q30" i="8" s="1"/>
  <c r="R42" i="6"/>
  <c r="R39" i="6"/>
  <c r="R35" i="6"/>
  <c r="S12" i="25"/>
  <c r="S13" i="25" s="1"/>
  <c r="R49" i="6"/>
  <c r="Q41" i="8" l="1"/>
  <c r="Q33" i="8"/>
  <c r="R20" i="8"/>
  <c r="R45" i="6"/>
  <c r="S24" i="6" s="1"/>
  <c r="R44" i="6"/>
  <c r="Q22" i="8"/>
  <c r="R18" i="8" s="1"/>
  <c r="R48" i="6"/>
  <c r="R56" i="6"/>
  <c r="R50" i="6" l="1"/>
  <c r="R52" i="6" s="1"/>
  <c r="S16" i="25"/>
  <c r="R57" i="6"/>
  <c r="S39" i="4" s="1"/>
  <c r="S41" i="4" s="1"/>
  <c r="Q38" i="8"/>
  <c r="Q36" i="8"/>
  <c r="S27" i="6"/>
  <c r="S28" i="6"/>
  <c r="S26" i="6" s="1"/>
  <c r="R17" i="33"/>
  <c r="R24" i="33" s="1"/>
  <c r="R15" i="25"/>
  <c r="S32" i="19" l="1"/>
  <c r="R18" i="25"/>
  <c r="R21" i="25" s="1"/>
  <c r="R28" i="33"/>
  <c r="R27" i="33"/>
  <c r="S43" i="4"/>
  <c r="S46" i="4" s="1"/>
  <c r="T42" i="19" s="1"/>
  <c r="T43" i="19" s="1"/>
  <c r="S44" i="4"/>
  <c r="R10" i="8"/>
  <c r="R13" i="8" s="1"/>
  <c r="R58" i="6"/>
  <c r="Q39" i="8"/>
  <c r="R35" i="8" s="1"/>
  <c r="S33" i="6"/>
  <c r="S30" i="6"/>
  <c r="R37" i="8"/>
  <c r="S36" i="6" l="1"/>
  <c r="R36" i="33"/>
  <c r="R40" i="33" s="1"/>
  <c r="R68" i="33"/>
  <c r="R72" i="33" s="1"/>
  <c r="R90" i="33"/>
  <c r="R16" i="8"/>
  <c r="R24" i="8"/>
  <c r="R28" i="8"/>
  <c r="R49" i="33"/>
  <c r="R53" i="33" s="1"/>
  <c r="R82" i="33"/>
  <c r="R86" i="33" s="1"/>
  <c r="R27" i="25"/>
  <c r="R28" i="25" s="1"/>
  <c r="R29" i="25" s="1"/>
  <c r="S25" i="25" s="1"/>
  <c r="R37" i="25"/>
  <c r="R38" i="25" s="1"/>
  <c r="R50" i="25"/>
  <c r="R52" i="25" s="1"/>
  <c r="R43" i="25"/>
  <c r="R45" i="25" s="1"/>
  <c r="R57" i="25"/>
  <c r="R59" i="25" s="1"/>
  <c r="S37" i="19"/>
  <c r="S45" i="19" s="1"/>
  <c r="S47" i="19" s="1"/>
  <c r="T12" i="25" l="1"/>
  <c r="T13" i="25" s="1"/>
  <c r="S49" i="6"/>
  <c r="R29" i="8"/>
  <c r="R30" i="8" s="1"/>
  <c r="S37" i="6"/>
  <c r="S26" i="25"/>
  <c r="R21" i="8"/>
  <c r="R19" i="8"/>
  <c r="R33" i="8" l="1"/>
  <c r="R41" i="8"/>
  <c r="S42" i="6"/>
  <c r="S35" i="6"/>
  <c r="R22" i="8"/>
  <c r="S18" i="8" s="1"/>
  <c r="S20" i="8"/>
  <c r="S48" i="6" l="1"/>
  <c r="S56" i="6"/>
  <c r="S45" i="6"/>
  <c r="T24" i="6" s="1"/>
  <c r="S44" i="6"/>
  <c r="S17" i="33"/>
  <c r="S24" i="33" s="1"/>
  <c r="S15" i="25"/>
  <c r="S39" i="6"/>
  <c r="R36" i="8"/>
  <c r="R38" i="8"/>
  <c r="S18" i="25" l="1"/>
  <c r="S21" i="25" s="1"/>
  <c r="T32" i="19"/>
  <c r="T27" i="6"/>
  <c r="S27" i="33"/>
  <c r="S28" i="33"/>
  <c r="S58" i="6"/>
  <c r="S57" i="6"/>
  <c r="T39" i="4" s="1"/>
  <c r="T41" i="4" s="1"/>
  <c r="S37" i="8"/>
  <c r="R39" i="8"/>
  <c r="S35" i="8" s="1"/>
  <c r="S50" i="6"/>
  <c r="S52" i="6" s="1"/>
  <c r="T16" i="25"/>
  <c r="S49" i="33" l="1"/>
  <c r="S53" i="33" s="1"/>
  <c r="S82" i="33"/>
  <c r="S86" i="33" s="1"/>
  <c r="T28" i="6"/>
  <c r="T37" i="19"/>
  <c r="T45" i="19" s="1"/>
  <c r="T47" i="19" s="1"/>
  <c r="S36" i="33"/>
  <c r="S40" i="33" s="1"/>
  <c r="S68" i="33"/>
  <c r="S72" i="33" s="1"/>
  <c r="S90" i="33"/>
  <c r="T43" i="4"/>
  <c r="T44" i="4"/>
  <c r="T46" i="4" s="1"/>
  <c r="U42" i="19" s="1"/>
  <c r="U43" i="19" s="1"/>
  <c r="S10" i="8"/>
  <c r="S13" i="8" s="1"/>
  <c r="S43" i="25"/>
  <c r="S45" i="25" s="1"/>
  <c r="S57" i="25"/>
  <c r="S59" i="25" s="1"/>
  <c r="S27" i="25"/>
  <c r="S28" i="25" s="1"/>
  <c r="S29" i="25" s="1"/>
  <c r="T25" i="25" s="1"/>
  <c r="S37" i="25"/>
  <c r="S38" i="25" s="1"/>
  <c r="S50" i="25"/>
  <c r="S52" i="25" s="1"/>
  <c r="T33" i="6" l="1"/>
  <c r="T30" i="6"/>
  <c r="T26" i="6"/>
  <c r="S28" i="8"/>
  <c r="S16" i="8"/>
  <c r="S24" i="8"/>
  <c r="T26" i="25"/>
  <c r="S29" i="8" l="1"/>
  <c r="S30" i="8" s="1"/>
  <c r="S19" i="8"/>
  <c r="S21" i="8"/>
  <c r="T36" i="6"/>
  <c r="T37" i="6" s="1"/>
  <c r="T42" i="6" l="1"/>
  <c r="T35" i="6"/>
  <c r="S33" i="8"/>
  <c r="S41" i="8"/>
  <c r="T49" i="6"/>
  <c r="U12" i="25"/>
  <c r="U13" i="25" s="1"/>
  <c r="T20" i="8"/>
  <c r="S22" i="8"/>
  <c r="T17" i="33" l="1"/>
  <c r="T24" i="33" s="1"/>
  <c r="T15" i="25"/>
  <c r="S36" i="8"/>
  <c r="S39" i="8" s="1"/>
  <c r="S38" i="8"/>
  <c r="T48" i="6"/>
  <c r="T56" i="6"/>
  <c r="T45" i="6"/>
  <c r="U24" i="6" s="1"/>
  <c r="T44" i="6"/>
  <c r="T39" i="6"/>
  <c r="U27" i="6" l="1"/>
  <c r="T18" i="25"/>
  <c r="T21" i="25" s="1"/>
  <c r="U32" i="19"/>
  <c r="T50" i="6"/>
  <c r="T52" i="6" s="1"/>
  <c r="U16" i="25"/>
  <c r="T37" i="8"/>
  <c r="T57" i="6"/>
  <c r="U39" i="4" s="1"/>
  <c r="U41" i="4" s="1"/>
  <c r="T28" i="33"/>
  <c r="T27" i="33"/>
  <c r="T43" i="25" l="1"/>
  <c r="T45" i="25" s="1"/>
  <c r="T57" i="25"/>
  <c r="T59" i="25" s="1"/>
  <c r="T50" i="25"/>
  <c r="T52" i="25" s="1"/>
  <c r="T27" i="25"/>
  <c r="T28" i="25" s="1"/>
  <c r="T29" i="25" s="1"/>
  <c r="U25" i="25" s="1"/>
  <c r="T37" i="25"/>
  <c r="T38" i="25" s="1"/>
  <c r="U37" i="19"/>
  <c r="U45" i="19" s="1"/>
  <c r="U47" i="19" s="1"/>
  <c r="U43" i="4"/>
  <c r="U44" i="4"/>
  <c r="U46" i="4" s="1"/>
  <c r="V42" i="19" s="1"/>
  <c r="V43" i="19" s="1"/>
  <c r="T10" i="8"/>
  <c r="T13" i="8" s="1"/>
  <c r="U28" i="6"/>
  <c r="T36" i="33"/>
  <c r="T40" i="33" s="1"/>
  <c r="T68" i="33"/>
  <c r="T72" i="33" s="1"/>
  <c r="T90" i="33"/>
  <c r="T49" i="33"/>
  <c r="T53" i="33" s="1"/>
  <c r="T82" i="33"/>
  <c r="T86" i="33" s="1"/>
  <c r="T58" i="6"/>
  <c r="T28" i="8" l="1"/>
  <c r="T16" i="8"/>
  <c r="T24" i="8"/>
  <c r="U26" i="25"/>
  <c r="U33" i="6"/>
  <c r="U26" i="6"/>
  <c r="U30" i="6" s="1"/>
  <c r="U36" i="6" l="1"/>
  <c r="T29" i="8"/>
  <c r="T30" i="8" s="1"/>
  <c r="T19" i="8"/>
  <c r="T21" i="8"/>
  <c r="T33" i="8" l="1"/>
  <c r="T41" i="8"/>
  <c r="U20" i="8"/>
  <c r="T22" i="8"/>
  <c r="U18" i="8" s="1"/>
  <c r="V12" i="25"/>
  <c r="V13" i="25" s="1"/>
  <c r="U49" i="6"/>
  <c r="U37" i="6"/>
  <c r="T38" i="8" l="1"/>
  <c r="T36" i="8"/>
  <c r="T39" i="8" s="1"/>
  <c r="U35" i="8" s="1"/>
  <c r="U42" i="6"/>
  <c r="U35" i="6"/>
  <c r="U15" i="25"/>
  <c r="U17" i="33"/>
  <c r="U24" i="33" s="1"/>
  <c r="V32" i="19" l="1"/>
  <c r="U18" i="25"/>
  <c r="U21" i="25" s="1"/>
  <c r="U48" i="6"/>
  <c r="U56" i="6"/>
  <c r="U45" i="6"/>
  <c r="V24" i="6" s="1"/>
  <c r="U44" i="6"/>
  <c r="U39" i="6"/>
  <c r="U28" i="33"/>
  <c r="U27" i="33"/>
  <c r="U37" i="8"/>
  <c r="V37" i="19" l="1"/>
  <c r="V45" i="19" s="1"/>
  <c r="V47" i="19" s="1"/>
  <c r="U49" i="33"/>
  <c r="U53" i="33" s="1"/>
  <c r="U82" i="33"/>
  <c r="U86" i="33" s="1"/>
  <c r="U90" i="33"/>
  <c r="U36" i="33"/>
  <c r="U40" i="33" s="1"/>
  <c r="U68" i="33"/>
  <c r="U72" i="33" s="1"/>
  <c r="U57" i="6"/>
  <c r="V39" i="4" s="1"/>
  <c r="V41" i="4" s="1"/>
  <c r="V27" i="6"/>
  <c r="U50" i="6"/>
  <c r="U52" i="6" s="1"/>
  <c r="V16" i="25"/>
  <c r="U43" i="25"/>
  <c r="U45" i="25" s="1"/>
  <c r="U57" i="25"/>
  <c r="U59" i="25" s="1"/>
  <c r="U27" i="25"/>
  <c r="U28" i="25" s="1"/>
  <c r="U29" i="25" s="1"/>
  <c r="V25" i="25" s="1"/>
  <c r="U37" i="25"/>
  <c r="U38" i="25" s="1"/>
  <c r="U50" i="25"/>
  <c r="U52" i="25" s="1"/>
  <c r="V43" i="4" l="1"/>
  <c r="V44" i="4"/>
  <c r="V46" i="4" s="1"/>
  <c r="W42" i="19" s="1"/>
  <c r="W43" i="19" s="1"/>
  <c r="U10" i="8"/>
  <c r="U13" i="8" s="1"/>
  <c r="U58" i="6"/>
  <c r="V26" i="25"/>
  <c r="V28" i="6"/>
  <c r="U28" i="8" l="1"/>
  <c r="U16" i="8"/>
  <c r="U24" i="8"/>
  <c r="V33" i="6"/>
  <c r="V26" i="6"/>
  <c r="V30" i="6" s="1"/>
  <c r="U29" i="8" l="1"/>
  <c r="U30" i="8" s="1"/>
  <c r="V36" i="6"/>
  <c r="V37" i="6" s="1"/>
  <c r="U21" i="8"/>
  <c r="U19" i="8"/>
  <c r="U41" i="8" l="1"/>
  <c r="U33" i="8"/>
  <c r="V42" i="6"/>
  <c r="V35" i="6"/>
  <c r="V49" i="6"/>
  <c r="W12" i="25"/>
  <c r="W13" i="25" s="1"/>
  <c r="V20" i="8"/>
  <c r="U22" i="8"/>
  <c r="V18" i="8" s="1"/>
  <c r="V48" i="6" l="1"/>
  <c r="V56" i="6"/>
  <c r="V17" i="33"/>
  <c r="V24" i="33" s="1"/>
  <c r="V15" i="25"/>
  <c r="V45" i="6"/>
  <c r="W24" i="6" s="1"/>
  <c r="V44" i="6"/>
  <c r="V39" i="6"/>
  <c r="U36" i="8"/>
  <c r="U38" i="8"/>
  <c r="V57" i="6" l="1"/>
  <c r="W39" i="4" s="1"/>
  <c r="W41" i="4" s="1"/>
  <c r="W32" i="19"/>
  <c r="V18" i="25"/>
  <c r="V21" i="25" s="1"/>
  <c r="W27" i="6"/>
  <c r="V28" i="33"/>
  <c r="V27" i="33"/>
  <c r="V37" i="8"/>
  <c r="V58" i="6"/>
  <c r="U39" i="8"/>
  <c r="V35" i="8" s="1"/>
  <c r="V50" i="6"/>
  <c r="V52" i="6" s="1"/>
  <c r="W16" i="25"/>
  <c r="V36" i="33" l="1"/>
  <c r="V40" i="33" s="1"/>
  <c r="V90" i="33"/>
  <c r="V68" i="33"/>
  <c r="V72" i="33" s="1"/>
  <c r="V49" i="33"/>
  <c r="V53" i="33" s="1"/>
  <c r="V82" i="33"/>
  <c r="V86" i="33" s="1"/>
  <c r="C100" i="33" s="1"/>
  <c r="W28" i="6"/>
  <c r="V27" i="25"/>
  <c r="V28" i="25" s="1"/>
  <c r="V29" i="25" s="1"/>
  <c r="W25" i="25" s="1"/>
  <c r="V37" i="25"/>
  <c r="V38" i="25" s="1"/>
  <c r="V50" i="25"/>
  <c r="V52" i="25" s="1"/>
  <c r="V43" i="25"/>
  <c r="V45" i="25" s="1"/>
  <c r="V57" i="25"/>
  <c r="V59" i="25" s="1"/>
  <c r="W37" i="19"/>
  <c r="W45" i="19" s="1"/>
  <c r="W47" i="19" s="1"/>
  <c r="W43" i="4"/>
  <c r="V10" i="8"/>
  <c r="V13" i="8" s="1"/>
  <c r="W46" i="4" l="1"/>
  <c r="X42" i="19" s="1"/>
  <c r="X43" i="19" s="1"/>
  <c r="W33" i="6"/>
  <c r="W26" i="6"/>
  <c r="W30" i="6" s="1"/>
  <c r="V28" i="8"/>
  <c r="V16" i="8"/>
  <c r="V24" i="8"/>
  <c r="W44" i="4"/>
  <c r="C77" i="33"/>
  <c r="C76" i="33"/>
  <c r="W26" i="25"/>
  <c r="W36" i="6" l="1"/>
  <c r="V29" i="8"/>
  <c r="V30" i="8" s="1"/>
  <c r="V19" i="8"/>
  <c r="V21" i="8"/>
  <c r="V41" i="8" l="1"/>
  <c r="V33" i="8"/>
  <c r="W49" i="6"/>
  <c r="X12" i="25"/>
  <c r="X13" i="25" s="1"/>
  <c r="W20" i="8"/>
  <c r="V22" i="8"/>
  <c r="W18" i="8" s="1"/>
  <c r="W37" i="6"/>
  <c r="W17" i="33" l="1"/>
  <c r="W24" i="33" s="1"/>
  <c r="W15" i="25"/>
  <c r="W42" i="6"/>
  <c r="W35" i="6"/>
  <c r="V38" i="8"/>
  <c r="W37" i="8" s="1"/>
  <c r="V36" i="8"/>
  <c r="V39" i="8" s="1"/>
  <c r="W35" i="8" s="1"/>
  <c r="W48" i="6" l="1"/>
  <c r="W56" i="6"/>
  <c r="W39" i="6"/>
  <c r="W44" i="6"/>
  <c r="W45" i="6"/>
  <c r="X24" i="6" s="1"/>
  <c r="W27" i="33"/>
  <c r="W28" i="33"/>
  <c r="W18" i="25"/>
  <c r="W21" i="25" s="1"/>
  <c r="X32" i="19"/>
  <c r="W27" i="25" l="1"/>
  <c r="W28" i="25" s="1"/>
  <c r="W29" i="25" s="1"/>
  <c r="X25" i="25" s="1"/>
  <c r="W37" i="25"/>
  <c r="W38" i="25" s="1"/>
  <c r="C39" i="25" s="1"/>
  <c r="W43" i="25"/>
  <c r="W45" i="25" s="1"/>
  <c r="C46" i="25" s="1"/>
  <c r="C72" i="2" s="1"/>
  <c r="W57" i="25"/>
  <c r="W59" i="25" s="1"/>
  <c r="C60" i="25" s="1"/>
  <c r="C74" i="2" s="1"/>
  <c r="W50" i="25"/>
  <c r="W52" i="25" s="1"/>
  <c r="C53" i="25" s="1"/>
  <c r="C73" i="2" s="1"/>
  <c r="W49" i="33"/>
  <c r="W53" i="33" s="1"/>
  <c r="W82" i="33"/>
  <c r="W86" i="33" s="1"/>
  <c r="C99" i="33" s="1"/>
  <c r="W90" i="33"/>
  <c r="W36" i="33"/>
  <c r="W40" i="33" s="1"/>
  <c r="W68" i="33"/>
  <c r="W72" i="33" s="1"/>
  <c r="X27" i="6"/>
  <c r="W57" i="6"/>
  <c r="X39" i="4" s="1"/>
  <c r="X41" i="4" s="1"/>
  <c r="X37" i="19"/>
  <c r="X45" i="19" s="1"/>
  <c r="X47" i="19" s="1"/>
  <c r="W50" i="6"/>
  <c r="W52" i="6" s="1"/>
  <c r="X16" i="25"/>
  <c r="C45" i="33" l="1"/>
  <c r="C44" i="33"/>
  <c r="X26" i="25"/>
  <c r="W58" i="6"/>
  <c r="X28" i="6"/>
  <c r="X46" i="4"/>
  <c r="Y42" i="19" s="1"/>
  <c r="Y43" i="19" s="1"/>
  <c r="X43" i="4"/>
  <c r="X44" i="4"/>
  <c r="W10" i="8"/>
  <c r="W13" i="8" s="1"/>
  <c r="C71" i="2"/>
  <c r="B9" i="16"/>
  <c r="B12" i="16" s="1"/>
  <c r="C57" i="33"/>
  <c r="C58" i="33"/>
  <c r="X33" i="6" l="1"/>
  <c r="X26" i="6"/>
  <c r="X30" i="6" s="1"/>
  <c r="W16" i="8"/>
  <c r="W24" i="8"/>
  <c r="W28" i="8"/>
  <c r="W19" i="8" l="1"/>
  <c r="W21" i="8"/>
  <c r="X36" i="6"/>
  <c r="W29" i="8"/>
  <c r="W30" i="8" s="1"/>
  <c r="W33" i="8" l="1"/>
  <c r="W41" i="8"/>
  <c r="X15" i="25" s="1"/>
  <c r="W22" i="8"/>
  <c r="X18" i="8" s="1"/>
  <c r="Y12" i="25"/>
  <c r="Y13" i="25" s="1"/>
  <c r="X49" i="6"/>
  <c r="X37" i="6"/>
  <c r="X20" i="8"/>
  <c r="W38" i="8" l="1"/>
  <c r="X37" i="8" s="1"/>
  <c r="W36" i="8"/>
  <c r="W39" i="8" s="1"/>
  <c r="X35" i="8" s="1"/>
  <c r="X42" i="6"/>
  <c r="X35" i="6"/>
  <c r="Y32" i="19"/>
  <c r="X18" i="25"/>
  <c r="X21" i="25" s="1"/>
  <c r="X27" i="25" l="1"/>
  <c r="X28" i="25" s="1"/>
  <c r="X29" i="25" s="1"/>
  <c r="Y25" i="25" s="1"/>
  <c r="X37" i="25"/>
  <c r="X38" i="25" s="1"/>
  <c r="X50" i="25"/>
  <c r="X52" i="25" s="1"/>
  <c r="X57" i="25"/>
  <c r="X59" i="25" s="1"/>
  <c r="X43" i="25"/>
  <c r="X45" i="25" s="1"/>
  <c r="X48" i="6"/>
  <c r="X56" i="6"/>
  <c r="Y37" i="19"/>
  <c r="Y45" i="19" s="1"/>
  <c r="Y47" i="19" s="1"/>
  <c r="X39" i="6"/>
  <c r="X44" i="6"/>
  <c r="X45" i="6"/>
  <c r="Y24" i="6" s="1"/>
  <c r="X58" i="6" l="1"/>
  <c r="X50" i="6"/>
  <c r="X52" i="6" s="1"/>
  <c r="Y16" i="25"/>
  <c r="Y27" i="6"/>
  <c r="Y28" i="6"/>
  <c r="Y26" i="6" s="1"/>
  <c r="X57" i="6"/>
  <c r="Y39" i="4" s="1"/>
  <c r="Y41" i="4" s="1"/>
  <c r="Y26" i="25"/>
  <c r="Y43" i="4" l="1"/>
  <c r="Y44" i="4" s="1"/>
  <c r="X10" i="8"/>
  <c r="X13" i="8" s="1"/>
  <c r="Y33" i="6"/>
  <c r="Y30" i="6"/>
  <c r="Y46" i="4" l="1"/>
  <c r="Z42" i="19" s="1"/>
  <c r="Z43" i="19" s="1"/>
  <c r="X28" i="8"/>
  <c r="X16" i="8"/>
  <c r="X24" i="8"/>
  <c r="Y36" i="6"/>
  <c r="Y37" i="6" s="1"/>
  <c r="Y42" i="6" l="1"/>
  <c r="Y39" i="6"/>
  <c r="Y35" i="6"/>
  <c r="Z12" i="25"/>
  <c r="Z13" i="25" s="1"/>
  <c r="Y49" i="6"/>
  <c r="X29" i="8"/>
  <c r="X30" i="8" s="1"/>
  <c r="X21" i="8"/>
  <c r="X19" i="8"/>
  <c r="X33" i="8" l="1"/>
  <c r="X41" i="8"/>
  <c r="Y15" i="25" s="1"/>
  <c r="Y45" i="6"/>
  <c r="Z24" i="6" s="1"/>
  <c r="Y44" i="6"/>
  <c r="X22" i="8"/>
  <c r="Y18" i="8" s="1"/>
  <c r="Y20" i="8"/>
  <c r="Y48" i="6"/>
  <c r="Y56" i="6"/>
  <c r="Z32" i="19" l="1"/>
  <c r="Y18" i="25"/>
  <c r="Y21" i="25" s="1"/>
  <c r="Y50" i="6"/>
  <c r="Y52" i="6" s="1"/>
  <c r="Z16" i="25"/>
  <c r="X38" i="8"/>
  <c r="Y37" i="8" s="1"/>
  <c r="X36" i="8"/>
  <c r="X39" i="8" s="1"/>
  <c r="Y35" i="8" s="1"/>
  <c r="Y57" i="6"/>
  <c r="Z39" i="4" s="1"/>
  <c r="Z41" i="4" s="1"/>
  <c r="Z27" i="6"/>
  <c r="Z28" i="6"/>
  <c r="Z37" i="19" l="1"/>
  <c r="Z45" i="19" s="1"/>
  <c r="Z47" i="19" s="1"/>
  <c r="Z43" i="4"/>
  <c r="Y10" i="8"/>
  <c r="Y13" i="8" s="1"/>
  <c r="Z33" i="6"/>
  <c r="Y57" i="25"/>
  <c r="Y59" i="25" s="1"/>
  <c r="Y27" i="25"/>
  <c r="Y28" i="25" s="1"/>
  <c r="Y29" i="25" s="1"/>
  <c r="Z25" i="25" s="1"/>
  <c r="Y37" i="25"/>
  <c r="Y38" i="25" s="1"/>
  <c r="Y50" i="25"/>
  <c r="Y52" i="25" s="1"/>
  <c r="Y43" i="25"/>
  <c r="Y45" i="25" s="1"/>
  <c r="Z26" i="6"/>
  <c r="Z30" i="6" s="1"/>
  <c r="Y58" i="6"/>
  <c r="Z46" i="4" l="1"/>
  <c r="AA42" i="19" s="1"/>
  <c r="AA43" i="19" s="1"/>
  <c r="Y16" i="8"/>
  <c r="Y24" i="8"/>
  <c r="Y28" i="8"/>
  <c r="Z44" i="4"/>
  <c r="Z36" i="6"/>
  <c r="Z37" i="6" s="1"/>
  <c r="Z26" i="25"/>
  <c r="Z42" i="6" l="1"/>
  <c r="Z39" i="6"/>
  <c r="Z35" i="6"/>
  <c r="Y21" i="8"/>
  <c r="Y19" i="8"/>
  <c r="Y22" i="8" s="1"/>
  <c r="Z18" i="8" s="1"/>
  <c r="Y30" i="8"/>
  <c r="AA12" i="25"/>
  <c r="AA13" i="25" s="1"/>
  <c r="Z49" i="6"/>
  <c r="Y29" i="8"/>
  <c r="Z20" i="8" l="1"/>
  <c r="Y33" i="8"/>
  <c r="Y41" i="8"/>
  <c r="Z15" i="25" s="1"/>
  <c r="Z45" i="6"/>
  <c r="AA24" i="6" s="1"/>
  <c r="Z44" i="6"/>
  <c r="Z48" i="6"/>
  <c r="Z56" i="6"/>
  <c r="AA27" i="6" l="1"/>
  <c r="Z18" i="25"/>
  <c r="Z21" i="25" s="1"/>
  <c r="AA32" i="19"/>
  <c r="Y38" i="8"/>
  <c r="Z37" i="8" s="1"/>
  <c r="Y36" i="8"/>
  <c r="Y39" i="8" s="1"/>
  <c r="Z35" i="8" s="1"/>
  <c r="Z57" i="6"/>
  <c r="AA39" i="4" s="1"/>
  <c r="AA41" i="4" s="1"/>
  <c r="Z50" i="6"/>
  <c r="Z52" i="6" s="1"/>
  <c r="AA16" i="25"/>
  <c r="Z58" i="6" l="1"/>
  <c r="AA37" i="19"/>
  <c r="AA45" i="19" s="1"/>
  <c r="AA47" i="19" s="1"/>
  <c r="Z27" i="25"/>
  <c r="Z28" i="25" s="1"/>
  <c r="Z29" i="25" s="1"/>
  <c r="AA25" i="25" s="1"/>
  <c r="Z37" i="25"/>
  <c r="Z38" i="25" s="1"/>
  <c r="Z50" i="25"/>
  <c r="Z52" i="25" s="1"/>
  <c r="Z43" i="25"/>
  <c r="Z45" i="25" s="1"/>
  <c r="Z57" i="25"/>
  <c r="Z59" i="25" s="1"/>
  <c r="AA43" i="4"/>
  <c r="AA46" i="4" s="1"/>
  <c r="AB42" i="19" s="1"/>
  <c r="AB43" i="19" s="1"/>
  <c r="AA44" i="4"/>
  <c r="Z10" i="8"/>
  <c r="Z13" i="8" s="1"/>
  <c r="AA28" i="6"/>
  <c r="AA33" i="6" l="1"/>
  <c r="AA26" i="6"/>
  <c r="AA30" i="6" s="1"/>
  <c r="Z16" i="8"/>
  <c r="Z24" i="8"/>
  <c r="Z28" i="8"/>
  <c r="AA26" i="25"/>
  <c r="AA36" i="6" l="1"/>
  <c r="Z21" i="8"/>
  <c r="Z19" i="8"/>
  <c r="Z22" i="8" s="1"/>
  <c r="AA18" i="8" s="1"/>
  <c r="Z29" i="8"/>
  <c r="Z30" i="8" s="1"/>
  <c r="Z33" i="8" l="1"/>
  <c r="Z41" i="8"/>
  <c r="AA15" i="25" s="1"/>
  <c r="AB12" i="25"/>
  <c r="AB13" i="25" s="1"/>
  <c r="AA49" i="6"/>
  <c r="AA37" i="6"/>
  <c r="AA20" i="8"/>
  <c r="AB32" i="19" l="1"/>
  <c r="AA18" i="25"/>
  <c r="AA21" i="25" s="1"/>
  <c r="Z36" i="8"/>
  <c r="Z39" i="8" s="1"/>
  <c r="AA35" i="8" s="1"/>
  <c r="Z38" i="8"/>
  <c r="AA37" i="8" s="1"/>
  <c r="AA42" i="6"/>
  <c r="AA35" i="6"/>
  <c r="AA43" i="25" l="1"/>
  <c r="AA45" i="25" s="1"/>
  <c r="AA57" i="25"/>
  <c r="AA59" i="25" s="1"/>
  <c r="AA50" i="25"/>
  <c r="AA52" i="25" s="1"/>
  <c r="AA27" i="25"/>
  <c r="AA28" i="25" s="1"/>
  <c r="AA29" i="25" s="1"/>
  <c r="AB25" i="25" s="1"/>
  <c r="AA37" i="25"/>
  <c r="AA38" i="25" s="1"/>
  <c r="AA48" i="6"/>
  <c r="AA56" i="6"/>
  <c r="AB37" i="19"/>
  <c r="AB45" i="19" s="1"/>
  <c r="AB47" i="19" s="1"/>
  <c r="AA39" i="6"/>
  <c r="AA45" i="6"/>
  <c r="AB24" i="6" s="1"/>
  <c r="AA44" i="6"/>
  <c r="AA50" i="6" l="1"/>
  <c r="AA52" i="6" s="1"/>
  <c r="AB16" i="25"/>
  <c r="AA57" i="6"/>
  <c r="AB39" i="4" s="1"/>
  <c r="AB41" i="4" s="1"/>
  <c r="AB26" i="25"/>
  <c r="AA58" i="6"/>
  <c r="AB27" i="6"/>
  <c r="AB28" i="6" s="1"/>
  <c r="AB33" i="6" l="1"/>
  <c r="AB30" i="6"/>
  <c r="AB26" i="6"/>
  <c r="AB43" i="4"/>
  <c r="AB44" i="4"/>
  <c r="AB46" i="4" s="1"/>
  <c r="AC42" i="19" s="1"/>
  <c r="AC43" i="19" s="1"/>
  <c r="AA10" i="8"/>
  <c r="AA13" i="8" s="1"/>
  <c r="AA28" i="8" l="1"/>
  <c r="AA16" i="8"/>
  <c r="AA24" i="8"/>
  <c r="AB36" i="6"/>
  <c r="AB37" i="6" s="1"/>
  <c r="AB39" i="6" l="1"/>
  <c r="AB42" i="6"/>
  <c r="AB35" i="6"/>
  <c r="AA29" i="8"/>
  <c r="AA30" i="8" s="1"/>
  <c r="AC12" i="25"/>
  <c r="AC13" i="25" s="1"/>
  <c r="AB49" i="6"/>
  <c r="AA21" i="8"/>
  <c r="AA19" i="8"/>
  <c r="AA41" i="8" l="1"/>
  <c r="AB15" i="25" s="1"/>
  <c r="AA33" i="8"/>
  <c r="AB20" i="8"/>
  <c r="AB44" i="6"/>
  <c r="AB45" i="6"/>
  <c r="AC24" i="6" s="1"/>
  <c r="AA22" i="8"/>
  <c r="AB18" i="8" s="1"/>
  <c r="AB48" i="6"/>
  <c r="AB56" i="6"/>
  <c r="AA36" i="8" l="1"/>
  <c r="AA38" i="8"/>
  <c r="AB37" i="8" s="1"/>
  <c r="AC32" i="19"/>
  <c r="AB18" i="25"/>
  <c r="AB21" i="25" s="1"/>
  <c r="AC27" i="6"/>
  <c r="AC28" i="6"/>
  <c r="AB57" i="6"/>
  <c r="AC39" i="4" s="1"/>
  <c r="AC41" i="4" s="1"/>
  <c r="AB50" i="6"/>
  <c r="AB52" i="6" s="1"/>
  <c r="AC16" i="25"/>
  <c r="AC43" i="4" l="1"/>
  <c r="AC46" i="4" s="1"/>
  <c r="AD42" i="19" s="1"/>
  <c r="AD43" i="19" s="1"/>
  <c r="AC44" i="4"/>
  <c r="AB10" i="8"/>
  <c r="AB13" i="8" s="1"/>
  <c r="AA39" i="8"/>
  <c r="AB35" i="8" s="1"/>
  <c r="AC30" i="6"/>
  <c r="AC33" i="6"/>
  <c r="AB58" i="6"/>
  <c r="AB43" i="25"/>
  <c r="AB45" i="25" s="1"/>
  <c r="AB57" i="25"/>
  <c r="AB59" i="25" s="1"/>
  <c r="AB50" i="25"/>
  <c r="AB52" i="25" s="1"/>
  <c r="AB27" i="25"/>
  <c r="AB28" i="25" s="1"/>
  <c r="AB29" i="25" s="1"/>
  <c r="AC25" i="25" s="1"/>
  <c r="AB37" i="25"/>
  <c r="AB38" i="25" s="1"/>
  <c r="AC26" i="6"/>
  <c r="AC37" i="19"/>
  <c r="AC45" i="19" s="1"/>
  <c r="AC47" i="19" s="1"/>
  <c r="AC26" i="25" l="1"/>
  <c r="AB28" i="8"/>
  <c r="AB16" i="8"/>
  <c r="AB24" i="8"/>
  <c r="AC36" i="6"/>
  <c r="AD12" i="25" l="1"/>
  <c r="AD13" i="25" s="1"/>
  <c r="AC49" i="6"/>
  <c r="AC37" i="6"/>
  <c r="AB29" i="8"/>
  <c r="AB30" i="8" s="1"/>
  <c r="AB19" i="8"/>
  <c r="AB22" i="8" s="1"/>
  <c r="AC18" i="8" s="1"/>
  <c r="AB21" i="8"/>
  <c r="AB33" i="8" l="1"/>
  <c r="AB41" i="8"/>
  <c r="AC15" i="25" s="1"/>
  <c r="AC20" i="8"/>
  <c r="AC42" i="6"/>
  <c r="AC35" i="6"/>
  <c r="AC48" i="6" l="1"/>
  <c r="AC56" i="6"/>
  <c r="AD32" i="19"/>
  <c r="AC18" i="25"/>
  <c r="AC21" i="25" s="1"/>
  <c r="AB38" i="8"/>
  <c r="AC37" i="8" s="1"/>
  <c r="AB36" i="8"/>
  <c r="AB39" i="8" s="1"/>
  <c r="AC35" i="8" s="1"/>
  <c r="AC45" i="6"/>
  <c r="AD24" i="6" s="1"/>
  <c r="AC44" i="6"/>
  <c r="AC39" i="6"/>
  <c r="AC50" i="6" l="1"/>
  <c r="AC52" i="6" s="1"/>
  <c r="AD16" i="25"/>
  <c r="AC57" i="6"/>
  <c r="AD39" i="4" s="1"/>
  <c r="AD41" i="4" s="1"/>
  <c r="AD28" i="6"/>
  <c r="AD26" i="6"/>
  <c r="AD27" i="6"/>
  <c r="AC43" i="25"/>
  <c r="AC45" i="25" s="1"/>
  <c r="AC57" i="25"/>
  <c r="AC59" i="25" s="1"/>
  <c r="AC27" i="25"/>
  <c r="AC28" i="25" s="1"/>
  <c r="AC29" i="25" s="1"/>
  <c r="AD25" i="25" s="1"/>
  <c r="AC37" i="25"/>
  <c r="AC38" i="25" s="1"/>
  <c r="AC50" i="25"/>
  <c r="AC52" i="25" s="1"/>
  <c r="AD37" i="19"/>
  <c r="AD45" i="19" s="1"/>
  <c r="AD47" i="19" s="1"/>
  <c r="AD30" i="6" l="1"/>
  <c r="AD33" i="6"/>
  <c r="AC58" i="6"/>
  <c r="AD43" i="4"/>
  <c r="AD46" i="4" s="1"/>
  <c r="AE42" i="19" s="1"/>
  <c r="AE43" i="19" s="1"/>
  <c r="AD44" i="4"/>
  <c r="AC10" i="8"/>
  <c r="AC13" i="8" s="1"/>
  <c r="AD26" i="25"/>
  <c r="AC28" i="8" l="1"/>
  <c r="AC16" i="8"/>
  <c r="AC24" i="8"/>
  <c r="AD36" i="6"/>
  <c r="AD37" i="6" s="1"/>
  <c r="AD39" i="6" l="1"/>
  <c r="AD42" i="6"/>
  <c r="AD35" i="6"/>
  <c r="AE12" i="25"/>
  <c r="AE13" i="25" s="1"/>
  <c r="AD49" i="6"/>
  <c r="AC29" i="8"/>
  <c r="AC30" i="8" s="1"/>
  <c r="AC19" i="8"/>
  <c r="AC22" i="8" s="1"/>
  <c r="AD18" i="8" s="1"/>
  <c r="AC21" i="8"/>
  <c r="AD20" i="8" s="1"/>
  <c r="AC41" i="8" l="1"/>
  <c r="AD15" i="25" s="1"/>
  <c r="AC33" i="8"/>
  <c r="AD44" i="6"/>
  <c r="AD45" i="6"/>
  <c r="AE24" i="6" s="1"/>
  <c r="AD48" i="6"/>
  <c r="AD56" i="6"/>
  <c r="AC38" i="8" l="1"/>
  <c r="AD37" i="8" s="1"/>
  <c r="AC36" i="8"/>
  <c r="AC39" i="8" s="1"/>
  <c r="AD35" i="8" s="1"/>
  <c r="AD50" i="6"/>
  <c r="AD52" i="6" s="1"/>
  <c r="AE16" i="25"/>
  <c r="AE32" i="19"/>
  <c r="AD18" i="25"/>
  <c r="AD21" i="25" s="1"/>
  <c r="AD57" i="6"/>
  <c r="AE39" i="4" s="1"/>
  <c r="AE41" i="4" s="1"/>
  <c r="AD58" i="6"/>
  <c r="AE27" i="6"/>
  <c r="AE28" i="6" s="1"/>
  <c r="AE30" i="6" l="1"/>
  <c r="AE33" i="6"/>
  <c r="AE26" i="6"/>
  <c r="AE43" i="4"/>
  <c r="AE46" i="4" s="1"/>
  <c r="AF42" i="19" s="1"/>
  <c r="AF43" i="19" s="1"/>
  <c r="AE44" i="4"/>
  <c r="AD10" i="8"/>
  <c r="AD13" i="8" s="1"/>
  <c r="AE37" i="19"/>
  <c r="AE45" i="19" s="1"/>
  <c r="AE47" i="19" s="1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57" i="25"/>
  <c r="AD59" i="25" s="1"/>
  <c r="AD28" i="8" l="1"/>
  <c r="AD16" i="8"/>
  <c r="AD24" i="8"/>
  <c r="AE36" i="6"/>
  <c r="AE26" i="25"/>
  <c r="AD30" i="8" l="1"/>
  <c r="AF12" i="25"/>
  <c r="AF13" i="25" s="1"/>
  <c r="AE49" i="6"/>
  <c r="AE37" i="6"/>
  <c r="AD29" i="8"/>
  <c r="AD19" i="8"/>
  <c r="AD21" i="8"/>
  <c r="AE20" i="8" s="1"/>
  <c r="AD22" i="8" l="1"/>
  <c r="AE18" i="8" s="1"/>
  <c r="AE42" i="6"/>
  <c r="AE39" i="6"/>
  <c r="AE35" i="6"/>
  <c r="AD41" i="8"/>
  <c r="AE15" i="25" s="1"/>
  <c r="AD33" i="8"/>
  <c r="AE44" i="6" l="1"/>
  <c r="AE45" i="6"/>
  <c r="AF24" i="6" s="1"/>
  <c r="AE18" i="25"/>
  <c r="AE21" i="25" s="1"/>
  <c r="AF32" i="19"/>
  <c r="AE56" i="6"/>
  <c r="AE48" i="6"/>
  <c r="AD38" i="8"/>
  <c r="AE37" i="8" s="1"/>
  <c r="AD36" i="8"/>
  <c r="AD39" i="8" s="1"/>
  <c r="AE35" i="8" s="1"/>
  <c r="AE50" i="6" l="1"/>
  <c r="AE52" i="6" s="1"/>
  <c r="AF16" i="25"/>
  <c r="AE57" i="6"/>
  <c r="AF39" i="4" s="1"/>
  <c r="AF41" i="4" s="1"/>
  <c r="AF37" i="19"/>
  <c r="AF45" i="19" s="1"/>
  <c r="AF47" i="19" s="1"/>
  <c r="AE27" i="25"/>
  <c r="AE28" i="25" s="1"/>
  <c r="AE29" i="25" s="1"/>
  <c r="AF25" i="25" s="1"/>
  <c r="AE37" i="25"/>
  <c r="AE38" i="25" s="1"/>
  <c r="AE43" i="25"/>
  <c r="AE45" i="25" s="1"/>
  <c r="AE57" i="25"/>
  <c r="AE59" i="25" s="1"/>
  <c r="AE50" i="25"/>
  <c r="AE52" i="25" s="1"/>
  <c r="AE58" i="6"/>
  <c r="AF27" i="6"/>
  <c r="AF28" i="6" s="1"/>
  <c r="AF33" i="6" l="1"/>
  <c r="AF30" i="6"/>
  <c r="AF26" i="6"/>
  <c r="AF26" i="25"/>
  <c r="AF43" i="4"/>
  <c r="AE10" i="8"/>
  <c r="AE13" i="8" s="1"/>
  <c r="AF44" i="4" l="1"/>
  <c r="AF46" i="4" s="1"/>
  <c r="AG42" i="19" s="1"/>
  <c r="AG43" i="19" s="1"/>
  <c r="AF36" i="6"/>
  <c r="AE16" i="8"/>
  <c r="AE28" i="8"/>
  <c r="AE24" i="8"/>
  <c r="AE30" i="8" l="1"/>
  <c r="AF49" i="6"/>
  <c r="AG12" i="25"/>
  <c r="AG13" i="25" s="1"/>
  <c r="AE29" i="8"/>
  <c r="AE19" i="8"/>
  <c r="AE22" i="8" s="1"/>
  <c r="AF18" i="8" s="1"/>
  <c r="AE21" i="8"/>
  <c r="AF20" i="8" s="1"/>
  <c r="AF37" i="6"/>
  <c r="AE33" i="8" l="1"/>
  <c r="AE41" i="8"/>
  <c r="AF15" i="25" s="1"/>
  <c r="AF42" i="6"/>
  <c r="AF35" i="6"/>
  <c r="AE38" i="8" l="1"/>
  <c r="AF37" i="8" s="1"/>
  <c r="AE36" i="8"/>
  <c r="AE39" i="8" s="1"/>
  <c r="AF35" i="8" s="1"/>
  <c r="AF56" i="6"/>
  <c r="AF48" i="6"/>
  <c r="B77" i="6"/>
  <c r="E66" i="6" s="1"/>
  <c r="G35" i="2" s="1"/>
  <c r="AF39" i="6"/>
  <c r="AF44" i="6"/>
  <c r="AF57" i="6" s="1"/>
  <c r="AG39" i="4" s="1"/>
  <c r="AG41" i="4" s="1"/>
  <c r="AF45" i="6"/>
  <c r="AG32" i="19"/>
  <c r="AF18" i="25"/>
  <c r="AF21" i="25" s="1"/>
  <c r="AG37" i="19" l="1"/>
  <c r="AG45" i="19" s="1"/>
  <c r="AG47" i="19" s="1"/>
  <c r="AG43" i="4"/>
  <c r="AG46" i="4" s="1"/>
  <c r="AH42" i="19" s="1"/>
  <c r="AH43" i="19" s="1"/>
  <c r="AG44" i="4"/>
  <c r="AF10" i="8"/>
  <c r="AF13" i="8" s="1"/>
  <c r="AF50" i="6"/>
  <c r="AF52" i="6" s="1"/>
  <c r="AG16" i="25"/>
  <c r="AF27" i="25"/>
  <c r="AF28" i="25" s="1"/>
  <c r="AF29" i="25" s="1"/>
  <c r="AG25" i="25" s="1"/>
  <c r="AF37" i="25"/>
  <c r="AF38" i="25" s="1"/>
  <c r="AF50" i="25"/>
  <c r="AF52" i="25" s="1"/>
  <c r="AF57" i="25"/>
  <c r="AF59" i="25" s="1"/>
  <c r="AF43" i="25"/>
  <c r="AF45" i="25" s="1"/>
  <c r="AF58" i="6"/>
  <c r="E69" i="6" l="1"/>
  <c r="E68" i="6"/>
  <c r="AF16" i="8"/>
  <c r="AF28" i="8"/>
  <c r="AF24" i="8"/>
  <c r="AG26" i="25"/>
  <c r="AF29" i="8" l="1"/>
  <c r="AF21" i="8"/>
  <c r="AF19" i="8"/>
  <c r="AF22" i="8" s="1"/>
  <c r="AF30" i="8"/>
  <c r="D68" i="2"/>
  <c r="C9" i="16"/>
  <c r="C12" i="16" s="1"/>
  <c r="C68" i="2"/>
  <c r="D9" i="16"/>
  <c r="D12" i="16" s="1"/>
  <c r="AF33" i="8" l="1"/>
  <c r="AF41" i="8"/>
  <c r="AG15" i="25" s="1"/>
  <c r="AH32" i="19" l="1"/>
  <c r="AH37" i="19" s="1"/>
  <c r="AH45" i="19" s="1"/>
  <c r="AH47" i="19" s="1"/>
  <c r="AG18" i="25"/>
  <c r="AG21" i="25" s="1"/>
  <c r="AF36" i="8"/>
  <c r="AF38" i="8"/>
  <c r="AF39" i="8" l="1"/>
  <c r="AG57" i="25"/>
  <c r="AG59" i="25" s="1"/>
  <c r="AG27" i="25"/>
  <c r="AG28" i="25" s="1"/>
  <c r="AG29" i="25" s="1"/>
  <c r="AG37" i="25"/>
  <c r="AG38" i="25" s="1"/>
  <c r="AG50" i="25"/>
  <c r="AG52" i="25" s="1"/>
  <c r="AG43" i="25"/>
  <c r="AG45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<sst xmlns="http://schemas.openxmlformats.org/spreadsheetml/2006/main" count="981" uniqueCount="720">
  <si>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</si>
  <si>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</si>
  <si>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</si>
  <si>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</si>
  <si>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</si>
  <si>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</si>
  <si>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</si>
  <si>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</si>
  <si>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</si>
  <si>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</si>
  <si>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</si>
  <si>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</si>
  <si>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</si>
  <si>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</si>
  <si>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</si>
  <si>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</si>
  <si>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</si>
  <si>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</si>
  <si>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</si>
  <si>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</si>
  <si>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</si>
  <si>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</si>
  <si>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</si>
  <si>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</si>
  <si>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</si>
  <si>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</si>
  <si>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</si>
  <si>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</si>
  <si>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</si>
  <si>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</si>
  <si>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</si>
  <si>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</si>
  <si>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</si>
  <si>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</si>
  <si>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</si>
  <si>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</si>
  <si>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</si>
  <si>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</si>
  <si>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</si>
  <si>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</si>
  <si>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</si>
  <si>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</si>
  <si>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</si>
  <si>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</si>
  <si>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</si>
  <si>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</si>
  <si>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</si>
  <si>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</si>
  <si>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</si>
  <si>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</si>
  <si>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</si>
  <si>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</si>
  <si>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</si>
  <si>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</si>
  <si>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</si>
  <si>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</si>
  <si>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</si>
  <si>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</si>
  <si>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</si>
  <si>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</si>
  <si>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</si>
  <si>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</si>
  <si>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</si>
  <si>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</si>
  <si>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</si>
  <si>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</si>
  <si>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</si>
  <si>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</si>
  <si>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</si>
  <si>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</si>
  <si>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</si>
  <si>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</si>
  <si>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</si>
  <si>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</si>
  <si>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</si>
  <si>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</si>
  <si>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</si>
  <si>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</si>
  <si>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</si>
  <si>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</si>
  <si>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</si>
  <si>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</si>
  <si>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</si>
  <si>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</si>
  <si>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</si>
  <si>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</si>
  <si>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</si>
  <si>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</si>
  <si>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</si>
  <si>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</si>
  <si>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</si>
  <si>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</si>
  <si>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</si>
  <si>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</si>
  <si>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</si>
  <si>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</si>
  <si>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</si>
  <si>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</si>
  <si>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</si>
  <si>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</si>
  <si>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</si>
  <si>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</si>
  <si>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</si>
  <si>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</si>
  <si>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</si>
  <si>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</si>
  <si>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</si>
  <si>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</si>
  <si>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</si>
  <si>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</si>
  <si>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</si>
  <si>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</si>
  <si>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</si>
  <si>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</si>
  <si>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</si>
  <si>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</si>
  <si>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</si>
  <si>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</si>
  <si>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</si>
  <si>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</si>
  <si>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</si>
  <si>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</si>
  <si>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</si>
  <si>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</si>
  <si>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</si>
  <si>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</si>
  <si>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</si>
  <si>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</si>
  <si>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</si>
  <si>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</si>
  <si>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</si>
  <si>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</si>
  <si>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</si>
  <si>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</si>
  <si>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</si>
  <si>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</si>
  <si>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</si>
  <si>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</si>
  <si>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</si>
  <si>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</si>
  <si>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</si>
  <si>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</si>
  <si>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</si>
  <si>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</si>
  <si>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</si>
  <si>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</si>
  <si>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</si>
  <si>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</si>
  <si>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</si>
  <si>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</si>
  <si>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</si>
  <si>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</si>
  <si>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</si>
  <si>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</si>
  <si>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</si>
  <si>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</si>
  <si>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</si>
  <si>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</si>
  <si>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</si>
  <si>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</si>
  <si>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</si>
  <si>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</si>
  <si>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</si>
  <si>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</si>
  <si>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</si>
  <si>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</si>
  <si>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</si>
  <si>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</si>
  <si>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</si>
  <si>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</si>
  <si>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</si>
  <si>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</si>
  <si>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</si>
  <si>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</si>
  <si>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</si>
  <si>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</si>
  <si>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</si>
  <si>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</si>
  <si>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</si>
  <si>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</si>
  <si>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</si>
  <si>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</si>
  <si>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</si>
  <si>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</si>
  <si>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</si>
  <si>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</si>
  <si>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</si>
  <si>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</si>
  <si>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</si>
  <si>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</si>
  <si>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</si>
  <si>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</si>
  <si>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</si>
  <si>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</si>
  <si>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</si>
  <si>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</si>
  <si>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</si>
  <si>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</si>
  <si>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</si>
  <si>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</si>
  <si>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</si>
  <si>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</si>
  <si>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</si>
  <si>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</si>
  <si>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</si>
  <si>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</si>
  <si>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</si>
  <si>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</si>
  <si>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</si>
  <si>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</si>
  <si>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</si>
  <si>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</si>
  <si>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</si>
  <si>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</si>
  <si>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</si>
  <si>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</si>
  <si>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</si>
  <si>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</si>
  <si>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</si>
  <si>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</si>
  <si>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</si>
  <si>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</si>
  <si>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</si>
  <si>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</si>
  <si>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</si>
  <si>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</si>
  <si>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</si>
  <si>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</si>
  <si>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</si>
  <si>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</si>
  <si>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</si>
  <si>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</si>
  <si>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</si>
  <si>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</si>
  <si>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</si>
  <si>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</si>
  <si>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</si>
  <si>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</si>
  <si>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</si>
  <si>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</si>
  <si>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</si>
  <si>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</si>
  <si>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</si>
  <si>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</si>
  <si>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</si>
  <si>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</si>
  <si>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</si>
  <si>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</si>
  <si>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</si>
  <si>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</si>
  <si>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</si>
  <si>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</si>
  <si>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</si>
  <si>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</si>
  <si>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</si>
  <si>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</si>
  <si>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</si>
  <si>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</si>
  <si>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</si>
  <si>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</si>
  <si>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</si>
  <si>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</si>
  <si>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</si>
  <si>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</si>
  <si>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</si>
  <si>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</si>
  <si>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</si>
  <si>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</si>
  <si>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</si>
  <si>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</si>
  <si>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</si>
  <si>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</si>
  <si>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</si>
  <si>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</si>
  <si>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</si>
  <si>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</si>
  <si>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</si>
  <si>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</si>
  <si>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</si>
  <si>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</si>
  <si>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</si>
  <si>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</si>
  <si>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</si>
  <si>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</si>
  <si>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</si>
  <si>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</si>
  <si>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</si>
  <si>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</si>
  <si>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</si>
  <si>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</si>
  <si>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</si>
  <si>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</si>
  <si>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</si>
  <si>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</si>
  <si>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</si>
  <si>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</si>
  <si>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</si>
  <si>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</si>
  <si>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</si>
  <si>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</si>
  <si>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</si>
  <si>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</si>
  <si>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</si>
  <si>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</si>
  <si>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</si>
  <si>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</si>
  <si>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</si>
  <si>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</si>
  <si>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</si>
  <si>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</si>
  <si>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</si>
  <si>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</si>
  <si>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</si>
  <si>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</si>
  <si>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</si>
  <si>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</si>
  <si>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</si>
  <si>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</si>
  <si>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</si>
  <si>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</si>
  <si>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</si>
  <si>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</si>
  <si>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</si>
  <si>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</si>
  <si>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</si>
  <si>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</si>
  <si>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</si>
  <si>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</si>
  <si>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</si>
  <si>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</si>
  <si>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</si>
  <si>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</si>
  <si>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</si>
  <si>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</si>
  <si>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</si>
  <si>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</si>
  <si>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</si>
  <si>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</si>
  <si>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</si>
  <si>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</si>
  <si>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</si>
  <si>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</si>
  <si>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</si>
  <si>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</si>
  <si>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</si>
  <si>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</si>
  <si>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</si>
  <si>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</si>
  <si>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</si>
  <si>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</si>
  <si>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</si>
  <si>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</si>
  <si>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</si>
  <si>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</si>
  <si>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</si>
  <si>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</si>
  <si>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</si>
  <si>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</si>
  <si>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</si>
  <si>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</si>
  <si>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</si>
  <si>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</si>
  <si>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</si>
  <si>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</si>
  <si>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</si>
  <si>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</si>
  <si>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</si>
  <si>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</si>
  <si>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</si>
  <si>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</si>
  <si>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</si>
  <si>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</si>
  <si>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</si>
  <si>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</si>
  <si>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</si>
  <si>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</si>
  <si>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</si>
  <si>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</si>
  <si>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</si>
  <si>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</si>
  <si>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</si>
  <si>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</si>
  <si>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</si>
  <si>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</si>
  <si>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</si>
  <si>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</si>
  <si>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</si>
  <si>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</si>
  <si>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</si>
  <si>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</si>
  <si>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</si>
  <si>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</si>
  <si>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</si>
  <si>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</si>
  <si>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</si>
  <si>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</si>
  <si>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</si>
  <si>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</si>
  <si>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</si>
  <si>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</si>
  <si>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</si>
  <si>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</si>
  <si>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</si>
  <si>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</si>
  <si>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</si>
  <si>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</si>
  <si>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</si>
  <si>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</si>
  <si>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</si>
  <si>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</si>
  <si>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</si>
  <si>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</si>
  <si>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</si>
  <si>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</si>
  <si>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</si>
  <si>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</si>
  <si>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</si>
  <si>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</si>
  <si>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</si>
  <si>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</si>
  <si>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</si>
  <si>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</si>
  <si>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</si>
  <si>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</si>
  <si>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</si>
  <si>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</si>
  <si>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</si>
  <si>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</si>
  <si>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</si>
  <si>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</si>
  <si>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</si>
  <si>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</si>
  <si>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</si>
  <si>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</si>
  <si>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</si>
  <si>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</si>
  <si>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</si>
  <si>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</si>
  <si>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</si>
  <si>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</si>
  <si>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</si>
  <si>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</si>
  <si>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</si>
  <si>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</si>
  <si>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</si>
  <si>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</si>
  <si>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</si>
  <si>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</si>
  <si>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</si>
  <si>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</si>
  <si>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</si>
  <si>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</si>
  <si>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</si>
  <si>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</si>
  <si>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</si>
  <si>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</si>
  <si>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</si>
  <si>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</si>
  <si>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</si>
  <si>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</si>
  <si>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</si>
  <si>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</si>
  <si>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</si>
  <si>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</si>
  <si>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</si>
  <si>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</si>
  <si>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</si>
  <si>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</si>
  <si>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</si>
  <si>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</si>
  <si>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</si>
  <si>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</si>
  <si>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</si>
  <si>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</si>
  <si>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</si>
  <si>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</si>
  <si>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</si>
  <si>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</si>
  <si>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</si>
  <si>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</si>
  <si>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</si>
  <si>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</si>
  <si>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</si>
  <si>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</si>
  <si>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</si>
  <si>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</si>
  <si>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</si>
  <si>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</si>
  <si>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</si>
  <si>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</si>
  <si>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</si>
  <si>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</si>
  <si>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</si>
  <si>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</si>
  <si>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</si>
  <si>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</si>
  <si>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</si>
  <si>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</si>
  <si>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</si>
  <si>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</si>
  <si>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</si>
  <si>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</si>
  <si>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</si>
  <si>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</si>
  <si>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</si>
  <si>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</si>
  <si>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</si>
  <si>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</si>
  <si>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</si>
  <si>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</si>
  <si>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</si>
  <si>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</si>
  <si>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</si>
  <si>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</si>
  <si>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</si>
  <si>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</si>
  <si>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</si>
  <si>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</si>
  <si>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</si>
  <si>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</si>
  <si>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</si>
  <si>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</si>
  <si>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</si>
  <si>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</si>
  <si>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</si>
  <si>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</si>
  <si>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</si>
  <si>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</si>
  <si>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</si>
  <si>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</si>
  <si>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</si>
  <si>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</si>
  <si>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</si>
  <si>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</si>
  <si>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</si>
  <si>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</si>
  <si>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</si>
  <si>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</si>
  <si>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</si>
  <si>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</si>
  <si>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</si>
  <si>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</si>
  <si>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</si>
  <si>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</si>
  <si>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</si>
  <si>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</si>
  <si>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</si>
  <si>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</si>
  <si>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</si>
  <si>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</si>
  <si>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</si>
  <si>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</si>
  <si>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</si>
  <si>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</si>
  <si>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</si>
  <si>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</si>
  <si>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</si>
  <si>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</si>
  <si>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</si>
  <si>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</si>
  <si>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</si>
  <si>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</si>
  <si>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</si>
  <si>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</si>
  <si>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</si>
  <si>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</si>
  <si>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</si>
  <si>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</si>
  <si>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</si>
  <si>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</si>
  <si>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</si>
  <si>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</si>
  <si>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</si>
  <si>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</si>
  <si>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</si>
  <si>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</si>
  <si>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</si>
  <si>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</si>
  <si>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</si>
  <si>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</si>
  <si>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</si>
  <si>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</si>
  <si>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</si>
  <si>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</si>
  <si>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</si>
  <si>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</si>
  <si>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</si>
  <si>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</si>
  <si>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</si>
  <si>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</si>
  <si>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</si>
  <si>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</si>
  <si>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</si>
  <si>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</si>
  <si>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</si>
  <si>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</si>
  <si>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</si>
  <si>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</si>
  <si>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</si>
  <si>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</si>
  <si>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</si>
  <si>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</si>
  <si>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</si>
  <si>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</si>
  <si>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</si>
  <si>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</si>
  <si>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</si>
  <si>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</si>
  <si>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</si>
  <si>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</si>
  <si>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</si>
  <si>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</si>
  <si>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</si>
  <si>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</si>
  <si>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</si>
  <si>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</si>
  <si>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</si>
  <si>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</si>
  <si>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</si>
  <si>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</si>
  <si>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</si>
  <si>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</si>
  <si>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</si>
  <si>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</si>
  <si>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</si>
  <si>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</si>
  <si>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</si>
  <si>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</si>
  <si>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</si>
  <si>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</si>
  <si>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</si>
  <si>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</si>
  <si>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</si>
  <si>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</si>
  <si>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</si>
  <si>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</si>
  <si>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</si>
  <si>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</si>
  <si>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</si>
  <si>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</si>
  <si>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</si>
  <si>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</si>
  <si>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</si>
  <si>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</si>
  <si>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</si>
  <si>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</si>
  <si>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</si>
  <si>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</si>
  <si>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</si>
  <si>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</si>
  <si>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</si>
  <si>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</si>
  <si>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</si>
  <si>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</si>
  <si>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</si>
  <si>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</si>
  <si>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</si>
  <si>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</si>
  <si>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</si>
  <si>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</si>
  <si>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</si>
  <si>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</si>
  <si>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</si>
  <si>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</si>
  <si>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</si>
  <si>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</si>
  <si>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</si>
  <si>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</si>
  <si>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</si>
  <si>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</si>
  <si>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</si>
  <si>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</si>
  <si>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</si>
  <si>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</si>
  <si>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</si>
  <si>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</si>
  <si>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</si>
  <si>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</si>
  <si>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</si>
  <si>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</si>
  <si>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</si>
  <si>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</si>
  <si>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</si>
  <si>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</si>
  <si>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</si>
  <si>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</si>
  <si>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</si>
  <si>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</si>
  <si>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</si>
  <si>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</si>
  <si>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</si>
  <si>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</si>
  <si>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</si>
  <si>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</si>
  <si>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</si>
  <si>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</si>
  <si>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</si>
  <si>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</si>
  <si>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</si>
  <si>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</si>
  <si>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</si>
  <si>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</si>
  <si>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</si>
  <si>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</si>
  <si>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</si>
  <si>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</si>
  <si>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</si>
  <si>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</si>
  <si>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</si>
  <si>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</si>
  <si>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</si>
  <si>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</si>
  <si>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</si>
  <si>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</si>
  <si>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</si>
  <si>
    <t>Total Expense w/o Energy Exp.</t>
  </si>
  <si>
    <t>Resid Value</t>
  </si>
  <si>
    <t>10 Year Term</t>
  </si>
  <si>
    <t>Total Cash Flow - 10 Year Term</t>
  </si>
  <si>
    <t>10-Yr. Debt Option w/ 10 Yr.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</si>
</sst>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1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00"/>
  <sheetViews>
    <sheetView tabSelected="1" topLeftCell="A47" zoomScale="75" zoomScaleNormal="75" workbookViewId="0">
      <selection activeCell="C74" sqref="C74"/>
    </sheetView>
  </sheetViews>
  <sheetFormatPr defaultRowHeight="12.75"/>
  <cols>
    <col min="1" max="1" width="45.5703125" style="12" customWidth="1"/>
    <col min="2" max="2" width="11.85546875" style="12" bestFit="1" customWidth="1"/>
    <col min="3" max="3" width="13.28515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709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IS!C33</f>
        <v>3719.3333333333358</v>
      </c>
      <c r="D11" s="65">
        <f>IS!D33</f>
        <v>5730.899999999996</v>
      </c>
      <c r="E11" s="65">
        <f>IS!E33</f>
        <v>5708.4030000000021</v>
      </c>
      <c r="F11" s="65">
        <f>IS!F33</f>
        <v>5685.2922899999994</v>
      </c>
      <c r="G11" s="65">
        <f>IS!G33</f>
        <v>5661.5506826999972</v>
      </c>
      <c r="H11" s="65">
        <f>IS!H33</f>
        <v>5637.1604996609985</v>
      </c>
      <c r="I11" s="65">
        <f>IS!I33</f>
        <v>5612.103557060429</v>
      </c>
      <c r="J11" s="65">
        <f>IS!J33</f>
        <v>5586.3611510300361</v>
      </c>
      <c r="K11" s="65">
        <f>IS!K33</f>
        <v>5559.9140425638816</v>
      </c>
      <c r="L11" s="65">
        <f>IS!L33</f>
        <v>5532.742441983808</v>
      </c>
      <c r="M11" s="65">
        <f>IS!M33</f>
        <v>5504.8259929491851</v>
      </c>
      <c r="N11" s="65">
        <f>IS!N33</f>
        <v>5476.1437559976457</v>
      </c>
      <c r="O11" s="65">
        <f>IS!O33</f>
        <v>5446.6741916027568</v>
      </c>
      <c r="P11" s="65">
        <f>IS!P33</f>
        <v>5416.3951427345328</v>
      </c>
      <c r="Q11" s="65">
        <f>IS!Q33</f>
        <v>5385.2838169079296</v>
      </c>
      <c r="R11" s="65">
        <f>IS!R33</f>
        <v>5353.3167677043475</v>
      </c>
      <c r="S11" s="65">
        <f>IS!S33</f>
        <v>5320.4698757504539</v>
      </c>
      <c r="T11" s="65">
        <f>IS!T33</f>
        <v>5286.7183291382426</v>
      </c>
      <c r="U11" s="65">
        <f>IS!U33</f>
        <v>5252.0366032699676</v>
      </c>
      <c r="V11" s="65">
        <f>IS!V33</f>
        <v>5216.3984401107973</v>
      </c>
      <c r="W11" s="65">
        <f>IS!W33</f>
        <v>1041.2805218260546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699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-2695.0000000000005</v>
      </c>
      <c r="D12" s="695">
        <f>IF(Assumptions!$AC$14="10-Yr. Debt",-'Debt Structs'!D36,IF(Assumptions!$AC$14="7-Yr. Debt",-'Debt Structs'!I17,IF(Assumptions!$AC$14="Lease",-'Debt Structs'!N17,0)))</f>
        <v>-2499.9426301497519</v>
      </c>
      <c r="E12" s="695">
        <f>IF(Assumptions!$AC$14="10-Yr. Debt",-'Debt Structs'!D37,IF(Assumptions!$AC$14="7-Yr. Debt",-'Debt Structs'!I18,IF(Assumptions!$AC$14="Lease",-'Debt Structs'!N18,0)))</f>
        <v>-2291.2312444099866</v>
      </c>
      <c r="F12" s="695">
        <f>IF(Assumptions!$AC$14="10-Yr. Debt",-'Debt Structs'!D38,IF(Assumptions!$AC$14="7-Yr. Debt",-'Debt Structs'!I19,IF(Assumptions!$AC$14="Lease",-'Debt Structs'!N19,0)))</f>
        <v>-2067.9100616684377</v>
      </c>
      <c r="G12" s="695">
        <f>IF(Assumptions!$AC$14="10-Yr. Debt",-'Debt Structs'!D39,IF(Assumptions!$AC$14="7-Yr. Debt",-'Debt Structs'!I20,IF(Assumptions!$AC$14="Lease",-'Debt Structs'!N20,0)))</f>
        <v>-1828.9563961349804</v>
      </c>
      <c r="H12" s="670">
        <f>IF(Assumptions!$AC$14="10-Yr. Debt",-'Debt Structs'!D40,IF(Assumptions!$AC$14="7-Yr. Debt",-'Debt Structs'!I21,0))</f>
        <v>-1573.2759740141812</v>
      </c>
      <c r="I12" s="670">
        <f>IF(Assumptions!$AC$14="10-Yr. Debt",-'Debt Structs'!D41,IF(Assumptions!$AC$14="7-Yr. Debt",-'Debt Structs'!I22,0))</f>
        <v>-1299.6979223449259</v>
      </c>
      <c r="J12" s="670">
        <f>IF(Assumptions!$AC$14="Lease",0,IF(Assumptions!$AC$14="7-Yr. Debt",0,-'Debt Structs'!D42))</f>
        <v>-1006.9694070588229</v>
      </c>
      <c r="K12" s="670">
        <f>IF(Assumptions!$AC$14="Lease",0,IF(Assumptions!$AC$14="7-Yr. Debt",0,-'Debt Structs'!D43))</f>
        <v>-693.74989570269247</v>
      </c>
      <c r="L12" s="670">
        <f>IF(Assumptions!$AC$14="Lease",0,IF(Assumptions!$AC$14="7-Yr. Debt",0,-'Debt Structs'!D44))</f>
        <v>-358.60501855163295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701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0</v>
      </c>
      <c r="I13" s="670">
        <f>IF(Assumptions!AC14="Lease",-'Debt Structs'!D75,0)</f>
        <v>0</v>
      </c>
      <c r="J13" s="670">
        <f>IF(Assumptions!AC14="Lease",-'Debt Structs'!D76,0)</f>
        <v>0</v>
      </c>
      <c r="K13" s="670">
        <f>IF(Assumptions!AC14="Lease",-'Debt Structs'!D77,0)</f>
        <v>0</v>
      </c>
      <c r="L13" s="670">
        <f>IF(Assumptions!AC14="Lease",-'Debt Structs'!D78,0)</f>
        <v>0</v>
      </c>
      <c r="M13" s="670">
        <f>IF(Assumptions!AC14="Lease",-'Debt Structs'!D79,0)</f>
        <v>0</v>
      </c>
      <c r="N13" s="670">
        <f>IF(Assumptions!AC14="Lease",-'Debt Structs'!D80,0)</f>
        <v>0</v>
      </c>
      <c r="O13" s="670">
        <f>IF(Assumptions!AC14="Lease",-'Debt Structs'!D81,0)</f>
        <v>0</v>
      </c>
      <c r="P13" s="670">
        <f>IF(Assumptions!AC14="Lease",-'Debt Structs'!D82,0)</f>
        <v>0</v>
      </c>
      <c r="Q13" s="670">
        <f>-IF(Assumptions!AC14="Lease",'Debt Structs'!D83,0)</f>
        <v>0</v>
      </c>
      <c r="R13" s="670">
        <f>IF(Assumptions!AC14="Lease",-'Debt Structs'!D84,0)</f>
        <v>0</v>
      </c>
      <c r="S13" s="670">
        <f>IF(Assumptions!AC14="Lease",-'Debt Structs'!D85,0)</f>
        <v>0</v>
      </c>
      <c r="T13" s="670">
        <f>IF(Assumptions!AC14="Lease",-'Debt Structs'!D86,0)</f>
        <v>0</v>
      </c>
      <c r="U13" s="670">
        <f>IF(Assumptions!AC14="Lease",-'Debt Structs'!D87,0)</f>
        <v>0</v>
      </c>
      <c r="V13" s="670">
        <f>IF(Assumptions!AC14="Lease",-'Debt Structs'!D88,0)</f>
        <v>0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1024.3333333333353</v>
      </c>
      <c r="D15" s="723">
        <f t="shared" ref="D15:W15" si="0">SUM(D11:D14)</f>
        <v>3230.957369850244</v>
      </c>
      <c r="E15" s="723">
        <f t="shared" si="0"/>
        <v>3417.1717555900154</v>
      </c>
      <c r="F15" s="723">
        <f t="shared" si="0"/>
        <v>3617.3822283315617</v>
      </c>
      <c r="G15" s="723">
        <f t="shared" si="0"/>
        <v>3832.5942865650168</v>
      </c>
      <c r="H15" s="723">
        <f t="shared" si="0"/>
        <v>4063.8845256468176</v>
      </c>
      <c r="I15" s="723">
        <f t="shared" si="0"/>
        <v>4312.4056347155029</v>
      </c>
      <c r="J15" s="723">
        <f t="shared" si="0"/>
        <v>4579.3917439712131</v>
      </c>
      <c r="K15" s="723">
        <f t="shared" si="0"/>
        <v>4866.1641468611888</v>
      </c>
      <c r="L15" s="723">
        <f t="shared" si="0"/>
        <v>5174.1374234321747</v>
      </c>
      <c r="M15" s="723">
        <f t="shared" si="0"/>
        <v>5504.8259929491851</v>
      </c>
      <c r="N15" s="723">
        <f t="shared" si="0"/>
        <v>5476.1437559976457</v>
      </c>
      <c r="O15" s="723">
        <f t="shared" si="0"/>
        <v>5446.6741916027568</v>
      </c>
      <c r="P15" s="723">
        <f t="shared" si="0"/>
        <v>5416.3951427345328</v>
      </c>
      <c r="Q15" s="723">
        <f t="shared" si="0"/>
        <v>5385.2838169079296</v>
      </c>
      <c r="R15" s="723">
        <f t="shared" si="0"/>
        <v>5353.3167677043475</v>
      </c>
      <c r="S15" s="723">
        <f t="shared" si="0"/>
        <v>5320.4698757504539</v>
      </c>
      <c r="T15" s="723">
        <f t="shared" si="0"/>
        <v>5286.7183291382426</v>
      </c>
      <c r="U15" s="723">
        <f t="shared" si="0"/>
        <v>5252.0366032699676</v>
      </c>
      <c r="V15" s="723">
        <f t="shared" si="0"/>
        <v>5216.3984401107973</v>
      </c>
      <c r="W15" s="723">
        <f t="shared" si="0"/>
        <v>1041.2805218260546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0</v>
      </c>
      <c r="T17" s="668">
        <f>-Taxes!S24-Taxes!S41</f>
        <v>0</v>
      </c>
      <c r="U17" s="668">
        <f>-Taxes!T24-Taxes!T41</f>
        <v>0</v>
      </c>
      <c r="V17" s="668">
        <f>-Taxes!U24-Taxes!U41</f>
        <v>0</v>
      </c>
      <c r="W17" s="668">
        <f>-Taxes!V24-Taxes!V41</f>
        <v>0</v>
      </c>
    </row>
    <row r="18" spans="1:23">
      <c r="A18" s="45" t="s">
        <v>698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-2786.5338550035417</v>
      </c>
      <c r="D18" s="670">
        <f>IF(Assumptions!$AC$14="10-Yr. Debt",-'Debt Structs'!E36,IF(Assumptions!$AC$14="7-Yr. Debt",-'Debt Structs'!J17,IF(Assumptions!$AC$14="Lease",-'Debt Structs'!O17,0)))</f>
        <v>-2981.5912248537902</v>
      </c>
      <c r="E18" s="670">
        <f>IF(Assumptions!$AC$14="10-Yr. Debt",-'Debt Structs'!E37,IF(Assumptions!$AC$14="7-Yr. Debt",-'Debt Structs'!J18,IF(Assumptions!$AC$14="Lease",-'Debt Structs'!O18,0)))</f>
        <v>-3190.3026105935555</v>
      </c>
      <c r="F18" s="670">
        <f>IF(Assumptions!$AC$14="10-Yr. Debt",-'Debt Structs'!E38,IF(Assumptions!$AC$14="7-Yr. Debt",-'Debt Structs'!J19,IF(Assumptions!$AC$14="Lease",-'Debt Structs'!O19,0)))</f>
        <v>-3413.6237933351044</v>
      </c>
      <c r="G18" s="670">
        <f>IF(Assumptions!$AC$14="10-Yr. Debt",-'Debt Structs'!E39,IF(Assumptions!$AC$14="7-Yr. Debt",-'Debt Structs'!J20,IF(Assumptions!$AC$14="Lease",-'Debt Structs'!O20,0)))</f>
        <v>-3652.5774588685617</v>
      </c>
      <c r="H18" s="670">
        <f>IF(Assumptions!$AC$14="10-Yr. Debt",-'Debt Structs'!E40,IF(Assumptions!$AC$14="7-Yr. Debt",-'Debt Structs'!J21,0))</f>
        <v>-3908.2578809893612</v>
      </c>
      <c r="I18" s="670">
        <f>IF(Assumptions!$AC$14="10-Yr. Debt",-'Debt Structs'!E41,IF(Assumptions!$AC$14="7-Yr. Debt",-'Debt Structs'!J22,0))</f>
        <v>-4181.835932658616</v>
      </c>
      <c r="J18" s="670">
        <f>IF(Assumptions!$AC$14="Lease",0,IF(Assumptions!$AC$14="7-Yr. Debt",0,-'Debt Structs'!E42))</f>
        <v>-4474.5644479447192</v>
      </c>
      <c r="K18" s="670">
        <f>IF(Assumptions!$AC$14="Lease",0,IF(Assumptions!$AC$14="7-Yr. Debt",0,-'Debt Structs'!E43))</f>
        <v>-4787.7839593008493</v>
      </c>
      <c r="L18" s="670">
        <f>IF(Assumptions!$AC$14="Lease",0,IF(Assumptions!$AC$14="7-Yr. Debt",0,-'Debt Structs'!E44))</f>
        <v>-5122.9288364519089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0</v>
      </c>
      <c r="I19" s="670">
        <f>IF(Assumptions!AC14="Lease",-'Debt Structs'!E75,0)</f>
        <v>0</v>
      </c>
      <c r="J19" s="670">
        <f>IF(Assumptions!AC14="Lease",-'Debt Structs'!E76,0)</f>
        <v>0</v>
      </c>
      <c r="K19" s="670">
        <f>IF(Assumptions!AC14="Lease",-'Debt Structs'!E77,0)</f>
        <v>0</v>
      </c>
      <c r="L19" s="670">
        <f>IF(Assumptions!AC14="Lease",-'Debt Structs'!E78,0)</f>
        <v>0</v>
      </c>
      <c r="M19" s="668">
        <f>IF(Assumptions!AC14="Lease",-'Debt Structs'!E79,0)</f>
        <v>0</v>
      </c>
      <c r="N19" s="668">
        <f>IF(Assumptions!AC14="Lease",-'Debt Structs'!E80,0)</f>
        <v>0</v>
      </c>
      <c r="O19" s="668">
        <f>IF(Assumptions!AC14="Lease",-'Debt Structs'!E81,0)</f>
        <v>0</v>
      </c>
      <c r="P19" s="668">
        <f>IF(Assumptions!AC14="Lease",-'Debt Structs'!E82,0)</f>
        <v>0</v>
      </c>
      <c r="Q19" s="668">
        <f>IF(Assumptions!AC14="Lease",-'Debt Structs'!E83,0)</f>
        <v>0</v>
      </c>
      <c r="R19" s="668">
        <f>IF(Assumptions!AC14="Lease",-'Debt Structs'!E84,0)</f>
        <v>0</v>
      </c>
      <c r="S19" s="668">
        <f>IF(Assumptions!AC14="Lease",-'Debt Structs'!E85,0)</f>
        <v>0</v>
      </c>
      <c r="T19" s="668">
        <f>IF(Assumptions!AC14="Lease",-'Debt Structs'!E86,0)</f>
        <v>0</v>
      </c>
      <c r="U19" s="668">
        <f>IF(Assumptions!AC14="Lease",-'Debt Structs'!E87,0)</f>
        <v>0</v>
      </c>
      <c r="V19" s="668">
        <f>IF(Assumptions!AC14="Lease",-'Debt Structs'!E88,0)</f>
        <v>0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712</v>
      </c>
      <c r="B21" s="668">
        <v>0</v>
      </c>
      <c r="C21" s="738">
        <f>IF(Assumptions!J33="Yes",-'Debt Structs'!O27,0)</f>
        <v>0</v>
      </c>
      <c r="D21" s="738">
        <f>IF(Assumptions!J33="Yes",-'Debt Structs'!O28,0)</f>
        <v>0</v>
      </c>
      <c r="E21" s="738">
        <f>IF(Assumptions!J33="Yes",-'Debt Structs'!O29,0)</f>
        <v>0</v>
      </c>
      <c r="F21" s="738">
        <f>IF(Assumptions!J33="Yes",-'Debt Structs'!O30,0)</f>
        <v>0</v>
      </c>
      <c r="G21" s="738">
        <f>IF(Assumptions!J33="Yes",-'Debt Structs'!O31,0)</f>
        <v>0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IF(Assumptions!$AC$14="Lease",IS!C35,0)</f>
        <v>0</v>
      </c>
      <c r="D22" s="670">
        <f>IF(Assumptions!$AC$14="Lease",IS!D35,0)</f>
        <v>0</v>
      </c>
      <c r="E22" s="670">
        <f>IF(Assumptions!$AC$14="Lease",IS!E35,0)</f>
        <v>0</v>
      </c>
      <c r="F22" s="670">
        <f>IF(Assumptions!$AC$14="Lease",IS!F35,0)</f>
        <v>0</v>
      </c>
      <c r="G22" s="670">
        <f>IF(Assumptions!$AC$14="Lease",IS!G35,0)</f>
        <v>0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-1762.2005216702064</v>
      </c>
      <c r="D24" s="723">
        <f t="shared" ref="D24:W24" si="1">D23+D22+D18+D17+D15+D21</f>
        <v>249.36614499645384</v>
      </c>
      <c r="E24" s="723">
        <f t="shared" si="1"/>
        <v>226.86914499645991</v>
      </c>
      <c r="F24" s="723">
        <f t="shared" si="1"/>
        <v>203.75843499645725</v>
      </c>
      <c r="G24" s="723">
        <f t="shared" si="1"/>
        <v>180.01682769645504</v>
      </c>
      <c r="H24" s="723">
        <f t="shared" si="1"/>
        <v>155.62664465745638</v>
      </c>
      <c r="I24" s="723">
        <f t="shared" si="1"/>
        <v>130.56970205688685</v>
      </c>
      <c r="J24" s="723">
        <f t="shared" si="1"/>
        <v>104.82729602649397</v>
      </c>
      <c r="K24" s="723">
        <f t="shared" si="1"/>
        <v>78.380187560339436</v>
      </c>
      <c r="L24" s="723">
        <f t="shared" si="1"/>
        <v>51.208586980265864</v>
      </c>
      <c r="M24" s="723">
        <f t="shared" si="1"/>
        <v>5504.8259929491851</v>
      </c>
      <c r="N24" s="723">
        <f t="shared" si="1"/>
        <v>5476.1437559976457</v>
      </c>
      <c r="O24" s="723">
        <f t="shared" si="1"/>
        <v>5446.6741916027568</v>
      </c>
      <c r="P24" s="723">
        <f t="shared" si="1"/>
        <v>5416.3951427345328</v>
      </c>
      <c r="Q24" s="723">
        <f t="shared" si="1"/>
        <v>5385.2838169079296</v>
      </c>
      <c r="R24" s="723">
        <f t="shared" si="1"/>
        <v>5353.3167677043475</v>
      </c>
      <c r="S24" s="723">
        <f t="shared" si="1"/>
        <v>5320.4698757504539</v>
      </c>
      <c r="T24" s="723">
        <f t="shared" si="1"/>
        <v>5286.7183291382426</v>
      </c>
      <c r="U24" s="723">
        <f t="shared" si="1"/>
        <v>5252.0366032699676</v>
      </c>
      <c r="V24" s="723">
        <f t="shared" si="1"/>
        <v>5216.3984401107973</v>
      </c>
      <c r="W24" s="723">
        <f t="shared" si="1"/>
        <v>1041.2805218260546</v>
      </c>
    </row>
    <row r="25" spans="1:23">
      <c r="A25" s="333"/>
    </row>
    <row r="26" spans="1:23">
      <c r="A26" s="386" t="s">
        <v>683</v>
      </c>
      <c r="B26" s="517">
        <v>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-1762.2005216702064</v>
      </c>
      <c r="D27" s="720">
        <f t="shared" si="2"/>
        <v>249.36614499645384</v>
      </c>
      <c r="E27" s="720">
        <f t="shared" si="2"/>
        <v>226.86914499645991</v>
      </c>
      <c r="F27" s="720">
        <f t="shared" si="2"/>
        <v>203.75843499645725</v>
      </c>
      <c r="G27" s="720">
        <f t="shared" si="2"/>
        <v>180.01682769645504</v>
      </c>
      <c r="H27" s="720">
        <f t="shared" si="2"/>
        <v>155.62664465745638</v>
      </c>
      <c r="I27" s="720">
        <f t="shared" si="2"/>
        <v>130.56970205688685</v>
      </c>
      <c r="J27" s="720">
        <f t="shared" si="2"/>
        <v>104.82729602649397</v>
      </c>
      <c r="K27" s="720">
        <f t="shared" si="2"/>
        <v>78.380187560339436</v>
      </c>
      <c r="L27" s="720">
        <f t="shared" si="2"/>
        <v>51.208586980265864</v>
      </c>
      <c r="M27" s="720">
        <f t="shared" si="2"/>
        <v>5504.8259929491851</v>
      </c>
      <c r="N27" s="720">
        <f t="shared" si="2"/>
        <v>5476.1437559976457</v>
      </c>
      <c r="O27" s="720">
        <f t="shared" si="2"/>
        <v>5446.6741916027568</v>
      </c>
      <c r="P27" s="720">
        <f t="shared" si="2"/>
        <v>5416.3951427345328</v>
      </c>
      <c r="Q27" s="720">
        <f t="shared" si="2"/>
        <v>5385.2838169079296</v>
      </c>
      <c r="R27" s="720">
        <f t="shared" si="2"/>
        <v>5353.3167677043475</v>
      </c>
      <c r="S27" s="720">
        <f t="shared" si="2"/>
        <v>5320.4698757504539</v>
      </c>
      <c r="T27" s="720">
        <f t="shared" si="2"/>
        <v>5286.7183291382426</v>
      </c>
      <c r="U27" s="720">
        <f t="shared" si="2"/>
        <v>5252.0366032699676</v>
      </c>
      <c r="V27" s="720">
        <f t="shared" si="2"/>
        <v>5216.3984401107973</v>
      </c>
      <c r="W27" s="727">
        <f t="shared" si="2"/>
        <v>1041.2805218260546</v>
      </c>
    </row>
    <row r="28" spans="1:23">
      <c r="A28" s="728" t="s">
        <v>680</v>
      </c>
      <c r="B28" s="707">
        <f>B25*$B$26</f>
        <v>0</v>
      </c>
      <c r="C28" s="667">
        <f>C24*(1-$B$26)</f>
        <v>0</v>
      </c>
      <c r="D28" s="667">
        <f t="shared" ref="D28:W28" si="3">D24*(1-$B$26)</f>
        <v>0</v>
      </c>
      <c r="E28" s="667">
        <f t="shared" si="3"/>
        <v>0</v>
      </c>
      <c r="F28" s="667">
        <f t="shared" si="3"/>
        <v>0</v>
      </c>
      <c r="G28" s="667">
        <f t="shared" si="3"/>
        <v>0</v>
      </c>
      <c r="H28" s="667">
        <f t="shared" si="3"/>
        <v>0</v>
      </c>
      <c r="I28" s="667">
        <f t="shared" si="3"/>
        <v>0</v>
      </c>
      <c r="J28" s="667">
        <f t="shared" si="3"/>
        <v>0</v>
      </c>
      <c r="K28" s="667">
        <f t="shared" si="3"/>
        <v>0</v>
      </c>
      <c r="L28" s="667">
        <f t="shared" si="3"/>
        <v>0</v>
      </c>
      <c r="M28" s="667">
        <f t="shared" si="3"/>
        <v>0</v>
      </c>
      <c r="N28" s="667">
        <f t="shared" si="3"/>
        <v>0</v>
      </c>
      <c r="O28" s="667">
        <f t="shared" si="3"/>
        <v>0</v>
      </c>
      <c r="P28" s="667">
        <f t="shared" si="3"/>
        <v>0</v>
      </c>
      <c r="Q28" s="667">
        <f t="shared" si="3"/>
        <v>0</v>
      </c>
      <c r="R28" s="667">
        <f t="shared" si="3"/>
        <v>0</v>
      </c>
      <c r="S28" s="667">
        <f t="shared" si="3"/>
        <v>0</v>
      </c>
      <c r="T28" s="667">
        <f t="shared" si="3"/>
        <v>0</v>
      </c>
      <c r="U28" s="667">
        <f t="shared" si="3"/>
        <v>0</v>
      </c>
      <c r="V28" s="667">
        <f t="shared" si="3"/>
        <v>0</v>
      </c>
      <c r="W28" s="729">
        <f t="shared" si="3"/>
        <v>0</v>
      </c>
    </row>
    <row r="30" spans="1:23" ht="15.75">
      <c r="A30" s="730" t="s">
        <v>648</v>
      </c>
    </row>
    <row r="31" spans="1:23" ht="15.75">
      <c r="A31" s="733"/>
    </row>
    <row r="32" spans="1:23">
      <c r="A32" s="11" t="s">
        <v>653</v>
      </c>
      <c r="B32" s="732">
        <f>Assumptions!H54</f>
        <v>6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-5500</v>
      </c>
      <c r="H35" s="708"/>
    </row>
    <row r="36" spans="1:23">
      <c r="A36" s="56" t="s">
        <v>353</v>
      </c>
      <c r="B36" s="36">
        <v>0</v>
      </c>
      <c r="C36" s="36">
        <f>C27</f>
        <v>-1762.2005216702064</v>
      </c>
      <c r="D36" s="36">
        <f>D27</f>
        <v>249.36614499645384</v>
      </c>
      <c r="E36" s="36">
        <f>E27</f>
        <v>226.86914499645991</v>
      </c>
      <c r="F36" s="36">
        <f>F27</f>
        <v>203.75843499645725</v>
      </c>
      <c r="G36" s="36">
        <f>G27</f>
        <v>180.01682769645504</v>
      </c>
      <c r="H36" s="36">
        <f t="shared" ref="H36:W36" si="4">H27</f>
        <v>155.62664465745638</v>
      </c>
      <c r="I36" s="36">
        <f t="shared" si="4"/>
        <v>130.56970205688685</v>
      </c>
      <c r="J36" s="36">
        <f t="shared" si="4"/>
        <v>104.82729602649397</v>
      </c>
      <c r="K36" s="36">
        <f t="shared" si="4"/>
        <v>78.380187560339436</v>
      </c>
      <c r="L36" s="36">
        <f t="shared" si="4"/>
        <v>51.208586980265864</v>
      </c>
      <c r="M36" s="36">
        <f t="shared" si="4"/>
        <v>5504.8259929491851</v>
      </c>
      <c r="N36" s="36">
        <f t="shared" si="4"/>
        <v>5476.1437559976457</v>
      </c>
      <c r="O36" s="36">
        <f t="shared" si="4"/>
        <v>5446.6741916027568</v>
      </c>
      <c r="P36" s="36">
        <f t="shared" si="4"/>
        <v>5416.3951427345328</v>
      </c>
      <c r="Q36" s="36">
        <f t="shared" si="4"/>
        <v>5385.2838169079296</v>
      </c>
      <c r="R36" s="36">
        <f t="shared" si="4"/>
        <v>5353.3167677043475</v>
      </c>
      <c r="S36" s="36">
        <f t="shared" si="4"/>
        <v>5320.4698757504539</v>
      </c>
      <c r="T36" s="36">
        <f t="shared" si="4"/>
        <v>5286.7183291382426</v>
      </c>
      <c r="U36" s="36">
        <f t="shared" si="4"/>
        <v>5252.0366032699676</v>
      </c>
      <c r="V36" s="36">
        <f t="shared" si="4"/>
        <v>5216.3984401107973</v>
      </c>
      <c r="W36" s="36">
        <f t="shared" si="4"/>
        <v>1041.2805218260546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-5500</v>
      </c>
      <c r="C39" s="36">
        <f t="shared" si="5"/>
        <v>-1762.2005216702064</v>
      </c>
      <c r="D39" s="36">
        <f t="shared" si="5"/>
        <v>249.36614499645384</v>
      </c>
      <c r="E39" s="36">
        <f t="shared" si="5"/>
        <v>226.86914499645991</v>
      </c>
      <c r="F39" s="36">
        <f t="shared" si="5"/>
        <v>203.75843499645725</v>
      </c>
      <c r="G39" s="36">
        <f t="shared" si="5"/>
        <v>180.01682769645504</v>
      </c>
    </row>
    <row r="40" spans="1:23">
      <c r="A40" s="62" t="s">
        <v>668</v>
      </c>
      <c r="B40" s="36">
        <f>SUM(B35:B38)</f>
        <v>-5500</v>
      </c>
      <c r="C40" s="36">
        <f>SUM(C35:C38)</f>
        <v>-1762.2005216702064</v>
      </c>
      <c r="D40" s="36">
        <f>SUM(D35:D38)</f>
        <v>249.36614499645384</v>
      </c>
      <c r="E40" s="36">
        <f>SUM(E35:E38)</f>
        <v>226.86914499645991</v>
      </c>
      <c r="F40" s="36">
        <f>SUM(F35:F38)</f>
        <v>203.75843499645725</v>
      </c>
      <c r="G40" s="36">
        <f>G36+G38</f>
        <v>180.01682769645504</v>
      </c>
      <c r="H40" s="36">
        <f t="shared" ref="H40:W40" si="6">SUM(H35:H38)</f>
        <v>155.62664465745638</v>
      </c>
      <c r="I40" s="36">
        <f t="shared" si="6"/>
        <v>130.56970205688685</v>
      </c>
      <c r="J40" s="36">
        <f t="shared" si="6"/>
        <v>104.82729602649397</v>
      </c>
      <c r="K40" s="36">
        <f t="shared" si="6"/>
        <v>78.380187560339436</v>
      </c>
      <c r="L40" s="36">
        <f t="shared" si="6"/>
        <v>51.208586980265864</v>
      </c>
      <c r="M40" s="36">
        <f t="shared" si="6"/>
        <v>5504.8259929491851</v>
      </c>
      <c r="N40" s="36">
        <f t="shared" si="6"/>
        <v>5476.1437559976457</v>
      </c>
      <c r="O40" s="36">
        <f t="shared" si="6"/>
        <v>5446.6741916027568</v>
      </c>
      <c r="P40" s="36">
        <f t="shared" si="6"/>
        <v>5416.3951427345328</v>
      </c>
      <c r="Q40" s="36">
        <f t="shared" si="6"/>
        <v>5385.2838169079296</v>
      </c>
      <c r="R40" s="36">
        <f t="shared" si="6"/>
        <v>5353.3167677043475</v>
      </c>
      <c r="S40" s="36">
        <f t="shared" si="6"/>
        <v>5320.4698757504539</v>
      </c>
      <c r="T40" s="36">
        <f t="shared" si="6"/>
        <v>5286.7183291382426</v>
      </c>
      <c r="U40" s="36">
        <f t="shared" si="6"/>
        <v>5252.0366032699676</v>
      </c>
      <c r="V40" s="36">
        <f t="shared" si="6"/>
        <v>5216.3984401107973</v>
      </c>
      <c r="W40" s="36">
        <f t="shared" si="6"/>
        <v>1041.2805218260546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>
        <f>IRR(B39:G39)</f>
        <v>-0.46251093831077705</v>
      </c>
    </row>
    <row r="43" spans="1:23">
      <c r="A43" s="56"/>
      <c r="B43" s="11" t="s">
        <v>655</v>
      </c>
      <c r="C43" s="701">
        <f>NPV(0.15,B39:G39)</f>
        <v>-5642.279806646734</v>
      </c>
    </row>
    <row r="44" spans="1:23">
      <c r="A44" s="62" t="s">
        <v>670</v>
      </c>
      <c r="B44" s="446" t="s">
        <v>1</v>
      </c>
      <c r="C44" s="702">
        <f>XIRR(B40:W40,B8:W8)</f>
        <v>0.1497587859630585</v>
      </c>
    </row>
    <row r="45" spans="1:23">
      <c r="A45" s="45"/>
      <c r="B45" s="11" t="s">
        <v>655</v>
      </c>
      <c r="C45" s="701">
        <f>NPV(0.15,B40:W40)</f>
        <v>393.93574372664551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0</v>
      </c>
    </row>
    <row r="49" spans="1:23">
      <c r="A49" s="56" t="s">
        <v>353</v>
      </c>
      <c r="B49" s="36">
        <f t="shared" ref="B49:Q50" si="7">B36</f>
        <v>0</v>
      </c>
      <c r="C49" s="36">
        <f>C28</f>
        <v>0</v>
      </c>
      <c r="D49" s="36">
        <f t="shared" ref="D49:W49" si="8">D28</f>
        <v>0</v>
      </c>
      <c r="E49" s="36">
        <f t="shared" si="8"/>
        <v>0</v>
      </c>
      <c r="F49" s="36">
        <f t="shared" si="8"/>
        <v>0</v>
      </c>
      <c r="G49" s="36">
        <f t="shared" si="8"/>
        <v>0</v>
      </c>
      <c r="H49" s="36">
        <f t="shared" si="8"/>
        <v>0</v>
      </c>
      <c r="I49" s="36">
        <f t="shared" si="8"/>
        <v>0</v>
      </c>
      <c r="J49" s="36">
        <f t="shared" si="8"/>
        <v>0</v>
      </c>
      <c r="K49" s="36">
        <f t="shared" si="8"/>
        <v>0</v>
      </c>
      <c r="L49" s="36">
        <f t="shared" si="8"/>
        <v>0</v>
      </c>
      <c r="M49" s="36">
        <f t="shared" si="8"/>
        <v>0</v>
      </c>
      <c r="N49" s="36">
        <f t="shared" si="8"/>
        <v>0</v>
      </c>
      <c r="O49" s="36">
        <f t="shared" si="8"/>
        <v>0</v>
      </c>
      <c r="P49" s="36">
        <f t="shared" si="8"/>
        <v>0</v>
      </c>
      <c r="Q49" s="36">
        <f t="shared" si="8"/>
        <v>0</v>
      </c>
      <c r="R49" s="36">
        <f t="shared" si="8"/>
        <v>0</v>
      </c>
      <c r="S49" s="36">
        <f t="shared" si="8"/>
        <v>0</v>
      </c>
      <c r="T49" s="36">
        <f t="shared" si="8"/>
        <v>0</v>
      </c>
      <c r="U49" s="36">
        <f t="shared" si="8"/>
        <v>0</v>
      </c>
      <c r="V49" s="36">
        <f t="shared" si="8"/>
        <v>0</v>
      </c>
      <c r="W49" s="36">
        <f t="shared" si="8"/>
        <v>0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0</v>
      </c>
      <c r="C52" s="36">
        <f t="shared" si="11"/>
        <v>0</v>
      </c>
      <c r="D52" s="36">
        <f t="shared" si="11"/>
        <v>0</v>
      </c>
      <c r="E52" s="36">
        <f t="shared" si="11"/>
        <v>0</v>
      </c>
      <c r="F52" s="36">
        <f t="shared" si="11"/>
        <v>0</v>
      </c>
      <c r="G52" s="36">
        <f t="shared" si="11"/>
        <v>0</v>
      </c>
    </row>
    <row r="53" spans="1:23">
      <c r="A53" s="62" t="s">
        <v>668</v>
      </c>
      <c r="B53" s="36">
        <f>SUM(B48:B51)</f>
        <v>0</v>
      </c>
      <c r="C53" s="36">
        <f t="shared" ref="C53:W53" si="12">SUM(C48:C51)</f>
        <v>0</v>
      </c>
      <c r="D53" s="36">
        <f t="shared" si="12"/>
        <v>0</v>
      </c>
      <c r="E53" s="36">
        <f t="shared" si="12"/>
        <v>0</v>
      </c>
      <c r="F53" s="36">
        <f t="shared" si="12"/>
        <v>0</v>
      </c>
      <c r="G53" s="36">
        <f t="shared" si="12"/>
        <v>0</v>
      </c>
      <c r="H53" s="36">
        <f t="shared" si="12"/>
        <v>0</v>
      </c>
      <c r="I53" s="36">
        <f t="shared" si="12"/>
        <v>0</v>
      </c>
      <c r="J53" s="36">
        <f t="shared" si="12"/>
        <v>0</v>
      </c>
      <c r="K53" s="36">
        <f t="shared" si="12"/>
        <v>0</v>
      </c>
      <c r="L53" s="36">
        <f t="shared" si="12"/>
        <v>0</v>
      </c>
      <c r="M53" s="36">
        <f t="shared" si="12"/>
        <v>0</v>
      </c>
      <c r="N53" s="36">
        <f t="shared" si="12"/>
        <v>0</v>
      </c>
      <c r="O53" s="36">
        <f t="shared" si="12"/>
        <v>0</v>
      </c>
      <c r="P53" s="36">
        <f t="shared" si="12"/>
        <v>0</v>
      </c>
      <c r="Q53" s="36">
        <f t="shared" si="12"/>
        <v>0</v>
      </c>
      <c r="R53" s="36">
        <f t="shared" si="12"/>
        <v>0</v>
      </c>
      <c r="S53" s="36">
        <f t="shared" si="12"/>
        <v>0</v>
      </c>
      <c r="T53" s="36">
        <f t="shared" si="12"/>
        <v>0</v>
      </c>
      <c r="U53" s="36">
        <f t="shared" si="12"/>
        <v>0</v>
      </c>
      <c r="V53" s="36">
        <f t="shared" si="12"/>
        <v>0</v>
      </c>
      <c r="W53" s="36">
        <f t="shared" si="12"/>
        <v>0</v>
      </c>
    </row>
    <row r="54" spans="1:23">
      <c r="A54" s="45"/>
    </row>
    <row r="55" spans="1:23">
      <c r="A55" s="62" t="s">
        <v>669</v>
      </c>
      <c r="B55" s="446" t="s">
        <v>1</v>
      </c>
      <c r="C55" s="703" t="e">
        <f>IRR(B52:G52)</f>
        <v>#NUM!</v>
      </c>
    </row>
    <row r="56" spans="1:23">
      <c r="A56" s="56"/>
      <c r="B56" s="11" t="s">
        <v>655</v>
      </c>
      <c r="C56" s="701">
        <f>NPV(0.15,B52:G52)</f>
        <v>0</v>
      </c>
    </row>
    <row r="57" spans="1:23">
      <c r="A57" s="62" t="s">
        <v>670</v>
      </c>
      <c r="B57" s="446" t="s">
        <v>1</v>
      </c>
      <c r="C57" s="702" t="e">
        <f>XIRR(B53:W53,B8:W8)</f>
        <v>#NUM!</v>
      </c>
    </row>
    <row r="58" spans="1:23">
      <c r="A58" s="45"/>
      <c r="B58" s="11" t="s">
        <v>655</v>
      </c>
      <c r="C58" s="701">
        <f>NPV(0.15,B53:W53)</f>
        <v>0</v>
      </c>
    </row>
    <row r="59" spans="1:23" s="42" customFormat="1" ht="13.5" thickBot="1">
      <c r="A59" s="709"/>
    </row>
    <row r="60" spans="1:23" s="13" customFormat="1">
      <c r="A60" s="56"/>
    </row>
    <row r="61" spans="1:23" ht="15.75">
      <c r="A61" s="730" t="s">
        <v>719</v>
      </c>
    </row>
    <row r="62" spans="1:23" ht="15.75">
      <c r="A62" s="706"/>
    </row>
    <row r="63" spans="1:23" ht="15" customHeight="1">
      <c r="A63" s="11" t="s">
        <v>683</v>
      </c>
      <c r="B63" s="731">
        <v>1</v>
      </c>
    </row>
    <row r="64" spans="1:23">
      <c r="A64" s="11" t="s">
        <v>653</v>
      </c>
      <c r="B64" s="732">
        <f>Assumptions!H54</f>
        <v>6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-16500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-1762.2005216702064</v>
      </c>
      <c r="D68" s="36">
        <f t="shared" si="13"/>
        <v>249.36614499645384</v>
      </c>
      <c r="E68" s="36">
        <f t="shared" si="13"/>
        <v>226.86914499645991</v>
      </c>
      <c r="F68" s="36">
        <f t="shared" si="13"/>
        <v>203.75843499645725</v>
      </c>
      <c r="G68" s="36">
        <f t="shared" si="13"/>
        <v>180.01682769645504</v>
      </c>
      <c r="H68" s="36">
        <f t="shared" si="13"/>
        <v>155.62664465745638</v>
      </c>
      <c r="I68" s="36">
        <f t="shared" si="13"/>
        <v>130.56970205688685</v>
      </c>
      <c r="J68" s="36">
        <f t="shared" si="13"/>
        <v>104.82729602649397</v>
      </c>
      <c r="K68" s="36">
        <f t="shared" si="13"/>
        <v>78.380187560339436</v>
      </c>
      <c r="L68" s="36">
        <f t="shared" si="13"/>
        <v>51.208586980265864</v>
      </c>
      <c r="M68" s="36">
        <f t="shared" si="13"/>
        <v>5504.8259929491851</v>
      </c>
      <c r="N68" s="36">
        <f t="shared" si="13"/>
        <v>5476.1437559976457</v>
      </c>
      <c r="O68" s="36">
        <f t="shared" si="13"/>
        <v>5446.6741916027568</v>
      </c>
      <c r="P68" s="36">
        <f t="shared" si="13"/>
        <v>5416.3951427345328</v>
      </c>
      <c r="Q68" s="36">
        <f t="shared" si="13"/>
        <v>5385.2838169079296</v>
      </c>
      <c r="R68" s="36">
        <f t="shared" si="13"/>
        <v>5353.3167677043475</v>
      </c>
      <c r="S68" s="36">
        <f t="shared" si="13"/>
        <v>5320.4698757504539</v>
      </c>
      <c r="T68" s="36">
        <f t="shared" si="13"/>
        <v>5286.7183291382426</v>
      </c>
      <c r="U68" s="36">
        <f t="shared" si="13"/>
        <v>5252.0366032699676</v>
      </c>
      <c r="V68" s="36">
        <f t="shared" si="13"/>
        <v>5216.3984401107973</v>
      </c>
      <c r="W68" s="36">
        <f>W27</f>
        <v>1041.2805218260546</v>
      </c>
    </row>
    <row r="69" spans="1:23">
      <c r="A69" s="56" t="s">
        <v>716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>
        <f>Assumptions!C61*Assumptions!H24</f>
        <v>22000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spans="1:23">
      <c r="A70" s="56" t="s">
        <v>650</v>
      </c>
      <c r="B70" s="696">
        <v>0</v>
      </c>
      <c r="C70" s="696">
        <v>0</v>
      </c>
      <c r="D70" s="696">
        <v>0</v>
      </c>
      <c r="E70" s="696">
        <v>0</v>
      </c>
      <c r="F70" s="696">
        <v>0</v>
      </c>
      <c r="G70" s="696">
        <v>0</v>
      </c>
      <c r="H70" s="696">
        <v>0</v>
      </c>
      <c r="I70" s="667">
        <v>0</v>
      </c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>
      <c r="A71" s="62" t="s">
        <v>718</v>
      </c>
      <c r="B71" s="36">
        <f t="shared" ref="B71:I71" si="14">SUM(B67:B70)</f>
        <v>-16500</v>
      </c>
      <c r="C71" s="36">
        <f t="shared" si="14"/>
        <v>-1762.2005216702064</v>
      </c>
      <c r="D71" s="36">
        <f t="shared" si="14"/>
        <v>249.36614499645384</v>
      </c>
      <c r="E71" s="36">
        <f t="shared" si="14"/>
        <v>226.86914499645991</v>
      </c>
      <c r="F71" s="36">
        <f t="shared" si="14"/>
        <v>203.75843499645725</v>
      </c>
      <c r="G71" s="36">
        <f t="shared" si="14"/>
        <v>180.01682769645504</v>
      </c>
      <c r="H71" s="36">
        <f t="shared" si="14"/>
        <v>155.62664465745638</v>
      </c>
      <c r="I71" s="36">
        <f t="shared" si="14"/>
        <v>130.56970205688685</v>
      </c>
      <c r="J71" s="36">
        <f>SUM(J67:J70)</f>
        <v>104.82729602649397</v>
      </c>
      <c r="K71" s="36">
        <f>SUM(K67:K70)</f>
        <v>78.380187560339436</v>
      </c>
      <c r="L71" s="36">
        <f>SUM(L67:L70)</f>
        <v>22051.208586980265</v>
      </c>
    </row>
    <row r="72" spans="1:23">
      <c r="A72" s="62" t="s">
        <v>668</v>
      </c>
      <c r="B72" s="36">
        <f>SUM(B67:B70)</f>
        <v>-16500</v>
      </c>
      <c r="C72" s="36">
        <f t="shared" ref="C72:V72" si="15">SUM(C67:C70)</f>
        <v>-1762.2005216702064</v>
      </c>
      <c r="D72" s="36">
        <f t="shared" si="15"/>
        <v>249.36614499645384</v>
      </c>
      <c r="E72" s="36">
        <f t="shared" si="15"/>
        <v>226.86914499645991</v>
      </c>
      <c r="F72" s="36">
        <f t="shared" si="15"/>
        <v>203.75843499645725</v>
      </c>
      <c r="G72" s="36">
        <f t="shared" si="15"/>
        <v>180.01682769645504</v>
      </c>
      <c r="H72" s="36">
        <f t="shared" si="15"/>
        <v>155.62664465745638</v>
      </c>
      <c r="I72" s="36">
        <f t="shared" si="15"/>
        <v>130.56970205688685</v>
      </c>
      <c r="J72" s="36">
        <f t="shared" si="15"/>
        <v>104.82729602649397</v>
      </c>
      <c r="K72" s="36">
        <f t="shared" si="15"/>
        <v>78.380187560339436</v>
      </c>
      <c r="L72" s="36">
        <f t="shared" si="15"/>
        <v>22051.208586980265</v>
      </c>
      <c r="M72" s="36">
        <f t="shared" si="15"/>
        <v>5504.8259929491851</v>
      </c>
      <c r="N72" s="36">
        <f t="shared" si="15"/>
        <v>5476.1437559976457</v>
      </c>
      <c r="O72" s="36">
        <f t="shared" si="15"/>
        <v>5446.6741916027568</v>
      </c>
      <c r="P72" s="36">
        <f t="shared" si="15"/>
        <v>5416.3951427345328</v>
      </c>
      <c r="Q72" s="36">
        <f t="shared" si="15"/>
        <v>5385.2838169079296</v>
      </c>
      <c r="R72" s="36">
        <f t="shared" si="15"/>
        <v>5353.3167677043475</v>
      </c>
      <c r="S72" s="36">
        <f t="shared" si="15"/>
        <v>5320.4698757504539</v>
      </c>
      <c r="T72" s="36">
        <f t="shared" si="15"/>
        <v>5286.7183291382426</v>
      </c>
      <c r="U72" s="36">
        <f t="shared" si="15"/>
        <v>5252.0366032699676</v>
      </c>
      <c r="V72" s="36">
        <f t="shared" si="15"/>
        <v>5216.3984401107973</v>
      </c>
      <c r="W72" s="36">
        <f>SUM(W67:W70)</f>
        <v>1041.2805218260546</v>
      </c>
    </row>
    <row r="73" spans="1:23">
      <c r="A73" s="56"/>
      <c r="B73" s="36"/>
      <c r="C73" s="36"/>
      <c r="D73" s="36"/>
      <c r="E73" s="36"/>
      <c r="F73" s="36"/>
      <c r="G73" s="36"/>
      <c r="H73" s="36"/>
      <c r="I73" s="36"/>
      <c r="W73" s="13"/>
    </row>
    <row r="74" spans="1:23">
      <c r="A74" s="62" t="s">
        <v>717</v>
      </c>
      <c r="B74" s="446" t="s">
        <v>1</v>
      </c>
      <c r="C74" s="688">
        <f>XIRR(B71:L71,B8:L8)</f>
        <v>2.4729797244071965E-2</v>
      </c>
      <c r="W74" s="13"/>
    </row>
    <row r="75" spans="1:23">
      <c r="A75" s="13"/>
      <c r="B75" s="11" t="s">
        <v>655</v>
      </c>
      <c r="C75" s="691">
        <f>NPV(0.15,B71:L71)</f>
        <v>-10317.377228529564</v>
      </c>
      <c r="W75" s="13"/>
    </row>
    <row r="76" spans="1:23">
      <c r="A76" s="43" t="s">
        <v>670</v>
      </c>
      <c r="B76" s="446" t="s">
        <v>1</v>
      </c>
      <c r="C76" s="702">
        <f>XIRR(B72:V72,B8:V8)</f>
        <v>0.11289317011833189</v>
      </c>
      <c r="W76" s="13"/>
    </row>
    <row r="77" spans="1:23">
      <c r="A77" s="13"/>
      <c r="B77" s="11" t="s">
        <v>655</v>
      </c>
      <c r="C77" s="691">
        <f>NPV(0.15,B72:V72)</f>
        <v>-4490.6385212682389</v>
      </c>
      <c r="W77" s="13"/>
    </row>
    <row r="78" spans="1:23">
      <c r="A78" s="13"/>
      <c r="B78" s="11"/>
      <c r="C78" s="704"/>
      <c r="W78" s="13"/>
    </row>
    <row r="79" spans="1:23">
      <c r="A79" s="13"/>
      <c r="B79" s="11"/>
      <c r="C79" s="704"/>
      <c r="W79" s="13"/>
    </row>
    <row r="80" spans="1:23">
      <c r="A80" s="229" t="s">
        <v>681</v>
      </c>
      <c r="B80" s="11"/>
      <c r="C80" s="704"/>
      <c r="W80" s="13"/>
    </row>
    <row r="81" spans="1:23">
      <c r="A81" s="56" t="s">
        <v>354</v>
      </c>
      <c r="B81" s="668">
        <f>-'Debt Structs'!D64*(1-B63)</f>
        <v>0</v>
      </c>
      <c r="C81" s="704"/>
      <c r="W81" s="13"/>
    </row>
    <row r="82" spans="1:23">
      <c r="A82" s="56" t="s">
        <v>353</v>
      </c>
      <c r="B82" s="665">
        <v>0</v>
      </c>
      <c r="C82" s="721">
        <f>C28</f>
        <v>0</v>
      </c>
      <c r="D82" s="721">
        <f t="shared" ref="D82:V82" si="16">D28</f>
        <v>0</v>
      </c>
      <c r="E82" s="721">
        <f t="shared" si="16"/>
        <v>0</v>
      </c>
      <c r="F82" s="721">
        <f t="shared" si="16"/>
        <v>0</v>
      </c>
      <c r="G82" s="721">
        <f t="shared" si="16"/>
        <v>0</v>
      </c>
      <c r="H82" s="721">
        <f t="shared" si="16"/>
        <v>0</v>
      </c>
      <c r="I82" s="721">
        <f t="shared" si="16"/>
        <v>0</v>
      </c>
      <c r="J82" s="721">
        <f t="shared" si="16"/>
        <v>0</v>
      </c>
      <c r="K82" s="721">
        <f t="shared" si="16"/>
        <v>0</v>
      </c>
      <c r="L82" s="721">
        <f t="shared" si="16"/>
        <v>0</v>
      </c>
      <c r="M82" s="721">
        <f t="shared" si="16"/>
        <v>0</v>
      </c>
      <c r="N82" s="721">
        <f t="shared" si="16"/>
        <v>0</v>
      </c>
      <c r="O82" s="721">
        <f t="shared" si="16"/>
        <v>0</v>
      </c>
      <c r="P82" s="721">
        <f t="shared" si="16"/>
        <v>0</v>
      </c>
      <c r="Q82" s="721">
        <f t="shared" si="16"/>
        <v>0</v>
      </c>
      <c r="R82" s="721">
        <f t="shared" si="16"/>
        <v>0</v>
      </c>
      <c r="S82" s="721">
        <f t="shared" si="16"/>
        <v>0</v>
      </c>
      <c r="T82" s="721">
        <f t="shared" si="16"/>
        <v>0</v>
      </c>
      <c r="U82" s="721">
        <f t="shared" si="16"/>
        <v>0</v>
      </c>
      <c r="V82" s="721">
        <f t="shared" si="16"/>
        <v>0</v>
      </c>
      <c r="W82" s="721">
        <f>W28</f>
        <v>0</v>
      </c>
    </row>
    <row r="83" spans="1:23">
      <c r="A83" s="56" t="s">
        <v>666</v>
      </c>
      <c r="B83" s="665">
        <v>0</v>
      </c>
      <c r="C83" s="665">
        <v>0</v>
      </c>
      <c r="D83" s="665">
        <v>0</v>
      </c>
      <c r="E83" s="665">
        <v>0</v>
      </c>
      <c r="F83" s="665">
        <v>0</v>
      </c>
      <c r="G83" s="665">
        <v>0</v>
      </c>
      <c r="H83" s="665">
        <v>0</v>
      </c>
      <c r="I83" s="665">
        <v>0</v>
      </c>
      <c r="J83" s="665">
        <v>0</v>
      </c>
      <c r="K83" s="665">
        <v>0</v>
      </c>
      <c r="L83" s="665">
        <v>0</v>
      </c>
      <c r="M83" s="665">
        <v>0</v>
      </c>
      <c r="N83" s="665">
        <v>0</v>
      </c>
      <c r="O83" s="665">
        <v>0</v>
      </c>
      <c r="P83" s="665">
        <v>0</v>
      </c>
      <c r="Q83" s="665">
        <v>0</v>
      </c>
      <c r="R83" s="665">
        <v>0</v>
      </c>
      <c r="S83" s="665">
        <v>0</v>
      </c>
      <c r="T83" s="665">
        <v>0</v>
      </c>
      <c r="U83" s="665">
        <v>0</v>
      </c>
      <c r="V83" s="665">
        <v>0</v>
      </c>
      <c r="W83" s="665">
        <v>0</v>
      </c>
    </row>
    <row r="84" spans="1:23">
      <c r="A84" s="56" t="s">
        <v>657</v>
      </c>
      <c r="B84" s="696">
        <v>0</v>
      </c>
      <c r="C84" s="696">
        <v>0</v>
      </c>
      <c r="D84" s="696">
        <v>0</v>
      </c>
      <c r="E84" s="696">
        <v>0</v>
      </c>
      <c r="F84" s="696">
        <v>0</v>
      </c>
      <c r="G84" s="696">
        <v>0</v>
      </c>
      <c r="H84" s="696">
        <v>0</v>
      </c>
      <c r="I84" s="696">
        <v>0</v>
      </c>
      <c r="J84" s="696">
        <v>0</v>
      </c>
      <c r="K84" s="696">
        <v>0</v>
      </c>
      <c r="L84" s="696">
        <v>0</v>
      </c>
      <c r="M84" s="696">
        <v>0</v>
      </c>
      <c r="N84" s="696">
        <v>0</v>
      </c>
      <c r="O84" s="696">
        <v>0</v>
      </c>
      <c r="P84" s="696">
        <v>0</v>
      </c>
      <c r="Q84" s="696">
        <v>0</v>
      </c>
      <c r="R84" s="696">
        <v>0</v>
      </c>
      <c r="S84" s="696">
        <v>0</v>
      </c>
      <c r="T84" s="696">
        <v>0</v>
      </c>
      <c r="U84" s="696">
        <v>0</v>
      </c>
      <c r="V84" s="696">
        <v>0</v>
      </c>
      <c r="W84" s="696">
        <v>0</v>
      </c>
    </row>
    <row r="85" spans="1:23">
      <c r="A85" s="62" t="s">
        <v>677</v>
      </c>
      <c r="B85" s="36">
        <f t="shared" ref="B85:I85" si="17">SUM(B81:B84)</f>
        <v>0</v>
      </c>
      <c r="C85" s="36">
        <f t="shared" si="17"/>
        <v>0</v>
      </c>
      <c r="D85" s="36">
        <f t="shared" si="17"/>
        <v>0</v>
      </c>
      <c r="E85" s="36">
        <f t="shared" si="17"/>
        <v>0</v>
      </c>
      <c r="F85" s="36">
        <f t="shared" si="17"/>
        <v>0</v>
      </c>
      <c r="G85" s="36">
        <f t="shared" si="17"/>
        <v>0</v>
      </c>
      <c r="H85" s="36">
        <f t="shared" si="17"/>
        <v>0</v>
      </c>
      <c r="I85" s="36">
        <f t="shared" si="17"/>
        <v>0</v>
      </c>
      <c r="J85" s="36">
        <f>SUM(J81:J84)</f>
        <v>0</v>
      </c>
      <c r="K85" s="36">
        <f>SUM(K81:K84)</f>
        <v>0</v>
      </c>
      <c r="L85" s="36">
        <f>SUM(L81:L84)</f>
        <v>0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 spans="1:23">
      <c r="A86" s="62" t="s">
        <v>668</v>
      </c>
      <c r="B86" s="36">
        <f>SUM(B81:B84)</f>
        <v>0</v>
      </c>
      <c r="C86" s="36">
        <f t="shared" ref="C86:V86" si="18">SUM(C81:C84)</f>
        <v>0</v>
      </c>
      <c r="D86" s="36">
        <f t="shared" si="18"/>
        <v>0</v>
      </c>
      <c r="E86" s="36">
        <f t="shared" si="18"/>
        <v>0</v>
      </c>
      <c r="F86" s="36">
        <f t="shared" si="18"/>
        <v>0</v>
      </c>
      <c r="G86" s="36">
        <f t="shared" si="18"/>
        <v>0</v>
      </c>
      <c r="H86" s="36">
        <f t="shared" si="18"/>
        <v>0</v>
      </c>
      <c r="I86" s="36">
        <f t="shared" si="18"/>
        <v>0</v>
      </c>
      <c r="J86" s="36">
        <f t="shared" si="18"/>
        <v>0</v>
      </c>
      <c r="K86" s="36">
        <f t="shared" si="18"/>
        <v>0</v>
      </c>
      <c r="L86" s="36">
        <f t="shared" si="18"/>
        <v>0</v>
      </c>
      <c r="M86" s="36">
        <f t="shared" si="18"/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  <c r="R86" s="36">
        <f t="shared" si="18"/>
        <v>0</v>
      </c>
      <c r="S86" s="36">
        <f t="shared" si="18"/>
        <v>0</v>
      </c>
      <c r="T86" s="36">
        <f t="shared" si="18"/>
        <v>0</v>
      </c>
      <c r="U86" s="36">
        <f t="shared" si="18"/>
        <v>0</v>
      </c>
      <c r="V86" s="36">
        <f t="shared" si="18"/>
        <v>0</v>
      </c>
      <c r="W86" s="36">
        <f>SUM(W81:W84)</f>
        <v>0</v>
      </c>
    </row>
    <row r="87" spans="1:23" hidden="1">
      <c r="A87" s="629" t="s">
        <v>649</v>
      </c>
    </row>
    <row r="88" spans="1:23" hidden="1">
      <c r="A88" s="43" t="s">
        <v>647</v>
      </c>
    </row>
    <row r="89" spans="1:23" hidden="1">
      <c r="A89" s="56" t="s">
        <v>354</v>
      </c>
      <c r="B89" s="668">
        <f>-'Debt Structs'!D8</f>
        <v>-16500</v>
      </c>
      <c r="M89" s="697" t="s">
        <v>663</v>
      </c>
    </row>
    <row r="90" spans="1:23" hidden="1">
      <c r="A90" s="56" t="s">
        <v>353</v>
      </c>
      <c r="B90" s="36">
        <f>B27</f>
        <v>0</v>
      </c>
      <c r="C90" s="36">
        <f t="shared" ref="C90:W90" si="19">C27</f>
        <v>-1762.2005216702064</v>
      </c>
      <c r="D90" s="36">
        <f t="shared" si="19"/>
        <v>249.36614499645384</v>
      </c>
      <c r="E90" s="36">
        <f t="shared" si="19"/>
        <v>226.86914499645991</v>
      </c>
      <c r="F90" s="36">
        <f t="shared" si="19"/>
        <v>203.75843499645725</v>
      </c>
      <c r="G90" s="36">
        <f t="shared" si="19"/>
        <v>180.01682769645504</v>
      </c>
      <c r="H90" s="36">
        <f t="shared" si="19"/>
        <v>155.62664465745638</v>
      </c>
      <c r="I90" s="36">
        <f t="shared" si="19"/>
        <v>130.56970205688685</v>
      </c>
      <c r="J90" s="36">
        <f t="shared" si="19"/>
        <v>104.82729602649397</v>
      </c>
      <c r="K90" s="36">
        <f t="shared" si="19"/>
        <v>78.380187560339436</v>
      </c>
      <c r="L90" s="36">
        <f t="shared" si="19"/>
        <v>51.208586980265864</v>
      </c>
      <c r="M90" s="36">
        <f t="shared" si="19"/>
        <v>5504.8259929491851</v>
      </c>
      <c r="N90" s="36">
        <f t="shared" si="19"/>
        <v>5476.1437559976457</v>
      </c>
      <c r="O90" s="36">
        <f t="shared" si="19"/>
        <v>5446.6741916027568</v>
      </c>
      <c r="P90" s="36">
        <f t="shared" si="19"/>
        <v>5416.3951427345328</v>
      </c>
      <c r="Q90" s="36">
        <f t="shared" si="19"/>
        <v>5385.2838169079296</v>
      </c>
      <c r="R90" s="36">
        <f t="shared" si="19"/>
        <v>5353.3167677043475</v>
      </c>
      <c r="S90" s="36">
        <f t="shared" si="19"/>
        <v>5320.4698757504539</v>
      </c>
      <c r="T90" s="36">
        <f t="shared" si="19"/>
        <v>5286.7183291382426</v>
      </c>
      <c r="U90" s="36">
        <f t="shared" si="19"/>
        <v>5252.0366032699676</v>
      </c>
      <c r="V90" s="36">
        <f t="shared" si="19"/>
        <v>5216.3984401107973</v>
      </c>
      <c r="W90" s="36">
        <f t="shared" si="19"/>
        <v>1041.2805218260546</v>
      </c>
    </row>
    <row r="91" spans="1:23" hidden="1">
      <c r="A91" s="700" t="s">
        <v>664</v>
      </c>
      <c r="B91" s="665">
        <v>0</v>
      </c>
      <c r="C91" s="665">
        <v>0</v>
      </c>
      <c r="D91" s="665">
        <v>0</v>
      </c>
      <c r="E91" s="665">
        <v>0</v>
      </c>
      <c r="F91" s="665">
        <v>0</v>
      </c>
      <c r="G91" s="665">
        <v>0</v>
      </c>
      <c r="H91" s="665">
        <v>0</v>
      </c>
      <c r="I91" s="665">
        <v>0</v>
      </c>
      <c r="J91" s="665">
        <v>0</v>
      </c>
      <c r="K91" s="665">
        <v>0</v>
      </c>
      <c r="L91" s="668">
        <f>'Debt Structs'!G25</f>
        <v>0</v>
      </c>
    </row>
    <row r="92" spans="1:23" hidden="1">
      <c r="A92" s="56" t="s">
        <v>665</v>
      </c>
      <c r="B92" s="696">
        <v>0</v>
      </c>
      <c r="C92" s="696">
        <v>0</v>
      </c>
      <c r="D92" s="696">
        <v>0</v>
      </c>
      <c r="E92" s="696">
        <v>0</v>
      </c>
      <c r="F92" s="696">
        <v>0</v>
      </c>
      <c r="G92" s="696">
        <v>0</v>
      </c>
      <c r="H92" s="696">
        <v>0</v>
      </c>
      <c r="I92" s="696">
        <v>0</v>
      </c>
      <c r="J92" s="696">
        <v>0</v>
      </c>
      <c r="K92" s="696">
        <v>0</v>
      </c>
      <c r="L92" s="696">
        <v>0</v>
      </c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hidden="1">
      <c r="A93" s="56" t="s">
        <v>352</v>
      </c>
      <c r="B93" s="36">
        <f t="shared" ref="B93:L93" si="20">SUM(B89:B91)</f>
        <v>-16500</v>
      </c>
      <c r="C93" s="36">
        <f t="shared" si="20"/>
        <v>-1762.2005216702064</v>
      </c>
      <c r="D93" s="36">
        <f t="shared" si="20"/>
        <v>249.36614499645384</v>
      </c>
      <c r="E93" s="36">
        <f t="shared" si="20"/>
        <v>226.86914499645991</v>
      </c>
      <c r="F93" s="36">
        <f t="shared" si="20"/>
        <v>203.75843499645725</v>
      </c>
      <c r="G93" s="36">
        <f t="shared" si="20"/>
        <v>180.01682769645504</v>
      </c>
      <c r="H93" s="36">
        <f t="shared" si="20"/>
        <v>155.62664465745638</v>
      </c>
      <c r="I93" s="36">
        <f t="shared" si="20"/>
        <v>130.56970205688685</v>
      </c>
      <c r="J93" s="36">
        <f t="shared" si="20"/>
        <v>104.82729602649397</v>
      </c>
      <c r="K93" s="36">
        <f t="shared" si="20"/>
        <v>78.380187560339436</v>
      </c>
      <c r="L93" s="36">
        <f t="shared" si="20"/>
        <v>51.208586980265864</v>
      </c>
    </row>
    <row r="94" spans="1:23" hidden="1">
      <c r="A94" s="13"/>
      <c r="B94" s="446" t="s">
        <v>1</v>
      </c>
      <c r="C94" s="452">
        <f>XIRR(B93:L93,B8:L8)</f>
        <v>-0.3293058163486422</v>
      </c>
    </row>
    <row r="95" spans="1:23" hidden="1">
      <c r="A95" s="56"/>
      <c r="B95" s="11" t="s">
        <v>655</v>
      </c>
      <c r="C95" s="691">
        <f>NPV(0.15,B93:L93)</f>
        <v>-15046.128128252216</v>
      </c>
    </row>
    <row r="96" spans="1:23">
      <c r="A96" s="43"/>
    </row>
    <row r="97" spans="1:3">
      <c r="A97" s="62" t="s">
        <v>672</v>
      </c>
      <c r="B97" s="446" t="s">
        <v>1</v>
      </c>
      <c r="C97" s="688" t="e">
        <f>XIRR(B85:I85,B8:I8)</f>
        <v>#NUM!</v>
      </c>
    </row>
    <row r="98" spans="1:3">
      <c r="A98" s="13"/>
      <c r="B98" s="11" t="s">
        <v>655</v>
      </c>
      <c r="C98" s="691">
        <f>NPV(0.15,B85:I85)</f>
        <v>0</v>
      </c>
    </row>
    <row r="99" spans="1:3">
      <c r="A99" s="43" t="s">
        <v>670</v>
      </c>
      <c r="B99" s="446" t="s">
        <v>1</v>
      </c>
      <c r="C99" s="702" t="e">
        <f>XIRR(B86:W86,B8:W8)</f>
        <v>#NUM!</v>
      </c>
    </row>
    <row r="100" spans="1:3">
      <c r="A100" s="13"/>
      <c r="B100" s="11" t="s">
        <v>655</v>
      </c>
      <c r="C100" s="691">
        <f>NPV(0.15,B86:V86)</f>
        <v>0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G10" sqref="G10"/>
    </sheetView>
  </sheetViews>
  <sheetFormatPr defaultRowHeight="12.75"/>
  <cols>
    <col min="2" max="2" width="34.42578125" customWidth="1"/>
    <col min="3" max="3" width="18.28515625" customWidth="1"/>
    <col min="4" max="4" width="20.5703125" customWidth="1"/>
    <col min="5" max="5" width="12.140625" customWidth="1"/>
    <col min="6" max="6" width="11.28515625" customWidth="1"/>
    <col min="7" max="7" width="12.42578125" customWidth="1"/>
    <col min="8" max="8" width="12.5703125" customWidth="1"/>
    <col min="9" max="9" width="12.14062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41885.565802546298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710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705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707</v>
      </c>
      <c r="C20" s="685">
        <v>4.5</v>
      </c>
      <c r="D20" s="710">
        <v>-17330.527017196553</v>
      </c>
      <c r="E20" s="736" t="s">
        <v>704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711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706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2.75"/>
  <cols>
    <col min="1" max="1" width="4" customWidth="1"/>
    <col min="2" max="2" width="29.140625" customWidth="1"/>
    <col min="3" max="3" width="1.28515625" customWidth="1"/>
    <col min="4" max="4" width="12.28515625" bestFit="1" customWidth="1"/>
    <col min="5" max="5" width="12.5703125" customWidth="1"/>
    <col min="6" max="6" width="12.28515625" bestFit="1" customWidth="1"/>
    <col min="7" max="7" width="14" customWidth="1"/>
    <col min="8" max="8" width="13.42578125" customWidth="1"/>
    <col min="9" max="9" width="13.85546875" customWidth="1"/>
    <col min="10" max="10" width="12.140625" customWidth="1"/>
    <col min="11" max="11" width="11" customWidth="1"/>
    <col min="12" max="13" width="10.85546875" customWidth="1"/>
    <col min="14" max="14" width="11.7109375" customWidth="1"/>
    <col min="15" max="15" width="12" customWidth="1"/>
    <col min="16" max="16" width="11.42578125" customWidth="1"/>
    <col min="17" max="17" width="11.5703125" customWidth="1"/>
    <col min="18" max="18" width="12.140625" customWidth="1"/>
  </cols>
  <sheetData>
    <row r="2" spans="2:9" ht="15.75">
      <c r="B2" s="689" t="s">
        <v>684</v>
      </c>
    </row>
    <row r="3" spans="2:9" ht="16.5" thickBot="1">
      <c r="B3" s="689" t="s">
        <v>685</v>
      </c>
    </row>
    <row r="4" spans="2:9">
      <c r="D4" s="643"/>
      <c r="E4" s="410"/>
      <c r="F4" s="671" t="s">
        <v>621</v>
      </c>
      <c r="G4" s="671" t="s">
        <v>703</v>
      </c>
      <c r="H4" s="671" t="s">
        <v>702</v>
      </c>
      <c r="I4" s="672" t="s">
        <v>708</v>
      </c>
    </row>
    <row r="5" spans="2:9">
      <c r="D5" s="520"/>
      <c r="E5" s="650" t="s">
        <v>622</v>
      </c>
      <c r="F5" s="645">
        <f>'Debt Structs'!E3</f>
        <v>55000</v>
      </c>
      <c r="G5" s="645">
        <f>'Debt Structs'!D3</f>
        <v>55000</v>
      </c>
      <c r="H5" s="645">
        <f>'Debt Structs'!E3</f>
        <v>55000</v>
      </c>
      <c r="I5" s="673">
        <f>H5</f>
        <v>55000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10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10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5500</v>
      </c>
      <c r="G10" s="645">
        <f>+G5*G9</f>
        <v>16500</v>
      </c>
      <c r="H10" s="645">
        <f>+H5*H9</f>
        <v>16500</v>
      </c>
      <c r="I10" s="673">
        <f>+I5*I9</f>
        <v>16500</v>
      </c>
    </row>
    <row r="11" spans="2:9" ht="13.5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49500</v>
      </c>
      <c r="E15" s="710">
        <f>D15</f>
        <v>49500</v>
      </c>
      <c r="F15" s="710">
        <f>E15</f>
        <v>49500</v>
      </c>
      <c r="G15" s="710">
        <f>F15</f>
        <v>49500</v>
      </c>
      <c r="H15" s="710">
        <f>G15</f>
        <v>49500</v>
      </c>
    </row>
    <row r="16" spans="2:9">
      <c r="B16" t="s">
        <v>687</v>
      </c>
      <c r="D16" s="710">
        <f>D17+D18</f>
        <v>3960</v>
      </c>
      <c r="E16" s="710">
        <f>E17+E18</f>
        <v>3960</v>
      </c>
      <c r="F16" s="710">
        <f>F17+F18</f>
        <v>3960</v>
      </c>
      <c r="G16" s="710">
        <f>G17+G18</f>
        <v>3960</v>
      </c>
      <c r="H16" s="710">
        <f>H17+H18</f>
        <v>3960</v>
      </c>
    </row>
    <row r="17" spans="2:23">
      <c r="B17" t="s">
        <v>688</v>
      </c>
      <c r="D17" s="710">
        <f>$D$15*$F$7</f>
        <v>3960</v>
      </c>
      <c r="E17" s="710">
        <f>$D$15*$F$7</f>
        <v>3960</v>
      </c>
      <c r="F17" s="710">
        <f>$D$15*$F$7</f>
        <v>3960</v>
      </c>
      <c r="G17" s="710">
        <f>$D$15*$F$7</f>
        <v>3960</v>
      </c>
      <c r="H17" s="710">
        <f>$D$15*$F$7</f>
        <v>3960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38500</v>
      </c>
      <c r="E22" s="641">
        <f t="shared" ref="E22:J22" si="0">D22-D25</f>
        <v>35713.466144996455</v>
      </c>
      <c r="F22" s="641">
        <f t="shared" si="0"/>
        <v>32731.874920142665</v>
      </c>
      <c r="G22" s="641">
        <f t="shared" si="0"/>
        <v>29541.572309549108</v>
      </c>
      <c r="H22" s="641">
        <f t="shared" si="0"/>
        <v>26127.948516214004</v>
      </c>
      <c r="I22" s="641">
        <f t="shared" si="0"/>
        <v>22475.371057345445</v>
      </c>
      <c r="J22" s="641">
        <f t="shared" si="0"/>
        <v>18567.113176356084</v>
      </c>
    </row>
    <row r="23" spans="2:23">
      <c r="B23" t="s">
        <v>687</v>
      </c>
      <c r="D23" s="641">
        <f>D24+D25</f>
        <v>6444.0338550035412</v>
      </c>
      <c r="E23" s="641">
        <f t="shared" ref="E23:J23" si="1">E24+E25</f>
        <v>6374.3705086284535</v>
      </c>
      <c r="F23" s="641">
        <f t="shared" si="1"/>
        <v>6299.8307280071094</v>
      </c>
      <c r="G23" s="641">
        <f t="shared" si="1"/>
        <v>6220.0731627422701</v>
      </c>
      <c r="H23" s="641">
        <f t="shared" si="1"/>
        <v>6134.7325679088917</v>
      </c>
      <c r="I23" s="641">
        <f t="shared" si="1"/>
        <v>6043.4181314371781</v>
      </c>
      <c r="J23" s="641">
        <f t="shared" si="1"/>
        <v>5945.7116844124439</v>
      </c>
    </row>
    <row r="24" spans="2:23">
      <c r="B24" t="s">
        <v>688</v>
      </c>
      <c r="D24" s="641">
        <f t="shared" ref="D24:J24" si="2">D22*$G$7</f>
        <v>3657.5</v>
      </c>
      <c r="E24" s="641">
        <f t="shared" si="2"/>
        <v>3392.7792837746633</v>
      </c>
      <c r="F24" s="641">
        <f t="shared" si="2"/>
        <v>3109.5281174135534</v>
      </c>
      <c r="G24" s="641">
        <f t="shared" si="2"/>
        <v>2806.4493694071652</v>
      </c>
      <c r="H24" s="641">
        <f t="shared" si="2"/>
        <v>2482.1551090403304</v>
      </c>
      <c r="I24" s="641">
        <f t="shared" si="2"/>
        <v>2135.1602504478174</v>
      </c>
      <c r="J24" s="641">
        <f t="shared" si="2"/>
        <v>1763.8757517538281</v>
      </c>
    </row>
    <row r="25" spans="2:23">
      <c r="B25" t="s">
        <v>689</v>
      </c>
      <c r="D25" s="641">
        <f>'Debt Structs'!J16</f>
        <v>2786.5338550035417</v>
      </c>
      <c r="E25" s="641">
        <f>'Debt Structs'!J17</f>
        <v>2981.5912248537902</v>
      </c>
      <c r="F25" s="641">
        <f>'Debt Structs'!J18</f>
        <v>3190.3026105935555</v>
      </c>
      <c r="G25" s="641">
        <f>'Debt Structs'!J19</f>
        <v>3413.6237933351044</v>
      </c>
      <c r="H25" s="641">
        <f>'Debt Structs'!J20</f>
        <v>3652.5774588685617</v>
      </c>
      <c r="I25" s="641">
        <f>'Debt Structs'!J21</f>
        <v>3908.2578809893612</v>
      </c>
      <c r="J25" s="641">
        <f>'Debt Structs'!J22</f>
        <v>4181.835932658616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38500</v>
      </c>
      <c r="E29" s="641">
        <f>'Debt Structs'!H75</f>
        <v>36877.145787217669</v>
      </c>
      <c r="F29" s="641">
        <f>'Debt Structs'!H76</f>
        <v>35100.120424221015</v>
      </c>
      <c r="G29" s="641">
        <f>'Debt Structs'!H77</f>
        <v>33154.277651739678</v>
      </c>
      <c r="H29" s="641">
        <f>'Debt Structs'!H78</f>
        <v>31023.579815872614</v>
      </c>
      <c r="I29" s="641">
        <f>'Debt Structs'!H79</f>
        <v>28690.465685598181</v>
      </c>
      <c r="J29" s="641">
        <f>'Debt Structs'!H80</f>
        <v>26135.705712947674</v>
      </c>
      <c r="K29" s="641">
        <f>'Debt Structs'!H81</f>
        <v>23338.243542895372</v>
      </c>
      <c r="L29" s="641">
        <f>'Debt Structs'!H82</f>
        <v>20275.0224666881</v>
      </c>
      <c r="M29" s="641">
        <f>'Debt Structs'!H83</f>
        <v>16920.795388241138</v>
      </c>
      <c r="N29" s="641">
        <f>'Debt Structs'!H84</f>
        <v>13247.916737341715</v>
      </c>
      <c r="O29" s="641">
        <f>'Debt Structs'!H85</f>
        <v>9226.1146146068459</v>
      </c>
      <c r="P29" s="641">
        <f>'Debt Structs'!H86</f>
        <v>4822.2412902121641</v>
      </c>
    </row>
    <row r="30" spans="2:23">
      <c r="B30" t="s">
        <v>687</v>
      </c>
      <c r="D30" s="641">
        <f>'Debt Structs'!I74</f>
        <v>5280.3542127823321</v>
      </c>
      <c r="E30" s="641">
        <f>D30</f>
        <v>5280.3542127823321</v>
      </c>
      <c r="F30" s="641">
        <f t="shared" ref="F30:P30" si="4">E30</f>
        <v>5280.3542127823321</v>
      </c>
      <c r="G30" s="641">
        <f t="shared" si="4"/>
        <v>5280.3542127823321</v>
      </c>
      <c r="H30" s="641">
        <f t="shared" si="4"/>
        <v>5280.3542127823321</v>
      </c>
      <c r="I30" s="641">
        <f t="shared" si="4"/>
        <v>5280.3542127823321</v>
      </c>
      <c r="J30" s="641">
        <f t="shared" si="4"/>
        <v>5280.3542127823321</v>
      </c>
      <c r="K30" s="641">
        <f t="shared" si="4"/>
        <v>5280.3542127823321</v>
      </c>
      <c r="L30" s="641">
        <f t="shared" si="4"/>
        <v>5280.3542127823321</v>
      </c>
      <c r="M30" s="641">
        <f t="shared" si="4"/>
        <v>5280.3542127823321</v>
      </c>
      <c r="N30" s="641">
        <f t="shared" si="4"/>
        <v>5280.3542127823321</v>
      </c>
      <c r="O30" s="641">
        <f t="shared" si="4"/>
        <v>5280.3542127823321</v>
      </c>
      <c r="P30" s="641">
        <f t="shared" si="4"/>
        <v>5280.3542127823321</v>
      </c>
    </row>
    <row r="31" spans="2:23">
      <c r="B31" t="s">
        <v>688</v>
      </c>
      <c r="D31" s="641">
        <f>'Debt Structs'!J74</f>
        <v>3657.5</v>
      </c>
      <c r="E31" s="641">
        <f>'Debt Structs'!J75</f>
        <v>3503.3288497856784</v>
      </c>
      <c r="F31" s="641">
        <f>'Debt Structs'!J76</f>
        <v>3334.5114403009966</v>
      </c>
      <c r="G31" s="641">
        <f>'Debt Structs'!J77</f>
        <v>3149.6563769152694</v>
      </c>
      <c r="H31" s="641">
        <f>'Debt Structs'!J78</f>
        <v>2947.2400825078985</v>
      </c>
      <c r="I31" s="641">
        <f>'Debt Structs'!J79</f>
        <v>2725.5942401318271</v>
      </c>
      <c r="J31" s="641">
        <f>'Debt Structs'!J80</f>
        <v>2482.8920427300291</v>
      </c>
      <c r="K31" s="641">
        <f>'Debt Structs'!J81</f>
        <v>2217.1331365750602</v>
      </c>
      <c r="L31" s="641">
        <f>'Debt Structs'!J82</f>
        <v>1926.1271343353696</v>
      </c>
      <c r="M31" s="641">
        <f>'Debt Structs'!J83</f>
        <v>1607.4755618829081</v>
      </c>
      <c r="N31" s="641">
        <f>'Debt Structs'!J84</f>
        <v>1258.552090047463</v>
      </c>
      <c r="O31" s="641">
        <f>'Debt Structs'!J85</f>
        <v>876.48088838765034</v>
      </c>
      <c r="P31" s="641">
        <f>'Debt Structs'!J86</f>
        <v>458.1129225701556</v>
      </c>
    </row>
    <row r="32" spans="2:23">
      <c r="B32" t="s">
        <v>689</v>
      </c>
      <c r="D32" s="641">
        <f>'Debt Structs'!K74</f>
        <v>1622.8542127823321</v>
      </c>
      <c r="E32" s="641">
        <f>'Debt Structs'!K75</f>
        <v>1777.0253629966537</v>
      </c>
      <c r="F32" s="641">
        <f>'Debt Structs'!K76</f>
        <v>1945.8427724813355</v>
      </c>
      <c r="G32" s="641">
        <f>'Debt Structs'!K77</f>
        <v>2130.6978358670626</v>
      </c>
      <c r="H32" s="641">
        <f>'Debt Structs'!K78</f>
        <v>2333.1141302744336</v>
      </c>
      <c r="I32" s="641">
        <f>'Debt Structs'!K79</f>
        <v>2554.759972650505</v>
      </c>
      <c r="J32" s="641">
        <f>'Debt Structs'!K80</f>
        <v>2797.462170052303</v>
      </c>
      <c r="K32" s="641">
        <f>'Debt Structs'!K81</f>
        <v>3063.2210762072718</v>
      </c>
      <c r="L32" s="641">
        <f>'Debt Structs'!K82</f>
        <v>3354.2270784469624</v>
      </c>
      <c r="M32" s="641">
        <f>'Debt Structs'!K83</f>
        <v>3672.878650899424</v>
      </c>
      <c r="N32" s="641">
        <f>'Debt Structs'!K84</f>
        <v>4021.802122734869</v>
      </c>
      <c r="O32" s="641">
        <f>'Debt Structs'!K85</f>
        <v>4403.8733243946817</v>
      </c>
      <c r="P32" s="641">
        <f>'Debt Structs'!K86</f>
        <v>4822.2412902121769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19500</v>
      </c>
      <c r="E36" s="717">
        <f>D36-D39</f>
        <v>18210.405138848171</v>
      </c>
      <c r="F36" s="717">
        <f t="shared" ref="F36:R36" si="6">E36-E39</f>
        <v>16807.970727345557</v>
      </c>
      <c r="G36" s="717">
        <f t="shared" si="6"/>
        <v>15282.823304836465</v>
      </c>
      <c r="H36" s="717">
        <f t="shared" si="6"/>
        <v>13624.225482857828</v>
      </c>
      <c r="I36" s="717">
        <f t="shared" si="6"/>
        <v>11820.500351456059</v>
      </c>
      <c r="J36" s="717">
        <f t="shared" si="6"/>
        <v>9858.9492710566374</v>
      </c>
      <c r="K36" s="717">
        <f t="shared" si="6"/>
        <v>7725.7624711222652</v>
      </c>
      <c r="L36" s="717">
        <f t="shared" si="6"/>
        <v>5405.9218261936367</v>
      </c>
      <c r="M36" s="717">
        <f t="shared" si="6"/>
        <v>2883.0951248337524</v>
      </c>
      <c r="N36" s="717">
        <f t="shared" si="6"/>
        <v>139.52108710487846</v>
      </c>
      <c r="O36" s="717">
        <f t="shared" si="6"/>
        <v>-2844.1156789252723</v>
      </c>
      <c r="P36" s="717">
        <f t="shared" si="6"/>
        <v>-6088.8206619830617</v>
      </c>
      <c r="Q36" s="717">
        <f t="shared" si="6"/>
        <v>-9617.4373310584069</v>
      </c>
      <c r="R36" s="717">
        <f t="shared" si="6"/>
        <v>-13454.807958677844</v>
      </c>
    </row>
    <row r="37" spans="2:18">
      <c r="B37" t="s">
        <v>687</v>
      </c>
      <c r="D37" s="641">
        <f>'Debt Structs'!C74</f>
        <v>4538.2903563205527</v>
      </c>
      <c r="E37" s="641">
        <f>D37</f>
        <v>4538.2903563205527</v>
      </c>
      <c r="F37" s="641">
        <f t="shared" ref="F37:R37" si="7">E37</f>
        <v>4538.2903563205527</v>
      </c>
      <c r="G37" s="641">
        <f t="shared" si="7"/>
        <v>4538.2903563205527</v>
      </c>
      <c r="H37" s="641">
        <f t="shared" si="7"/>
        <v>4538.2903563205527</v>
      </c>
      <c r="I37" s="641">
        <f t="shared" si="7"/>
        <v>4538.2903563205527</v>
      </c>
      <c r="J37" s="641">
        <f t="shared" si="7"/>
        <v>4538.2903563205527</v>
      </c>
      <c r="K37" s="641">
        <f t="shared" si="7"/>
        <v>4538.2903563205527</v>
      </c>
      <c r="L37" s="641">
        <f t="shared" si="7"/>
        <v>4538.2903563205527</v>
      </c>
      <c r="M37" s="641">
        <f t="shared" si="7"/>
        <v>4538.2903563205527</v>
      </c>
      <c r="N37" s="641">
        <f t="shared" si="7"/>
        <v>4538.2903563205527</v>
      </c>
      <c r="O37" s="641">
        <f t="shared" si="7"/>
        <v>4538.2903563205527</v>
      </c>
      <c r="P37" s="641">
        <f t="shared" si="7"/>
        <v>4538.2903563205527</v>
      </c>
      <c r="Q37" s="641">
        <f t="shared" si="7"/>
        <v>4538.2903563205527</v>
      </c>
      <c r="R37" s="641">
        <f t="shared" si="7"/>
        <v>4538.2903563205527</v>
      </c>
    </row>
    <row r="38" spans="2:18">
      <c r="B38" t="s">
        <v>688</v>
      </c>
      <c r="D38" s="641">
        <f>'Debt Structs'!D74</f>
        <v>3248.6954951687244</v>
      </c>
      <c r="E38" s="641">
        <f>'Debt Structs'!D75</f>
        <v>3135.8559448179399</v>
      </c>
      <c r="F38" s="641">
        <f>'Debt Structs'!D76</f>
        <v>3013.1429338114613</v>
      </c>
      <c r="G38" s="641">
        <f>'Debt Structs'!D77</f>
        <v>2879.6925343419157</v>
      </c>
      <c r="H38" s="641">
        <f>'Debt Structs'!D78</f>
        <v>2734.5652249187851</v>
      </c>
      <c r="I38" s="641">
        <f>'Debt Structs'!D79</f>
        <v>2576.7392759211302</v>
      </c>
      <c r="J38" s="641">
        <f>'Debt Structs'!D80</f>
        <v>2405.103556386181</v>
      </c>
      <c r="K38" s="641">
        <f>'Debt Structs'!D81</f>
        <v>2218.4497113919238</v>
      </c>
      <c r="L38" s="641">
        <f>'Debt Structs'!D82</f>
        <v>2015.4636549606685</v>
      </c>
      <c r="M38" s="641">
        <f>'Debt Structs'!D83</f>
        <v>1794.7163185916786</v>
      </c>
      <c r="N38" s="641">
        <f>'Debt Structs'!D84</f>
        <v>1554.653590290402</v>
      </c>
      <c r="O38" s="641">
        <f>'Debt Structs'!D85</f>
        <v>1293.5853732627638</v>
      </c>
      <c r="P38" s="641">
        <f>'Debt Structs'!D86</f>
        <v>1009.6736872452072</v>
      </c>
      <c r="Q38" s="641">
        <f>'Debt Structs'!D87</f>
        <v>700.91972870111454</v>
      </c>
      <c r="R38" s="641">
        <f>'Debt Structs'!D88</f>
        <v>365.1497987844138</v>
      </c>
    </row>
    <row r="39" spans="2:18">
      <c r="B39" t="s">
        <v>689</v>
      </c>
      <c r="D39" s="641">
        <f>D37-D38</f>
        <v>1289.5948611518284</v>
      </c>
      <c r="E39" s="641">
        <f t="shared" ref="E39:R39" si="8">E37-E38</f>
        <v>1402.4344115026129</v>
      </c>
      <c r="F39" s="641">
        <f t="shared" si="8"/>
        <v>1525.1474225090915</v>
      </c>
      <c r="G39" s="641">
        <f t="shared" si="8"/>
        <v>1658.5978219786371</v>
      </c>
      <c r="H39" s="641">
        <f t="shared" si="8"/>
        <v>1803.7251314017676</v>
      </c>
      <c r="I39" s="641">
        <f t="shared" si="8"/>
        <v>1961.5510803994225</v>
      </c>
      <c r="J39" s="641">
        <f t="shared" si="8"/>
        <v>2133.1867999343717</v>
      </c>
      <c r="K39" s="641">
        <f t="shared" si="8"/>
        <v>2319.840644928629</v>
      </c>
      <c r="L39" s="641">
        <f t="shared" si="8"/>
        <v>2522.8267013598843</v>
      </c>
      <c r="M39" s="641">
        <f t="shared" si="8"/>
        <v>2743.5740377288739</v>
      </c>
      <c r="N39" s="641">
        <f t="shared" si="8"/>
        <v>2983.6367660301507</v>
      </c>
      <c r="O39" s="641">
        <f t="shared" si="8"/>
        <v>3244.7049830577889</v>
      </c>
      <c r="P39" s="641">
        <f t="shared" si="8"/>
        <v>3528.6166690753453</v>
      </c>
      <c r="Q39" s="641">
        <f t="shared" si="8"/>
        <v>3837.370627619438</v>
      </c>
      <c r="R39" s="641">
        <f t="shared" si="8"/>
        <v>4173.1405575361387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zoomScale="85" workbookViewId="0">
      <selection activeCell="C35" sqref="C35"/>
    </sheetView>
  </sheetViews>
  <sheetFormatPr defaultRowHeight="12.75"/>
  <cols>
    <col min="1" max="1" width="11" customWidth="1"/>
    <col min="2" max="2" width="9.42578125" bestFit="1" customWidth="1"/>
    <col min="3" max="3" width="11.28515625" bestFit="1" customWidth="1"/>
    <col min="4" max="5" width="9.42578125" bestFit="1" customWidth="1"/>
    <col min="6" max="6" width="13" customWidth="1"/>
    <col min="8" max="8" width="11.5703125" bestFit="1" customWidth="1"/>
    <col min="10" max="10" width="11.5703125" bestFit="1" customWidth="1"/>
    <col min="11" max="11" width="9.285156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55000</v>
      </c>
      <c r="E3" s="673">
        <f>Assumptions!C61</f>
        <v>55000</v>
      </c>
      <c r="N3" s="638"/>
    </row>
    <row r="4" spans="1:18">
      <c r="B4" s="520"/>
      <c r="C4" s="650" t="s">
        <v>623</v>
      </c>
      <c r="D4" s="674">
        <v>10</v>
      </c>
      <c r="E4" s="675">
        <v>5</v>
      </c>
    </row>
    <row r="5" spans="1:18">
      <c r="B5" s="520"/>
      <c r="C5" s="650" t="s">
        <v>624</v>
      </c>
      <c r="D5" s="676">
        <v>7.0000000000000007E-2</v>
      </c>
      <c r="E5" s="677">
        <v>0.08</v>
      </c>
    </row>
    <row r="6" spans="1:18">
      <c r="B6" s="520"/>
      <c r="C6" s="650" t="s">
        <v>625</v>
      </c>
      <c r="D6" s="674">
        <v>10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16500</v>
      </c>
      <c r="E8" s="673">
        <f>+E3*E7</f>
        <v>5500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2</v>
      </c>
      <c r="E10" s="675">
        <v>2</v>
      </c>
    </row>
    <row r="11" spans="1:18">
      <c r="B11" s="520"/>
      <c r="C11" s="650" t="s">
        <v>630</v>
      </c>
      <c r="D11" s="674">
        <v>92</v>
      </c>
      <c r="E11" s="675">
        <v>92</v>
      </c>
    </row>
    <row r="12" spans="1:18" ht="13.5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1" t="s">
        <v>691</v>
      </c>
      <c r="C14" s="741"/>
      <c r="D14" s="741"/>
      <c r="E14" s="741"/>
      <c r="G14" s="741" t="s">
        <v>652</v>
      </c>
      <c r="H14" s="741"/>
      <c r="I14" s="741"/>
      <c r="J14" s="741"/>
      <c r="L14" s="741" t="s">
        <v>634</v>
      </c>
      <c r="M14" s="741"/>
      <c r="N14" s="741"/>
      <c r="O14" s="741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38500</v>
      </c>
      <c r="C16" s="638">
        <f t="shared" ref="C16:C27" si="0">-PMT($D$5,$D$6,$D$3-$D$8)</f>
        <v>5481.5338550035422</v>
      </c>
      <c r="D16" s="638">
        <f t="shared" ref="D16:D27" si="1">+B16*$D$5</f>
        <v>2695.0000000000005</v>
      </c>
      <c r="E16" s="641">
        <f>+C16-D16</f>
        <v>2786.5338550035417</v>
      </c>
      <c r="F16">
        <v>1</v>
      </c>
      <c r="G16" s="641">
        <f>+D3-D8</f>
        <v>38500</v>
      </c>
      <c r="H16" s="638">
        <f>+I16+J16</f>
        <v>5481.5338550035422</v>
      </c>
      <c r="I16" s="638">
        <f t="shared" ref="I16:I22" si="2">+G16*$D$5</f>
        <v>2695.0000000000005</v>
      </c>
      <c r="J16" s="641">
        <f>+E16</f>
        <v>2786.5338550035417</v>
      </c>
      <c r="K16">
        <v>1</v>
      </c>
      <c r="L16" s="641">
        <f>+$E$3-$E$8</f>
        <v>49500</v>
      </c>
      <c r="M16" s="641">
        <f>+N16+O16</f>
        <v>3960</v>
      </c>
      <c r="N16" s="638">
        <f>+L16*$E$5</f>
        <v>3960</v>
      </c>
      <c r="O16" s="638">
        <v>0</v>
      </c>
      <c r="Q16" s="641">
        <f>+H16-M16</f>
        <v>1521.5338550035422</v>
      </c>
      <c r="R16" s="639">
        <f>+((Q16*1000)/(+$D$11*1000))/12</f>
        <v>1.3782009556191506</v>
      </c>
    </row>
    <row r="17" spans="1:18">
      <c r="A17">
        <f t="shared" ref="A17:A27" si="3">+A16+1</f>
        <v>2</v>
      </c>
      <c r="B17" s="641">
        <f>+B16-E16</f>
        <v>35713.466144996455</v>
      </c>
      <c r="C17" s="638">
        <f t="shared" si="0"/>
        <v>5481.5338550035422</v>
      </c>
      <c r="D17" s="638">
        <f t="shared" si="1"/>
        <v>2499.9426301497519</v>
      </c>
      <c r="E17" s="641">
        <f t="shared" ref="E17:E27" si="4">+C17-D17</f>
        <v>2981.5912248537902</v>
      </c>
      <c r="F17">
        <v>2</v>
      </c>
      <c r="G17" s="641">
        <f t="shared" ref="G17:G22" si="5">+G16-J16</f>
        <v>35713.466144996455</v>
      </c>
      <c r="H17" s="638">
        <f t="shared" ref="H17:H22" si="6">+I17+J17</f>
        <v>5481.5338550035422</v>
      </c>
      <c r="I17" s="638">
        <f t="shared" si="2"/>
        <v>2499.9426301497519</v>
      </c>
      <c r="J17" s="641">
        <f t="shared" ref="J17:J22" si="7">+E17</f>
        <v>2981.5912248537902</v>
      </c>
      <c r="K17">
        <v>2</v>
      </c>
      <c r="L17" s="641">
        <f>+L16-O16</f>
        <v>49500</v>
      </c>
      <c r="M17" s="641">
        <f>+N17+O17</f>
        <v>3960</v>
      </c>
      <c r="N17" s="638">
        <f>+L17*$E$5</f>
        <v>3960</v>
      </c>
      <c r="O17" s="638">
        <v>0</v>
      </c>
    </row>
    <row r="18" spans="1:18">
      <c r="A18">
        <f t="shared" si="3"/>
        <v>3</v>
      </c>
      <c r="B18" s="641">
        <f>+B17-E17</f>
        <v>32731.874920142665</v>
      </c>
      <c r="C18" s="638">
        <f t="shared" si="0"/>
        <v>5481.5338550035422</v>
      </c>
      <c r="D18" s="638">
        <f t="shared" si="1"/>
        <v>2291.2312444099866</v>
      </c>
      <c r="E18" s="641">
        <f t="shared" si="4"/>
        <v>3190.3026105935555</v>
      </c>
      <c r="F18">
        <v>3</v>
      </c>
      <c r="G18" s="641">
        <f t="shared" si="5"/>
        <v>32731.874920142665</v>
      </c>
      <c r="H18" s="638">
        <f t="shared" si="6"/>
        <v>5481.5338550035422</v>
      </c>
      <c r="I18" s="638">
        <f t="shared" si="2"/>
        <v>2291.2312444099866</v>
      </c>
      <c r="J18" s="641">
        <f t="shared" si="7"/>
        <v>3190.3026105935555</v>
      </c>
      <c r="K18">
        <v>3</v>
      </c>
      <c r="L18" s="641">
        <f>+L17-O17</f>
        <v>49500</v>
      </c>
      <c r="M18" s="641">
        <f>+N18+O18</f>
        <v>3960</v>
      </c>
      <c r="N18" s="638">
        <f>+L18*$E$5</f>
        <v>3960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29541.572309549108</v>
      </c>
      <c r="C19" s="638">
        <f t="shared" si="0"/>
        <v>5481.5338550035422</v>
      </c>
      <c r="D19" s="638">
        <f t="shared" si="1"/>
        <v>2067.9100616684377</v>
      </c>
      <c r="E19" s="641">
        <f t="shared" si="4"/>
        <v>3413.6237933351044</v>
      </c>
      <c r="F19">
        <v>4</v>
      </c>
      <c r="G19" s="641">
        <f t="shared" si="5"/>
        <v>29541.572309549108</v>
      </c>
      <c r="H19" s="638">
        <f t="shared" si="6"/>
        <v>5481.5338550035422</v>
      </c>
      <c r="I19" s="638">
        <f t="shared" si="2"/>
        <v>2067.9100616684377</v>
      </c>
      <c r="J19" s="641">
        <f t="shared" si="7"/>
        <v>3413.6237933351044</v>
      </c>
      <c r="K19">
        <v>4</v>
      </c>
      <c r="L19" s="641">
        <f>+L18-O18</f>
        <v>49500</v>
      </c>
      <c r="M19" s="641">
        <f>+N19+O19</f>
        <v>3960</v>
      </c>
      <c r="N19" s="638">
        <f>+L19*$E$5</f>
        <v>3960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26127.948516214004</v>
      </c>
      <c r="C20" s="638">
        <f t="shared" si="0"/>
        <v>5481.5338550035422</v>
      </c>
      <c r="D20" s="638">
        <f t="shared" si="1"/>
        <v>1828.9563961349804</v>
      </c>
      <c r="E20" s="641">
        <f t="shared" si="4"/>
        <v>3652.5774588685617</v>
      </c>
      <c r="F20">
        <v>5</v>
      </c>
      <c r="G20" s="641">
        <f t="shared" si="5"/>
        <v>26127.948516214004</v>
      </c>
      <c r="H20" s="638">
        <f t="shared" si="6"/>
        <v>5481.5338550035422</v>
      </c>
      <c r="I20" s="638">
        <f t="shared" si="2"/>
        <v>1828.9563961349804</v>
      </c>
      <c r="J20" s="641">
        <f t="shared" si="7"/>
        <v>3652.5774588685617</v>
      </c>
      <c r="K20">
        <v>5</v>
      </c>
      <c r="L20" s="641">
        <f>+L19-O19</f>
        <v>49500</v>
      </c>
      <c r="M20" s="641">
        <f>+N20+O20</f>
        <v>3960</v>
      </c>
      <c r="N20" s="638">
        <f>+L20*$E$5</f>
        <v>3960</v>
      </c>
      <c r="O20" s="638">
        <v>0</v>
      </c>
      <c r="Q20" s="638">
        <f>+Q18*Q19</f>
        <v>6300</v>
      </c>
      <c r="R20" s="639">
        <f>+((Q20*1000)/(+$D$11*1000))/12</f>
        <v>5.7065217391304346</v>
      </c>
    </row>
    <row r="21" spans="1:18">
      <c r="A21">
        <f t="shared" si="3"/>
        <v>6</v>
      </c>
      <c r="B21" s="641">
        <f t="shared" si="8"/>
        <v>22475.371057345445</v>
      </c>
      <c r="C21" s="638">
        <f t="shared" si="0"/>
        <v>5481.5338550035422</v>
      </c>
      <c r="D21" s="638">
        <f t="shared" si="1"/>
        <v>1573.2759740141812</v>
      </c>
      <c r="E21" s="641">
        <f t="shared" si="4"/>
        <v>3908.2578809893612</v>
      </c>
      <c r="F21">
        <v>6</v>
      </c>
      <c r="G21" s="641">
        <f t="shared" si="5"/>
        <v>22475.371057345445</v>
      </c>
      <c r="H21" s="638">
        <f t="shared" si="6"/>
        <v>5481.5338550035422</v>
      </c>
      <c r="I21" s="638">
        <f t="shared" si="2"/>
        <v>1573.2759740141812</v>
      </c>
      <c r="J21" s="641">
        <f t="shared" si="7"/>
        <v>3908.2578809893612</v>
      </c>
    </row>
    <row r="22" spans="1:18">
      <c r="A22">
        <f t="shared" si="3"/>
        <v>7</v>
      </c>
      <c r="B22" s="641">
        <f t="shared" si="8"/>
        <v>18567.113176356084</v>
      </c>
      <c r="C22" s="638">
        <f t="shared" si="0"/>
        <v>5481.5338550035422</v>
      </c>
      <c r="D22" s="638">
        <f t="shared" si="1"/>
        <v>1299.6979223449259</v>
      </c>
      <c r="E22" s="641">
        <f t="shared" si="4"/>
        <v>4181.835932658616</v>
      </c>
      <c r="F22">
        <v>7</v>
      </c>
      <c r="G22" s="641">
        <f t="shared" si="5"/>
        <v>18567.113176356084</v>
      </c>
      <c r="H22" s="638">
        <f t="shared" si="6"/>
        <v>5481.5338550035422</v>
      </c>
      <c r="I22" s="638">
        <f t="shared" si="2"/>
        <v>1299.6979223449259</v>
      </c>
      <c r="J22" s="641">
        <f t="shared" si="7"/>
        <v>4181.835932658616</v>
      </c>
      <c r="R22" s="642">
        <f>+R20+R16</f>
        <v>7.0847226947495852</v>
      </c>
    </row>
    <row r="23" spans="1:18">
      <c r="A23">
        <f t="shared" si="3"/>
        <v>8</v>
      </c>
      <c r="B23" s="641">
        <f t="shared" si="8"/>
        <v>14385.277243697468</v>
      </c>
      <c r="C23" s="638">
        <f t="shared" si="0"/>
        <v>5481.5338550035422</v>
      </c>
      <c r="D23" s="638">
        <f t="shared" si="1"/>
        <v>1006.9694070588229</v>
      </c>
      <c r="E23" s="641">
        <f t="shared" si="4"/>
        <v>4474.5644479447192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9910.7127957527482</v>
      </c>
      <c r="C24" s="638">
        <f t="shared" si="0"/>
        <v>5481.5338550035422</v>
      </c>
      <c r="D24" s="638">
        <f t="shared" si="1"/>
        <v>693.74989570269247</v>
      </c>
      <c r="E24" s="641">
        <f t="shared" si="4"/>
        <v>4787.7839593008493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5122.9288364518989</v>
      </c>
      <c r="C25" s="638">
        <f t="shared" si="0"/>
        <v>5481.5338550035422</v>
      </c>
      <c r="D25" s="638">
        <f t="shared" si="1"/>
        <v>358.60501855163295</v>
      </c>
      <c r="E25" s="641">
        <f t="shared" si="4"/>
        <v>5122.9288364519089</v>
      </c>
      <c r="G25" s="641"/>
      <c r="H25" s="638"/>
      <c r="I25" s="638"/>
      <c r="J25" s="641"/>
      <c r="K25" s="741" t="s">
        <v>713</v>
      </c>
      <c r="L25" s="741"/>
      <c r="M25" s="741"/>
      <c r="N25" s="741"/>
      <c r="O25" s="741"/>
    </row>
    <row r="26" spans="1:18">
      <c r="A26">
        <f t="shared" si="3"/>
        <v>11</v>
      </c>
      <c r="B26" s="641">
        <f t="shared" si="8"/>
        <v>-1.0004441719502211E-11</v>
      </c>
      <c r="C26" s="638">
        <f t="shared" si="0"/>
        <v>5481.5338550035422</v>
      </c>
      <c r="D26" s="638">
        <f t="shared" si="1"/>
        <v>-7.0031092036515476E-13</v>
      </c>
      <c r="E26" s="641">
        <f t="shared" si="4"/>
        <v>5481.5338550035431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-5481.5338550035531</v>
      </c>
      <c r="C27" s="638">
        <f t="shared" si="0"/>
        <v>5481.5338550035422</v>
      </c>
      <c r="D27" s="638">
        <f t="shared" si="1"/>
        <v>-383.70736985024877</v>
      </c>
      <c r="E27" s="641">
        <f t="shared" si="4"/>
        <v>5865.2412248537912</v>
      </c>
      <c r="K27">
        <v>1</v>
      </c>
      <c r="L27" s="641">
        <f>+$E$3-$E$8</f>
        <v>49500</v>
      </c>
      <c r="M27" s="641">
        <f>+N27+O27</f>
        <v>6746.5338550035412</v>
      </c>
      <c r="N27" s="638">
        <f>+L27*$E$5</f>
        <v>3960</v>
      </c>
      <c r="O27" s="638">
        <f>J16</f>
        <v>2786.5338550035417</v>
      </c>
    </row>
    <row r="28" spans="1:18">
      <c r="B28" s="641"/>
      <c r="C28" s="638"/>
      <c r="D28" s="638"/>
      <c r="E28" s="641"/>
      <c r="K28">
        <v>2</v>
      </c>
      <c r="L28" s="641">
        <f>+L27-O27</f>
        <v>46713.466144996455</v>
      </c>
      <c r="M28" s="641">
        <f>+N28+O28</f>
        <v>6718.6685164535065</v>
      </c>
      <c r="N28" s="638">
        <f>+L28*$E$5</f>
        <v>3737.0772915997163</v>
      </c>
      <c r="O28" s="638">
        <f>J17</f>
        <v>2981.5912248537902</v>
      </c>
    </row>
    <row r="29" spans="1:18">
      <c r="B29" s="641"/>
      <c r="C29" s="638"/>
      <c r="D29" s="638"/>
      <c r="E29" s="641"/>
      <c r="K29">
        <v>3</v>
      </c>
      <c r="L29" s="641">
        <f>+L28-O28</f>
        <v>43731.874920142662</v>
      </c>
      <c r="M29" s="641">
        <f>+N29+O29</f>
        <v>6688.8526042049689</v>
      </c>
      <c r="N29" s="638">
        <f>+L29*$E$5</f>
        <v>3498.5499936114129</v>
      </c>
      <c r="O29" s="638">
        <f>J18</f>
        <v>3190.3026105935555</v>
      </c>
    </row>
    <row r="30" spans="1:18">
      <c r="B30" s="641"/>
      <c r="C30" s="638"/>
      <c r="D30" s="638"/>
      <c r="E30" s="641"/>
      <c r="K30">
        <v>4</v>
      </c>
      <c r="L30" s="641">
        <f>+L29-O29</f>
        <v>40541.572309549105</v>
      </c>
      <c r="M30" s="641">
        <f>+N30+O30</f>
        <v>6656.9495780990328</v>
      </c>
      <c r="N30" s="638">
        <f>+L30*$E$5</f>
        <v>3243.3257847639284</v>
      </c>
      <c r="O30" s="638">
        <f>J19</f>
        <v>3413.6237933351044</v>
      </c>
    </row>
    <row r="31" spans="1:18">
      <c r="K31">
        <v>5</v>
      </c>
      <c r="L31" s="641">
        <f>+L30-O30</f>
        <v>37127.948516213997</v>
      </c>
      <c r="M31" s="641">
        <f>+N31+O31</f>
        <v>6622.8133401656814</v>
      </c>
      <c r="N31" s="638">
        <f>+L31*$E$5</f>
        <v>2970.2358812971197</v>
      </c>
      <c r="O31" s="638">
        <f>J20</f>
        <v>3652.5774588685617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1" t="s">
        <v>640</v>
      </c>
      <c r="C33" s="741"/>
      <c r="D33" s="741"/>
      <c r="E33" s="741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38500</v>
      </c>
      <c r="C35" s="638">
        <f>-PMT(+$D$5,10,$D$3-$D$8)</f>
        <v>5481.5338550035422</v>
      </c>
      <c r="D35" s="638">
        <f t="shared" ref="D35:D44" si="9">+B35*$D$5</f>
        <v>2695.0000000000005</v>
      </c>
      <c r="E35" s="638">
        <f t="shared" ref="E35:E44" si="10">+C35-D35</f>
        <v>2786.5338550035417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35713.466144996455</v>
      </c>
      <c r="C36" s="638">
        <f t="shared" ref="C36:C44" si="13">-PMT(+$D$5,10,$D$3-$D$8)</f>
        <v>5481.5338550035422</v>
      </c>
      <c r="D36" s="638">
        <f t="shared" si="9"/>
        <v>2499.9426301497519</v>
      </c>
      <c r="E36" s="638">
        <f t="shared" si="10"/>
        <v>2981.5912248537902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32731.874920142665</v>
      </c>
      <c r="C37" s="638">
        <f t="shared" si="13"/>
        <v>5481.5338550035422</v>
      </c>
      <c r="D37" s="638">
        <f t="shared" si="9"/>
        <v>2291.2312444099866</v>
      </c>
      <c r="E37" s="638">
        <f t="shared" si="10"/>
        <v>3190.3026105935555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29541.572309549108</v>
      </c>
      <c r="C38" s="638">
        <f t="shared" si="13"/>
        <v>5481.5338550035422</v>
      </c>
      <c r="D38" s="638">
        <f t="shared" si="9"/>
        <v>2067.9100616684377</v>
      </c>
      <c r="E38" s="638">
        <f t="shared" si="10"/>
        <v>3413.6237933351044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26127.948516214004</v>
      </c>
      <c r="C39" s="638">
        <f t="shared" si="13"/>
        <v>5481.5338550035422</v>
      </c>
      <c r="D39" s="638">
        <f t="shared" si="9"/>
        <v>1828.9563961349804</v>
      </c>
      <c r="E39" s="638">
        <f t="shared" si="10"/>
        <v>3652.5774588685617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22475.371057345445</v>
      </c>
      <c r="C40" s="638">
        <f t="shared" si="13"/>
        <v>5481.5338550035422</v>
      </c>
      <c r="D40" s="638">
        <f t="shared" si="9"/>
        <v>1573.2759740141812</v>
      </c>
      <c r="E40" s="638">
        <f t="shared" si="10"/>
        <v>3908.2578809893612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18567.113176356084</v>
      </c>
      <c r="C41" s="638">
        <f t="shared" si="13"/>
        <v>5481.5338550035422</v>
      </c>
      <c r="D41" s="638">
        <f t="shared" si="9"/>
        <v>1299.6979223449259</v>
      </c>
      <c r="E41" s="638">
        <f t="shared" si="10"/>
        <v>4181.835932658616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14385.277243697468</v>
      </c>
      <c r="C42" s="638">
        <f t="shared" si="13"/>
        <v>5481.5338550035422</v>
      </c>
      <c r="D42" s="638">
        <f t="shared" si="9"/>
        <v>1006.9694070588229</v>
      </c>
      <c r="E42" s="638">
        <f t="shared" si="10"/>
        <v>4474.5644479447192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9910.7127957527482</v>
      </c>
      <c r="C43" s="638">
        <f t="shared" si="13"/>
        <v>5481.5338550035422</v>
      </c>
      <c r="D43" s="638">
        <f t="shared" si="9"/>
        <v>693.74989570269247</v>
      </c>
      <c r="E43" s="638">
        <f t="shared" si="10"/>
        <v>4787.7839593008493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5122.9288364518989</v>
      </c>
      <c r="C44" s="638">
        <f t="shared" si="13"/>
        <v>5481.5338550035422</v>
      </c>
      <c r="D44" s="638">
        <f t="shared" si="9"/>
        <v>358.60501855163295</v>
      </c>
      <c r="E44" s="638">
        <f t="shared" si="10"/>
        <v>5122.9288364519089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5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5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55000</v>
      </c>
      <c r="E59" s="673">
        <f>E3</f>
        <v>55000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9.5000000000000001E-2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f>D7</f>
        <v>0.3</v>
      </c>
      <c r="E63" s="679">
        <v>0.1</v>
      </c>
    </row>
    <row r="64" spans="2:16">
      <c r="B64" s="520"/>
      <c r="C64" s="650" t="s">
        <v>627</v>
      </c>
      <c r="D64" s="645">
        <f>+D59*D63</f>
        <v>16500</v>
      </c>
      <c r="E64" s="673">
        <f>+E59*E63</f>
        <v>5500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700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5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1" t="s">
        <v>656</v>
      </c>
      <c r="C72" s="741"/>
      <c r="D72" s="741"/>
      <c r="E72" s="741"/>
      <c r="H72" s="741" t="s">
        <v>695</v>
      </c>
      <c r="I72" s="741"/>
      <c r="J72" s="741"/>
      <c r="K72" s="741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37127.948516213997</v>
      </c>
      <c r="C74" s="638">
        <f>-PMT($E$61,15,$B$74)</f>
        <v>4538.2903563205527</v>
      </c>
      <c r="D74" s="638">
        <f>B74*$E$61</f>
        <v>3248.6954951687244</v>
      </c>
      <c r="E74" s="638">
        <f>C74-D74</f>
        <v>1289.5948611518284</v>
      </c>
      <c r="G74">
        <v>2008</v>
      </c>
      <c r="H74" s="641">
        <f>D59-D64+D66</f>
        <v>38500</v>
      </c>
      <c r="I74" s="638">
        <f>-PMT($D$61,13,$H$74)</f>
        <v>5280.3542127823321</v>
      </c>
      <c r="J74" s="638">
        <f>H74*$D$61</f>
        <v>3657.5</v>
      </c>
      <c r="K74" s="638">
        <f t="shared" ref="K74:K86" si="14">I74-J74</f>
        <v>1622.8542127823321</v>
      </c>
    </row>
    <row r="75" spans="1:11">
      <c r="A75">
        <f t="shared" ref="A75:A88" si="15">+A74+1</f>
        <v>2007</v>
      </c>
      <c r="B75" s="641">
        <f>B74-E74</f>
        <v>35838.353655062172</v>
      </c>
      <c r="C75" s="638">
        <f t="shared" ref="C75:C88" si="16">-PMT($E$61,15,$B$74)</f>
        <v>4538.2903563205527</v>
      </c>
      <c r="D75" s="638">
        <f t="shared" ref="D75:D88" si="17">B75*$E$61</f>
        <v>3135.8559448179399</v>
      </c>
      <c r="E75" s="638">
        <f t="shared" ref="E75:E88" si="18">C75-D75</f>
        <v>1402.4344115026129</v>
      </c>
      <c r="G75">
        <f t="shared" ref="G75:G86" si="19">+G74+1</f>
        <v>2009</v>
      </c>
      <c r="H75" s="641">
        <f t="shared" ref="H75:H86" si="20">H74-K74</f>
        <v>36877.145787217669</v>
      </c>
      <c r="I75" s="638">
        <f t="shared" ref="I75:I86" si="21">-PMT($D$61,13,$H$74)</f>
        <v>5280.3542127823321</v>
      </c>
      <c r="J75" s="638">
        <f t="shared" ref="J75:J86" si="22">H75*$D$61</f>
        <v>3503.3288497856784</v>
      </c>
      <c r="K75" s="638">
        <f t="shared" si="14"/>
        <v>1777.0253629966537</v>
      </c>
    </row>
    <row r="76" spans="1:11">
      <c r="A76">
        <f t="shared" si="15"/>
        <v>2008</v>
      </c>
      <c r="B76" s="641">
        <f t="shared" ref="B76:B88" si="23">B75-E75</f>
        <v>34435.919243559561</v>
      </c>
      <c r="C76" s="638">
        <f t="shared" si="16"/>
        <v>4538.2903563205527</v>
      </c>
      <c r="D76" s="638">
        <f t="shared" si="17"/>
        <v>3013.1429338114613</v>
      </c>
      <c r="E76" s="638">
        <f t="shared" si="18"/>
        <v>1525.1474225090915</v>
      </c>
      <c r="G76">
        <f t="shared" si="19"/>
        <v>2010</v>
      </c>
      <c r="H76" s="641">
        <f t="shared" si="20"/>
        <v>35100.120424221015</v>
      </c>
      <c r="I76" s="638">
        <f t="shared" si="21"/>
        <v>5280.3542127823321</v>
      </c>
      <c r="J76" s="638">
        <f t="shared" si="22"/>
        <v>3334.5114403009966</v>
      </c>
      <c r="K76" s="638">
        <f t="shared" si="14"/>
        <v>1945.8427724813355</v>
      </c>
    </row>
    <row r="77" spans="1:11">
      <c r="A77">
        <f t="shared" si="15"/>
        <v>2009</v>
      </c>
      <c r="B77" s="641">
        <f t="shared" si="23"/>
        <v>32910.771821050468</v>
      </c>
      <c r="C77" s="638">
        <f t="shared" si="16"/>
        <v>4538.2903563205527</v>
      </c>
      <c r="D77" s="638">
        <f t="shared" si="17"/>
        <v>2879.6925343419157</v>
      </c>
      <c r="E77" s="638">
        <f t="shared" si="18"/>
        <v>1658.5978219786371</v>
      </c>
      <c r="G77">
        <f t="shared" si="19"/>
        <v>2011</v>
      </c>
      <c r="H77" s="641">
        <f t="shared" si="20"/>
        <v>33154.277651739678</v>
      </c>
      <c r="I77" s="638">
        <f t="shared" si="21"/>
        <v>5280.3542127823321</v>
      </c>
      <c r="J77" s="638">
        <f t="shared" si="22"/>
        <v>3149.6563769152694</v>
      </c>
      <c r="K77" s="638">
        <f t="shared" si="14"/>
        <v>2130.6978358670626</v>
      </c>
    </row>
    <row r="78" spans="1:11">
      <c r="A78">
        <f t="shared" si="15"/>
        <v>2010</v>
      </c>
      <c r="B78" s="641">
        <f t="shared" si="23"/>
        <v>31252.173999071831</v>
      </c>
      <c r="C78" s="638">
        <f t="shared" si="16"/>
        <v>4538.2903563205527</v>
      </c>
      <c r="D78" s="638">
        <f t="shared" si="17"/>
        <v>2734.5652249187851</v>
      </c>
      <c r="E78" s="638">
        <f t="shared" si="18"/>
        <v>1803.7251314017676</v>
      </c>
      <c r="G78">
        <f t="shared" si="19"/>
        <v>2012</v>
      </c>
      <c r="H78" s="641">
        <f t="shared" si="20"/>
        <v>31023.579815872614</v>
      </c>
      <c r="I78" s="638">
        <f t="shared" si="21"/>
        <v>5280.3542127823321</v>
      </c>
      <c r="J78" s="638">
        <f t="shared" si="22"/>
        <v>2947.2400825078985</v>
      </c>
      <c r="K78" s="638">
        <f t="shared" si="14"/>
        <v>2333.1141302744336</v>
      </c>
    </row>
    <row r="79" spans="1:11">
      <c r="A79">
        <f t="shared" si="15"/>
        <v>2011</v>
      </c>
      <c r="B79" s="641">
        <f t="shared" si="23"/>
        <v>29448.448867670064</v>
      </c>
      <c r="C79" s="638">
        <f t="shared" si="16"/>
        <v>4538.2903563205527</v>
      </c>
      <c r="D79" s="638">
        <f t="shared" si="17"/>
        <v>2576.7392759211302</v>
      </c>
      <c r="E79" s="638">
        <f t="shared" si="18"/>
        <v>1961.5510803994225</v>
      </c>
      <c r="G79">
        <f t="shared" si="19"/>
        <v>2013</v>
      </c>
      <c r="H79" s="641">
        <f t="shared" si="20"/>
        <v>28690.465685598181</v>
      </c>
      <c r="I79" s="638">
        <f t="shared" si="21"/>
        <v>5280.3542127823321</v>
      </c>
      <c r="J79" s="638">
        <f t="shared" si="22"/>
        <v>2725.5942401318271</v>
      </c>
      <c r="K79" s="638">
        <f t="shared" si="14"/>
        <v>2554.759972650505</v>
      </c>
    </row>
    <row r="80" spans="1:11">
      <c r="A80">
        <f t="shared" si="15"/>
        <v>2012</v>
      </c>
      <c r="B80" s="641">
        <f t="shared" si="23"/>
        <v>27486.897787270642</v>
      </c>
      <c r="C80" s="638">
        <f t="shared" si="16"/>
        <v>4538.2903563205527</v>
      </c>
      <c r="D80" s="638">
        <f t="shared" si="17"/>
        <v>2405.103556386181</v>
      </c>
      <c r="E80" s="638">
        <f t="shared" si="18"/>
        <v>2133.1867999343717</v>
      </c>
      <c r="G80">
        <f t="shared" si="19"/>
        <v>2014</v>
      </c>
      <c r="H80" s="641">
        <f t="shared" si="20"/>
        <v>26135.705712947674</v>
      </c>
      <c r="I80" s="638">
        <f t="shared" si="21"/>
        <v>5280.3542127823321</v>
      </c>
      <c r="J80" s="638">
        <f t="shared" si="22"/>
        <v>2482.8920427300291</v>
      </c>
      <c r="K80" s="638">
        <f t="shared" si="14"/>
        <v>2797.462170052303</v>
      </c>
    </row>
    <row r="81" spans="1:11">
      <c r="A81">
        <f t="shared" si="15"/>
        <v>2013</v>
      </c>
      <c r="B81" s="641">
        <f t="shared" si="23"/>
        <v>25353.710987336272</v>
      </c>
      <c r="C81" s="638">
        <f t="shared" si="16"/>
        <v>4538.2903563205527</v>
      </c>
      <c r="D81" s="638">
        <f t="shared" si="17"/>
        <v>2218.4497113919238</v>
      </c>
      <c r="E81" s="638">
        <f t="shared" si="18"/>
        <v>2319.840644928629</v>
      </c>
      <c r="G81">
        <f t="shared" si="19"/>
        <v>2015</v>
      </c>
      <c r="H81" s="641">
        <f t="shared" si="20"/>
        <v>23338.243542895372</v>
      </c>
      <c r="I81" s="638">
        <f t="shared" si="21"/>
        <v>5280.3542127823321</v>
      </c>
      <c r="J81" s="638">
        <f t="shared" si="22"/>
        <v>2217.1331365750602</v>
      </c>
      <c r="K81" s="638">
        <f t="shared" si="14"/>
        <v>3063.2210762072718</v>
      </c>
    </row>
    <row r="82" spans="1:11">
      <c r="A82">
        <f t="shared" si="15"/>
        <v>2014</v>
      </c>
      <c r="B82" s="641">
        <f t="shared" si="23"/>
        <v>23033.870342407641</v>
      </c>
      <c r="C82" s="638">
        <f t="shared" si="16"/>
        <v>4538.2903563205527</v>
      </c>
      <c r="D82" s="638">
        <f t="shared" si="17"/>
        <v>2015.4636549606685</v>
      </c>
      <c r="E82" s="638">
        <f t="shared" si="18"/>
        <v>2522.8267013598843</v>
      </c>
      <c r="G82">
        <f t="shared" si="19"/>
        <v>2016</v>
      </c>
      <c r="H82" s="641">
        <f t="shared" si="20"/>
        <v>20275.0224666881</v>
      </c>
      <c r="I82" s="638">
        <f t="shared" si="21"/>
        <v>5280.3542127823321</v>
      </c>
      <c r="J82" s="638">
        <f t="shared" si="22"/>
        <v>1926.1271343353696</v>
      </c>
      <c r="K82" s="638">
        <f t="shared" si="14"/>
        <v>3354.2270784469624</v>
      </c>
    </row>
    <row r="83" spans="1:11">
      <c r="A83">
        <f t="shared" si="15"/>
        <v>2015</v>
      </c>
      <c r="B83" s="641">
        <f t="shared" si="23"/>
        <v>20511.043641047756</v>
      </c>
      <c r="C83" s="638">
        <f t="shared" si="16"/>
        <v>4538.2903563205527</v>
      </c>
      <c r="D83" s="638">
        <f t="shared" si="17"/>
        <v>1794.7163185916786</v>
      </c>
      <c r="E83" s="638">
        <f t="shared" si="18"/>
        <v>2743.5740377288739</v>
      </c>
      <c r="G83">
        <f t="shared" si="19"/>
        <v>2017</v>
      </c>
      <c r="H83" s="641">
        <f t="shared" si="20"/>
        <v>16920.795388241138</v>
      </c>
      <c r="I83" s="638">
        <f t="shared" si="21"/>
        <v>5280.3542127823321</v>
      </c>
      <c r="J83" s="638">
        <f t="shared" si="22"/>
        <v>1607.4755618829081</v>
      </c>
      <c r="K83" s="638">
        <f t="shared" si="14"/>
        <v>3672.878650899424</v>
      </c>
    </row>
    <row r="84" spans="1:11">
      <c r="A84">
        <f t="shared" si="15"/>
        <v>2016</v>
      </c>
      <c r="B84" s="641">
        <f t="shared" si="23"/>
        <v>17767.469603318881</v>
      </c>
      <c r="C84" s="638">
        <f t="shared" si="16"/>
        <v>4538.2903563205527</v>
      </c>
      <c r="D84" s="638">
        <f t="shared" si="17"/>
        <v>1554.653590290402</v>
      </c>
      <c r="E84" s="638">
        <f t="shared" si="18"/>
        <v>2983.6367660301507</v>
      </c>
      <c r="G84">
        <f t="shared" si="19"/>
        <v>2018</v>
      </c>
      <c r="H84" s="641">
        <f t="shared" si="20"/>
        <v>13247.916737341715</v>
      </c>
      <c r="I84" s="638">
        <f t="shared" si="21"/>
        <v>5280.3542127823321</v>
      </c>
      <c r="J84" s="638">
        <f t="shared" si="22"/>
        <v>1258.552090047463</v>
      </c>
      <c r="K84" s="638">
        <f t="shared" si="14"/>
        <v>4021.802122734869</v>
      </c>
    </row>
    <row r="85" spans="1:11">
      <c r="A85">
        <f t="shared" si="15"/>
        <v>2017</v>
      </c>
      <c r="B85" s="641">
        <f t="shared" si="23"/>
        <v>14783.83283728873</v>
      </c>
      <c r="C85" s="638">
        <f t="shared" si="16"/>
        <v>4538.2903563205527</v>
      </c>
      <c r="D85" s="638">
        <f t="shared" si="17"/>
        <v>1293.5853732627638</v>
      </c>
      <c r="E85" s="638">
        <f t="shared" si="18"/>
        <v>3244.7049830577889</v>
      </c>
      <c r="G85">
        <f t="shared" si="19"/>
        <v>2019</v>
      </c>
      <c r="H85" s="641">
        <f t="shared" si="20"/>
        <v>9226.1146146068459</v>
      </c>
      <c r="I85" s="638">
        <f t="shared" si="21"/>
        <v>5280.3542127823321</v>
      </c>
      <c r="J85" s="638">
        <f t="shared" si="22"/>
        <v>876.48088838765034</v>
      </c>
      <c r="K85" s="638">
        <f t="shared" si="14"/>
        <v>4403.8733243946817</v>
      </c>
    </row>
    <row r="86" spans="1:11">
      <c r="A86">
        <f t="shared" si="15"/>
        <v>2018</v>
      </c>
      <c r="B86" s="641">
        <f t="shared" si="23"/>
        <v>11539.127854230941</v>
      </c>
      <c r="C86" s="638">
        <f t="shared" si="16"/>
        <v>4538.2903563205527</v>
      </c>
      <c r="D86" s="638">
        <f t="shared" si="17"/>
        <v>1009.6736872452072</v>
      </c>
      <c r="E86" s="638">
        <f t="shared" si="18"/>
        <v>3528.6166690753453</v>
      </c>
      <c r="G86">
        <f t="shared" si="19"/>
        <v>2020</v>
      </c>
      <c r="H86" s="641">
        <f t="shared" si="20"/>
        <v>4822.2412902121641</v>
      </c>
      <c r="I86" s="638">
        <f t="shared" si="21"/>
        <v>5280.3542127823321</v>
      </c>
      <c r="J86" s="638">
        <f t="shared" si="22"/>
        <v>458.1129225701556</v>
      </c>
      <c r="K86" s="638">
        <f t="shared" si="14"/>
        <v>4822.2412902121769</v>
      </c>
    </row>
    <row r="87" spans="1:11">
      <c r="A87">
        <f t="shared" si="15"/>
        <v>2019</v>
      </c>
      <c r="B87" s="641">
        <f t="shared" si="23"/>
        <v>8010.5111851555957</v>
      </c>
      <c r="C87" s="638">
        <f t="shared" si="16"/>
        <v>4538.2903563205527</v>
      </c>
      <c r="D87" s="638">
        <f t="shared" si="17"/>
        <v>700.91972870111454</v>
      </c>
      <c r="E87" s="638">
        <f t="shared" si="18"/>
        <v>3837.370627619438</v>
      </c>
    </row>
    <row r="88" spans="1:11">
      <c r="A88">
        <f t="shared" si="15"/>
        <v>2020</v>
      </c>
      <c r="B88" s="641">
        <f t="shared" si="23"/>
        <v>4173.1405575361578</v>
      </c>
      <c r="C88" s="638">
        <f t="shared" si="16"/>
        <v>4538.2903563205527</v>
      </c>
      <c r="D88" s="638">
        <f t="shared" si="17"/>
        <v>365.1497987844138</v>
      </c>
      <c r="E88" s="638">
        <f t="shared" si="18"/>
        <v>4173.1405575361387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55000</v>
      </c>
      <c r="D18" s="18">
        <f>Depreciation!$B$48</f>
        <v>54750</v>
      </c>
      <c r="E18" s="18">
        <f>Depreciation!$B$48</f>
        <v>54750</v>
      </c>
      <c r="F18" s="18">
        <f>Depreciation!$B$48</f>
        <v>54750</v>
      </c>
      <c r="G18" s="18">
        <f>Depreciation!$B$48</f>
        <v>54750</v>
      </c>
      <c r="H18" s="18">
        <f>Depreciation!$B$48</f>
        <v>54750</v>
      </c>
      <c r="I18" s="18">
        <f>Depreciation!$B$48</f>
        <v>54750</v>
      </c>
      <c r="J18" s="18">
        <f>Depreciation!$B$48</f>
        <v>54750</v>
      </c>
      <c r="K18" s="18">
        <f>Depreciation!$B$48</f>
        <v>54750</v>
      </c>
      <c r="L18" s="18">
        <f>Depreciation!$B$48</f>
        <v>54750</v>
      </c>
      <c r="M18" s="18">
        <f>Depreciation!$B$48</f>
        <v>54750</v>
      </c>
      <c r="N18" s="18">
        <f>Depreciation!$B$48</f>
        <v>54750</v>
      </c>
      <c r="O18" s="18">
        <f>Depreciation!$B$48</f>
        <v>54750</v>
      </c>
      <c r="P18" s="18">
        <f>Depreciation!$B$48</f>
        <v>54750</v>
      </c>
      <c r="Q18" s="18">
        <f>Depreciation!$B$48</f>
        <v>54750</v>
      </c>
      <c r="R18" s="18">
        <f>Depreciation!$B$48</f>
        <v>54750</v>
      </c>
      <c r="S18" s="18">
        <f>Depreciation!$B$48</f>
        <v>54750</v>
      </c>
      <c r="T18" s="18">
        <f>Depreciation!$B$48</f>
        <v>54750</v>
      </c>
      <c r="U18" s="18">
        <f>Depreciation!$B$48</f>
        <v>54750</v>
      </c>
      <c r="V18" s="18">
        <f>Depreciation!$B$48</f>
        <v>54750</v>
      </c>
      <c r="W18" s="18">
        <f>Depreciation!$B$48</f>
        <v>54750</v>
      </c>
      <c r="X18" s="18">
        <f>Depreciation!$B$48</f>
        <v>54750</v>
      </c>
      <c r="Y18" s="18">
        <f>Depreciation!$B$48</f>
        <v>54750</v>
      </c>
      <c r="Z18" s="18">
        <f>Depreciation!$B$48</f>
        <v>54750</v>
      </c>
      <c r="AA18" s="18">
        <f>Depreciation!$B$48</f>
        <v>54750</v>
      </c>
      <c r="AB18" s="18">
        <f>Depreciation!$B$48</f>
        <v>54750</v>
      </c>
      <c r="AC18" s="18">
        <f>Depreciation!$B$48</f>
        <v>54750</v>
      </c>
      <c r="AD18" s="18">
        <f>Depreciation!$B$48</f>
        <v>54750</v>
      </c>
      <c r="AE18" s="18">
        <f>Depreciation!$B$48</f>
        <v>54750</v>
      </c>
      <c r="AF18" s="18">
        <f>Depreciation!$B$48</f>
        <v>54750</v>
      </c>
      <c r="AG18" s="18">
        <f>Depreciation!$B$48</f>
        <v>54750</v>
      </c>
      <c r="AH18" s="18">
        <f>Depreciation!$B$48</f>
        <v>54750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1897.3999999999999</v>
      </c>
      <c r="E19" s="307">
        <f>SUM(Depreciation!$D$48:E48)</f>
        <v>4743.5</v>
      </c>
      <c r="F19" s="307">
        <f>SUM(Depreciation!$D$48:F48)</f>
        <v>7589.6</v>
      </c>
      <c r="G19" s="307">
        <f>SUM(Depreciation!$D$48:G48)</f>
        <v>10435.700000000001</v>
      </c>
      <c r="H19" s="307">
        <f>SUM(Depreciation!$D$48:H48)</f>
        <v>13281.800000000001</v>
      </c>
      <c r="I19" s="307">
        <f>SUM(Depreciation!$D$48:I48)</f>
        <v>15183.900000000001</v>
      </c>
      <c r="J19" s="307">
        <f>SUM(Depreciation!$D$48:J48)</f>
        <v>16614</v>
      </c>
      <c r="K19" s="307">
        <f>SUM(Depreciation!$D$48:K48)</f>
        <v>18044.099999999999</v>
      </c>
      <c r="L19" s="307">
        <f>SUM(Depreciation!$D$48:L48)</f>
        <v>19474.199999999997</v>
      </c>
      <c r="M19" s="307">
        <f>SUM(Depreciation!$D$48:M48)</f>
        <v>20904.299999999996</v>
      </c>
      <c r="N19" s="307">
        <f>SUM(Depreciation!$D$48:N48)</f>
        <v>22334.399999999994</v>
      </c>
      <c r="O19" s="307">
        <f>SUM(Depreciation!$D$48:O48)</f>
        <v>23764.499999999993</v>
      </c>
      <c r="P19" s="307">
        <f>SUM(Depreciation!$D$48:P48)</f>
        <v>25194.599999999991</v>
      </c>
      <c r="Q19" s="307">
        <f>SUM(Depreciation!$D$48:Q48)</f>
        <v>26624.69999999999</v>
      </c>
      <c r="R19" s="307">
        <f>SUM(Depreciation!$D$48:R48)</f>
        <v>28054.799999999988</v>
      </c>
      <c r="S19" s="307">
        <f>SUM(Depreciation!$D$48:S48)</f>
        <v>29484.899999999987</v>
      </c>
      <c r="T19" s="307">
        <f>SUM(Depreciation!$D$48:T48)</f>
        <v>30914.999999999985</v>
      </c>
      <c r="U19" s="307">
        <f>SUM(Depreciation!$D$48:U48)</f>
        <v>32345.099999999984</v>
      </c>
      <c r="V19" s="307">
        <f>SUM(Depreciation!$D$48:V48)</f>
        <v>33775.199999999983</v>
      </c>
      <c r="W19" s="307">
        <f>SUM(Depreciation!$D$48:W48)</f>
        <v>35205.299999999981</v>
      </c>
      <c r="X19" s="307">
        <f>SUM(Depreciation!$D$48:X48)</f>
        <v>36635.39999999998</v>
      </c>
      <c r="Y19" s="307">
        <f>SUM(Depreciation!$D$48:Y48)</f>
        <v>38065.499999999978</v>
      </c>
      <c r="Z19" s="307">
        <f>SUM(Depreciation!$D$48:Z48)</f>
        <v>39495.599999999977</v>
      </c>
      <c r="AA19" s="307">
        <f>SUM(Depreciation!$D$48:AA48)</f>
        <v>40925.699999999975</v>
      </c>
      <c r="AB19" s="307">
        <f>SUM(Depreciation!$D$48:AB48)</f>
        <v>42355.799999999974</v>
      </c>
      <c r="AC19" s="307">
        <f>SUM(Depreciation!$D$48:AC48)</f>
        <v>43785.899999999972</v>
      </c>
      <c r="AD19" s="307">
        <f>SUM(Depreciation!$D$48:AD48)</f>
        <v>45215.999999999971</v>
      </c>
      <c r="AE19" s="307">
        <f>SUM(Depreciation!$D$48:AE48)</f>
        <v>46646.099999999969</v>
      </c>
      <c r="AF19" s="307">
        <f>SUM(Depreciation!$D$48:AF48)</f>
        <v>48076.199999999968</v>
      </c>
      <c r="AG19" s="307">
        <f>SUM(Depreciation!$D$48:AG48)</f>
        <v>49506.299999999967</v>
      </c>
      <c r="AH19" s="307">
        <f>SUM(Depreciation!$D$48:AH48)</f>
        <v>49982.999999999964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55000</v>
      </c>
      <c r="D20" s="23">
        <f>D18-D19</f>
        <v>52852.6</v>
      </c>
      <c r="E20" s="23">
        <f t="shared" ref="E20:AH20" si="2">E18-E19</f>
        <v>50006.5</v>
      </c>
      <c r="F20" s="23">
        <f t="shared" si="2"/>
        <v>47160.4</v>
      </c>
      <c r="G20" s="23">
        <f t="shared" si="2"/>
        <v>44314.3</v>
      </c>
      <c r="H20" s="23">
        <f t="shared" si="2"/>
        <v>41468.199999999997</v>
      </c>
      <c r="I20" s="23">
        <f t="shared" si="2"/>
        <v>39566.1</v>
      </c>
      <c r="J20" s="23">
        <f t="shared" si="2"/>
        <v>38136</v>
      </c>
      <c r="K20" s="23">
        <f t="shared" si="2"/>
        <v>36705.9</v>
      </c>
      <c r="L20" s="23">
        <f t="shared" si="2"/>
        <v>35275.800000000003</v>
      </c>
      <c r="M20" s="23">
        <f t="shared" si="2"/>
        <v>33845.700000000004</v>
      </c>
      <c r="N20" s="23">
        <f t="shared" si="2"/>
        <v>32415.600000000006</v>
      </c>
      <c r="O20" s="23">
        <f t="shared" si="2"/>
        <v>30985.500000000007</v>
      </c>
      <c r="P20" s="23">
        <f t="shared" si="2"/>
        <v>29555.400000000009</v>
      </c>
      <c r="Q20" s="23">
        <f t="shared" si="2"/>
        <v>28125.30000000001</v>
      </c>
      <c r="R20" s="23">
        <f t="shared" si="2"/>
        <v>26695.200000000012</v>
      </c>
      <c r="S20" s="23">
        <f t="shared" si="2"/>
        <v>25265.100000000013</v>
      </c>
      <c r="T20" s="23">
        <f t="shared" si="2"/>
        <v>23835.000000000015</v>
      </c>
      <c r="U20" s="23">
        <f t="shared" si="2"/>
        <v>22404.900000000016</v>
      </c>
      <c r="V20" s="23">
        <f t="shared" si="2"/>
        <v>20974.800000000017</v>
      </c>
      <c r="W20" s="23">
        <f t="shared" si="2"/>
        <v>19544.700000000019</v>
      </c>
      <c r="X20" s="23">
        <f t="shared" si="2"/>
        <v>18114.60000000002</v>
      </c>
      <c r="Y20" s="23">
        <f t="shared" si="2"/>
        <v>16684.500000000022</v>
      </c>
      <c r="Z20" s="23">
        <f t="shared" si="2"/>
        <v>15254.400000000023</v>
      </c>
      <c r="AA20" s="23">
        <f t="shared" si="2"/>
        <v>13824.300000000025</v>
      </c>
      <c r="AB20" s="23">
        <f t="shared" si="2"/>
        <v>12394.200000000026</v>
      </c>
      <c r="AC20" s="23">
        <f t="shared" si="2"/>
        <v>10964.100000000028</v>
      </c>
      <c r="AD20" s="23">
        <f t="shared" si="2"/>
        <v>9534.0000000000291</v>
      </c>
      <c r="AE20" s="23">
        <f t="shared" si="2"/>
        <v>8103.9000000000306</v>
      </c>
      <c r="AF20" s="23">
        <f t="shared" si="2"/>
        <v>6673.800000000032</v>
      </c>
      <c r="AG20" s="23">
        <f t="shared" si="2"/>
        <v>5243.7000000000335</v>
      </c>
      <c r="AH20" s="23">
        <f t="shared" si="2"/>
        <v>4767.0000000000364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56000</v>
      </c>
      <c r="D25" s="23">
        <f>SUM(D16,D20,D22,D23)</f>
        <v>53852.6</v>
      </c>
      <c r="E25" s="23">
        <f t="shared" ref="E25:AH25" si="3">SUM(E16,E20,E22,E23)</f>
        <v>51006.5</v>
      </c>
      <c r="F25" s="23">
        <f t="shared" si="3"/>
        <v>48160.4</v>
      </c>
      <c r="G25" s="23">
        <f t="shared" si="3"/>
        <v>45314.3</v>
      </c>
      <c r="H25" s="23">
        <f t="shared" si="3"/>
        <v>42468.2</v>
      </c>
      <c r="I25" s="23">
        <f t="shared" si="3"/>
        <v>40566.1</v>
      </c>
      <c r="J25" s="23">
        <f t="shared" si="3"/>
        <v>39136</v>
      </c>
      <c r="K25" s="23">
        <f t="shared" si="3"/>
        <v>37705.9</v>
      </c>
      <c r="L25" s="23">
        <f t="shared" si="3"/>
        <v>36275.800000000003</v>
      </c>
      <c r="M25" s="23">
        <f t="shared" si="3"/>
        <v>34845.700000000004</v>
      </c>
      <c r="N25" s="23">
        <f t="shared" si="3"/>
        <v>33415.600000000006</v>
      </c>
      <c r="O25" s="23">
        <f t="shared" si="3"/>
        <v>31985.500000000007</v>
      </c>
      <c r="P25" s="23">
        <f t="shared" si="3"/>
        <v>30555.400000000009</v>
      </c>
      <c r="Q25" s="23">
        <f t="shared" si="3"/>
        <v>29125.30000000001</v>
      </c>
      <c r="R25" s="23">
        <f t="shared" si="3"/>
        <v>27695.200000000012</v>
      </c>
      <c r="S25" s="23">
        <f t="shared" si="3"/>
        <v>26265.100000000013</v>
      </c>
      <c r="T25" s="23">
        <f t="shared" si="3"/>
        <v>24835.000000000015</v>
      </c>
      <c r="U25" s="23">
        <f t="shared" si="3"/>
        <v>23404.900000000016</v>
      </c>
      <c r="V25" s="23">
        <f t="shared" si="3"/>
        <v>21974.800000000017</v>
      </c>
      <c r="W25" s="23">
        <f t="shared" si="3"/>
        <v>20544.700000000019</v>
      </c>
      <c r="X25" s="23">
        <f t="shared" si="3"/>
        <v>19114.60000000002</v>
      </c>
      <c r="Y25" s="23">
        <f t="shared" si="3"/>
        <v>17684.500000000022</v>
      </c>
      <c r="Z25" s="23">
        <f t="shared" si="3"/>
        <v>16254.400000000023</v>
      </c>
      <c r="AA25" s="23">
        <f t="shared" si="3"/>
        <v>14824.300000000025</v>
      </c>
      <c r="AB25" s="23">
        <f t="shared" si="3"/>
        <v>13394.200000000026</v>
      </c>
      <c r="AC25" s="23">
        <f t="shared" si="3"/>
        <v>11964.100000000028</v>
      </c>
      <c r="AD25" s="23">
        <f t="shared" si="3"/>
        <v>10534.000000000029</v>
      </c>
      <c r="AE25" s="23">
        <f t="shared" si="3"/>
        <v>9103.9000000000306</v>
      </c>
      <c r="AF25" s="23">
        <f t="shared" si="3"/>
        <v>7673.800000000032</v>
      </c>
      <c r="AG25" s="23">
        <f t="shared" si="3"/>
        <v>6243.7000000000335</v>
      </c>
      <c r="AH25" s="23">
        <f t="shared" si="3"/>
        <v>5767.0000000000364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Analysis'!#REF!)+(IS!C43+IS!C44)</f>
        <v>#REF!</v>
      </c>
      <c r="E32" s="23" t="e">
        <f>D32+('Returns Analysis'!D15+'Returns Analysis'!#REF!)+(IS!D43+IS!D44)</f>
        <v>#REF!</v>
      </c>
      <c r="F32" s="23" t="e">
        <f>E32+('Returns Analysis'!E15+'Returns Analysis'!#REF!)+(IS!E43+IS!E44)</f>
        <v>#REF!</v>
      </c>
      <c r="G32" s="23" t="e">
        <f>F32+('Returns Analysis'!F15+'Returns Analysis'!#REF!)+(IS!F43+IS!F44)</f>
        <v>#REF!</v>
      </c>
      <c r="H32" s="23" t="e">
        <f>G32+('Returns Analysis'!G15+'Returns Analysis'!#REF!)+(IS!G43+IS!G44)</f>
        <v>#REF!</v>
      </c>
      <c r="I32" s="23" t="e">
        <f>H32+('Returns Analysis'!H15+'Returns Analysis'!#REF!)+(IS!H43+IS!H44)</f>
        <v>#REF!</v>
      </c>
      <c r="J32" s="23" t="e">
        <f>I32+('Returns Analysis'!I15+'Returns Analysis'!#REF!)+(IS!I43+IS!I44)</f>
        <v>#REF!</v>
      </c>
      <c r="K32" s="23" t="e">
        <f>J32+('Returns Analysis'!J15+'Returns Analysis'!#REF!)+(IS!J43+IS!J44)</f>
        <v>#REF!</v>
      </c>
      <c r="L32" s="23" t="e">
        <f>K32+('Returns Analysis'!K15+'Returns Analysis'!#REF!)+(IS!K43+IS!K44)</f>
        <v>#REF!</v>
      </c>
      <c r="M32" s="23" t="e">
        <f>L32+('Returns Analysis'!L15+'Returns Analysis'!#REF!)+(IS!L43+IS!L44)</f>
        <v>#REF!</v>
      </c>
      <c r="N32" s="23" t="e">
        <f>M32+('Returns Analysis'!M15+'Returns Analysis'!#REF!)+(IS!M43+IS!M44)</f>
        <v>#REF!</v>
      </c>
      <c r="O32" s="23" t="e">
        <f>N32+('Returns Analysis'!N15+'Returns Analysis'!#REF!)+(IS!N43+IS!N44)</f>
        <v>#REF!</v>
      </c>
      <c r="P32" s="23" t="e">
        <f>O32+('Returns Analysis'!O15+'Returns Analysis'!#REF!)+(IS!O43+IS!O44)</f>
        <v>#REF!</v>
      </c>
      <c r="Q32" s="23" t="e">
        <f>P32+('Returns Analysis'!P15+'Returns Analysis'!#REF!)+(IS!P43+IS!P44)</f>
        <v>#REF!</v>
      </c>
      <c r="R32" s="23" t="e">
        <f>Q32+('Returns Analysis'!Q15+'Returns Analysis'!#REF!)+(IS!Q43+IS!Q44)</f>
        <v>#REF!</v>
      </c>
      <c r="S32" s="23" t="e">
        <f>R32+('Returns Analysis'!R15+'Returns Analysis'!#REF!)+(IS!R43+IS!R44)</f>
        <v>#REF!</v>
      </c>
      <c r="T32" s="23" t="e">
        <f>S32+('Returns Analysis'!S15+'Returns Analysis'!#REF!)+(IS!S43+IS!S44)</f>
        <v>#REF!</v>
      </c>
      <c r="U32" s="23" t="e">
        <f>T32+('Returns Analysis'!T15+'Returns Analysis'!#REF!)+(IS!T43+IS!T44)</f>
        <v>#REF!</v>
      </c>
      <c r="V32" s="23" t="e">
        <f>U32+('Returns Analysis'!U15+'Returns Analysis'!#REF!)+(IS!U43+IS!U44)</f>
        <v>#REF!</v>
      </c>
      <c r="W32" s="23" t="e">
        <f>V32+('Returns Analysis'!V15+'Returns Analysis'!#REF!)+(IS!V43+IS!V44)</f>
        <v>#REF!</v>
      </c>
      <c r="X32" s="23" t="e">
        <f>W32+('Returns Analysis'!W15+'Returns Analysis'!#REF!)+(IS!W43+IS!W44)</f>
        <v>#REF!</v>
      </c>
      <c r="Y32" s="23" t="e">
        <f>X32+('Returns Analysis'!X15+'Returns Analysis'!#REF!)+(IS!X43+IS!X44)</f>
        <v>#REF!</v>
      </c>
      <c r="Z32" s="23" t="e">
        <f>Y32+('Returns Analysis'!Y15+'Returns Analysis'!#REF!)+(IS!Y43+IS!Y44)</f>
        <v>#REF!</v>
      </c>
      <c r="AA32" s="23" t="e">
        <f>Z32+('Returns Analysis'!Z15+'Returns Analysis'!#REF!)+(IS!Z43+IS!Z44)</f>
        <v>#REF!</v>
      </c>
      <c r="AB32" s="23" t="e">
        <f>AA32+('Returns Analysis'!AA15+'Returns Analysis'!#REF!)+(IS!AA43+IS!AA44)</f>
        <v>#REF!</v>
      </c>
      <c r="AC32" s="23" t="e">
        <f>AB32+('Returns Analysis'!AB15+'Returns Analysis'!#REF!)+(IS!AB43+IS!AB44)</f>
        <v>#REF!</v>
      </c>
      <c r="AD32" s="23" t="e">
        <f>AC32+('Returns Analysis'!AC15+'Returns Analysis'!#REF!)+(IS!AC43+IS!AC44)</f>
        <v>#REF!</v>
      </c>
      <c r="AE32" s="23" t="e">
        <f>AD32+('Returns Analysis'!AD15+'Returns Analysis'!#REF!)+(IS!AD43+IS!AD44)</f>
        <v>#REF!</v>
      </c>
      <c r="AF32" s="23" t="e">
        <f>AE32+('Returns Analysis'!AE15+'Returns Analysis'!#REF!)+(IS!AE43+IS!AE44)</f>
        <v>#REF!</v>
      </c>
      <c r="AG32" s="23" t="e">
        <f>AF32+('Returns Analysis'!AF15+'Returns Analysis'!#REF!)+(IS!AF43+IS!AF44)</f>
        <v>#REF!</v>
      </c>
      <c r="AH32" s="23" t="e">
        <f>AG32+('Returns Analysis'!AG15+'Returns Analysis'!#REF!)+(IS!AG43+IS!AG44)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68291.631563196133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68291.631563196133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-13291.631563196133</v>
      </c>
      <c r="D41" s="23">
        <f>Assumptions!$C$11</f>
        <v>-13291.631563196133</v>
      </c>
      <c r="E41" s="23">
        <f>Assumptions!$C$11</f>
        <v>-13291.631563196133</v>
      </c>
      <c r="F41" s="23">
        <f>Assumptions!$C$11</f>
        <v>-13291.631563196133</v>
      </c>
      <c r="G41" s="23">
        <f>Assumptions!$C$11</f>
        <v>-13291.631563196133</v>
      </c>
      <c r="H41" s="23">
        <f>Assumptions!$C$11</f>
        <v>-13291.631563196133</v>
      </c>
      <c r="I41" s="23">
        <f>Assumptions!$C$11</f>
        <v>-13291.631563196133</v>
      </c>
      <c r="J41" s="23">
        <f>Assumptions!$C$11</f>
        <v>-13291.631563196133</v>
      </c>
      <c r="K41" s="23">
        <f>Assumptions!$C$11</f>
        <v>-13291.631563196133</v>
      </c>
      <c r="L41" s="23">
        <f>Assumptions!$C$11</f>
        <v>-13291.631563196133</v>
      </c>
      <c r="M41" s="23">
        <f>Assumptions!$C$11</f>
        <v>-13291.631563196133</v>
      </c>
      <c r="N41" s="23">
        <f>Assumptions!$C$11</f>
        <v>-13291.631563196133</v>
      </c>
      <c r="O41" s="23">
        <f>Assumptions!$C$11</f>
        <v>-13291.631563196133</v>
      </c>
      <c r="P41" s="23">
        <f>Assumptions!$C$11</f>
        <v>-13291.631563196133</v>
      </c>
      <c r="Q41" s="23">
        <f>Assumptions!$C$11</f>
        <v>-13291.631563196133</v>
      </c>
      <c r="R41" s="23">
        <f>Assumptions!$C$11</f>
        <v>-13291.631563196133</v>
      </c>
      <c r="S41" s="23">
        <f>Assumptions!$C$11</f>
        <v>-13291.631563196133</v>
      </c>
      <c r="T41" s="23">
        <f>Assumptions!$C$11</f>
        <v>-13291.631563196133</v>
      </c>
      <c r="U41" s="23">
        <f>Assumptions!$C$11</f>
        <v>-13291.631563196133</v>
      </c>
      <c r="V41" s="23">
        <f>Assumptions!$C$11</f>
        <v>-13291.631563196133</v>
      </c>
      <c r="W41" s="23">
        <f>Assumptions!$C$11</f>
        <v>-13291.631563196133</v>
      </c>
      <c r="X41" s="23">
        <f>Assumptions!$C$11</f>
        <v>-13291.631563196133</v>
      </c>
      <c r="Y41" s="23">
        <f>Assumptions!$C$11</f>
        <v>-13291.631563196133</v>
      </c>
      <c r="Z41" s="23">
        <f>Assumptions!$C$11</f>
        <v>-13291.631563196133</v>
      </c>
      <c r="AA41" s="23">
        <f>Assumptions!$C$11</f>
        <v>-13291.631563196133</v>
      </c>
      <c r="AB41" s="23">
        <f>Assumptions!$C$11</f>
        <v>-13291.631563196133</v>
      </c>
      <c r="AC41" s="23">
        <f>Assumptions!$C$11</f>
        <v>-13291.631563196133</v>
      </c>
      <c r="AD41" s="23">
        <f>Assumptions!$C$11</f>
        <v>-13291.631563196133</v>
      </c>
      <c r="AE41" s="23">
        <f>Assumptions!$C$11</f>
        <v>-13291.631563196133</v>
      </c>
      <c r="AF41" s="23">
        <f>Assumptions!$C$11</f>
        <v>-13291.631563196133</v>
      </c>
      <c r="AG41" s="23">
        <f>Assumptions!$C$11</f>
        <v>-13291.631563196133</v>
      </c>
      <c r="AH41" s="23">
        <f>Assumptions!$C$11</f>
        <v>-13291.631563196133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IS!B46-'Returns Analysis'!#REF!</f>
        <v>#REF!</v>
      </c>
      <c r="D42" s="307" t="e">
        <f>IS!C46-'Returns Analysis'!#REF!</f>
        <v>#REF!</v>
      </c>
      <c r="E42" s="307" t="e">
        <f>IS!D46-'Returns Analysis'!#REF!</f>
        <v>#REF!</v>
      </c>
      <c r="F42" s="307" t="e">
        <f>IS!E46-'Returns Analysis'!#REF!</f>
        <v>#REF!</v>
      </c>
      <c r="G42" s="307" t="e">
        <f>IS!F46-'Returns Analysis'!#REF!</f>
        <v>#REF!</v>
      </c>
      <c r="H42" s="307" t="e">
        <f>IS!G46-'Returns Analysis'!#REF!</f>
        <v>#REF!</v>
      </c>
      <c r="I42" s="307" t="e">
        <f>IS!H46-'Returns Analysis'!#REF!</f>
        <v>#REF!</v>
      </c>
      <c r="J42" s="307" t="e">
        <f>IS!I46-'Returns Analysis'!#REF!</f>
        <v>#REF!</v>
      </c>
      <c r="K42" s="307" t="e">
        <f>IS!J46-'Returns Analysis'!#REF!</f>
        <v>#REF!</v>
      </c>
      <c r="L42" s="307" t="e">
        <f>IS!K46-'Returns Analysis'!#REF!</f>
        <v>#REF!</v>
      </c>
      <c r="M42" s="307" t="e">
        <f>IS!L46-'Returns Analysis'!#REF!</f>
        <v>#REF!</v>
      </c>
      <c r="N42" s="307" t="e">
        <f>IS!M46-'Returns Analysis'!#REF!</f>
        <v>#REF!</v>
      </c>
      <c r="O42" s="307" t="e">
        <f>IS!N46-'Returns Analysis'!#REF!</f>
        <v>#REF!</v>
      </c>
      <c r="P42" s="307" t="e">
        <f>IS!O46-'Returns Analysis'!#REF!</f>
        <v>#REF!</v>
      </c>
      <c r="Q42" s="307" t="e">
        <f>IS!P46-'Returns Analysis'!#REF!</f>
        <v>#REF!</v>
      </c>
      <c r="R42" s="307" t="e">
        <f>IS!Q46-'Returns Analysis'!#REF!</f>
        <v>#REF!</v>
      </c>
      <c r="S42" s="307" t="e">
        <f>IS!R46-'Returns Analysis'!#REF!</f>
        <v>#REF!</v>
      </c>
      <c r="T42" s="307" t="e">
        <f>IS!S46-'Returns Analysis'!#REF!</f>
        <v>#REF!</v>
      </c>
      <c r="U42" s="307" t="e">
        <f>IS!T46-'Returns Analysis'!#REF!</f>
        <v>#REF!</v>
      </c>
      <c r="V42" s="307" t="e">
        <f>IS!U46-'Returns Analysis'!#REF!</f>
        <v>#REF!</v>
      </c>
      <c r="W42" s="307" t="e">
        <f>IS!V46-'Returns Analysis'!#REF!</f>
        <v>#REF!</v>
      </c>
      <c r="X42" s="307" t="e">
        <f>IS!W46-'Returns Analysis'!#REF!</f>
        <v>#REF!</v>
      </c>
      <c r="Y42" s="307" t="e">
        <f>IS!X46-'Returns Analysis'!#REF!</f>
        <v>#REF!</v>
      </c>
      <c r="Z42" s="307" t="e">
        <f>IS!Y46-'Returns Analysis'!#REF!</f>
        <v>#REF!</v>
      </c>
      <c r="AA42" s="307" t="e">
        <f>IS!Z46-'Returns Analysis'!#REF!</f>
        <v>#REF!</v>
      </c>
      <c r="AB42" s="307" t="e">
        <f>IS!AA46-'Returns Analysis'!#REF!</f>
        <v>#REF!</v>
      </c>
      <c r="AC42" s="307" t="e">
        <f>IS!AB46-'Returns Analysis'!#REF!</f>
        <v>#REF!</v>
      </c>
      <c r="AD42" s="307" t="e">
        <f>IS!AC46-'Returns Analysis'!#REF!</f>
        <v>#REF!</v>
      </c>
      <c r="AE42" s="307" t="e">
        <f>IS!AD46-'Returns Analysis'!#REF!</f>
        <v>#REF!</v>
      </c>
      <c r="AF42" s="307" t="e">
        <f>IS!AE46-'Returns Analysis'!#REF!</f>
        <v>#REF!</v>
      </c>
      <c r="AG42" s="307" t="e">
        <f>IS!AF46-'Returns Analysis'!#REF!</f>
        <v>#REF!</v>
      </c>
      <c r="AH42" s="307" t="e">
        <f>IS!AG46-'Returns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2332.2049180327881</v>
      </c>
      <c r="C11" s="387">
        <f t="shared" ref="C11:AF11" si="1">C29+C38</f>
        <v>5689.2286892731472</v>
      </c>
      <c r="D11" s="387">
        <f t="shared" si="1"/>
        <v>5714.0118410958912</v>
      </c>
      <c r="E11" s="387">
        <f t="shared" si="1"/>
        <v>5694.9268951774084</v>
      </c>
      <c r="F11" s="387">
        <f t="shared" si="1"/>
        <v>5663.5970662193013</v>
      </c>
      <c r="G11" s="387">
        <f t="shared" si="1"/>
        <v>5643.2413398159279</v>
      </c>
      <c r="H11" s="387">
        <f t="shared" si="1"/>
        <v>5618.3506304211196</v>
      </c>
      <c r="I11" s="387">
        <f t="shared" si="1"/>
        <v>5596.5844869084103</v>
      </c>
      <c r="J11" s="387">
        <f t="shared" si="1"/>
        <v>5562.7023390668382</v>
      </c>
      <c r="K11" s="387">
        <f t="shared" si="1"/>
        <v>5539.5167314434984</v>
      </c>
      <c r="L11" s="387">
        <f t="shared" si="1"/>
        <v>5511.7859843523383</v>
      </c>
      <c r="M11" s="387">
        <f t="shared" si="1"/>
        <v>5487.0249571781515</v>
      </c>
      <c r="N11" s="387">
        <f t="shared" si="1"/>
        <v>5450.2911107579366</v>
      </c>
      <c r="O11" s="387">
        <f t="shared" si="1"/>
        <v>5423.9441658770211</v>
      </c>
      <c r="P11" s="463">
        <f t="shared" si="1"/>
        <v>5393.0403392373028</v>
      </c>
      <c r="Q11" s="387">
        <f t="shared" si="1"/>
        <v>5364.9332537185373</v>
      </c>
      <c r="R11" s="387">
        <f t="shared" si="1"/>
        <v>5325.0124819152516</v>
      </c>
      <c r="S11" s="387">
        <f t="shared" si="1"/>
        <v>5295.1330982936161</v>
      </c>
      <c r="T11" s="387">
        <f t="shared" si="1"/>
        <v>5260.6832801302771</v>
      </c>
      <c r="U11" s="387">
        <f t="shared" si="1"/>
        <v>5228.8369229330856</v>
      </c>
      <c r="V11" s="387">
        <f t="shared" si="1"/>
        <v>2078.6469798569069</v>
      </c>
      <c r="W11" s="387">
        <f t="shared" si="1"/>
        <v>-852.80006489285324</v>
      </c>
      <c r="X11" s="387">
        <f t="shared" si="1"/>
        <v>-1510.8870256287723</v>
      </c>
      <c r="Y11" s="387">
        <f t="shared" si="1"/>
        <v>-1551.4252088333151</v>
      </c>
      <c r="Z11" s="387">
        <f t="shared" si="1"/>
        <v>-1589.8668308241668</v>
      </c>
      <c r="AA11" s="387">
        <f t="shared" si="1"/>
        <v>-1632.6198365880689</v>
      </c>
      <c r="AB11" s="387">
        <f t="shared" si="1"/>
        <v>-1675.4646741608967</v>
      </c>
      <c r="AC11" s="387">
        <f t="shared" si="1"/>
        <v>-1720.6757322332901</v>
      </c>
      <c r="AD11" s="387">
        <f t="shared" si="1"/>
        <v>-1763.5713513100366</v>
      </c>
      <c r="AE11" s="387">
        <f t="shared" si="1"/>
        <v>-1811.2591478205072</v>
      </c>
      <c r="AF11" s="463">
        <f t="shared" si="1"/>
        <v>-2325.5422819476958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1794.0037831021446</v>
      </c>
      <c r="C13" s="305">
        <f t="shared" ref="C13:AF13" si="2">C11/C12</f>
        <v>4376.3297609793435</v>
      </c>
      <c r="D13" s="305">
        <f t="shared" si="2"/>
        <v>4395.3937239199158</v>
      </c>
      <c r="E13" s="305">
        <f t="shared" si="2"/>
        <v>4380.7129962903136</v>
      </c>
      <c r="F13" s="305">
        <f t="shared" si="2"/>
        <v>4356.613127861001</v>
      </c>
      <c r="G13" s="305">
        <f t="shared" si="2"/>
        <v>4340.9548767814831</v>
      </c>
      <c r="H13" s="305">
        <f t="shared" si="2"/>
        <v>4321.808177247015</v>
      </c>
      <c r="I13" s="305">
        <f t="shared" si="2"/>
        <v>4305.0649899295458</v>
      </c>
      <c r="J13" s="305">
        <f t="shared" si="2"/>
        <v>4279.0017992821831</v>
      </c>
      <c r="K13" s="305">
        <f t="shared" si="2"/>
        <v>4261.1667164949986</v>
      </c>
      <c r="L13" s="305">
        <f t="shared" si="2"/>
        <v>4239.8353725787219</v>
      </c>
      <c r="M13" s="305">
        <f t="shared" si="2"/>
        <v>4220.7884285985783</v>
      </c>
      <c r="N13" s="305">
        <f t="shared" si="2"/>
        <v>4192.531623659951</v>
      </c>
      <c r="O13" s="305">
        <f t="shared" si="2"/>
        <v>4172.2647429823237</v>
      </c>
      <c r="P13" s="391">
        <f t="shared" si="2"/>
        <v>4148.4925686440793</v>
      </c>
      <c r="Q13" s="305">
        <f t="shared" si="2"/>
        <v>4126.871733629644</v>
      </c>
      <c r="R13" s="305">
        <f t="shared" si="2"/>
        <v>4096.1634476271165</v>
      </c>
      <c r="S13" s="305">
        <f t="shared" si="2"/>
        <v>4073.1793063797045</v>
      </c>
      <c r="T13" s="305">
        <f t="shared" si="2"/>
        <v>4046.6794462540593</v>
      </c>
      <c r="U13" s="305">
        <f t="shared" si="2"/>
        <v>4022.1822484100658</v>
      </c>
      <c r="V13" s="305">
        <f t="shared" si="2"/>
        <v>1598.9592152745438</v>
      </c>
      <c r="W13" s="305">
        <f t="shared" si="2"/>
        <v>-656.00004991757942</v>
      </c>
      <c r="X13" s="305">
        <f t="shared" si="2"/>
        <v>-1162.2207889452095</v>
      </c>
      <c r="Y13" s="305">
        <f t="shared" si="2"/>
        <v>-1193.4040067948577</v>
      </c>
      <c r="Z13" s="305">
        <f t="shared" si="2"/>
        <v>-1222.9744852493591</v>
      </c>
      <c r="AA13" s="305">
        <f t="shared" si="2"/>
        <v>-1255.8614127600529</v>
      </c>
      <c r="AB13" s="305">
        <f t="shared" si="2"/>
        <v>-1288.8189801237666</v>
      </c>
      <c r="AC13" s="305">
        <f t="shared" si="2"/>
        <v>-1323.5967171025309</v>
      </c>
      <c r="AD13" s="305">
        <f t="shared" si="2"/>
        <v>-1356.5933471615665</v>
      </c>
      <c r="AE13" s="305">
        <f t="shared" si="2"/>
        <v>-1393.2762675542363</v>
      </c>
      <c r="AF13" s="391">
        <f t="shared" si="2"/>
        <v>-1788.8786784213044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68291.631563196133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110712.07686811629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68857.685601877543</v>
      </c>
      <c r="D24" s="48">
        <f t="shared" ref="D24:AF24" si="3">C45</f>
        <v>70187.761084147336</v>
      </c>
      <c r="E24" s="48">
        <f t="shared" si="3"/>
        <v>71611.382250037801</v>
      </c>
      <c r="F24" s="48">
        <f t="shared" si="3"/>
        <v>73174.297755199543</v>
      </c>
      <c r="G24" s="48">
        <f t="shared" si="3"/>
        <v>74884.690224892765</v>
      </c>
      <c r="H24" s="48">
        <f t="shared" si="3"/>
        <v>76759.364827924568</v>
      </c>
      <c r="I24" s="48">
        <f t="shared" si="3"/>
        <v>78811.432619899206</v>
      </c>
      <c r="J24" s="48">
        <f t="shared" si="3"/>
        <v>81058.23318264258</v>
      </c>
      <c r="K24" s="48">
        <f t="shared" si="3"/>
        <v>83511.220292761427</v>
      </c>
      <c r="L24" s="48">
        <f t="shared" si="3"/>
        <v>86193.700395952052</v>
      </c>
      <c r="M24" s="48">
        <f t="shared" si="3"/>
        <v>89123.821989197168</v>
      </c>
      <c r="N24" s="48">
        <f t="shared" si="3"/>
        <v>92325.560057593771</v>
      </c>
      <c r="O24" s="48">
        <f t="shared" si="3"/>
        <v>95814.872667872594</v>
      </c>
      <c r="P24" s="48">
        <f t="shared" si="3"/>
        <v>99624.079968647799</v>
      </c>
      <c r="Q24" s="48">
        <f t="shared" si="3"/>
        <v>103778.29224610774</v>
      </c>
      <c r="R24" s="48">
        <f t="shared" si="3"/>
        <v>108310.67085903342</v>
      </c>
      <c r="S24" s="48">
        <f t="shared" si="3"/>
        <v>113243.38029640241</v>
      </c>
      <c r="T24" s="48">
        <f t="shared" si="3"/>
        <v>118621.22962168278</v>
      </c>
      <c r="U24" s="48">
        <f t="shared" si="3"/>
        <v>124478.95011151925</v>
      </c>
      <c r="V24" s="48">
        <f t="shared" si="3"/>
        <v>130862.41649198689</v>
      </c>
      <c r="W24" s="48">
        <f t="shared" si="3"/>
        <v>140241.54825294012</v>
      </c>
      <c r="X24" s="48">
        <f t="shared" si="3"/>
        <v>152719.67107152136</v>
      </c>
      <c r="Y24" s="48">
        <f t="shared" si="3"/>
        <v>166765.16131583141</v>
      </c>
      <c r="Z24" s="48">
        <f t="shared" si="3"/>
        <v>182034.82490366913</v>
      </c>
      <c r="AA24" s="48">
        <f t="shared" si="3"/>
        <v>198600.05355598763</v>
      </c>
      <c r="AB24" s="48">
        <f t="shared" si="3"/>
        <v>216604.32036061634</v>
      </c>
      <c r="AC24" s="48">
        <f t="shared" si="3"/>
        <v>236158.21351142836</v>
      </c>
      <c r="AD24" s="48">
        <f t="shared" si="3"/>
        <v>257407.819076168</v>
      </c>
      <c r="AE24" s="48">
        <f t="shared" si="3"/>
        <v>280451.54192391277</v>
      </c>
      <c r="AF24" s="48">
        <f t="shared" si="3"/>
        <v>305488.08769771113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-643.46338513896626</v>
      </c>
      <c r="D26" s="48">
        <f t="shared" si="4"/>
        <v>-689.61610428243876</v>
      </c>
      <c r="E26" s="48">
        <f t="shared" si="4"/>
        <v>-767.63744104954822</v>
      </c>
      <c r="F26" s="48">
        <f t="shared" si="4"/>
        <v>-827.7512662238878</v>
      </c>
      <c r="G26" s="48">
        <f t="shared" si="4"/>
        <v>-910.0530375730159</v>
      </c>
      <c r="H26" s="48">
        <f t="shared" si="4"/>
        <v>-996.74485080468003</v>
      </c>
      <c r="I26" s="48">
        <f t="shared" si="4"/>
        <v>-1102.8681509121816</v>
      </c>
      <c r="J26" s="48">
        <f t="shared" si="4"/>
        <v>-1190.4352122479904</v>
      </c>
      <c r="K26" s="48">
        <f t="shared" si="4"/>
        <v>-1304.8165669465088</v>
      </c>
      <c r="L26" s="48">
        <f t="shared" si="4"/>
        <v>-1425.8313861632923</v>
      </c>
      <c r="M26" s="48">
        <f t="shared" si="4"/>
        <v>-1570.9720294276194</v>
      </c>
      <c r="N26" s="48">
        <f t="shared" si="4"/>
        <v>-1696.54096935704</v>
      </c>
      <c r="O26" s="48">
        <f t="shared" si="4"/>
        <v>-1855.4027329146193</v>
      </c>
      <c r="P26" s="48">
        <f t="shared" si="4"/>
        <v>-2023.9881286347954</v>
      </c>
      <c r="Q26" s="48">
        <f t="shared" si="4"/>
        <v>-2223.2508279361791</v>
      </c>
      <c r="R26" s="48">
        <f t="shared" si="4"/>
        <v>-2401.4060090828716</v>
      </c>
      <c r="S26" s="48">
        <f t="shared" si="4"/>
        <v>-2621.9017307840695</v>
      </c>
      <c r="T26" s="48">
        <f t="shared" si="4"/>
        <v>-2856.3801748717815</v>
      </c>
      <c r="U26" s="48">
        <f t="shared" si="4"/>
        <v>-3130.6610444874095</v>
      </c>
      <c r="V26" s="48">
        <f t="shared" si="4"/>
        <v>-4576.4516118831525</v>
      </c>
      <c r="W26" s="48">
        <f t="shared" si="4"/>
        <v>-6097.1146743228601</v>
      </c>
      <c r="X26" s="48">
        <f t="shared" si="4"/>
        <v>-6863.5374112915015</v>
      </c>
      <c r="Y26" s="48">
        <f t="shared" si="4"/>
        <v>-7485.13678767081</v>
      </c>
      <c r="Z26" s="48">
        <f t="shared" si="4"/>
        <v>-8089.6213354602514</v>
      </c>
      <c r="AA26" s="48">
        <f t="shared" si="4"/>
        <v>-8797.7383889640041</v>
      </c>
      <c r="AB26" s="48">
        <f t="shared" si="4"/>
        <v>-9554.8584495540999</v>
      </c>
      <c r="AC26" s="48">
        <f t="shared" si="4"/>
        <v>-10416.596301408863</v>
      </c>
      <c r="AD26" s="48">
        <f t="shared" si="4"/>
        <v>-11252.812778477673</v>
      </c>
      <c r="AE26" s="48">
        <f t="shared" si="4"/>
        <v>-12233.569372099184</v>
      </c>
      <c r="AF26" s="48">
        <f t="shared" si="4"/>
        <v>-13461.298618063098</v>
      </c>
      <c r="AG26"/>
    </row>
    <row r="27" spans="1:33">
      <c r="A27" s="48" t="s">
        <v>56</v>
      </c>
      <c r="B27"/>
      <c r="C27" s="385">
        <f t="shared" ref="C27:AF27" si="5">C24*(C23-B41)/(C41-B41)*$E$64</f>
        <v>1416.2988346742347</v>
      </c>
      <c r="D27" s="385">
        <f t="shared" si="5"/>
        <v>1443.6564831211949</v>
      </c>
      <c r="E27" s="385">
        <f t="shared" si="5"/>
        <v>1485.0557138737349</v>
      </c>
      <c r="F27" s="385">
        <f t="shared" si="5"/>
        <v>1505.0850421840016</v>
      </c>
      <c r="G27" s="385">
        <f t="shared" si="5"/>
        <v>1540.2652379818699</v>
      </c>
      <c r="H27" s="385">
        <f t="shared" si="5"/>
        <v>1578.8244697140924</v>
      </c>
      <c r="I27" s="385">
        <f t="shared" si="5"/>
        <v>1634.3682338388935</v>
      </c>
      <c r="J27" s="385">
        <f t="shared" si="5"/>
        <v>1667.2457140238062</v>
      </c>
      <c r="K27" s="385">
        <f t="shared" si="5"/>
        <v>1717.6999625970041</v>
      </c>
      <c r="L27" s="385">
        <f t="shared" si="5"/>
        <v>1772.8745362263289</v>
      </c>
      <c r="M27" s="385">
        <f t="shared" si="5"/>
        <v>1848.2235215792527</v>
      </c>
      <c r="N27" s="385">
        <f t="shared" si="5"/>
        <v>1898.9976496777679</v>
      </c>
      <c r="O27" s="385">
        <f t="shared" si="5"/>
        <v>1970.7675522028865</v>
      </c>
      <c r="P27" s="385">
        <f t="shared" si="5"/>
        <v>2049.1172064784205</v>
      </c>
      <c r="Q27" s="385">
        <f t="shared" si="5"/>
        <v>2152.1236014971523</v>
      </c>
      <c r="R27" s="385">
        <f t="shared" si="5"/>
        <v>2227.787291710119</v>
      </c>
      <c r="S27" s="385">
        <f t="shared" si="5"/>
        <v>2329.2456919869619</v>
      </c>
      <c r="T27" s="385">
        <f t="shared" si="5"/>
        <v>2439.8599489994072</v>
      </c>
      <c r="U27" s="385">
        <f t="shared" si="5"/>
        <v>2581.4077359192111</v>
      </c>
      <c r="V27" s="385">
        <f t="shared" si="5"/>
        <v>2691.6427172975114</v>
      </c>
      <c r="W27" s="385">
        <f t="shared" si="5"/>
        <v>2884.5573246820495</v>
      </c>
      <c r="X27" s="385">
        <f t="shared" si="5"/>
        <v>3141.213508409443</v>
      </c>
      <c r="Y27" s="385">
        <f t="shared" si="5"/>
        <v>3458.3267059758487</v>
      </c>
      <c r="Z27" s="385">
        <f t="shared" si="5"/>
        <v>3744.1820492172492</v>
      </c>
      <c r="AA27" s="385">
        <f t="shared" si="5"/>
        <v>4084.9038412919917</v>
      </c>
      <c r="AB27" s="385">
        <f t="shared" si="5"/>
        <v>4455.2244797461026</v>
      </c>
      <c r="AC27" s="385">
        <f t="shared" si="5"/>
        <v>4897.3793457697848</v>
      </c>
      <c r="AD27" s="385">
        <f t="shared" si="5"/>
        <v>5294.4909636009079</v>
      </c>
      <c r="AE27" s="385">
        <f t="shared" si="5"/>
        <v>5768.4656191610284</v>
      </c>
      <c r="AF27" s="385">
        <f t="shared" si="5"/>
        <v>6283.4296394262092</v>
      </c>
      <c r="AG27"/>
    </row>
    <row r="28" spans="1:33">
      <c r="A28" s="48" t="s">
        <v>57</v>
      </c>
      <c r="B28"/>
      <c r="C28" s="161">
        <f t="shared" ref="C28:AF28" si="6">MAX(C24+C25+B44+C27-0.5*C13,0)</f>
        <v>69501.14898701651</v>
      </c>
      <c r="D28" s="161">
        <f t="shared" si="6"/>
        <v>70877.377188429775</v>
      </c>
      <c r="E28" s="161">
        <f t="shared" si="6"/>
        <v>72379.019691087349</v>
      </c>
      <c r="F28" s="161">
        <f t="shared" si="6"/>
        <v>74002.049021423431</v>
      </c>
      <c r="G28" s="161">
        <f t="shared" si="6"/>
        <v>75794.743262465781</v>
      </c>
      <c r="H28" s="161">
        <f t="shared" si="6"/>
        <v>77756.109678729248</v>
      </c>
      <c r="I28" s="161">
        <f t="shared" si="6"/>
        <v>79914.300770811387</v>
      </c>
      <c r="J28" s="161">
        <f t="shared" si="6"/>
        <v>82248.66839489057</v>
      </c>
      <c r="K28" s="161">
        <f t="shared" si="6"/>
        <v>84816.036859707936</v>
      </c>
      <c r="L28" s="161">
        <f t="shared" si="6"/>
        <v>87619.531782115344</v>
      </c>
      <c r="M28" s="161">
        <f t="shared" si="6"/>
        <v>90694.794018624787</v>
      </c>
      <c r="N28" s="161">
        <f t="shared" si="6"/>
        <v>94022.101026950812</v>
      </c>
      <c r="O28" s="161">
        <f t="shared" si="6"/>
        <v>97670.275400787214</v>
      </c>
      <c r="P28" s="161">
        <f t="shared" si="6"/>
        <v>101648.06809728259</v>
      </c>
      <c r="Q28" s="161">
        <f t="shared" si="6"/>
        <v>106001.54307404392</v>
      </c>
      <c r="R28" s="161">
        <f t="shared" si="6"/>
        <v>110712.07686811629</v>
      </c>
      <c r="S28" s="161">
        <f t="shared" si="6"/>
        <v>115865.28202718648</v>
      </c>
      <c r="T28" s="161">
        <f t="shared" si="6"/>
        <v>121477.60979655456</v>
      </c>
      <c r="U28" s="161">
        <f t="shared" si="6"/>
        <v>127609.61115600666</v>
      </c>
      <c r="V28" s="161">
        <f t="shared" si="6"/>
        <v>135438.86810387005</v>
      </c>
      <c r="W28" s="161">
        <f t="shared" si="6"/>
        <v>146338.66292726298</v>
      </c>
      <c r="X28" s="161">
        <f t="shared" si="6"/>
        <v>159583.20848281286</v>
      </c>
      <c r="Y28" s="161">
        <f t="shared" si="6"/>
        <v>174250.29810350222</v>
      </c>
      <c r="Z28" s="161">
        <f t="shared" si="6"/>
        <v>190124.44623912938</v>
      </c>
      <c r="AA28" s="161">
        <f t="shared" si="6"/>
        <v>207397.79194495163</v>
      </c>
      <c r="AB28" s="161">
        <f t="shared" si="6"/>
        <v>226159.17881017044</v>
      </c>
      <c r="AC28" s="161">
        <f t="shared" si="6"/>
        <v>246574.80981283722</v>
      </c>
      <c r="AD28" s="161">
        <f t="shared" si="6"/>
        <v>268660.63185464568</v>
      </c>
      <c r="AE28" s="161">
        <f t="shared" si="6"/>
        <v>292685.11129601195</v>
      </c>
      <c r="AF28" s="161">
        <f t="shared" si="6"/>
        <v>318949.38631577423</v>
      </c>
      <c r="AG28"/>
    </row>
    <row r="29" spans="1:33">
      <c r="A29" s="48" t="s">
        <v>323</v>
      </c>
      <c r="B29"/>
      <c r="C29" s="161">
        <f>(C23-B41)/(C41-B41)*IS!D33+(B41-B32)/(B41-Assumptions!H17)*IS!C33</f>
        <v>2815.9281413279436</v>
      </c>
      <c r="D29" s="161">
        <f>(D23-C41)/(D41-C41)*IS!E33+(C41-C32)/(C41-B41)*IS!D33</f>
        <v>2851.9906109589037</v>
      </c>
      <c r="E29" s="161">
        <f>(E23-D41)/(E41-D41)*IS!F33+(D41-D32)/(D41-C41)*IS!E33</f>
        <v>2852.2807501774087</v>
      </c>
      <c r="F29" s="161">
        <f>(F23-E41)/(F41-E41)*IS!G33+(E41-E32)/(E41-D41)*IS!F33</f>
        <v>2825.0661759888917</v>
      </c>
      <c r="G29" s="161">
        <f>(G23-F41)/(G41-F41)*IS!H33+(F41-F32)/(F41-E41)*IS!G33</f>
        <v>2816.9389523146592</v>
      </c>
      <c r="H29" s="161">
        <f>(H23-G41)/(H41-G41)*IS!I33+(G41-G32)/(G41-F41)*IS!H33</f>
        <v>2804.6110387990411</v>
      </c>
      <c r="I29" s="161">
        <f>(I23-H41)/(I41-H41)*IS!J33+(H41-H32)/(H41-G41)*IS!I33</f>
        <v>2803.4039113933923</v>
      </c>
      <c r="J29" s="161">
        <f>(J23-I41)/(J41-I41)*IS!K33+(I41-I32)/(I41-H41)*IS!J33</f>
        <v>2775.1289971786455</v>
      </c>
      <c r="K29" s="161">
        <f>(K23-J41)/(K41-J41)*IS!L33+(J41-J32)/(J41-I41)*IS!K33</f>
        <v>2765.5664112159993</v>
      </c>
      <c r="L29" s="161">
        <f>(L23-K41)/(L41-K41)*IS!M33+(K41-K32)/(K41-J41)*IS!L33</f>
        <v>2751.8321303531575</v>
      </c>
      <c r="M29" s="161">
        <f>(M23-L41)/(M41-L41)*IS!N33+(L41-L32)/(L41-K41)*IS!M33</f>
        <v>2748.9530791793286</v>
      </c>
      <c r="N29" s="161">
        <f>(N23-M41)/(N41-M41)*IS!O33+(M41-M32)/(M41-L41)*IS!N33</f>
        <v>2719.4928174338138</v>
      </c>
      <c r="O29" s="161">
        <f>(O23-N41)/(O41-N41)*IS!P33+(N41-N32)/(N41-M41)*IS!O33</f>
        <v>2708.3268751361461</v>
      </c>
      <c r="P29" s="161">
        <f>(P23-O41)/(P41-O41)*IS!Q33+(O41-O32)/(O41-N41)*IS!P33</f>
        <v>2693.0213296642851</v>
      </c>
      <c r="Q29" s="161">
        <f>(Q23-P41)/(Q41-P41)*IS!R33+(P41-P32)/(P41-O41)*IS!Q33</f>
        <v>2688.2748698663636</v>
      </c>
      <c r="R29" s="161">
        <f>(R23-Q41)/(R41-Q41)*IS!S33+(Q41-Q32)/(Q41-P41)*IS!R33</f>
        <v>2657.4892291417364</v>
      </c>
      <c r="S29" s="161">
        <f>(S23-R41)/(S41-R41)*IS!T33+(R41-R32)/(R41-Q41)*IS!S33</f>
        <v>2644.5318538215652</v>
      </c>
      <c r="T29" s="161">
        <f>(T23-S41)/(T41-S41)*IS!U33+(S41-S32)/(S41-R41)*IS!T33</f>
        <v>2627.4704078058826</v>
      </c>
      <c r="U29" s="161">
        <f>(U23-T41)/(U41-T41)*IS!V33+(T41-T32)/(T41-S41)*IS!U33</f>
        <v>2620.6377028776865</v>
      </c>
      <c r="V29" s="161">
        <f>(V23-U41)/(V41-U41)*IS!W33+(U41-U32)/(U41-T41)*IS!V33</f>
        <v>1556.5803072701451</v>
      </c>
      <c r="W29" s="161">
        <f>(W23-V41)/(W41-V41)*IS!X33+(V41-V32)/(V41-U41)*IS!W33</f>
        <v>-109.84211204326397</v>
      </c>
      <c r="X29" s="161">
        <f>(X23-W41)/(X41-W41)*IS!Y33+(W41-W32)/(W41-V41)*IS!X33</f>
        <v>-748.53975562602523</v>
      </c>
      <c r="Y29" s="161">
        <f>(Y23-X41)/(Y41-X41)*IS!Z33+(X41-X32)/(X41-W41)*IS!Y33</f>
        <v>-771.28989375605443</v>
      </c>
      <c r="Z29" s="161">
        <f>(Z23-Y41)/(Z41-Y41)*IS!AA33+(Y41-Y32)/(Y41-X41)*IS!Z33</f>
        <v>-787.11750101105804</v>
      </c>
      <c r="AA29" s="161">
        <f>(AA23-Z41)/(AA41-Z41)*IS!AB33+(Z41-Z32)/(Z41-Y41)*IS!AA33</f>
        <v>-808.82698592155896</v>
      </c>
      <c r="AB29" s="161">
        <f>(AB23-AA41)/(AB41-AA41)*IS!AC33+(AA41-AA32)/(AA41-Z41)*IS!AB33</f>
        <v>-830.04538233318976</v>
      </c>
      <c r="AC29" s="161">
        <f>(AC23-AB41)/(AC41-AB41)*IS!AD33+(AB41-AB32)/(AB41-AA41)*IS!AC33</f>
        <v>-855.40117426103279</v>
      </c>
      <c r="AD29" s="161">
        <f>(AD23-AC41)/(AD41-AC41)*IS!AE33+(AC41-AC32)/(AC41-AB41)*IS!AD33</f>
        <v>-873.08386038207573</v>
      </c>
      <c r="AE29" s="161">
        <f>(AE23-AD41)/(AE41-AD41)*IS!AF33+(AD41-AD32)/(AD41-AC41)*IS!AE33</f>
        <v>-897.29541651865179</v>
      </c>
      <c r="AF29" s="161">
        <f>(AF23-AE41)/(AG23-AE41)*IS!AG33+(AE41-AE32)/(AE41-AD41)*IS!AF33</f>
        <v>-1861.6437071638459</v>
      </c>
      <c r="AG29"/>
    </row>
    <row r="30" spans="1:33">
      <c r="A30" s="405" t="s">
        <v>0</v>
      </c>
      <c r="B30" s="407"/>
      <c r="C30" s="406">
        <f>IF(C28&gt;0.1,C29/(C27+C26+B44)," ")</f>
        <v>1.2868902916940108</v>
      </c>
      <c r="D30" s="406">
        <f t="shared" ref="D30:AF30" si="7">IF(D28&gt;0.1,D29/(D27+D26+C44)," ")</f>
        <v>1.2977179247621258</v>
      </c>
      <c r="E30" s="406">
        <f t="shared" si="7"/>
        <v>1.3021993235314739</v>
      </c>
      <c r="F30" s="406">
        <f t="shared" si="7"/>
        <v>1.2969093619639065</v>
      </c>
      <c r="G30" s="406">
        <f t="shared" si="7"/>
        <v>1.2978430010326425</v>
      </c>
      <c r="H30" s="406">
        <f t="shared" si="7"/>
        <v>1.2978877931530859</v>
      </c>
      <c r="I30" s="406">
        <f t="shared" si="7"/>
        <v>1.3023747227747509</v>
      </c>
      <c r="J30" s="406">
        <f t="shared" si="7"/>
        <v>1.2970917645532136</v>
      </c>
      <c r="K30" s="406">
        <f t="shared" si="7"/>
        <v>1.2980324850987299</v>
      </c>
      <c r="L30" s="406">
        <f t="shared" si="7"/>
        <v>1.298084424763621</v>
      </c>
      <c r="M30" s="406">
        <f t="shared" si="7"/>
        <v>1.3025780020402715</v>
      </c>
      <c r="N30" s="406">
        <f t="shared" si="7"/>
        <v>1.2973034250173541</v>
      </c>
      <c r="O30" s="406">
        <f t="shared" si="7"/>
        <v>1.2982526478893819</v>
      </c>
      <c r="P30" s="406">
        <f t="shared" si="7"/>
        <v>1.2983131993626698</v>
      </c>
      <c r="Q30" s="406">
        <f t="shared" si="7"/>
        <v>1.3028148405775575</v>
      </c>
      <c r="R30" s="406">
        <f t="shared" si="7"/>
        <v>1.2975503849492096</v>
      </c>
      <c r="S30" s="406">
        <f t="shared" si="7"/>
        <v>1.2985099132166893</v>
      </c>
      <c r="T30" s="406">
        <f t="shared" si="7"/>
        <v>1.2985809440567782</v>
      </c>
      <c r="U30" s="406">
        <f t="shared" si="7"/>
        <v>1.3030924712143994</v>
      </c>
      <c r="V30" s="406">
        <f t="shared" si="7"/>
        <v>1.9469918837208726</v>
      </c>
      <c r="W30" s="406">
        <f t="shared" si="7"/>
        <v>0.33488446245415454</v>
      </c>
      <c r="X30" s="406">
        <f t="shared" si="7"/>
        <v>1.2881197148527339</v>
      </c>
      <c r="Y30" s="406">
        <f t="shared" si="7"/>
        <v>1.2925880747250651</v>
      </c>
      <c r="Z30" s="406">
        <f t="shared" si="7"/>
        <v>1.287218188939621</v>
      </c>
      <c r="AA30" s="406">
        <f t="shared" si="7"/>
        <v>1.288083187688644</v>
      </c>
      <c r="AB30" s="406">
        <f t="shared" si="7"/>
        <v>1.2880713197651152</v>
      </c>
      <c r="AC30" s="406">
        <f t="shared" si="7"/>
        <v>1.292540489422745</v>
      </c>
      <c r="AD30" s="406">
        <f t="shared" si="7"/>
        <v>1.287171077771917</v>
      </c>
      <c r="AE30" s="406">
        <f t="shared" si="7"/>
        <v>1.2880366046767691</v>
      </c>
      <c r="AF30" s="406">
        <f t="shared" si="7"/>
        <v>2.0813526703853391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68291.631563196133</v>
      </c>
      <c r="C33" s="48">
        <f>C28</f>
        <v>69501.14898701651</v>
      </c>
      <c r="D33" s="48">
        <f t="shared" ref="D33:AF33" si="8">D28</f>
        <v>70877.377188429775</v>
      </c>
      <c r="E33" s="48">
        <f t="shared" si="8"/>
        <v>72379.019691087349</v>
      </c>
      <c r="F33" s="48">
        <f t="shared" si="8"/>
        <v>74002.049021423431</v>
      </c>
      <c r="G33" s="48">
        <f t="shared" si="8"/>
        <v>75794.743262465781</v>
      </c>
      <c r="H33" s="48">
        <f t="shared" si="8"/>
        <v>77756.109678729248</v>
      </c>
      <c r="I33" s="48">
        <f t="shared" si="8"/>
        <v>79914.300770811387</v>
      </c>
      <c r="J33" s="48">
        <f t="shared" si="8"/>
        <v>82248.66839489057</v>
      </c>
      <c r="K33" s="48">
        <f t="shared" si="8"/>
        <v>84816.036859707936</v>
      </c>
      <c r="L33" s="48">
        <f t="shared" si="8"/>
        <v>87619.531782115344</v>
      </c>
      <c r="M33" s="48">
        <f t="shared" si="8"/>
        <v>90694.794018624787</v>
      </c>
      <c r="N33" s="48">
        <f t="shared" si="8"/>
        <v>94022.101026950812</v>
      </c>
      <c r="O33" s="48">
        <f t="shared" si="8"/>
        <v>97670.275400787214</v>
      </c>
      <c r="P33" s="48">
        <f t="shared" si="8"/>
        <v>101648.06809728259</v>
      </c>
      <c r="Q33" s="48">
        <f t="shared" si="8"/>
        <v>106001.54307404392</v>
      </c>
      <c r="R33" s="48">
        <f t="shared" si="8"/>
        <v>110712.07686811629</v>
      </c>
      <c r="S33" s="48">
        <f t="shared" si="8"/>
        <v>115865.28202718648</v>
      </c>
      <c r="T33" s="48">
        <f t="shared" si="8"/>
        <v>121477.60979655456</v>
      </c>
      <c r="U33" s="48">
        <f t="shared" si="8"/>
        <v>127609.61115600666</v>
      </c>
      <c r="V33" s="48">
        <f t="shared" si="8"/>
        <v>135438.86810387005</v>
      </c>
      <c r="W33" s="48">
        <f t="shared" si="8"/>
        <v>146338.66292726298</v>
      </c>
      <c r="X33" s="48">
        <f t="shared" si="8"/>
        <v>159583.20848281286</v>
      </c>
      <c r="Y33" s="48">
        <f t="shared" si="8"/>
        <v>174250.29810350222</v>
      </c>
      <c r="Z33" s="48">
        <f t="shared" si="8"/>
        <v>190124.44623912938</v>
      </c>
      <c r="AA33" s="48">
        <f t="shared" si="8"/>
        <v>207397.79194495163</v>
      </c>
      <c r="AB33" s="48">
        <f t="shared" si="8"/>
        <v>226159.17881017044</v>
      </c>
      <c r="AC33" s="48">
        <f t="shared" si="8"/>
        <v>246574.80981283722</v>
      </c>
      <c r="AD33" s="48">
        <f t="shared" si="8"/>
        <v>268660.63185464568</v>
      </c>
      <c r="AE33" s="48">
        <f t="shared" si="8"/>
        <v>292685.11129601195</v>
      </c>
      <c r="AF33" s="48">
        <f t="shared" si="8"/>
        <v>318949.38631577423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-566.05403868141002</v>
      </c>
      <c r="C35" s="48">
        <f>C33-C37</f>
        <v>-686.61209713082644</v>
      </c>
      <c r="D35" s="48">
        <f t="shared" ref="D35:AF35" si="9">D33-D37</f>
        <v>-734.00506160802615</v>
      </c>
      <c r="E35" s="48">
        <f t="shared" si="9"/>
        <v>-795.27806411219353</v>
      </c>
      <c r="F35" s="48">
        <f t="shared" si="9"/>
        <v>-882.64120346933487</v>
      </c>
      <c r="G35" s="48">
        <f t="shared" si="9"/>
        <v>-964.62156545878679</v>
      </c>
      <c r="H35" s="48">
        <f t="shared" si="9"/>
        <v>-1055.3229411699576</v>
      </c>
      <c r="I35" s="48">
        <f t="shared" si="9"/>
        <v>-1143.9324118311924</v>
      </c>
      <c r="J35" s="48">
        <f t="shared" si="9"/>
        <v>-1262.5518978708569</v>
      </c>
      <c r="K35" s="48">
        <f t="shared" si="9"/>
        <v>-1377.6635362441157</v>
      </c>
      <c r="L35" s="48">
        <f t="shared" si="9"/>
        <v>-1504.2902070818236</v>
      </c>
      <c r="M35" s="48">
        <f t="shared" si="9"/>
        <v>-1630.7660389689845</v>
      </c>
      <c r="N35" s="48">
        <f t="shared" si="9"/>
        <v>-1792.7716409217828</v>
      </c>
      <c r="O35" s="48">
        <f t="shared" si="9"/>
        <v>-1953.8045678605849</v>
      </c>
      <c r="P35" s="48">
        <f t="shared" si="9"/>
        <v>-2130.2241488251457</v>
      </c>
      <c r="Q35" s="48">
        <f t="shared" si="9"/>
        <v>-2309.1277849894977</v>
      </c>
      <c r="R35" s="48">
        <f t="shared" si="9"/>
        <v>-2531.303428286119</v>
      </c>
      <c r="S35" s="48">
        <f t="shared" si="9"/>
        <v>-2755.9475944963051</v>
      </c>
      <c r="T35" s="48">
        <f t="shared" si="9"/>
        <v>-3001.3403149646911</v>
      </c>
      <c r="U35" s="48">
        <f t="shared" si="9"/>
        <v>-3252.8053359802288</v>
      </c>
      <c r="V35" s="48">
        <f t="shared" si="9"/>
        <v>-4802.6801490700745</v>
      </c>
      <c r="W35" s="48">
        <f t="shared" si="9"/>
        <v>-6381.008144258376</v>
      </c>
      <c r="X35" s="48">
        <f t="shared" si="9"/>
        <v>-7181.9528330185567</v>
      </c>
      <c r="Y35" s="48">
        <f t="shared" si="9"/>
        <v>-7784.5268001669028</v>
      </c>
      <c r="Z35" s="48">
        <f t="shared" si="9"/>
        <v>-8475.6073168582516</v>
      </c>
      <c r="AA35" s="48">
        <f t="shared" si="9"/>
        <v>-9206.5284156647103</v>
      </c>
      <c r="AB35" s="48">
        <f t="shared" si="9"/>
        <v>-9999.034701257915</v>
      </c>
      <c r="AC35" s="48">
        <f t="shared" si="9"/>
        <v>-10833.00926333078</v>
      </c>
      <c r="AD35" s="48">
        <f t="shared" si="9"/>
        <v>-11790.910069267091</v>
      </c>
      <c r="AE35" s="48">
        <f t="shared" si="9"/>
        <v>-12802.976401699183</v>
      </c>
      <c r="AF35" s="48">
        <f t="shared" si="9"/>
        <v>-3057.1783286121208</v>
      </c>
      <c r="AG35"/>
    </row>
    <row r="36" spans="1:39">
      <c r="A36" s="48" t="s">
        <v>56</v>
      </c>
      <c r="B36" s="385">
        <f>B33*(B32-Assumptions!H17)/365.25*$E$64</f>
        <v>2360.0578217835541</v>
      </c>
      <c r="C36" s="385">
        <f t="shared" ref="C36:AF36" si="10">C33*(C32-C23)/(C41-B41)*$E$64</f>
        <v>2874.7769776204987</v>
      </c>
      <c r="D36" s="385">
        <f t="shared" si="10"/>
        <v>2931.7019235679963</v>
      </c>
      <c r="E36" s="385">
        <f t="shared" si="10"/>
        <v>2985.6345622573531</v>
      </c>
      <c r="F36" s="385">
        <f t="shared" si="10"/>
        <v>3060.9477673998367</v>
      </c>
      <c r="G36" s="385">
        <f t="shared" si="10"/>
        <v>3135.0990038495265</v>
      </c>
      <c r="H36" s="385">
        <f t="shared" si="10"/>
        <v>3216.2270297934656</v>
      </c>
      <c r="I36" s="385">
        <f t="shared" si="10"/>
        <v>3296.4649067959699</v>
      </c>
      <c r="J36" s="385">
        <f t="shared" si="10"/>
        <v>3402.0527975119462</v>
      </c>
      <c r="K36" s="385">
        <f t="shared" si="10"/>
        <v>3508.2468944916181</v>
      </c>
      <c r="L36" s="385">
        <f t="shared" si="10"/>
        <v>3624.207893371196</v>
      </c>
      <c r="M36" s="385">
        <f t="shared" si="10"/>
        <v>3741.1602532682728</v>
      </c>
      <c r="N36" s="385">
        <f t="shared" si="10"/>
        <v>3889.0374527517538</v>
      </c>
      <c r="O36" s="385">
        <f t="shared" si="10"/>
        <v>4039.9369393517391</v>
      </c>
      <c r="P36" s="385">
        <f t="shared" si="10"/>
        <v>4204.4704331471885</v>
      </c>
      <c r="Q36" s="385">
        <f t="shared" si="10"/>
        <v>4372.563651804312</v>
      </c>
      <c r="R36" s="385">
        <f t="shared" si="10"/>
        <v>4579.3851520996868</v>
      </c>
      <c r="S36" s="385">
        <f t="shared" si="10"/>
        <v>4792.5372476861585</v>
      </c>
      <c r="T36" s="385">
        <f t="shared" si="10"/>
        <v>5024.680038091733</v>
      </c>
      <c r="U36" s="385">
        <f t="shared" si="10"/>
        <v>5263.8964601852749</v>
      </c>
      <c r="V36" s="385">
        <f t="shared" si="10"/>
        <v>5602.1597567073377</v>
      </c>
      <c r="W36" s="385">
        <f t="shared" si="10"/>
        <v>6053.0081192995967</v>
      </c>
      <c r="X36" s="385">
        <f t="shared" si="10"/>
        <v>6600.8424385459384</v>
      </c>
      <c r="Y36" s="385">
        <f t="shared" si="10"/>
        <v>7187.824796769467</v>
      </c>
      <c r="Z36" s="385">
        <f t="shared" si="10"/>
        <v>7864.1200742335777</v>
      </c>
      <c r="AA36" s="385">
        <f t="shared" si="10"/>
        <v>8578.5977092846788</v>
      </c>
      <c r="AB36" s="385">
        <f t="shared" si="10"/>
        <v>9354.6252111960239</v>
      </c>
      <c r="AC36" s="385">
        <f t="shared" si="10"/>
        <v>10171.210904779535</v>
      </c>
      <c r="AD36" s="385">
        <f t="shared" si="10"/>
        <v>11112.613395686336</v>
      </c>
      <c r="AE36" s="385">
        <f t="shared" si="10"/>
        <v>12106.338267922029</v>
      </c>
      <c r="AF36" s="385">
        <f t="shared" si="10"/>
        <v>2162.7389894014832</v>
      </c>
      <c r="AG36"/>
    </row>
    <row r="37" spans="1:39">
      <c r="A37" s="48" t="s">
        <v>57</v>
      </c>
      <c r="B37" s="161">
        <f>MAX(B33+B34+B36-B13,0)</f>
        <v>68857.685601877543</v>
      </c>
      <c r="C37" s="161">
        <f>MAX(C33+C34+C36-0.5*C13,0)</f>
        <v>70187.761084147336</v>
      </c>
      <c r="D37" s="161">
        <f t="shared" ref="D37:AF37" si="11">MAX(D33+D34+D36-0.5*D13,0)</f>
        <v>71611.382250037801</v>
      </c>
      <c r="E37" s="161">
        <f t="shared" si="11"/>
        <v>73174.297755199543</v>
      </c>
      <c r="F37" s="161">
        <f t="shared" si="11"/>
        <v>74884.690224892765</v>
      </c>
      <c r="G37" s="161">
        <f t="shared" si="11"/>
        <v>76759.364827924568</v>
      </c>
      <c r="H37" s="161">
        <f t="shared" si="11"/>
        <v>78811.432619899206</v>
      </c>
      <c r="I37" s="161">
        <f t="shared" si="11"/>
        <v>81058.23318264258</v>
      </c>
      <c r="J37" s="161">
        <f t="shared" si="11"/>
        <v>83511.220292761427</v>
      </c>
      <c r="K37" s="161">
        <f t="shared" si="11"/>
        <v>86193.700395952052</v>
      </c>
      <c r="L37" s="161">
        <f t="shared" si="11"/>
        <v>89123.821989197168</v>
      </c>
      <c r="M37" s="161">
        <f t="shared" si="11"/>
        <v>92325.560057593771</v>
      </c>
      <c r="N37" s="161">
        <f t="shared" si="11"/>
        <v>95814.872667872594</v>
      </c>
      <c r="O37" s="161">
        <f t="shared" si="11"/>
        <v>99624.079968647799</v>
      </c>
      <c r="P37" s="161">
        <f t="shared" si="11"/>
        <v>103778.29224610774</v>
      </c>
      <c r="Q37" s="161">
        <f t="shared" si="11"/>
        <v>108310.67085903342</v>
      </c>
      <c r="R37" s="161">
        <f t="shared" si="11"/>
        <v>113243.38029640241</v>
      </c>
      <c r="S37" s="161">
        <f t="shared" si="11"/>
        <v>118621.22962168278</v>
      </c>
      <c r="T37" s="161">
        <f t="shared" si="11"/>
        <v>124478.95011151925</v>
      </c>
      <c r="U37" s="161">
        <f t="shared" si="11"/>
        <v>130862.41649198689</v>
      </c>
      <c r="V37" s="161">
        <f t="shared" si="11"/>
        <v>140241.54825294012</v>
      </c>
      <c r="W37" s="161">
        <f t="shared" si="11"/>
        <v>152719.67107152136</v>
      </c>
      <c r="X37" s="161">
        <f t="shared" si="11"/>
        <v>166765.16131583141</v>
      </c>
      <c r="Y37" s="161">
        <f t="shared" si="11"/>
        <v>182034.82490366913</v>
      </c>
      <c r="Z37" s="161">
        <f t="shared" si="11"/>
        <v>198600.05355598763</v>
      </c>
      <c r="AA37" s="161">
        <f t="shared" si="11"/>
        <v>216604.32036061634</v>
      </c>
      <c r="AB37" s="161">
        <f t="shared" si="11"/>
        <v>236158.21351142836</v>
      </c>
      <c r="AC37" s="161">
        <f t="shared" si="11"/>
        <v>257407.819076168</v>
      </c>
      <c r="AD37" s="161">
        <f t="shared" si="11"/>
        <v>280451.54192391277</v>
      </c>
      <c r="AE37" s="161">
        <f t="shared" si="11"/>
        <v>305488.08769771113</v>
      </c>
      <c r="AF37" s="161">
        <f t="shared" si="11"/>
        <v>322006.56464438635</v>
      </c>
      <c r="AG37"/>
    </row>
    <row r="38" spans="1:39">
      <c r="A38" s="48" t="s">
        <v>323</v>
      </c>
      <c r="B38" s="161">
        <f>(B32-Assumptions!H17)/(Debt!B41-Assumptions!H17)*IS!C33</f>
        <v>2332.2049180327881</v>
      </c>
      <c r="C38" s="161">
        <f>(C32-C23)/(C41-B41)*IS!D33</f>
        <v>2873.3005479452036</v>
      </c>
      <c r="D38" s="161">
        <f>(D32-D23)/(D41-C41)*IS!E33</f>
        <v>2862.0212301369875</v>
      </c>
      <c r="E38" s="161">
        <f>(E32-E23)/(E41-D41)*IS!F33</f>
        <v>2842.6461449999997</v>
      </c>
      <c r="F38" s="161">
        <f>(F32-F23)/(F41-E41)*IS!G33</f>
        <v>2838.53089023041</v>
      </c>
      <c r="G38" s="161">
        <f>(G32-G23)/(G41-F41)*IS!H33</f>
        <v>2826.3023875012682</v>
      </c>
      <c r="H38" s="161">
        <f>(H32-H23)/(H41-G41)*IS!I33</f>
        <v>2813.7395916220785</v>
      </c>
      <c r="I38" s="161">
        <f>(I32-I23)/(I41-H41)*IS!J33</f>
        <v>2793.1805755150181</v>
      </c>
      <c r="J38" s="161">
        <f>(J32-J23)/(J41-I41)*IS!K33</f>
        <v>2787.5733418881928</v>
      </c>
      <c r="K38" s="161">
        <f>(K32-K23)/(K41-J41)*IS!L33</f>
        <v>2773.9503202274987</v>
      </c>
      <c r="L38" s="161">
        <f>(L32-L23)/(L41-K41)*IS!M33</f>
        <v>2759.9538539991809</v>
      </c>
      <c r="M38" s="161">
        <f>(M32-M23)/(M41-L41)*IS!N33</f>
        <v>2738.0718779988229</v>
      </c>
      <c r="N38" s="161">
        <f>(N32-N23)/(N41-M41)*IS!O33</f>
        <v>2730.7982933241224</v>
      </c>
      <c r="O38" s="161">
        <f>(O32-O23)/(O41-N41)*IS!P33</f>
        <v>2715.6172907408754</v>
      </c>
      <c r="P38" s="161">
        <f>(P32-P23)/(P41-O41)*IS!Q33</f>
        <v>2700.0190095730172</v>
      </c>
      <c r="Q38" s="161">
        <f>(Q32-Q23)/(Q41-P41)*IS!R33</f>
        <v>2676.6583838521738</v>
      </c>
      <c r="R38" s="161">
        <f>(R32-R23)/(R41-Q41)*IS!S33</f>
        <v>2667.5232527735157</v>
      </c>
      <c r="S38" s="161">
        <f>(S32-S23)/(S41-R41)*IS!T33</f>
        <v>2650.6012444720504</v>
      </c>
      <c r="T38" s="161">
        <f>(T32-T23)/(T41-S41)*IS!U33</f>
        <v>2633.212872324395</v>
      </c>
      <c r="U38" s="161">
        <f>(U32-U23)/(U41-T41)*IS!V33</f>
        <v>2608.1992200553987</v>
      </c>
      <c r="V38" s="161">
        <f>(V32-V23)/(V41-U41)*IS!W33</f>
        <v>522.06667258676168</v>
      </c>
      <c r="W38" s="161">
        <f>(W32-W23)/(W41-V41)*IS!X33</f>
        <v>-742.95795284958922</v>
      </c>
      <c r="X38" s="161">
        <f>(X32-X23)/(X41-W41)*IS!Y33</f>
        <v>-762.34727000274722</v>
      </c>
      <c r="Y38" s="161">
        <f>(Y32-Y23)/(Y41-X41)*IS!Z33</f>
        <v>-780.13531507726066</v>
      </c>
      <c r="Z38" s="161">
        <f>(Z32-Z23)/(Z41-Y41)*IS!AA33</f>
        <v>-802.74932981310883</v>
      </c>
      <c r="AA38" s="161">
        <f>(AA32-AA23)/(AA41-Z41)*IS!AB33</f>
        <v>-823.79285066650993</v>
      </c>
      <c r="AB38" s="161">
        <f>(AB32-AB23)/(AB41-AA41)*IS!AC33</f>
        <v>-845.41929182770696</v>
      </c>
      <c r="AC38" s="161">
        <f>(AC32-AC23)/(AC41-AB41)*IS!AD33</f>
        <v>-865.2745579722573</v>
      </c>
      <c r="AD38" s="161">
        <f>(AD32-AD23)/(AD41-AC41)*IS!AE33</f>
        <v>-890.48749092796083</v>
      </c>
      <c r="AE38" s="161">
        <f>(AE32-AE23)/(AE41-AD41)*IS!AF33</f>
        <v>-913.96373130185532</v>
      </c>
      <c r="AF38" s="161">
        <f>(AF32-AF23)/(AG23-AE41)*IS!AG33</f>
        <v>-463.89857478384971</v>
      </c>
      <c r="AG38"/>
    </row>
    <row r="39" spans="1:39">
      <c r="A39" s="405" t="s">
        <v>0</v>
      </c>
      <c r="B39" s="406">
        <f t="shared" ref="B39:AF39" si="12">IF(B37&gt;0.1,B38/(B36+B35)," ")</f>
        <v>1.3000000000000005</v>
      </c>
      <c r="C39" s="406">
        <f t="shared" si="12"/>
        <v>1.3131097083059893</v>
      </c>
      <c r="D39" s="406">
        <f t="shared" si="12"/>
        <v>1.3022820752378712</v>
      </c>
      <c r="E39" s="406">
        <f t="shared" si="12"/>
        <v>1.2978006764685168</v>
      </c>
      <c r="F39" s="406">
        <f t="shared" si="12"/>
        <v>1.3030906380360943</v>
      </c>
      <c r="G39" s="406">
        <f t="shared" si="12"/>
        <v>1.3021569989673689</v>
      </c>
      <c r="H39" s="406">
        <f t="shared" si="12"/>
        <v>1.3021122068469155</v>
      </c>
      <c r="I39" s="406">
        <f t="shared" si="12"/>
        <v>1.2976252772252452</v>
      </c>
      <c r="J39" s="406">
        <f t="shared" si="12"/>
        <v>1.3029082354467907</v>
      </c>
      <c r="K39" s="406">
        <f t="shared" si="12"/>
        <v>1.3019675149012679</v>
      </c>
      <c r="L39" s="406">
        <f t="shared" si="12"/>
        <v>1.3019155752363691</v>
      </c>
      <c r="M39" s="406">
        <f t="shared" si="12"/>
        <v>1.2974219979597232</v>
      </c>
      <c r="N39" s="406">
        <f t="shared" si="12"/>
        <v>1.3026965749826476</v>
      </c>
      <c r="O39" s="406">
        <f t="shared" si="12"/>
        <v>1.3017473521106282</v>
      </c>
      <c r="P39" s="406">
        <f t="shared" si="12"/>
        <v>1.3016868006373241</v>
      </c>
      <c r="Q39" s="406">
        <f t="shared" si="12"/>
        <v>1.2971851594224488</v>
      </c>
      <c r="R39" s="406">
        <f t="shared" si="12"/>
        <v>1.3024496150507783</v>
      </c>
      <c r="S39" s="406">
        <f t="shared" si="12"/>
        <v>1.3014900867833086</v>
      </c>
      <c r="T39" s="406">
        <f t="shared" si="12"/>
        <v>1.3014190559432122</v>
      </c>
      <c r="U39" s="406">
        <f t="shared" si="12"/>
        <v>1.2969075287855891</v>
      </c>
      <c r="V39" s="406">
        <f t="shared" si="12"/>
        <v>0.65300811627909816</v>
      </c>
      <c r="W39" s="406">
        <f t="shared" si="12"/>
        <v>2.2651155375459466</v>
      </c>
      <c r="X39" s="406">
        <f t="shared" si="12"/>
        <v>1.3118802851472118</v>
      </c>
      <c r="Y39" s="406">
        <f t="shared" si="12"/>
        <v>1.3074119252749488</v>
      </c>
      <c r="Z39" s="406">
        <f t="shared" si="12"/>
        <v>1.3127818110603333</v>
      </c>
      <c r="AA39" s="406">
        <f t="shared" si="12"/>
        <v>1.3119168123113574</v>
      </c>
      <c r="AB39" s="406">
        <f t="shared" si="12"/>
        <v>1.311928680234846</v>
      </c>
      <c r="AC39" s="406">
        <f t="shared" si="12"/>
        <v>1.3074595105772793</v>
      </c>
      <c r="AD39" s="406">
        <f t="shared" si="12"/>
        <v>1.3128289222281486</v>
      </c>
      <c r="AE39" s="406">
        <f t="shared" si="12"/>
        <v>1.3119633953231455</v>
      </c>
      <c r="AF39" s="406">
        <f t="shared" si="12"/>
        <v>0.51864732961460569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68857.685601877543</v>
      </c>
      <c r="C42" s="48">
        <f>C37</f>
        <v>70187.761084147336</v>
      </c>
      <c r="D42" s="48">
        <f t="shared" ref="D42:AF42" si="14">D37</f>
        <v>71611.382250037801</v>
      </c>
      <c r="E42" s="48">
        <f t="shared" si="14"/>
        <v>73174.297755199543</v>
      </c>
      <c r="F42" s="48">
        <f t="shared" si="14"/>
        <v>74884.690224892765</v>
      </c>
      <c r="G42" s="48">
        <f t="shared" si="14"/>
        <v>76759.364827924568</v>
      </c>
      <c r="H42" s="48">
        <f t="shared" si="14"/>
        <v>78811.432619899206</v>
      </c>
      <c r="I42" s="48">
        <f t="shared" si="14"/>
        <v>81058.23318264258</v>
      </c>
      <c r="J42" s="48">
        <f t="shared" si="14"/>
        <v>83511.220292761427</v>
      </c>
      <c r="K42" s="48">
        <f t="shared" si="14"/>
        <v>86193.700395952052</v>
      </c>
      <c r="L42" s="48">
        <f t="shared" si="14"/>
        <v>89123.821989197168</v>
      </c>
      <c r="M42" s="48">
        <f t="shared" si="14"/>
        <v>92325.560057593771</v>
      </c>
      <c r="N42" s="48">
        <f t="shared" si="14"/>
        <v>95814.872667872594</v>
      </c>
      <c r="O42" s="48">
        <f t="shared" si="14"/>
        <v>99624.079968647799</v>
      </c>
      <c r="P42" s="48">
        <f t="shared" si="14"/>
        <v>103778.29224610774</v>
      </c>
      <c r="Q42" s="48">
        <f t="shared" si="14"/>
        <v>108310.67085903342</v>
      </c>
      <c r="R42" s="48">
        <f t="shared" si="14"/>
        <v>113243.38029640241</v>
      </c>
      <c r="S42" s="48">
        <f t="shared" si="14"/>
        <v>118621.22962168278</v>
      </c>
      <c r="T42" s="48">
        <f t="shared" si="14"/>
        <v>124478.95011151925</v>
      </c>
      <c r="U42" s="48">
        <f t="shared" si="14"/>
        <v>130862.41649198689</v>
      </c>
      <c r="V42" s="48">
        <f t="shared" si="14"/>
        <v>140241.54825294012</v>
      </c>
      <c r="W42" s="48">
        <f t="shared" si="14"/>
        <v>152719.67107152136</v>
      </c>
      <c r="X42" s="48">
        <f t="shared" si="14"/>
        <v>166765.16131583141</v>
      </c>
      <c r="Y42" s="48">
        <f t="shared" si="14"/>
        <v>182034.82490366913</v>
      </c>
      <c r="Z42" s="48">
        <f t="shared" si="14"/>
        <v>198600.05355598763</v>
      </c>
      <c r="AA42" s="48">
        <f t="shared" si="14"/>
        <v>216604.32036061634</v>
      </c>
      <c r="AB42" s="48">
        <f t="shared" si="14"/>
        <v>236158.21351142836</v>
      </c>
      <c r="AC42" s="48">
        <f t="shared" si="14"/>
        <v>257407.819076168</v>
      </c>
      <c r="AD42" s="48">
        <f t="shared" si="14"/>
        <v>280451.54192391277</v>
      </c>
      <c r="AE42" s="48">
        <f t="shared" si="14"/>
        <v>305488.08769771113</v>
      </c>
      <c r="AF42" s="48">
        <f t="shared" si="14"/>
        <v>322006.56464438635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1415.3294309544028</v>
      </c>
      <c r="C44" s="385">
        <f t="shared" ref="C44:AF44" si="15">C42*(C41-C32)/(C41-B41)*$E$64</f>
        <v>1443.6564831211949</v>
      </c>
      <c r="D44" s="385">
        <f t="shared" si="15"/>
        <v>1472.9382253209831</v>
      </c>
      <c r="E44" s="385">
        <f t="shared" si="15"/>
        <v>1500.9727879703844</v>
      </c>
      <c r="F44" s="385">
        <f t="shared" si="15"/>
        <v>1540.2652379818699</v>
      </c>
      <c r="G44" s="385">
        <f t="shared" si="15"/>
        <v>1578.8244697140924</v>
      </c>
      <c r="H44" s="385">
        <f t="shared" si="15"/>
        <v>1621.0324120380637</v>
      </c>
      <c r="I44" s="385">
        <f t="shared" si="15"/>
        <v>1662.6903978652711</v>
      </c>
      <c r="J44" s="385">
        <f t="shared" si="15"/>
        <v>1717.6999625970041</v>
      </c>
      <c r="K44" s="385">
        <f t="shared" si="15"/>
        <v>1772.8745362263289</v>
      </c>
      <c r="L44" s="385">
        <f t="shared" si="15"/>
        <v>1833.1427221476652</v>
      </c>
      <c r="M44" s="385">
        <f t="shared" si="15"/>
        <v>1893.8091315092495</v>
      </c>
      <c r="N44" s="385">
        <f t="shared" si="15"/>
        <v>1970.7675522028865</v>
      </c>
      <c r="O44" s="385">
        <f t="shared" si="15"/>
        <v>2049.1172064784205</v>
      </c>
      <c r="P44" s="385">
        <f t="shared" si="15"/>
        <v>2134.5630932538465</v>
      </c>
      <c r="Q44" s="385">
        <f t="shared" si="15"/>
        <v>2221.7004411863209</v>
      </c>
      <c r="R44" s="385">
        <f t="shared" si="15"/>
        <v>2329.2456919869619</v>
      </c>
      <c r="S44" s="385">
        <f t="shared" si="15"/>
        <v>2439.8599489994072</v>
      </c>
      <c r="T44" s="385">
        <f t="shared" si="15"/>
        <v>2560.3444327732354</v>
      </c>
      <c r="U44" s="385">
        <f t="shared" si="15"/>
        <v>2684.2885022229279</v>
      </c>
      <c r="V44" s="385">
        <f t="shared" si="15"/>
        <v>2884.5573246820495</v>
      </c>
      <c r="W44" s="385">
        <f t="shared" si="15"/>
        <v>3141.213508409443</v>
      </c>
      <c r="X44" s="385">
        <f t="shared" si="15"/>
        <v>3430.1080782975459</v>
      </c>
      <c r="Y44" s="385">
        <f t="shared" si="15"/>
        <v>3733.9520436182952</v>
      </c>
      <c r="Z44" s="385">
        <f t="shared" si="15"/>
        <v>4084.9038412919917</v>
      </c>
      <c r="AA44" s="385">
        <f t="shared" si="15"/>
        <v>4455.2244797461026</v>
      </c>
      <c r="AB44" s="385">
        <f t="shared" si="15"/>
        <v>4857.4185970878043</v>
      </c>
      <c r="AC44" s="385">
        <f t="shared" si="15"/>
        <v>5280.0251412959879</v>
      </c>
      <c r="AD44" s="385">
        <f t="shared" si="15"/>
        <v>5768.4656191610284</v>
      </c>
      <c r="AE44" s="385">
        <f t="shared" si="15"/>
        <v>6283.4296394262092</v>
      </c>
      <c r="AF44" s="385">
        <f t="shared" si="15"/>
        <v>17758.882592579444</v>
      </c>
    </row>
    <row r="45" spans="1:39">
      <c r="A45" s="48" t="s">
        <v>57</v>
      </c>
      <c r="B45" s="48">
        <f>B42+B43</f>
        <v>68857.685601877543</v>
      </c>
      <c r="C45" s="48">
        <f t="shared" ref="C45:AF45" si="16">C42+C43</f>
        <v>70187.761084147336</v>
      </c>
      <c r="D45" s="48">
        <f t="shared" si="16"/>
        <v>71611.382250037801</v>
      </c>
      <c r="E45" s="48">
        <f t="shared" si="16"/>
        <v>73174.297755199543</v>
      </c>
      <c r="F45" s="48">
        <f t="shared" si="16"/>
        <v>74884.690224892765</v>
      </c>
      <c r="G45" s="48">
        <f t="shared" si="16"/>
        <v>76759.364827924568</v>
      </c>
      <c r="H45" s="48">
        <f t="shared" si="16"/>
        <v>78811.432619899206</v>
      </c>
      <c r="I45" s="48">
        <f t="shared" si="16"/>
        <v>81058.23318264258</v>
      </c>
      <c r="J45" s="48">
        <f t="shared" si="16"/>
        <v>83511.220292761427</v>
      </c>
      <c r="K45" s="48">
        <f t="shared" si="16"/>
        <v>86193.700395952052</v>
      </c>
      <c r="L45" s="48">
        <f t="shared" si="16"/>
        <v>89123.821989197168</v>
      </c>
      <c r="M45" s="48">
        <f t="shared" si="16"/>
        <v>92325.560057593771</v>
      </c>
      <c r="N45" s="48">
        <f t="shared" si="16"/>
        <v>95814.872667872594</v>
      </c>
      <c r="O45" s="48">
        <f t="shared" si="16"/>
        <v>99624.079968647799</v>
      </c>
      <c r="P45" s="48">
        <f t="shared" si="16"/>
        <v>103778.29224610774</v>
      </c>
      <c r="Q45" s="48">
        <f t="shared" si="16"/>
        <v>108310.67085903342</v>
      </c>
      <c r="R45" s="48">
        <f t="shared" si="16"/>
        <v>113243.38029640241</v>
      </c>
      <c r="S45" s="48">
        <f t="shared" si="16"/>
        <v>118621.22962168278</v>
      </c>
      <c r="T45" s="48">
        <f t="shared" si="16"/>
        <v>124478.95011151925</v>
      </c>
      <c r="U45" s="48">
        <f t="shared" si="16"/>
        <v>130862.41649198689</v>
      </c>
      <c r="V45" s="48">
        <f t="shared" si="16"/>
        <v>140241.54825294012</v>
      </c>
      <c r="W45" s="48">
        <f t="shared" si="16"/>
        <v>152719.67107152136</v>
      </c>
      <c r="X45" s="48">
        <f t="shared" si="16"/>
        <v>166765.16131583141</v>
      </c>
      <c r="Y45" s="48">
        <f t="shared" si="16"/>
        <v>182034.82490366913</v>
      </c>
      <c r="Z45" s="48">
        <f t="shared" si="16"/>
        <v>198600.05355598763</v>
      </c>
      <c r="AA45" s="48">
        <f t="shared" si="16"/>
        <v>216604.32036061634</v>
      </c>
      <c r="AB45" s="48">
        <f t="shared" si="16"/>
        <v>236158.21351142836</v>
      </c>
      <c r="AC45" s="48">
        <f t="shared" si="16"/>
        <v>257407.819076168</v>
      </c>
      <c r="AD45" s="48">
        <f t="shared" si="16"/>
        <v>280451.54192391277</v>
      </c>
      <c r="AE45" s="48">
        <f t="shared" si="16"/>
        <v>305488.08769771113</v>
      </c>
      <c r="AF45" s="48">
        <f t="shared" si="16"/>
        <v>322006.56464438635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-566.05403868141002</v>
      </c>
      <c r="C48" s="161">
        <f t="shared" ref="C48:AF48" si="17">SUM(C35,C26)</f>
        <v>-1330.0754822697927</v>
      </c>
      <c r="D48" s="161">
        <f t="shared" si="17"/>
        <v>-1423.6211658904649</v>
      </c>
      <c r="E48" s="161">
        <f t="shared" si="17"/>
        <v>-1562.9155051617417</v>
      </c>
      <c r="F48" s="161">
        <f t="shared" si="17"/>
        <v>-1710.3924696932227</v>
      </c>
      <c r="G48" s="161">
        <f t="shared" si="17"/>
        <v>-1874.6746030318027</v>
      </c>
      <c r="H48" s="161">
        <f t="shared" si="17"/>
        <v>-2052.0677919746377</v>
      </c>
      <c r="I48" s="161">
        <f t="shared" si="17"/>
        <v>-2246.800562743374</v>
      </c>
      <c r="J48" s="161">
        <f t="shared" si="17"/>
        <v>-2452.9871101188473</v>
      </c>
      <c r="K48" s="161">
        <f t="shared" si="17"/>
        <v>-2682.4801031906245</v>
      </c>
      <c r="L48" s="161">
        <f t="shared" si="17"/>
        <v>-2930.1215932451159</v>
      </c>
      <c r="M48" s="161">
        <f t="shared" si="17"/>
        <v>-3201.7380683966039</v>
      </c>
      <c r="N48" s="161">
        <f t="shared" si="17"/>
        <v>-3489.3126102788228</v>
      </c>
      <c r="O48" s="161">
        <f t="shared" si="17"/>
        <v>-3809.2073007752042</v>
      </c>
      <c r="P48" s="161">
        <f t="shared" si="17"/>
        <v>-4154.2122774599411</v>
      </c>
      <c r="Q48" s="161">
        <f t="shared" si="17"/>
        <v>-4532.3786129256769</v>
      </c>
      <c r="R48" s="161">
        <f t="shared" si="17"/>
        <v>-4932.7094373689906</v>
      </c>
      <c r="S48" s="161">
        <f t="shared" si="17"/>
        <v>-5377.8493252803746</v>
      </c>
      <c r="T48" s="161">
        <f t="shared" si="17"/>
        <v>-5857.7204898364726</v>
      </c>
      <c r="U48" s="161">
        <f t="shared" si="17"/>
        <v>-6383.4663804676384</v>
      </c>
      <c r="V48" s="161">
        <f t="shared" si="17"/>
        <v>-9379.1317609532271</v>
      </c>
      <c r="W48" s="161">
        <f t="shared" si="17"/>
        <v>-12478.122818581236</v>
      </c>
      <c r="X48" s="161">
        <f t="shared" si="17"/>
        <v>-14045.490244310058</v>
      </c>
      <c r="Y48" s="161">
        <f t="shared" si="17"/>
        <v>-15269.663587837713</v>
      </c>
      <c r="Z48" s="161">
        <f t="shared" si="17"/>
        <v>-16565.228652318503</v>
      </c>
      <c r="AA48" s="161">
        <f t="shared" si="17"/>
        <v>-18004.266804628714</v>
      </c>
      <c r="AB48" s="161">
        <f t="shared" si="17"/>
        <v>-19553.893150812015</v>
      </c>
      <c r="AC48" s="161">
        <f t="shared" si="17"/>
        <v>-21249.605564739642</v>
      </c>
      <c r="AD48" s="161">
        <f t="shared" si="17"/>
        <v>-23043.722847744764</v>
      </c>
      <c r="AE48" s="161">
        <f t="shared" si="17"/>
        <v>-25036.545773798367</v>
      </c>
      <c r="AF48" s="161">
        <f t="shared" si="17"/>
        <v>-16518.476946675219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2360.0578217835541</v>
      </c>
      <c r="C49" s="385">
        <f t="shared" ref="C49:AF49" si="18">C27+C36+B44</f>
        <v>5706.4052432491362</v>
      </c>
      <c r="D49" s="385">
        <f t="shared" si="18"/>
        <v>5819.0148898103853</v>
      </c>
      <c r="E49" s="385">
        <f t="shared" si="18"/>
        <v>5943.6285014520718</v>
      </c>
      <c r="F49" s="385">
        <f t="shared" si="18"/>
        <v>6067.0055975542227</v>
      </c>
      <c r="G49" s="385">
        <f t="shared" si="18"/>
        <v>6215.6294798132667</v>
      </c>
      <c r="H49" s="385">
        <f t="shared" si="18"/>
        <v>6373.8759692216508</v>
      </c>
      <c r="I49" s="385">
        <f t="shared" si="18"/>
        <v>6551.8655526729272</v>
      </c>
      <c r="J49" s="385">
        <f t="shared" si="18"/>
        <v>6731.9889094010232</v>
      </c>
      <c r="K49" s="385">
        <f t="shared" si="18"/>
        <v>6943.6468196856258</v>
      </c>
      <c r="L49" s="385">
        <f t="shared" si="18"/>
        <v>7169.9569658238543</v>
      </c>
      <c r="M49" s="385">
        <f t="shared" si="18"/>
        <v>7422.5264969951904</v>
      </c>
      <c r="N49" s="385">
        <f t="shared" si="18"/>
        <v>7681.8442339387711</v>
      </c>
      <c r="O49" s="385">
        <f t="shared" si="18"/>
        <v>7981.4720437575124</v>
      </c>
      <c r="P49" s="385">
        <f t="shared" si="18"/>
        <v>8302.7048461040285</v>
      </c>
      <c r="Q49" s="385">
        <f t="shared" si="18"/>
        <v>8659.2503465553109</v>
      </c>
      <c r="R49" s="385">
        <f t="shared" si="18"/>
        <v>9028.8728849961262</v>
      </c>
      <c r="S49" s="385">
        <f t="shared" si="18"/>
        <v>9451.0286316600832</v>
      </c>
      <c r="T49" s="385">
        <f t="shared" si="18"/>
        <v>9904.3999360905473</v>
      </c>
      <c r="U49" s="385">
        <f t="shared" si="18"/>
        <v>10405.648628877721</v>
      </c>
      <c r="V49" s="385">
        <f t="shared" si="18"/>
        <v>10978.090976227777</v>
      </c>
      <c r="W49" s="385">
        <f t="shared" si="18"/>
        <v>11822.122768663696</v>
      </c>
      <c r="X49" s="385">
        <f t="shared" si="18"/>
        <v>12883.269455364823</v>
      </c>
      <c r="Y49" s="385">
        <f t="shared" si="18"/>
        <v>14076.259581042861</v>
      </c>
      <c r="Z49" s="385">
        <f t="shared" si="18"/>
        <v>15342.254167069123</v>
      </c>
      <c r="AA49" s="385">
        <f t="shared" si="18"/>
        <v>16748.405391868662</v>
      </c>
      <c r="AB49" s="385">
        <f t="shared" si="18"/>
        <v>18265.074170688229</v>
      </c>
      <c r="AC49" s="385">
        <f t="shared" si="18"/>
        <v>19926.008847637124</v>
      </c>
      <c r="AD49" s="385">
        <f t="shared" si="18"/>
        <v>21687.129500583233</v>
      </c>
      <c r="AE49" s="385">
        <f t="shared" si="18"/>
        <v>23643.269506244083</v>
      </c>
      <c r="AF49" s="385">
        <f t="shared" si="18"/>
        <v>14729.598268253902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1794.0037831021441</v>
      </c>
      <c r="C50" s="49">
        <f t="shared" si="19"/>
        <v>4376.3297609793435</v>
      </c>
      <c r="D50" s="49">
        <f t="shared" si="19"/>
        <v>4395.3937239199204</v>
      </c>
      <c r="E50" s="49">
        <f t="shared" si="19"/>
        <v>4380.71299629033</v>
      </c>
      <c r="F50" s="49">
        <f t="shared" si="19"/>
        <v>4356.6131278610001</v>
      </c>
      <c r="G50" s="49">
        <f t="shared" si="19"/>
        <v>4340.954876781464</v>
      </c>
      <c r="H50" s="49">
        <f t="shared" si="19"/>
        <v>4321.8081772470132</v>
      </c>
      <c r="I50" s="49">
        <f t="shared" si="19"/>
        <v>4305.0649899295531</v>
      </c>
      <c r="J50" s="49">
        <f t="shared" si="19"/>
        <v>4279.0017992821759</v>
      </c>
      <c r="K50" s="49">
        <f t="shared" si="19"/>
        <v>4261.1667164950013</v>
      </c>
      <c r="L50" s="49">
        <f t="shared" si="19"/>
        <v>4239.8353725787383</v>
      </c>
      <c r="M50" s="49">
        <f t="shared" si="19"/>
        <v>4220.7884285985865</v>
      </c>
      <c r="N50" s="49">
        <f t="shared" si="19"/>
        <v>4192.5316236599483</v>
      </c>
      <c r="O50" s="49">
        <f t="shared" si="19"/>
        <v>4172.2647429823082</v>
      </c>
      <c r="P50" s="49">
        <f t="shared" si="19"/>
        <v>4148.4925686440874</v>
      </c>
      <c r="Q50" s="49">
        <f t="shared" si="19"/>
        <v>4126.871733629634</v>
      </c>
      <c r="R50" s="49">
        <f t="shared" si="19"/>
        <v>4096.1634476271356</v>
      </c>
      <c r="S50" s="49">
        <f t="shared" si="19"/>
        <v>4073.1793063797086</v>
      </c>
      <c r="T50" s="49">
        <f t="shared" si="19"/>
        <v>4046.6794462540747</v>
      </c>
      <c r="U50" s="49">
        <f t="shared" si="19"/>
        <v>4022.182248410083</v>
      </c>
      <c r="V50" s="49">
        <f t="shared" si="19"/>
        <v>1598.9592152745499</v>
      </c>
      <c r="W50" s="49">
        <f t="shared" si="19"/>
        <v>-656.00004991754031</v>
      </c>
      <c r="X50" s="49">
        <f t="shared" si="19"/>
        <v>-1162.2207889452347</v>
      </c>
      <c r="Y50" s="49">
        <f t="shared" si="19"/>
        <v>-1193.4040067948517</v>
      </c>
      <c r="Z50" s="49">
        <f t="shared" si="19"/>
        <v>-1222.9744852493805</v>
      </c>
      <c r="AA50" s="49">
        <f t="shared" si="19"/>
        <v>-1255.8614127600522</v>
      </c>
      <c r="AB50" s="49">
        <f t="shared" si="19"/>
        <v>-1288.8189801237859</v>
      </c>
      <c r="AC50" s="49">
        <f t="shared" si="19"/>
        <v>-1323.5967171025186</v>
      </c>
      <c r="AD50" s="49">
        <f t="shared" si="19"/>
        <v>-1356.5933471615317</v>
      </c>
      <c r="AE50" s="49">
        <f t="shared" si="19"/>
        <v>-1393.2762675542835</v>
      </c>
      <c r="AF50" s="49">
        <f t="shared" si="19"/>
        <v>-1788.8786784213171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1.3000000000000005</v>
      </c>
      <c r="C52" s="403">
        <f t="shared" ref="C52:AF52" si="20">IF(C33&gt;0.1,(C38+C29)/C50," ")</f>
        <v>1.3</v>
      </c>
      <c r="D52" s="403">
        <f t="shared" si="20"/>
        <v>1.2999999999999987</v>
      </c>
      <c r="E52" s="403">
        <f t="shared" si="20"/>
        <v>1.2999999999999954</v>
      </c>
      <c r="F52" s="403">
        <f t="shared" si="20"/>
        <v>1.3000000000000003</v>
      </c>
      <c r="G52" s="403">
        <f t="shared" si="20"/>
        <v>1.3000000000000056</v>
      </c>
      <c r="H52" s="403">
        <f t="shared" si="20"/>
        <v>1.3000000000000005</v>
      </c>
      <c r="I52" s="403">
        <f t="shared" si="20"/>
        <v>1.299999999999998</v>
      </c>
      <c r="J52" s="403">
        <f t="shared" si="20"/>
        <v>1.3000000000000023</v>
      </c>
      <c r="K52" s="403">
        <f t="shared" si="20"/>
        <v>1.2999999999999992</v>
      </c>
      <c r="L52" s="403">
        <f t="shared" si="20"/>
        <v>1.2999999999999949</v>
      </c>
      <c r="M52" s="403">
        <f t="shared" si="20"/>
        <v>1.2999999999999974</v>
      </c>
      <c r="N52" s="403">
        <f t="shared" si="20"/>
        <v>1.3000000000000009</v>
      </c>
      <c r="O52" s="403">
        <f t="shared" si="20"/>
        <v>1.3000000000000049</v>
      </c>
      <c r="P52" s="464">
        <f t="shared" si="20"/>
        <v>1.2999999999999974</v>
      </c>
      <c r="Q52" s="403">
        <f t="shared" si="20"/>
        <v>1.3000000000000032</v>
      </c>
      <c r="R52" s="403">
        <f t="shared" si="20"/>
        <v>1.299999999999994</v>
      </c>
      <c r="S52" s="403">
        <f t="shared" si="20"/>
        <v>1.2999999999999987</v>
      </c>
      <c r="T52" s="403">
        <f t="shared" si="20"/>
        <v>1.2999999999999952</v>
      </c>
      <c r="U52" s="403">
        <f t="shared" si="20"/>
        <v>1.2999999999999945</v>
      </c>
      <c r="V52" s="403">
        <f t="shared" si="20"/>
        <v>1.2999999999999949</v>
      </c>
      <c r="W52" s="403">
        <f t="shared" si="20"/>
        <v>1.3000000000000775</v>
      </c>
      <c r="X52" s="403">
        <f t="shared" si="20"/>
        <v>1.2999999999999718</v>
      </c>
      <c r="Y52" s="403">
        <f t="shared" si="20"/>
        <v>1.3000000000000065</v>
      </c>
      <c r="Z52" s="403">
        <f t="shared" si="20"/>
        <v>1.2999999999999772</v>
      </c>
      <c r="AA52" s="403">
        <f t="shared" si="20"/>
        <v>1.3000000000000009</v>
      </c>
      <c r="AB52" s="403">
        <f t="shared" si="20"/>
        <v>1.2999999999999807</v>
      </c>
      <c r="AC52" s="403">
        <f t="shared" si="20"/>
        <v>1.300000000000012</v>
      </c>
      <c r="AD52" s="403">
        <f t="shared" si="20"/>
        <v>1.3000000000000334</v>
      </c>
      <c r="AE52" s="403">
        <f t="shared" si="20"/>
        <v>1.2999999999999559</v>
      </c>
      <c r="AF52" s="464">
        <f t="shared" si="20"/>
        <v>1.2999999999999907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-566.05403868141002</v>
      </c>
      <c r="C56" s="161">
        <f t="shared" si="21"/>
        <v>-1330.0754822697927</v>
      </c>
      <c r="D56" s="161">
        <f t="shared" si="21"/>
        <v>-1423.6211658904649</v>
      </c>
      <c r="E56" s="161">
        <f t="shared" si="21"/>
        <v>-1562.9155051617417</v>
      </c>
      <c r="F56" s="161">
        <f t="shared" si="21"/>
        <v>-1710.3924696932227</v>
      </c>
      <c r="G56" s="161">
        <f t="shared" si="21"/>
        <v>-1874.6746030318027</v>
      </c>
      <c r="H56" s="161">
        <f t="shared" si="21"/>
        <v>-2052.0677919746377</v>
      </c>
      <c r="I56" s="161">
        <f t="shared" si="21"/>
        <v>-2246.800562743374</v>
      </c>
      <c r="J56" s="161">
        <f t="shared" si="21"/>
        <v>-2452.9871101188473</v>
      </c>
      <c r="K56" s="161">
        <f t="shared" si="21"/>
        <v>-2682.4801031906245</v>
      </c>
      <c r="L56" s="161">
        <f t="shared" si="21"/>
        <v>-2930.1215932451159</v>
      </c>
      <c r="M56" s="161">
        <f t="shared" si="21"/>
        <v>-3201.7380683966039</v>
      </c>
      <c r="N56" s="161">
        <f t="shared" si="21"/>
        <v>-3489.3126102788228</v>
      </c>
      <c r="O56" s="161">
        <f t="shared" si="21"/>
        <v>-3809.2073007752042</v>
      </c>
      <c r="P56" s="161">
        <f t="shared" si="21"/>
        <v>-4154.2122774599411</v>
      </c>
      <c r="Q56" s="161">
        <f t="shared" si="21"/>
        <v>-4532.3786129256769</v>
      </c>
      <c r="R56" s="161">
        <f t="shared" si="21"/>
        <v>-4932.7094373689906</v>
      </c>
      <c r="S56" s="161">
        <f t="shared" si="21"/>
        <v>-5377.8493252803746</v>
      </c>
      <c r="T56" s="161">
        <f t="shared" si="21"/>
        <v>-5857.7204898364726</v>
      </c>
      <c r="U56" s="161">
        <f t="shared" si="21"/>
        <v>-6383.4663804676384</v>
      </c>
      <c r="V56" s="161">
        <f t="shared" si="21"/>
        <v>-9379.1317609532271</v>
      </c>
      <c r="W56" s="161">
        <f t="shared" si="21"/>
        <v>-12478.122818581236</v>
      </c>
      <c r="X56" s="161">
        <f t="shared" si="21"/>
        <v>-14045.490244310058</v>
      </c>
      <c r="Y56" s="161">
        <f t="shared" si="21"/>
        <v>-15269.663587837713</v>
      </c>
      <c r="Z56" s="161">
        <f t="shared" si="21"/>
        <v>-16565.228652318503</v>
      </c>
      <c r="AA56" s="161">
        <f t="shared" si="21"/>
        <v>-18004.266804628714</v>
      </c>
      <c r="AB56" s="161">
        <f t="shared" si="21"/>
        <v>-19553.893150812015</v>
      </c>
      <c r="AC56" s="161">
        <f t="shared" si="21"/>
        <v>-21249.605564739642</v>
      </c>
      <c r="AD56" s="161">
        <f t="shared" si="21"/>
        <v>-23043.722847744764</v>
      </c>
      <c r="AE56" s="161">
        <f t="shared" si="21"/>
        <v>-25036.545773798367</v>
      </c>
      <c r="AF56" s="161">
        <f t="shared" si="21"/>
        <v>-16518.476946675219</v>
      </c>
    </row>
    <row r="57" spans="1:39">
      <c r="A57" s="396" t="s">
        <v>131</v>
      </c>
      <c r="B57" s="385">
        <f t="shared" ref="B57:AF57" si="22">B36+B44+B27</f>
        <v>3775.3872527379572</v>
      </c>
      <c r="C57" s="385">
        <f t="shared" si="22"/>
        <v>5734.7322954159281</v>
      </c>
      <c r="D57" s="385">
        <f t="shared" si="22"/>
        <v>5848.296632010175</v>
      </c>
      <c r="E57" s="385">
        <f t="shared" si="22"/>
        <v>5971.6630641014726</v>
      </c>
      <c r="F57" s="385">
        <f t="shared" si="22"/>
        <v>6106.2980475657077</v>
      </c>
      <c r="G57" s="385">
        <f t="shared" si="22"/>
        <v>6254.1887115454892</v>
      </c>
      <c r="H57" s="385">
        <f t="shared" si="22"/>
        <v>6416.083911545622</v>
      </c>
      <c r="I57" s="385">
        <f t="shared" si="22"/>
        <v>6593.5235385001342</v>
      </c>
      <c r="J57" s="385">
        <f t="shared" si="22"/>
        <v>6786.9984741327571</v>
      </c>
      <c r="K57" s="385">
        <f t="shared" si="22"/>
        <v>6998.8213933149509</v>
      </c>
      <c r="L57" s="385">
        <f t="shared" si="22"/>
        <v>7230.2251517451896</v>
      </c>
      <c r="M57" s="385">
        <f t="shared" si="22"/>
        <v>7483.192906356775</v>
      </c>
      <c r="N57" s="385">
        <f t="shared" si="22"/>
        <v>7758.8026546324081</v>
      </c>
      <c r="O57" s="385">
        <f t="shared" si="22"/>
        <v>8059.8216980330462</v>
      </c>
      <c r="P57" s="385">
        <f t="shared" si="22"/>
        <v>8388.150732879456</v>
      </c>
      <c r="Q57" s="385">
        <f t="shared" si="22"/>
        <v>8746.3876944877848</v>
      </c>
      <c r="R57" s="385">
        <f t="shared" si="22"/>
        <v>9136.4181357967682</v>
      </c>
      <c r="S57" s="385">
        <f t="shared" si="22"/>
        <v>9561.642888672528</v>
      </c>
      <c r="T57" s="385">
        <f t="shared" si="22"/>
        <v>10024.884419864375</v>
      </c>
      <c r="U57" s="385">
        <f t="shared" si="22"/>
        <v>10529.592698327413</v>
      </c>
      <c r="V57" s="385">
        <f t="shared" si="22"/>
        <v>11178.359798686897</v>
      </c>
      <c r="W57" s="385">
        <f t="shared" si="22"/>
        <v>12078.778952391089</v>
      </c>
      <c r="X57" s="385">
        <f t="shared" si="22"/>
        <v>13172.164025252927</v>
      </c>
      <c r="Y57" s="385">
        <f t="shared" si="22"/>
        <v>14380.103546363611</v>
      </c>
      <c r="Z57" s="385">
        <f t="shared" si="22"/>
        <v>15693.205964742818</v>
      </c>
      <c r="AA57" s="385">
        <f t="shared" si="22"/>
        <v>17118.726030322774</v>
      </c>
      <c r="AB57" s="385">
        <f t="shared" si="22"/>
        <v>18667.268288029933</v>
      </c>
      <c r="AC57" s="385">
        <f t="shared" si="22"/>
        <v>20348.615391845306</v>
      </c>
      <c r="AD57" s="385">
        <f t="shared" si="22"/>
        <v>22175.569978448271</v>
      </c>
      <c r="AE57" s="385">
        <f t="shared" si="22"/>
        <v>24158.233526509262</v>
      </c>
      <c r="AF57" s="385">
        <f t="shared" si="22"/>
        <v>26205.051221407139</v>
      </c>
    </row>
    <row r="58" spans="1:39">
      <c r="A58" s="49" t="s">
        <v>58</v>
      </c>
      <c r="B58" s="49">
        <f>SUM(B56:B57)</f>
        <v>3209.3332140565471</v>
      </c>
      <c r="C58" s="49">
        <f t="shared" ref="C58:AF58" si="23">SUM(C56:C57)</f>
        <v>4404.6568131461354</v>
      </c>
      <c r="D58" s="49">
        <f t="shared" si="23"/>
        <v>4424.6754661197101</v>
      </c>
      <c r="E58" s="49">
        <f t="shared" si="23"/>
        <v>4408.7475589397309</v>
      </c>
      <c r="F58" s="49">
        <f t="shared" si="23"/>
        <v>4395.9055778724851</v>
      </c>
      <c r="G58" s="49">
        <f t="shared" si="23"/>
        <v>4379.5141085136866</v>
      </c>
      <c r="H58" s="49">
        <f t="shared" si="23"/>
        <v>4364.0161195709843</v>
      </c>
      <c r="I58" s="49">
        <f t="shared" si="23"/>
        <v>4346.7229757567602</v>
      </c>
      <c r="J58" s="49">
        <f t="shared" si="23"/>
        <v>4334.0113640139098</v>
      </c>
      <c r="K58" s="49">
        <f t="shared" si="23"/>
        <v>4316.3412901243264</v>
      </c>
      <c r="L58" s="49">
        <f t="shared" si="23"/>
        <v>4300.1035585000736</v>
      </c>
      <c r="M58" s="49">
        <f t="shared" si="23"/>
        <v>4281.4548379601711</v>
      </c>
      <c r="N58" s="49">
        <f t="shared" si="23"/>
        <v>4269.4900443535853</v>
      </c>
      <c r="O58" s="49">
        <f t="shared" si="23"/>
        <v>4250.614397257842</v>
      </c>
      <c r="P58" s="49">
        <f t="shared" si="23"/>
        <v>4233.9384554195149</v>
      </c>
      <c r="Q58" s="49">
        <f t="shared" si="23"/>
        <v>4214.0090815621079</v>
      </c>
      <c r="R58" s="49">
        <f t="shared" si="23"/>
        <v>4203.7086984277776</v>
      </c>
      <c r="S58" s="49">
        <f t="shared" si="23"/>
        <v>4183.7935633921534</v>
      </c>
      <c r="T58" s="49">
        <f t="shared" si="23"/>
        <v>4167.1639300279021</v>
      </c>
      <c r="U58" s="49">
        <f t="shared" si="23"/>
        <v>4146.1263178597746</v>
      </c>
      <c r="V58" s="49">
        <f t="shared" si="23"/>
        <v>1799.2280377336701</v>
      </c>
      <c r="W58" s="49">
        <f t="shared" si="23"/>
        <v>-399.34386619014731</v>
      </c>
      <c r="X58" s="49">
        <f t="shared" si="23"/>
        <v>-873.32621905713131</v>
      </c>
      <c r="Y58" s="49">
        <f t="shared" si="23"/>
        <v>-889.56004147410204</v>
      </c>
      <c r="Z58" s="49">
        <f t="shared" si="23"/>
        <v>-872.02268757568527</v>
      </c>
      <c r="AA58" s="49">
        <f t="shared" si="23"/>
        <v>-885.54077430594043</v>
      </c>
      <c r="AB58" s="49">
        <f t="shared" si="23"/>
        <v>-886.62486278208235</v>
      </c>
      <c r="AC58" s="49">
        <f t="shared" si="23"/>
        <v>-900.99017289433687</v>
      </c>
      <c r="AD58" s="49">
        <f t="shared" si="23"/>
        <v>-868.15286929649301</v>
      </c>
      <c r="AE58" s="49">
        <f t="shared" si="23"/>
        <v>-878.31224728910456</v>
      </c>
      <c r="AF58" s="49">
        <f t="shared" si="23"/>
        <v>9686.57427473192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2" t="s">
        <v>322</v>
      </c>
      <c r="C61" s="743"/>
      <c r="D61" s="743"/>
      <c r="E61" s="7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-83.95089612521214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68291.631563196133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1.2999999999999994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1.2999999999999559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-83.95089612521214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47670</v>
      </c>
      <c r="C16" s="302"/>
      <c r="D16" s="18">
        <f>$B$16*D12</f>
        <v>2383.5</v>
      </c>
      <c r="E16" s="18">
        <f t="shared" ref="E16:Y16" si="0">$B$16*E12</f>
        <v>4528.6499999999996</v>
      </c>
      <c r="F16" s="18">
        <f t="shared" si="0"/>
        <v>4075.7850000000003</v>
      </c>
      <c r="G16" s="18">
        <f t="shared" si="0"/>
        <v>3670.59</v>
      </c>
      <c r="H16" s="18">
        <f t="shared" si="0"/>
        <v>3303.5309999999999</v>
      </c>
      <c r="I16" s="18">
        <f t="shared" si="0"/>
        <v>2969.8409999999999</v>
      </c>
      <c r="J16" s="18">
        <f t="shared" si="0"/>
        <v>2812.5299999999997</v>
      </c>
      <c r="K16" s="18">
        <f t="shared" si="0"/>
        <v>2817.297</v>
      </c>
      <c r="L16" s="18">
        <f t="shared" si="0"/>
        <v>2812.5299999999997</v>
      </c>
      <c r="M16" s="18">
        <f t="shared" si="0"/>
        <v>2817.297</v>
      </c>
      <c r="N16" s="18">
        <f t="shared" si="0"/>
        <v>2812.5299999999997</v>
      </c>
      <c r="O16" s="18">
        <f t="shared" si="0"/>
        <v>2817.297</v>
      </c>
      <c r="P16" s="18">
        <f t="shared" si="0"/>
        <v>2812.5299999999997</v>
      </c>
      <c r="Q16" s="18">
        <f t="shared" si="0"/>
        <v>2817.297</v>
      </c>
      <c r="R16" s="18">
        <f t="shared" si="0"/>
        <v>2812.5299999999997</v>
      </c>
      <c r="S16" s="18">
        <f t="shared" si="0"/>
        <v>1406.2649999999999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7080</v>
      </c>
      <c r="C17" s="302"/>
      <c r="D17" s="299">
        <f>$B$17*D13</f>
        <v>944</v>
      </c>
      <c r="E17" s="299">
        <f t="shared" ref="E17:AH17" si="2">$B$17*E13</f>
        <v>1416</v>
      </c>
      <c r="F17" s="299">
        <f t="shared" si="2"/>
        <v>1416</v>
      </c>
      <c r="G17" s="299">
        <f t="shared" si="2"/>
        <v>1416</v>
      </c>
      <c r="H17" s="299">
        <f t="shared" si="2"/>
        <v>1416</v>
      </c>
      <c r="I17" s="299">
        <f t="shared" si="2"/>
        <v>472.00000000000011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54750</v>
      </c>
      <c r="C19" s="302"/>
      <c r="D19" s="18">
        <f t="shared" ref="D19:Y19" si="5">SUM(D16:D18)</f>
        <v>3327.5</v>
      </c>
      <c r="E19" s="18">
        <f t="shared" si="5"/>
        <v>5944.65</v>
      </c>
      <c r="F19" s="18">
        <f t="shared" si="5"/>
        <v>5491.7849999999999</v>
      </c>
      <c r="G19" s="18">
        <f t="shared" si="5"/>
        <v>5086.59</v>
      </c>
      <c r="H19" s="18">
        <f t="shared" si="5"/>
        <v>4719.5309999999999</v>
      </c>
      <c r="I19" s="18">
        <f t="shared" si="5"/>
        <v>3441.8409999999999</v>
      </c>
      <c r="J19" s="18">
        <f t="shared" si="5"/>
        <v>2812.5299999999997</v>
      </c>
      <c r="K19" s="18">
        <f t="shared" si="5"/>
        <v>2817.297</v>
      </c>
      <c r="L19" s="18">
        <f t="shared" si="5"/>
        <v>2812.5299999999997</v>
      </c>
      <c r="M19" s="18">
        <f t="shared" si="5"/>
        <v>2817.297</v>
      </c>
      <c r="N19" s="18">
        <f t="shared" si="5"/>
        <v>2812.5299999999997</v>
      </c>
      <c r="O19" s="18">
        <f t="shared" si="5"/>
        <v>2817.297</v>
      </c>
      <c r="P19" s="18">
        <f t="shared" si="5"/>
        <v>2812.5299999999997</v>
      </c>
      <c r="Q19" s="18">
        <f t="shared" si="5"/>
        <v>2817.297</v>
      </c>
      <c r="R19" s="18">
        <f t="shared" si="5"/>
        <v>2812.5299999999997</v>
      </c>
      <c r="S19" s="18">
        <f t="shared" si="5"/>
        <v>1406.2649999999999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54750</v>
      </c>
      <c r="C21" s="376"/>
      <c r="D21" s="303">
        <f>B19-D19</f>
        <v>51422.5</v>
      </c>
      <c r="E21" s="303">
        <f>D21-E19</f>
        <v>45477.85</v>
      </c>
      <c r="F21" s="303">
        <f t="shared" ref="F21:X21" si="7">E21-F19</f>
        <v>39986.065000000002</v>
      </c>
      <c r="G21" s="303">
        <f t="shared" si="7"/>
        <v>34899.475000000006</v>
      </c>
      <c r="H21" s="303">
        <f t="shared" si="7"/>
        <v>30179.944000000007</v>
      </c>
      <c r="I21" s="303">
        <f t="shared" si="7"/>
        <v>26738.103000000006</v>
      </c>
      <c r="J21" s="303">
        <f t="shared" si="7"/>
        <v>23925.573000000008</v>
      </c>
      <c r="K21" s="303">
        <f t="shared" si="7"/>
        <v>21108.276000000009</v>
      </c>
      <c r="L21" s="303">
        <f t="shared" si="7"/>
        <v>18295.74600000001</v>
      </c>
      <c r="M21" s="303">
        <f t="shared" si="7"/>
        <v>15478.44900000001</v>
      </c>
      <c r="N21" s="303">
        <f t="shared" si="7"/>
        <v>12665.919000000009</v>
      </c>
      <c r="O21" s="303">
        <f t="shared" si="7"/>
        <v>9848.6220000000085</v>
      </c>
      <c r="P21" s="303">
        <f t="shared" si="7"/>
        <v>7036.0920000000087</v>
      </c>
      <c r="Q21" s="303">
        <f t="shared" si="7"/>
        <v>4218.7950000000092</v>
      </c>
      <c r="R21" s="303">
        <f t="shared" si="7"/>
        <v>1406.2650000000094</v>
      </c>
      <c r="S21" s="303">
        <f t="shared" si="7"/>
        <v>9.5496943686157465E-12</v>
      </c>
      <c r="T21" s="303">
        <f t="shared" si="7"/>
        <v>9.5496943686157465E-12</v>
      </c>
      <c r="U21" s="303">
        <f t="shared" si="7"/>
        <v>9.5496943686157465E-12</v>
      </c>
      <c r="V21" s="303">
        <f t="shared" si="7"/>
        <v>9.5496943686157465E-12</v>
      </c>
      <c r="W21" s="303">
        <f t="shared" si="7"/>
        <v>9.5496943686157465E-12</v>
      </c>
      <c r="X21" s="303">
        <f t="shared" si="7"/>
        <v>9.5496943686157465E-12</v>
      </c>
      <c r="Y21" s="303">
        <f>X21-Y19</f>
        <v>9.5496943686157465E-12</v>
      </c>
      <c r="Z21" s="303">
        <f t="shared" ref="Z21:AH21" si="8">Y21-Z19</f>
        <v>9.5496943686157465E-12</v>
      </c>
      <c r="AA21" s="303">
        <f t="shared" si="8"/>
        <v>9.5496943686157465E-12</v>
      </c>
      <c r="AB21" s="303">
        <f t="shared" si="8"/>
        <v>9.5496943686157465E-12</v>
      </c>
      <c r="AC21" s="303">
        <f t="shared" si="8"/>
        <v>9.5496943686157465E-12</v>
      </c>
      <c r="AD21" s="303">
        <f t="shared" si="8"/>
        <v>9.5496943686157465E-12</v>
      </c>
      <c r="AE21" s="303">
        <f t="shared" si="8"/>
        <v>9.5496943686157465E-12</v>
      </c>
      <c r="AF21" s="303">
        <f t="shared" si="8"/>
        <v>9.5496943686157465E-12</v>
      </c>
      <c r="AG21" s="303">
        <f t="shared" si="8"/>
        <v>9.5496943686157465E-12</v>
      </c>
      <c r="AH21" s="303">
        <f t="shared" si="8"/>
        <v>9.5496943686157465E-12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47670</v>
      </c>
      <c r="C31" s="302"/>
      <c r="D31" s="18">
        <f>$B$31*D26</f>
        <v>2383.5</v>
      </c>
      <c r="E31" s="18">
        <f t="shared" ref="E31:Y31" si="14">$B$31*E26</f>
        <v>4528.6499999999996</v>
      </c>
      <c r="F31" s="18">
        <f t="shared" si="14"/>
        <v>4075.7850000000003</v>
      </c>
      <c r="G31" s="18">
        <f t="shared" si="14"/>
        <v>3670.59</v>
      </c>
      <c r="H31" s="18">
        <f t="shared" si="14"/>
        <v>3303.5309999999999</v>
      </c>
      <c r="I31" s="18">
        <f t="shared" si="14"/>
        <v>2969.8409999999999</v>
      </c>
      <c r="J31" s="18">
        <f t="shared" si="14"/>
        <v>2812.5299999999997</v>
      </c>
      <c r="K31" s="18">
        <f t="shared" si="14"/>
        <v>2817.297</v>
      </c>
      <c r="L31" s="18">
        <f t="shared" si="14"/>
        <v>2812.5299999999997</v>
      </c>
      <c r="M31" s="18">
        <f t="shared" si="14"/>
        <v>2817.297</v>
      </c>
      <c r="N31" s="18">
        <f t="shared" si="14"/>
        <v>2812.5299999999997</v>
      </c>
      <c r="O31" s="18">
        <f t="shared" si="14"/>
        <v>2817.297</v>
      </c>
      <c r="P31" s="18">
        <f t="shared" si="14"/>
        <v>2812.5299999999997</v>
      </c>
      <c r="Q31" s="18">
        <f t="shared" si="14"/>
        <v>2817.297</v>
      </c>
      <c r="R31" s="18">
        <f t="shared" si="14"/>
        <v>2812.5299999999997</v>
      </c>
      <c r="S31" s="18">
        <f t="shared" si="14"/>
        <v>1406.2649999999999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7080</v>
      </c>
      <c r="C32" s="302"/>
      <c r="D32" s="299">
        <f>D27*$B$32</f>
        <v>944</v>
      </c>
      <c r="E32" s="299">
        <f t="shared" ref="E32:AH32" si="16">E27*$B$32</f>
        <v>1416</v>
      </c>
      <c r="F32" s="299">
        <f t="shared" si="16"/>
        <v>1416</v>
      </c>
      <c r="G32" s="299">
        <f t="shared" si="16"/>
        <v>1416</v>
      </c>
      <c r="H32" s="299">
        <f t="shared" si="16"/>
        <v>1416</v>
      </c>
      <c r="I32" s="299">
        <f t="shared" si="16"/>
        <v>472.00000000000011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54750</v>
      </c>
      <c r="C34" s="302"/>
      <c r="D34" s="18">
        <f t="shared" ref="D34:Y34" si="19">SUM(D31:D33)</f>
        <v>3327.5</v>
      </c>
      <c r="E34" s="18">
        <f t="shared" si="19"/>
        <v>5944.65</v>
      </c>
      <c r="F34" s="18">
        <f t="shared" si="19"/>
        <v>5491.7849999999999</v>
      </c>
      <c r="G34" s="18">
        <f t="shared" si="19"/>
        <v>5086.59</v>
      </c>
      <c r="H34" s="18">
        <f t="shared" si="19"/>
        <v>4719.5309999999999</v>
      </c>
      <c r="I34" s="18">
        <f t="shared" si="19"/>
        <v>3441.8409999999999</v>
      </c>
      <c r="J34" s="18">
        <f t="shared" si="19"/>
        <v>2812.5299999999997</v>
      </c>
      <c r="K34" s="18">
        <f t="shared" si="19"/>
        <v>2817.297</v>
      </c>
      <c r="L34" s="18">
        <f t="shared" si="19"/>
        <v>2812.5299999999997</v>
      </c>
      <c r="M34" s="18">
        <f t="shared" si="19"/>
        <v>2817.297</v>
      </c>
      <c r="N34" s="18">
        <f t="shared" si="19"/>
        <v>2812.5299999999997</v>
      </c>
      <c r="O34" s="18">
        <f t="shared" si="19"/>
        <v>2817.297</v>
      </c>
      <c r="P34" s="18">
        <f t="shared" si="19"/>
        <v>2812.5299999999997</v>
      </c>
      <c r="Q34" s="18">
        <f t="shared" si="19"/>
        <v>2817.297</v>
      </c>
      <c r="R34" s="18">
        <f t="shared" si="19"/>
        <v>2812.5299999999997</v>
      </c>
      <c r="S34" s="18">
        <f t="shared" si="19"/>
        <v>1406.2649999999999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54750</v>
      </c>
      <c r="C36" s="378"/>
      <c r="D36" s="303">
        <f>B34-D34</f>
        <v>51422.5</v>
      </c>
      <c r="E36" s="303">
        <f>D36-E34</f>
        <v>45477.85</v>
      </c>
      <c r="F36" s="303">
        <f t="shared" ref="F36:W36" si="21">E36-F34</f>
        <v>39986.065000000002</v>
      </c>
      <c r="G36" s="303">
        <f t="shared" si="21"/>
        <v>34899.475000000006</v>
      </c>
      <c r="H36" s="303">
        <f t="shared" si="21"/>
        <v>30179.944000000007</v>
      </c>
      <c r="I36" s="303">
        <f t="shared" si="21"/>
        <v>26738.103000000006</v>
      </c>
      <c r="J36" s="303">
        <f t="shared" si="21"/>
        <v>23925.573000000008</v>
      </c>
      <c r="K36" s="303">
        <f t="shared" si="21"/>
        <v>21108.276000000009</v>
      </c>
      <c r="L36" s="303">
        <f t="shared" si="21"/>
        <v>18295.74600000001</v>
      </c>
      <c r="M36" s="303">
        <f t="shared" si="21"/>
        <v>15478.44900000001</v>
      </c>
      <c r="N36" s="303">
        <f t="shared" si="21"/>
        <v>12665.919000000009</v>
      </c>
      <c r="O36" s="303">
        <f t="shared" si="21"/>
        <v>9848.6220000000085</v>
      </c>
      <c r="P36" s="303">
        <f t="shared" si="21"/>
        <v>7036.0920000000087</v>
      </c>
      <c r="Q36" s="303">
        <f t="shared" si="21"/>
        <v>4218.7950000000092</v>
      </c>
      <c r="R36" s="303">
        <f t="shared" si="21"/>
        <v>1406.2650000000094</v>
      </c>
      <c r="S36" s="303">
        <f t="shared" si="21"/>
        <v>9.5496943686157465E-12</v>
      </c>
      <c r="T36" s="303">
        <f t="shared" si="21"/>
        <v>9.5496943686157465E-12</v>
      </c>
      <c r="U36" s="303">
        <f t="shared" si="21"/>
        <v>9.5496943686157465E-12</v>
      </c>
      <c r="V36" s="303">
        <f t="shared" si="21"/>
        <v>9.5496943686157465E-12</v>
      </c>
      <c r="W36" s="303">
        <f t="shared" si="21"/>
        <v>9.5496943686157465E-12</v>
      </c>
      <c r="X36" s="303">
        <f>W36-X34</f>
        <v>9.5496943686157465E-12</v>
      </c>
      <c r="Y36" s="303">
        <f>X36-Y34</f>
        <v>9.5496943686157465E-12</v>
      </c>
      <c r="Z36" s="303">
        <f t="shared" ref="Z36:AH36" si="22">Y36-Z34</f>
        <v>9.5496943686157465E-12</v>
      </c>
      <c r="AA36" s="303">
        <f t="shared" si="22"/>
        <v>9.5496943686157465E-12</v>
      </c>
      <c r="AB36" s="303">
        <f t="shared" si="22"/>
        <v>9.5496943686157465E-12</v>
      </c>
      <c r="AC36" s="303">
        <f t="shared" si="22"/>
        <v>9.5496943686157465E-12</v>
      </c>
      <c r="AD36" s="303">
        <f t="shared" si="22"/>
        <v>9.5496943686157465E-12</v>
      </c>
      <c r="AE36" s="303">
        <f t="shared" si="22"/>
        <v>9.5496943686157465E-12</v>
      </c>
      <c r="AF36" s="303">
        <f t="shared" si="22"/>
        <v>9.5496943686157465E-12</v>
      </c>
      <c r="AG36" s="303">
        <f t="shared" si="22"/>
        <v>9.5496943686157465E-12</v>
      </c>
      <c r="AH36" s="303">
        <f t="shared" si="22"/>
        <v>9.5496943686157465E-12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47670</v>
      </c>
      <c r="C45" s="302"/>
      <c r="D45" s="18">
        <f t="shared" ref="D45:Y45" si="24">D41*$B$45</f>
        <v>953.39999999999986</v>
      </c>
      <c r="E45" s="18">
        <f t="shared" si="24"/>
        <v>1430.1</v>
      </c>
      <c r="F45" s="18">
        <f t="shared" si="24"/>
        <v>1430.1</v>
      </c>
      <c r="G45" s="18">
        <f t="shared" si="24"/>
        <v>1430.1</v>
      </c>
      <c r="H45" s="18">
        <f t="shared" si="24"/>
        <v>1430.1</v>
      </c>
      <c r="I45" s="18">
        <f t="shared" si="24"/>
        <v>1430.1</v>
      </c>
      <c r="J45" s="18">
        <f t="shared" si="24"/>
        <v>1430.1</v>
      </c>
      <c r="K45" s="18">
        <f t="shared" si="24"/>
        <v>1430.1</v>
      </c>
      <c r="L45" s="18">
        <f t="shared" si="24"/>
        <v>1430.1</v>
      </c>
      <c r="M45" s="18">
        <f t="shared" si="24"/>
        <v>1430.1</v>
      </c>
      <c r="N45" s="18">
        <f t="shared" si="24"/>
        <v>1430.1</v>
      </c>
      <c r="O45" s="18">
        <f t="shared" si="24"/>
        <v>1430.1</v>
      </c>
      <c r="P45" s="18">
        <f t="shared" si="24"/>
        <v>1430.1</v>
      </c>
      <c r="Q45" s="18">
        <f t="shared" si="24"/>
        <v>1430.1</v>
      </c>
      <c r="R45" s="18">
        <f t="shared" si="24"/>
        <v>1430.1</v>
      </c>
      <c r="S45" s="18">
        <f t="shared" si="24"/>
        <v>1430.1</v>
      </c>
      <c r="T45" s="18">
        <f t="shared" si="24"/>
        <v>1430.1</v>
      </c>
      <c r="U45" s="18">
        <f t="shared" si="24"/>
        <v>1430.1</v>
      </c>
      <c r="V45" s="18">
        <f t="shared" si="24"/>
        <v>1430.1</v>
      </c>
      <c r="W45" s="18">
        <f t="shared" si="24"/>
        <v>1430.1</v>
      </c>
      <c r="X45" s="18">
        <f t="shared" si="24"/>
        <v>1430.1</v>
      </c>
      <c r="Y45" s="18">
        <f t="shared" si="24"/>
        <v>1430.1</v>
      </c>
      <c r="Z45" s="18">
        <f t="shared" ref="Z45:AH45" si="25">Z41*$B$45</f>
        <v>1430.1</v>
      </c>
      <c r="AA45" s="18">
        <f t="shared" si="25"/>
        <v>1430.1</v>
      </c>
      <c r="AB45" s="18">
        <f t="shared" si="25"/>
        <v>1430.1</v>
      </c>
      <c r="AC45" s="18">
        <f t="shared" si="25"/>
        <v>1430.1</v>
      </c>
      <c r="AD45" s="18">
        <f t="shared" si="25"/>
        <v>1430.1</v>
      </c>
      <c r="AE45" s="18">
        <f t="shared" si="25"/>
        <v>1430.1</v>
      </c>
      <c r="AF45" s="18">
        <f t="shared" si="25"/>
        <v>1430.1</v>
      </c>
      <c r="AG45" s="18">
        <f t="shared" si="25"/>
        <v>1430.1</v>
      </c>
      <c r="AH45" s="18">
        <f t="shared" si="25"/>
        <v>476.7000000000001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7080</v>
      </c>
      <c r="C46" s="302"/>
      <c r="D46" s="299">
        <f>D42*$B$46</f>
        <v>944</v>
      </c>
      <c r="E46" s="299">
        <f t="shared" ref="E46:AH46" si="26">E42*$B$46</f>
        <v>1416</v>
      </c>
      <c r="F46" s="299">
        <f t="shared" si="26"/>
        <v>1416</v>
      </c>
      <c r="G46" s="299">
        <f t="shared" si="26"/>
        <v>1416</v>
      </c>
      <c r="H46" s="299">
        <f t="shared" si="26"/>
        <v>1416</v>
      </c>
      <c r="I46" s="299">
        <f t="shared" si="26"/>
        <v>472.00000000000011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54750</v>
      </c>
      <c r="C48" s="302"/>
      <c r="D48" s="18">
        <f t="shared" ref="D48:Y48" si="29">SUM(D45:D47)</f>
        <v>1897.3999999999999</v>
      </c>
      <c r="E48" s="18">
        <f t="shared" si="29"/>
        <v>2846.1</v>
      </c>
      <c r="F48" s="18">
        <f t="shared" si="29"/>
        <v>2846.1</v>
      </c>
      <c r="G48" s="18">
        <f t="shared" si="29"/>
        <v>2846.1</v>
      </c>
      <c r="H48" s="18">
        <f t="shared" si="29"/>
        <v>2846.1</v>
      </c>
      <c r="I48" s="18">
        <f t="shared" si="29"/>
        <v>1902.1</v>
      </c>
      <c r="J48" s="18">
        <f t="shared" si="29"/>
        <v>1430.1</v>
      </c>
      <c r="K48" s="18">
        <f t="shared" si="29"/>
        <v>1430.1</v>
      </c>
      <c r="L48" s="18">
        <f t="shared" si="29"/>
        <v>1430.1</v>
      </c>
      <c r="M48" s="18">
        <f t="shared" si="29"/>
        <v>1430.1</v>
      </c>
      <c r="N48" s="18">
        <f t="shared" si="29"/>
        <v>1430.1</v>
      </c>
      <c r="O48" s="18">
        <f t="shared" si="29"/>
        <v>1430.1</v>
      </c>
      <c r="P48" s="18">
        <f t="shared" si="29"/>
        <v>1430.1</v>
      </c>
      <c r="Q48" s="18">
        <f t="shared" si="29"/>
        <v>1430.1</v>
      </c>
      <c r="R48" s="18">
        <f t="shared" si="29"/>
        <v>1430.1</v>
      </c>
      <c r="S48" s="18">
        <f t="shared" si="29"/>
        <v>1430.1</v>
      </c>
      <c r="T48" s="18">
        <f t="shared" si="29"/>
        <v>1430.1</v>
      </c>
      <c r="U48" s="18">
        <f t="shared" si="29"/>
        <v>1430.1</v>
      </c>
      <c r="V48" s="18">
        <f t="shared" si="29"/>
        <v>1430.1</v>
      </c>
      <c r="W48" s="18">
        <f t="shared" si="29"/>
        <v>1430.1</v>
      </c>
      <c r="X48" s="18">
        <f t="shared" si="29"/>
        <v>1430.1</v>
      </c>
      <c r="Y48" s="18">
        <f t="shared" si="29"/>
        <v>1430.1</v>
      </c>
      <c r="Z48" s="18">
        <f t="shared" ref="Z48:AH48" si="30">SUM(Z45:Z47)</f>
        <v>1430.1</v>
      </c>
      <c r="AA48" s="18">
        <f t="shared" si="30"/>
        <v>1430.1</v>
      </c>
      <c r="AB48" s="18">
        <f t="shared" si="30"/>
        <v>1430.1</v>
      </c>
      <c r="AC48" s="18">
        <f t="shared" si="30"/>
        <v>1430.1</v>
      </c>
      <c r="AD48" s="18">
        <f t="shared" si="30"/>
        <v>1430.1</v>
      </c>
      <c r="AE48" s="18">
        <f t="shared" si="30"/>
        <v>1430.1</v>
      </c>
      <c r="AF48" s="18">
        <f t="shared" si="30"/>
        <v>1430.1</v>
      </c>
      <c r="AG48" s="18">
        <f t="shared" si="30"/>
        <v>1430.1</v>
      </c>
      <c r="AH48" s="18">
        <f t="shared" si="30"/>
        <v>476.7000000000001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54750</v>
      </c>
      <c r="C50" s="378"/>
      <c r="D50" s="303">
        <f>B48-D48</f>
        <v>52852.6</v>
      </c>
      <c r="E50" s="303">
        <f>D50-E48</f>
        <v>50006.5</v>
      </c>
      <c r="F50" s="303">
        <f t="shared" ref="F50:Y50" si="31">E50-F48</f>
        <v>47160.4</v>
      </c>
      <c r="G50" s="303">
        <f t="shared" si="31"/>
        <v>44314.3</v>
      </c>
      <c r="H50" s="303">
        <f t="shared" si="31"/>
        <v>41468.200000000004</v>
      </c>
      <c r="I50" s="303">
        <f t="shared" si="31"/>
        <v>39566.100000000006</v>
      </c>
      <c r="J50" s="303">
        <f t="shared" si="31"/>
        <v>38136.000000000007</v>
      </c>
      <c r="K50" s="303">
        <f t="shared" si="31"/>
        <v>36705.900000000009</v>
      </c>
      <c r="L50" s="303">
        <f t="shared" si="31"/>
        <v>35275.80000000001</v>
      </c>
      <c r="M50" s="303">
        <f t="shared" si="31"/>
        <v>33845.700000000012</v>
      </c>
      <c r="N50" s="303">
        <f t="shared" si="31"/>
        <v>32415.600000000013</v>
      </c>
      <c r="O50" s="303">
        <f t="shared" si="31"/>
        <v>30985.500000000015</v>
      </c>
      <c r="P50" s="303">
        <f t="shared" si="31"/>
        <v>29555.400000000016</v>
      </c>
      <c r="Q50" s="303">
        <f t="shared" si="31"/>
        <v>28125.300000000017</v>
      </c>
      <c r="R50" s="303">
        <f t="shared" si="31"/>
        <v>26695.200000000019</v>
      </c>
      <c r="S50" s="303">
        <f t="shared" si="31"/>
        <v>25265.10000000002</v>
      </c>
      <c r="T50" s="303">
        <f t="shared" si="31"/>
        <v>23835.000000000022</v>
      </c>
      <c r="U50" s="303">
        <f t="shared" si="31"/>
        <v>22404.900000000023</v>
      </c>
      <c r="V50" s="303">
        <f t="shared" si="31"/>
        <v>20974.800000000025</v>
      </c>
      <c r="W50" s="303">
        <f t="shared" si="31"/>
        <v>19544.700000000026</v>
      </c>
      <c r="X50" s="303">
        <f t="shared" si="31"/>
        <v>18114.600000000028</v>
      </c>
      <c r="Y50" s="303">
        <f t="shared" si="31"/>
        <v>16684.500000000029</v>
      </c>
      <c r="Z50" s="303">
        <f t="shared" ref="Z50:AH50" si="32">Y50-Z48</f>
        <v>15254.400000000029</v>
      </c>
      <c r="AA50" s="303">
        <f t="shared" si="32"/>
        <v>13824.300000000028</v>
      </c>
      <c r="AB50" s="303">
        <f t="shared" si="32"/>
        <v>12394.200000000028</v>
      </c>
      <c r="AC50" s="303">
        <f t="shared" si="32"/>
        <v>10964.100000000028</v>
      </c>
      <c r="AD50" s="303">
        <f t="shared" si="32"/>
        <v>9534.0000000000273</v>
      </c>
      <c r="AE50" s="303">
        <f t="shared" si="32"/>
        <v>8103.9000000000269</v>
      </c>
      <c r="AF50" s="303">
        <f t="shared" si="32"/>
        <v>6673.8000000000266</v>
      </c>
      <c r="AG50" s="303">
        <f t="shared" si="32"/>
        <v>5243.7000000000262</v>
      </c>
      <c r="AH50" s="303">
        <f t="shared" si="32"/>
        <v>4767.0000000000264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IS!C41</f>
        <v>-1953.4539194046213</v>
      </c>
      <c r="C10" s="19">
        <f>IS!D41</f>
        <v>-2849.932295415932</v>
      </c>
      <c r="D10" s="19">
        <f>IS!E41</f>
        <v>-2985.9936320101729</v>
      </c>
      <c r="E10" s="19">
        <f>IS!F41</f>
        <v>-3132.4707741014731</v>
      </c>
      <c r="F10" s="19">
        <f>IS!G41</f>
        <v>-3290.8473648657105</v>
      </c>
      <c r="G10" s="19">
        <f>IS!H41</f>
        <v>-2519.1282118844906</v>
      </c>
      <c r="H10" s="19">
        <f>IS!I41</f>
        <v>-2234.0803544851933</v>
      </c>
      <c r="I10" s="19">
        <f>IS!J41</f>
        <v>-2437.2623874700985</v>
      </c>
      <c r="J10" s="19">
        <f>IS!K41</f>
        <v>-2657.1844315688759</v>
      </c>
      <c r="K10" s="19">
        <f>IS!L41</f>
        <v>-2896.1789513311433</v>
      </c>
      <c r="L10" s="19">
        <f>IS!M41</f>
        <v>-3155.4991587960044</v>
      </c>
      <c r="M10" s="19">
        <f>IS!N41</f>
        <v>-3437.1491503591292</v>
      </c>
      <c r="N10" s="19">
        <f>IS!O41</f>
        <v>-3742.2284630296513</v>
      </c>
      <c r="O10" s="19">
        <f>IS!P41</f>
        <v>-4073.5265552985134</v>
      </c>
      <c r="P10" s="19">
        <f>IS!Q41</f>
        <v>-4432.9669159715268</v>
      </c>
      <c r="Q10" s="19">
        <f>IS!R41</f>
        <v>-4823.1709267834376</v>
      </c>
      <c r="R10" s="19">
        <f>IS!S41</f>
        <v>-5246.0482600463147</v>
      </c>
      <c r="S10" s="19">
        <f>IS!T41</f>
        <v>-5705.0245595342858</v>
      </c>
      <c r="T10" s="19">
        <f>IS!U41</f>
        <v>-6202.9478165944074</v>
      </c>
      <c r="U10" s="19">
        <f>IS!V41</f>
        <v>-6743.2942582166161</v>
      </c>
      <c r="V10" s="19">
        <f>IS!W41</f>
        <v>-11567.179276860843</v>
      </c>
      <c r="W10" s="19">
        <f>IS!X41</f>
        <v>-14990.734978566499</v>
      </c>
      <c r="X10" s="19">
        <f>IS!Y41</f>
        <v>-16122.792733181903</v>
      </c>
      <c r="Y10" s="19">
        <f>IS!Z41</f>
        <v>-17370.474176518132</v>
      </c>
      <c r="Z10" s="19">
        <f>IS!AA41</f>
        <v>-18724.4180160094</v>
      </c>
      <c r="AA10" s="19">
        <f>IS!AB41</f>
        <v>-20191.910131378929</v>
      </c>
      <c r="AB10" s="19">
        <f>IS!AC41</f>
        <v>-21783.587094134375</v>
      </c>
      <c r="AC10" s="19">
        <f>IS!AD41</f>
        <v>-23509.26450778982</v>
      </c>
      <c r="AD10" s="19">
        <f>IS!AE41</f>
        <v>-25381.7789084412</v>
      </c>
      <c r="AE10" s="19">
        <f>IS!AF41</f>
        <v>-27411.266651783455</v>
      </c>
      <c r="AF10" s="19">
        <f>IS!AG41</f>
        <v>-28552.808806368666</v>
      </c>
    </row>
    <row r="11" spans="1:32">
      <c r="A11" s="21" t="s">
        <v>68</v>
      </c>
      <c r="B11" s="19">
        <f>IS!C35</f>
        <v>1897.3999999999999</v>
      </c>
      <c r="C11" s="19">
        <f>IS!D35</f>
        <v>2846.1</v>
      </c>
      <c r="D11" s="19">
        <f>IS!E35</f>
        <v>2846.1</v>
      </c>
      <c r="E11" s="19">
        <f>IS!F35</f>
        <v>2846.1</v>
      </c>
      <c r="F11" s="19">
        <f>IS!G35</f>
        <v>2846.1</v>
      </c>
      <c r="G11" s="19">
        <f>IS!H35</f>
        <v>1902.1</v>
      </c>
      <c r="H11" s="19">
        <f>IS!I35</f>
        <v>1430.1</v>
      </c>
      <c r="I11" s="19">
        <f>IS!J35</f>
        <v>1430.1</v>
      </c>
      <c r="J11" s="19">
        <f>IS!K35</f>
        <v>1430.1</v>
      </c>
      <c r="K11" s="19">
        <f>IS!L35</f>
        <v>1430.1</v>
      </c>
      <c r="L11" s="19">
        <f>IS!M35</f>
        <v>1430.1</v>
      </c>
      <c r="M11" s="19">
        <f>IS!N35</f>
        <v>1430.1</v>
      </c>
      <c r="N11" s="19">
        <f>IS!O35</f>
        <v>1430.1</v>
      </c>
      <c r="O11" s="19">
        <f>IS!P35</f>
        <v>1430.1</v>
      </c>
      <c r="P11" s="19">
        <f>IS!Q35</f>
        <v>1430.1</v>
      </c>
      <c r="Q11" s="19">
        <f>IS!R35</f>
        <v>1430.1</v>
      </c>
      <c r="R11" s="19">
        <f>IS!S35</f>
        <v>1430.1</v>
      </c>
      <c r="S11" s="19">
        <f>IS!T35</f>
        <v>1430.1</v>
      </c>
      <c r="T11" s="19">
        <f>IS!U35</f>
        <v>1430.1</v>
      </c>
      <c r="U11" s="19">
        <f>IS!V35</f>
        <v>1430.1</v>
      </c>
      <c r="V11" s="19">
        <f>IS!W35</f>
        <v>1430.1</v>
      </c>
      <c r="W11" s="19">
        <f>IS!X35</f>
        <v>1430.1</v>
      </c>
      <c r="X11" s="19">
        <f>IS!Y35</f>
        <v>1430.1</v>
      </c>
      <c r="Y11" s="19">
        <f>IS!Z35</f>
        <v>1430.1</v>
      </c>
      <c r="Z11" s="19">
        <f>IS!AA35</f>
        <v>1430.1</v>
      </c>
      <c r="AA11" s="19">
        <f>IS!AB35</f>
        <v>1430.1</v>
      </c>
      <c r="AB11" s="19">
        <f>IS!AC35</f>
        <v>1430.1</v>
      </c>
      <c r="AC11" s="19">
        <f>IS!AD35</f>
        <v>1430.1</v>
      </c>
      <c r="AD11" s="19">
        <f>IS!AE35</f>
        <v>1430.1</v>
      </c>
      <c r="AE11" s="19">
        <f>IS!AF35</f>
        <v>1430.1</v>
      </c>
      <c r="AF11" s="19">
        <f>IS!AG35</f>
        <v>476.7000000000001</v>
      </c>
    </row>
    <row r="12" spans="1:32" ht="15">
      <c r="A12" s="21" t="s">
        <v>69</v>
      </c>
      <c r="B12" s="130">
        <f>-Depreciation!D34</f>
        <v>-3327.5</v>
      </c>
      <c r="C12" s="130">
        <f>-Depreciation!E34</f>
        <v>-5944.65</v>
      </c>
      <c r="D12" s="130">
        <f>-Depreciation!F34</f>
        <v>-5491.7849999999999</v>
      </c>
      <c r="E12" s="130">
        <f>-Depreciation!G34</f>
        <v>-5086.59</v>
      </c>
      <c r="F12" s="130">
        <f>-Depreciation!H34</f>
        <v>-4719.5309999999999</v>
      </c>
      <c r="G12" s="130">
        <f>-Depreciation!I34</f>
        <v>-3441.8409999999999</v>
      </c>
      <c r="H12" s="130">
        <f>-Depreciation!J34</f>
        <v>-2812.5299999999997</v>
      </c>
      <c r="I12" s="130">
        <f>-Depreciation!K34</f>
        <v>-2817.297</v>
      </c>
      <c r="J12" s="130">
        <f>-Depreciation!L34</f>
        <v>-2812.5299999999997</v>
      </c>
      <c r="K12" s="130">
        <f>-Depreciation!M34</f>
        <v>-2817.297</v>
      </c>
      <c r="L12" s="130">
        <f>-Depreciation!N34</f>
        <v>-2812.5299999999997</v>
      </c>
      <c r="M12" s="130">
        <f>-Depreciation!O34</f>
        <v>-2817.297</v>
      </c>
      <c r="N12" s="130">
        <f>-Depreciation!P34</f>
        <v>-2812.5299999999997</v>
      </c>
      <c r="O12" s="130">
        <f>-Depreciation!Q34</f>
        <v>-2817.297</v>
      </c>
      <c r="P12" s="130">
        <f>-Depreciation!R34</f>
        <v>-2812.5299999999997</v>
      </c>
      <c r="Q12" s="130">
        <f>-Depreciation!S34</f>
        <v>-1406.2649999999999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-3383.5539194046214</v>
      </c>
      <c r="C13" s="23">
        <f t="shared" ref="C13:W13" si="0">SUM(C10:C12)</f>
        <v>-5948.4822954159317</v>
      </c>
      <c r="D13" s="23">
        <f t="shared" si="0"/>
        <v>-5631.6786320101728</v>
      </c>
      <c r="E13" s="23">
        <f t="shared" si="0"/>
        <v>-5372.9607741014734</v>
      </c>
      <c r="F13" s="23">
        <f t="shared" si="0"/>
        <v>-5164.2783648657105</v>
      </c>
      <c r="G13" s="23">
        <f t="shared" si="0"/>
        <v>-4058.8692118844906</v>
      </c>
      <c r="H13" s="23">
        <f t="shared" si="0"/>
        <v>-3616.5103544851931</v>
      </c>
      <c r="I13" s="23">
        <f t="shared" si="0"/>
        <v>-3824.4593874700986</v>
      </c>
      <c r="J13" s="23">
        <f t="shared" si="0"/>
        <v>-4039.6144315688757</v>
      </c>
      <c r="K13" s="23">
        <f t="shared" si="0"/>
        <v>-4283.3759513311434</v>
      </c>
      <c r="L13" s="23">
        <f t="shared" si="0"/>
        <v>-4537.9291587960042</v>
      </c>
      <c r="M13" s="23">
        <f t="shared" si="0"/>
        <v>-4824.3461503591298</v>
      </c>
      <c r="N13" s="23">
        <f t="shared" si="0"/>
        <v>-5124.6584630296511</v>
      </c>
      <c r="O13" s="23">
        <f t="shared" si="0"/>
        <v>-5460.723555298513</v>
      </c>
      <c r="P13" s="23">
        <f t="shared" si="0"/>
        <v>-5815.3969159715271</v>
      </c>
      <c r="Q13" s="23">
        <f t="shared" si="0"/>
        <v>-4799.3359267834376</v>
      </c>
      <c r="R13" s="23">
        <f t="shared" si="0"/>
        <v>-3815.9482600463148</v>
      </c>
      <c r="S13" s="23">
        <f t="shared" si="0"/>
        <v>-4274.9245595342854</v>
      </c>
      <c r="T13" s="23">
        <f t="shared" si="0"/>
        <v>-4772.847816594407</v>
      </c>
      <c r="U13" s="23">
        <f t="shared" si="0"/>
        <v>-5313.1942582166157</v>
      </c>
      <c r="V13" s="23">
        <f t="shared" si="0"/>
        <v>-10137.079276860843</v>
      </c>
      <c r="W13" s="23">
        <f t="shared" si="0"/>
        <v>-13560.634978566499</v>
      </c>
      <c r="X13" s="23">
        <f t="shared" ref="X13:AF13" si="1">SUM(X10:X12)</f>
        <v>-14692.692733181902</v>
      </c>
      <c r="Y13" s="23">
        <f t="shared" si="1"/>
        <v>-15940.374176518131</v>
      </c>
      <c r="Z13" s="23">
        <f t="shared" si="1"/>
        <v>-17294.318016009402</v>
      </c>
      <c r="AA13" s="23">
        <f t="shared" si="1"/>
        <v>-18761.81013137893</v>
      </c>
      <c r="AB13" s="23">
        <f t="shared" si="1"/>
        <v>-20353.487094134376</v>
      </c>
      <c r="AC13" s="23">
        <f t="shared" si="1"/>
        <v>-22079.164507789821</v>
      </c>
      <c r="AD13" s="23">
        <f t="shared" si="1"/>
        <v>-23951.678908441201</v>
      </c>
      <c r="AE13" s="23">
        <f t="shared" si="1"/>
        <v>-25981.166651783456</v>
      </c>
      <c r="AF13" s="23">
        <f t="shared" si="1"/>
        <v>-28076.108806368666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-236.84877435832351</v>
      </c>
      <c r="C16" s="19">
        <f t="shared" si="2"/>
        <v>-416.39376067911525</v>
      </c>
      <c r="D16" s="19">
        <f t="shared" si="2"/>
        <v>-394.21750424071212</v>
      </c>
      <c r="E16" s="19">
        <f t="shared" si="2"/>
        <v>-376.10725418710319</v>
      </c>
      <c r="F16" s="19">
        <f t="shared" si="2"/>
        <v>-361.49948554059978</v>
      </c>
      <c r="G16" s="19">
        <f t="shared" si="2"/>
        <v>-284.12084483191438</v>
      </c>
      <c r="H16" s="19">
        <f t="shared" si="2"/>
        <v>-253.15572481396353</v>
      </c>
      <c r="I16" s="19">
        <f t="shared" si="2"/>
        <v>-267.71215712290694</v>
      </c>
      <c r="J16" s="19">
        <f t="shared" si="2"/>
        <v>-282.77301020982134</v>
      </c>
      <c r="K16" s="19">
        <f t="shared" si="2"/>
        <v>-299.83631659318007</v>
      </c>
      <c r="L16" s="19">
        <f t="shared" si="2"/>
        <v>-317.65504111572034</v>
      </c>
      <c r="M16" s="19">
        <f t="shared" si="2"/>
        <v>-337.70423052513911</v>
      </c>
      <c r="N16" s="19">
        <f t="shared" si="2"/>
        <v>-358.72609241207562</v>
      </c>
      <c r="O16" s="19">
        <f t="shared" si="2"/>
        <v>-382.25064887089593</v>
      </c>
      <c r="P16" s="19">
        <f t="shared" si="2"/>
        <v>-407.07778411800695</v>
      </c>
      <c r="Q16" s="19">
        <f t="shared" si="2"/>
        <v>-335.95351487484066</v>
      </c>
      <c r="R16" s="19">
        <f t="shared" si="2"/>
        <v>-267.11637820324205</v>
      </c>
      <c r="S16" s="19">
        <f t="shared" si="2"/>
        <v>-299.24471916740004</v>
      </c>
      <c r="T16" s="19">
        <f t="shared" si="2"/>
        <v>-334.09934716160853</v>
      </c>
      <c r="U16" s="19">
        <f t="shared" si="2"/>
        <v>-371.92359807516311</v>
      </c>
      <c r="V16" s="19">
        <f t="shared" si="2"/>
        <v>-709.59554938025906</v>
      </c>
      <c r="W16" s="19">
        <f t="shared" si="2"/>
        <v>-949.24444849965505</v>
      </c>
      <c r="X16" s="19">
        <f t="shared" si="2"/>
        <v>-1028.4884913227334</v>
      </c>
      <c r="Y16" s="19">
        <f t="shared" si="2"/>
        <v>-1115.8261923562693</v>
      </c>
      <c r="Z16" s="19">
        <f t="shared" si="2"/>
        <v>-1210.6022611206583</v>
      </c>
      <c r="AA16" s="19">
        <f t="shared" si="2"/>
        <v>-1313.3267091965251</v>
      </c>
      <c r="AB16" s="19">
        <f t="shared" si="2"/>
        <v>-1424.7440965894064</v>
      </c>
      <c r="AC16" s="19">
        <f t="shared" si="2"/>
        <v>-1545.5415155452877</v>
      </c>
      <c r="AD16" s="19">
        <f t="shared" si="2"/>
        <v>-1676.6175235908843</v>
      </c>
      <c r="AE16" s="19">
        <f t="shared" si="2"/>
        <v>-1818.681665624842</v>
      </c>
      <c r="AF16" s="19">
        <f t="shared" si="2"/>
        <v>-1965.3276164458068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236.84877435832351</v>
      </c>
      <c r="D18" s="19">
        <f t="shared" ref="D18:W18" si="3">C22</f>
        <v>653.24253503743876</v>
      </c>
      <c r="E18" s="19">
        <f t="shared" si="3"/>
        <v>1047.4600392781508</v>
      </c>
      <c r="F18" s="19">
        <f t="shared" si="3"/>
        <v>1423.5672934652539</v>
      </c>
      <c r="G18" s="19">
        <f t="shared" si="3"/>
        <v>1785.0667790058537</v>
      </c>
      <c r="H18" s="19">
        <f t="shared" si="3"/>
        <v>2069.1876238377681</v>
      </c>
      <c r="I18" s="19">
        <f t="shared" si="3"/>
        <v>2322.3433486517315</v>
      </c>
      <c r="J18" s="19">
        <f t="shared" si="3"/>
        <v>2590.0555057746383</v>
      </c>
      <c r="K18" s="19">
        <f t="shared" si="3"/>
        <v>2635.9797416261358</v>
      </c>
      <c r="L18" s="19">
        <f t="shared" si="3"/>
        <v>2756.271071898524</v>
      </c>
      <c r="M18" s="19">
        <f t="shared" si="3"/>
        <v>3073.9261130142445</v>
      </c>
      <c r="N18" s="19">
        <f t="shared" si="3"/>
        <v>3411.6303435393838</v>
      </c>
      <c r="O18" s="19">
        <f t="shared" si="3"/>
        <v>3770.3564359514594</v>
      </c>
      <c r="P18" s="19">
        <f>O22</f>
        <v>4152.6070848223553</v>
      </c>
      <c r="Q18" s="19">
        <f t="shared" si="3"/>
        <v>4559.6848689403623</v>
      </c>
      <c r="R18" s="19">
        <f t="shared" si="3"/>
        <v>4895.6383838152033</v>
      </c>
      <c r="S18" s="19">
        <f t="shared" si="3"/>
        <v>5162.754762018445</v>
      </c>
      <c r="T18" s="19">
        <v>0</v>
      </c>
      <c r="U18" s="19">
        <f t="shared" si="3"/>
        <v>136.73563631827653</v>
      </c>
      <c r="V18" s="19">
        <f t="shared" si="3"/>
        <v>488.61004498402087</v>
      </c>
      <c r="W18" s="19">
        <f t="shared" si="3"/>
        <v>1177.1837324773435</v>
      </c>
      <c r="X18" s="19">
        <f t="shared" ref="X18:AF18" si="4">W22</f>
        <v>2102.9036245181783</v>
      </c>
      <c r="Y18" s="19">
        <f t="shared" si="4"/>
        <v>3106.5649805938006</v>
      </c>
      <c r="Z18" s="19">
        <f t="shared" si="4"/>
        <v>4222.3911729500696</v>
      </c>
      <c r="AA18" s="19">
        <f t="shared" si="4"/>
        <v>5432.9934340707277</v>
      </c>
      <c r="AB18" s="19">
        <f t="shared" si="4"/>
        <v>6746.3201432672531</v>
      </c>
      <c r="AC18" s="19">
        <f t="shared" si="4"/>
        <v>8123.7513465406701</v>
      </c>
      <c r="AD18" s="19">
        <f t="shared" si="4"/>
        <v>9434.1049003290718</v>
      </c>
      <c r="AE18" s="19">
        <f t="shared" si="4"/>
        <v>10753.001283205442</v>
      </c>
      <c r="AF18" s="19">
        <f t="shared" si="4"/>
        <v>12311.01218782395</v>
      </c>
    </row>
    <row r="19" spans="1:32">
      <c r="A19" s="21" t="s">
        <v>73</v>
      </c>
      <c r="B19" s="139">
        <f>IF(B16&lt;0,-B16,0)</f>
        <v>236.84877435832351</v>
      </c>
      <c r="C19" s="139">
        <f t="shared" ref="C19:W19" si="5">IF(C16&lt;0,-C16,0)</f>
        <v>416.39376067911525</v>
      </c>
      <c r="D19" s="139">
        <f t="shared" si="5"/>
        <v>394.21750424071212</v>
      </c>
      <c r="E19" s="139">
        <f t="shared" si="5"/>
        <v>376.10725418710319</v>
      </c>
      <c r="F19" s="139">
        <f t="shared" si="5"/>
        <v>361.49948554059978</v>
      </c>
      <c r="G19" s="139">
        <f t="shared" si="5"/>
        <v>284.12084483191438</v>
      </c>
      <c r="H19" s="139">
        <f t="shared" si="5"/>
        <v>253.15572481396353</v>
      </c>
      <c r="I19" s="139">
        <f t="shared" si="5"/>
        <v>267.71215712290694</v>
      </c>
      <c r="J19" s="139">
        <f t="shared" si="5"/>
        <v>282.77301020982134</v>
      </c>
      <c r="K19" s="139">
        <f t="shared" si="5"/>
        <v>299.83631659318007</v>
      </c>
      <c r="L19" s="139">
        <f t="shared" si="5"/>
        <v>317.65504111572034</v>
      </c>
      <c r="M19" s="139">
        <f t="shared" si="5"/>
        <v>337.70423052513911</v>
      </c>
      <c r="N19" s="139">
        <f t="shared" si="5"/>
        <v>358.72609241207562</v>
      </c>
      <c r="O19" s="139">
        <f t="shared" si="5"/>
        <v>382.25064887089593</v>
      </c>
      <c r="P19" s="139">
        <f t="shared" si="5"/>
        <v>407.07778411800695</v>
      </c>
      <c r="Q19" s="139">
        <f t="shared" si="5"/>
        <v>335.95351487484066</v>
      </c>
      <c r="R19" s="139">
        <f t="shared" si="5"/>
        <v>267.11637820324205</v>
      </c>
      <c r="S19" s="139">
        <f t="shared" si="5"/>
        <v>299.24471916740004</v>
      </c>
      <c r="T19" s="139">
        <f t="shared" si="5"/>
        <v>334.09934716160853</v>
      </c>
      <c r="U19" s="139">
        <f t="shared" si="5"/>
        <v>371.92359807516311</v>
      </c>
      <c r="V19" s="139">
        <f t="shared" si="5"/>
        <v>709.59554938025906</v>
      </c>
      <c r="W19" s="139">
        <f t="shared" si="5"/>
        <v>949.24444849965505</v>
      </c>
      <c r="X19" s="139">
        <f t="shared" ref="X19:AF19" si="6">IF(X16&lt;0,-X16,0)</f>
        <v>1028.4884913227334</v>
      </c>
      <c r="Y19" s="139">
        <f t="shared" si="6"/>
        <v>1115.8261923562693</v>
      </c>
      <c r="Z19" s="139">
        <f t="shared" si="6"/>
        <v>1210.6022611206583</v>
      </c>
      <c r="AA19" s="139">
        <f t="shared" si="6"/>
        <v>1313.3267091965251</v>
      </c>
      <c r="AB19" s="139">
        <f t="shared" si="6"/>
        <v>1424.7440965894064</v>
      </c>
      <c r="AC19" s="139">
        <f t="shared" si="6"/>
        <v>1545.5415155452877</v>
      </c>
      <c r="AD19" s="139">
        <f t="shared" si="6"/>
        <v>1676.6175235908843</v>
      </c>
      <c r="AE19" s="139">
        <f t="shared" si="6"/>
        <v>1818.681665624842</v>
      </c>
      <c r="AF19" s="139">
        <f t="shared" si="6"/>
        <v>1965.3276164458068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-236.84877435832351</v>
      </c>
      <c r="K20" s="468">
        <f t="shared" ref="K20:AF20" si="7">IF(-SUM(C21:J21, C20:J20)&gt;C19,0,-C19-SUM(C21:J21,C20:J20))</f>
        <v>-179.54498632079174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-120.29133027238834</v>
      </c>
      <c r="T20" s="468">
        <f t="shared" si="7"/>
        <v>-197.363710843332</v>
      </c>
      <c r="U20" s="468">
        <f t="shared" si="7"/>
        <v>-20.049189409418773</v>
      </c>
      <c r="V20" s="468">
        <f t="shared" si="7"/>
        <v>-21.021861886936506</v>
      </c>
      <c r="W20" s="468">
        <f t="shared" si="7"/>
        <v>-23.524556458820314</v>
      </c>
      <c r="X20" s="468">
        <f t="shared" si="7"/>
        <v>-24.827135247111016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-47.312893315989925</v>
      </c>
      <c r="AC20" s="468">
        <f t="shared" si="7"/>
        <v>-235.18796175688658</v>
      </c>
      <c r="AD20" s="468">
        <f t="shared" si="7"/>
        <v>-357.72114071451472</v>
      </c>
      <c r="AE20" s="468">
        <f t="shared" si="7"/>
        <v>-260.67076100633255</v>
      </c>
      <c r="AF20" s="468">
        <f t="shared" si="7"/>
        <v>-102.76859928189856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236.84877435832351</v>
      </c>
      <c r="C22" s="132">
        <f t="shared" si="10"/>
        <v>653.24253503743876</v>
      </c>
      <c r="D22" s="132">
        <f t="shared" si="10"/>
        <v>1047.4600392781508</v>
      </c>
      <c r="E22" s="132">
        <f t="shared" si="10"/>
        <v>1423.5672934652539</v>
      </c>
      <c r="F22" s="132">
        <f t="shared" si="10"/>
        <v>1785.0667790058537</v>
      </c>
      <c r="G22" s="132">
        <f t="shared" si="10"/>
        <v>2069.1876238377681</v>
      </c>
      <c r="H22" s="132">
        <f t="shared" si="10"/>
        <v>2322.3433486517315</v>
      </c>
      <c r="I22" s="132">
        <f t="shared" si="10"/>
        <v>2590.0555057746383</v>
      </c>
      <c r="J22" s="132">
        <f t="shared" si="10"/>
        <v>2635.9797416261358</v>
      </c>
      <c r="K22" s="132">
        <f t="shared" si="10"/>
        <v>2756.271071898524</v>
      </c>
      <c r="L22" s="132">
        <f t="shared" si="10"/>
        <v>3073.9261130142445</v>
      </c>
      <c r="M22" s="132">
        <f t="shared" si="10"/>
        <v>3411.6303435393838</v>
      </c>
      <c r="N22" s="132">
        <f t="shared" si="10"/>
        <v>3770.3564359514594</v>
      </c>
      <c r="O22" s="132">
        <f t="shared" si="10"/>
        <v>4152.6070848223553</v>
      </c>
      <c r="P22" s="132">
        <f t="shared" si="10"/>
        <v>4559.6848689403623</v>
      </c>
      <c r="Q22" s="132">
        <f t="shared" si="10"/>
        <v>4895.6383838152033</v>
      </c>
      <c r="R22" s="132">
        <f t="shared" si="10"/>
        <v>5162.754762018445</v>
      </c>
      <c r="S22" s="132">
        <f t="shared" si="10"/>
        <v>5341.7081509134568</v>
      </c>
      <c r="T22" s="132">
        <f t="shared" si="10"/>
        <v>136.73563631827653</v>
      </c>
      <c r="U22" s="132">
        <f t="shared" si="10"/>
        <v>488.61004498402087</v>
      </c>
      <c r="V22" s="132">
        <f t="shared" si="10"/>
        <v>1177.1837324773435</v>
      </c>
      <c r="W22" s="132">
        <f t="shared" si="10"/>
        <v>2102.9036245181783</v>
      </c>
      <c r="X22" s="132">
        <f t="shared" si="10"/>
        <v>3106.5649805938006</v>
      </c>
      <c r="Y22" s="132">
        <f t="shared" si="10"/>
        <v>4222.3911729500696</v>
      </c>
      <c r="Z22" s="132">
        <f t="shared" si="10"/>
        <v>5432.9934340707277</v>
      </c>
      <c r="AA22" s="132">
        <f t="shared" si="10"/>
        <v>6746.3201432672531</v>
      </c>
      <c r="AB22" s="132">
        <f t="shared" si="10"/>
        <v>8123.7513465406701</v>
      </c>
      <c r="AC22" s="132">
        <f t="shared" si="10"/>
        <v>9434.1049003290718</v>
      </c>
      <c r="AD22" s="132">
        <f t="shared" si="10"/>
        <v>10753.001283205442</v>
      </c>
      <c r="AE22" s="132">
        <f t="shared" si="10"/>
        <v>12311.01218782395</v>
      </c>
      <c r="AF22" s="132">
        <f t="shared" si="10"/>
        <v>14173.571204987858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-3383.5539194046214</v>
      </c>
      <c r="C28" s="19">
        <f t="shared" ref="C28:AF28" si="12">C13</f>
        <v>-5948.4822954159317</v>
      </c>
      <c r="D28" s="19">
        <f t="shared" si="12"/>
        <v>-5631.6786320101728</v>
      </c>
      <c r="E28" s="19">
        <f t="shared" si="12"/>
        <v>-5372.9607741014734</v>
      </c>
      <c r="F28" s="19">
        <f t="shared" si="12"/>
        <v>-5164.2783648657105</v>
      </c>
      <c r="G28" s="19">
        <f t="shared" si="12"/>
        <v>-4058.8692118844906</v>
      </c>
      <c r="H28" s="19">
        <f t="shared" si="12"/>
        <v>-3616.5103544851931</v>
      </c>
      <c r="I28" s="19">
        <f t="shared" si="12"/>
        <v>-3824.4593874700986</v>
      </c>
      <c r="J28" s="19">
        <f t="shared" si="12"/>
        <v>-4039.6144315688757</v>
      </c>
      <c r="K28" s="19">
        <f t="shared" si="12"/>
        <v>-4283.3759513311434</v>
      </c>
      <c r="L28" s="19">
        <f t="shared" si="12"/>
        <v>-4537.9291587960042</v>
      </c>
      <c r="M28" s="19">
        <f t="shared" si="12"/>
        <v>-4824.3461503591298</v>
      </c>
      <c r="N28" s="19">
        <f t="shared" si="12"/>
        <v>-5124.6584630296511</v>
      </c>
      <c r="O28" s="19">
        <f t="shared" si="12"/>
        <v>-5460.723555298513</v>
      </c>
      <c r="P28" s="19">
        <f t="shared" si="12"/>
        <v>-5815.3969159715271</v>
      </c>
      <c r="Q28" s="19">
        <f t="shared" si="12"/>
        <v>-4799.3359267834376</v>
      </c>
      <c r="R28" s="19">
        <f t="shared" si="12"/>
        <v>-3815.9482600463148</v>
      </c>
      <c r="S28" s="19">
        <f t="shared" si="12"/>
        <v>-4274.9245595342854</v>
      </c>
      <c r="T28" s="19">
        <f t="shared" si="12"/>
        <v>-4772.847816594407</v>
      </c>
      <c r="U28" s="19">
        <f t="shared" si="12"/>
        <v>-5313.1942582166157</v>
      </c>
      <c r="V28" s="19">
        <f t="shared" si="12"/>
        <v>-10137.079276860843</v>
      </c>
      <c r="W28" s="19">
        <f t="shared" si="12"/>
        <v>-13560.634978566499</v>
      </c>
      <c r="X28" s="19">
        <f t="shared" si="12"/>
        <v>-14692.692733181902</v>
      </c>
      <c r="Y28" s="19">
        <f t="shared" si="12"/>
        <v>-15940.374176518131</v>
      </c>
      <c r="Z28" s="19">
        <f t="shared" si="12"/>
        <v>-17294.318016009402</v>
      </c>
      <c r="AA28" s="19">
        <f t="shared" si="12"/>
        <v>-18761.81013137893</v>
      </c>
      <c r="AB28" s="19">
        <f t="shared" si="12"/>
        <v>-20353.487094134376</v>
      </c>
      <c r="AC28" s="19">
        <f t="shared" si="12"/>
        <v>-22079.164507789821</v>
      </c>
      <c r="AD28" s="19">
        <f t="shared" si="12"/>
        <v>-23951.678908441201</v>
      </c>
      <c r="AE28" s="19">
        <f t="shared" si="12"/>
        <v>-25981.166651783456</v>
      </c>
      <c r="AF28" s="19">
        <f t="shared" si="12"/>
        <v>-28076.108806368666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-3383.5539194046214</v>
      </c>
      <c r="C30" s="44">
        <f t="shared" si="14"/>
        <v>-5948.4822954159317</v>
      </c>
      <c r="D30" s="44">
        <f t="shared" si="14"/>
        <v>-5631.6786320101728</v>
      </c>
      <c r="E30" s="44">
        <f t="shared" si="14"/>
        <v>-5372.9607741014734</v>
      </c>
      <c r="F30" s="44">
        <f t="shared" si="14"/>
        <v>-5164.2783648657105</v>
      </c>
      <c r="G30" s="44">
        <f t="shared" si="14"/>
        <v>-4058.8692118844906</v>
      </c>
      <c r="H30" s="44">
        <f t="shared" si="14"/>
        <v>-3616.5103544851931</v>
      </c>
      <c r="I30" s="44">
        <f t="shared" si="14"/>
        <v>-3824.4593874700986</v>
      </c>
      <c r="J30" s="44">
        <f t="shared" si="14"/>
        <v>-4039.6144315688757</v>
      </c>
      <c r="K30" s="44">
        <f t="shared" si="14"/>
        <v>-4283.3759513311434</v>
      </c>
      <c r="L30" s="44">
        <f t="shared" si="14"/>
        <v>-4537.9291587960042</v>
      </c>
      <c r="M30" s="44">
        <f t="shared" si="14"/>
        <v>-4824.3461503591298</v>
      </c>
      <c r="N30" s="44">
        <f t="shared" si="14"/>
        <v>-5124.6584630296511</v>
      </c>
      <c r="O30" s="44">
        <f t="shared" si="14"/>
        <v>-5460.723555298513</v>
      </c>
      <c r="P30" s="44">
        <f t="shared" si="14"/>
        <v>-5815.3969159715271</v>
      </c>
      <c r="Q30" s="44">
        <f t="shared" si="14"/>
        <v>-4799.3359267834376</v>
      </c>
      <c r="R30" s="44">
        <f t="shared" si="14"/>
        <v>-3815.9482600463148</v>
      </c>
      <c r="S30" s="44">
        <f t="shared" si="14"/>
        <v>-4274.9245595342854</v>
      </c>
      <c r="T30" s="44">
        <f t="shared" si="14"/>
        <v>-4772.847816594407</v>
      </c>
      <c r="U30" s="44">
        <f t="shared" si="14"/>
        <v>-5313.1942582166157</v>
      </c>
      <c r="V30" s="44">
        <f t="shared" si="14"/>
        <v>-10137.079276860843</v>
      </c>
      <c r="W30" s="44">
        <f t="shared" si="14"/>
        <v>-13560.634978566499</v>
      </c>
      <c r="X30" s="44">
        <f t="shared" si="14"/>
        <v>-14692.692733181902</v>
      </c>
      <c r="Y30" s="44">
        <f t="shared" si="14"/>
        <v>-15940.374176518131</v>
      </c>
      <c r="Z30" s="44">
        <f t="shared" si="14"/>
        <v>-17294.318016009402</v>
      </c>
      <c r="AA30" s="44">
        <f t="shared" si="14"/>
        <v>-18761.81013137893</v>
      </c>
      <c r="AB30" s="44">
        <f t="shared" si="14"/>
        <v>-20353.487094134376</v>
      </c>
      <c r="AC30" s="44">
        <f t="shared" si="14"/>
        <v>-22079.164507789821</v>
      </c>
      <c r="AD30" s="44">
        <f t="shared" si="14"/>
        <v>-23951.678908441201</v>
      </c>
      <c r="AE30" s="44">
        <f t="shared" si="14"/>
        <v>-25981.166651783456</v>
      </c>
      <c r="AF30" s="44">
        <f t="shared" si="14"/>
        <v>-28076.108806368666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-1184.2438717916175</v>
      </c>
      <c r="C33" s="19">
        <f t="shared" ref="C33:W33" si="15">C30*C32</f>
        <v>-2081.9688033955758</v>
      </c>
      <c r="D33" s="19">
        <f t="shared" si="15"/>
        <v>-1971.0875212035603</v>
      </c>
      <c r="E33" s="19">
        <f t="shared" si="15"/>
        <v>-1880.5362709355156</v>
      </c>
      <c r="F33" s="19">
        <f t="shared" si="15"/>
        <v>-1807.4974277029985</v>
      </c>
      <c r="G33" s="19">
        <f t="shared" si="15"/>
        <v>-1420.6042241595717</v>
      </c>
      <c r="H33" s="19">
        <f t="shared" si="15"/>
        <v>-1265.7786240698176</v>
      </c>
      <c r="I33" s="19">
        <f t="shared" si="15"/>
        <v>-1338.5607856145343</v>
      </c>
      <c r="J33" s="19">
        <f t="shared" si="15"/>
        <v>-1413.8650510491063</v>
      </c>
      <c r="K33" s="19">
        <f t="shared" si="15"/>
        <v>-1499.1815829659001</v>
      </c>
      <c r="L33" s="19">
        <f t="shared" si="15"/>
        <v>-1588.2752055786013</v>
      </c>
      <c r="M33" s="19">
        <f t="shared" si="15"/>
        <v>-1688.5211526256953</v>
      </c>
      <c r="N33" s="19">
        <f t="shared" si="15"/>
        <v>-1793.6304620603778</v>
      </c>
      <c r="O33" s="19">
        <f t="shared" si="15"/>
        <v>-1911.2532443544794</v>
      </c>
      <c r="P33" s="19">
        <f t="shared" si="15"/>
        <v>-2035.3889205900343</v>
      </c>
      <c r="Q33" s="19">
        <f t="shared" si="15"/>
        <v>-1679.7675743742032</v>
      </c>
      <c r="R33" s="19">
        <f t="shared" si="15"/>
        <v>-1335.5818910162102</v>
      </c>
      <c r="S33" s="19">
        <f t="shared" si="15"/>
        <v>-1496.2235958369997</v>
      </c>
      <c r="T33" s="19">
        <f t="shared" si="15"/>
        <v>-1670.4967358080423</v>
      </c>
      <c r="U33" s="19">
        <f t="shared" si="15"/>
        <v>-1859.6179903758155</v>
      </c>
      <c r="V33" s="19">
        <f t="shared" si="15"/>
        <v>-3547.9777469012947</v>
      </c>
      <c r="W33" s="19">
        <f t="shared" si="15"/>
        <v>-4746.2222424982747</v>
      </c>
      <c r="X33" s="19">
        <f t="shared" ref="X33:AF33" si="16">X30*X32</f>
        <v>-5142.4424566136659</v>
      </c>
      <c r="Y33" s="19">
        <f t="shared" si="16"/>
        <v>-5579.1309617813458</v>
      </c>
      <c r="Z33" s="19">
        <f t="shared" si="16"/>
        <v>-6053.0113056032906</v>
      </c>
      <c r="AA33" s="19">
        <f t="shared" si="16"/>
        <v>-6566.633545982625</v>
      </c>
      <c r="AB33" s="19">
        <f t="shared" si="16"/>
        <v>-7123.7204829470311</v>
      </c>
      <c r="AC33" s="19">
        <f t="shared" si="16"/>
        <v>-7727.7075777264372</v>
      </c>
      <c r="AD33" s="19">
        <f t="shared" si="16"/>
        <v>-8383.0876179544193</v>
      </c>
      <c r="AE33" s="19">
        <f t="shared" si="16"/>
        <v>-9093.4083281242092</v>
      </c>
      <c r="AF33" s="19">
        <f t="shared" si="16"/>
        <v>-9826.6380822290321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1184.2438717916175</v>
      </c>
      <c r="D35" s="19">
        <f t="shared" si="17"/>
        <v>3266.2126751871933</v>
      </c>
      <c r="E35" s="19">
        <f t="shared" si="17"/>
        <v>5237.3001963907536</v>
      </c>
      <c r="F35" s="19">
        <f t="shared" si="17"/>
        <v>7117.8364673262695</v>
      </c>
      <c r="G35" s="19">
        <f t="shared" si="17"/>
        <v>8925.3338950292673</v>
      </c>
      <c r="H35" s="19">
        <f t="shared" si="17"/>
        <v>10345.938119188839</v>
      </c>
      <c r="I35" s="19">
        <f t="shared" si="17"/>
        <v>11611.716743258656</v>
      </c>
      <c r="J35" s="19">
        <f t="shared" si="17"/>
        <v>12950.27752887319</v>
      </c>
      <c r="K35" s="19">
        <f t="shared" si="17"/>
        <v>14364.142579922296</v>
      </c>
      <c r="L35" s="19">
        <f t="shared" si="17"/>
        <v>15863.324162888197</v>
      </c>
      <c r="M35" s="19">
        <f t="shared" si="17"/>
        <v>17451.599368466799</v>
      </c>
      <c r="N35" s="19">
        <f t="shared" si="17"/>
        <v>19140.120521092496</v>
      </c>
      <c r="O35" s="19">
        <f t="shared" si="17"/>
        <v>20933.750983152873</v>
      </c>
      <c r="P35" s="19">
        <f t="shared" si="17"/>
        <v>22845.004227507354</v>
      </c>
      <c r="Q35" s="19">
        <f t="shared" si="17"/>
        <v>24880.393148097388</v>
      </c>
      <c r="R35" s="19">
        <f t="shared" si="17"/>
        <v>25375.916850679976</v>
      </c>
      <c r="S35" s="19">
        <f t="shared" si="17"/>
        <v>25813.773810092225</v>
      </c>
      <c r="T35" s="19">
        <v>0</v>
      </c>
      <c r="U35" s="19">
        <f t="shared" ref="U35:AF35" si="18">T39</f>
        <v>1670.4967358080423</v>
      </c>
      <c r="V35" s="19">
        <f t="shared" si="18"/>
        <v>3530.1147261838578</v>
      </c>
      <c r="W35" s="19">
        <f t="shared" si="18"/>
        <v>7078.092473085153</v>
      </c>
      <c r="X35" s="19">
        <f t="shared" si="18"/>
        <v>11824.314715583427</v>
      </c>
      <c r="Y35" s="19">
        <f t="shared" si="18"/>
        <v>16966.757172197093</v>
      </c>
      <c r="Z35" s="19">
        <f t="shared" si="18"/>
        <v>22545.888133978438</v>
      </c>
      <c r="AA35" s="19">
        <f t="shared" si="18"/>
        <v>28598.899439581728</v>
      </c>
      <c r="AB35" s="19">
        <f t="shared" si="18"/>
        <v>35165.53298556435</v>
      </c>
      <c r="AC35" s="19">
        <f t="shared" si="18"/>
        <v>42289.253468511379</v>
      </c>
      <c r="AD35" s="19">
        <f t="shared" si="18"/>
        <v>50016.961046237819</v>
      </c>
      <c r="AE35" s="19">
        <f t="shared" si="18"/>
        <v>58400.04866419224</v>
      </c>
      <c r="AF35" s="19">
        <f t="shared" si="18"/>
        <v>67493.456992316453</v>
      </c>
    </row>
    <row r="36" spans="1:32">
      <c r="A36" s="21" t="s">
        <v>73</v>
      </c>
      <c r="B36" s="139">
        <f>IF(B33&lt;0,-B33,0)</f>
        <v>1184.2438717916175</v>
      </c>
      <c r="C36" s="139">
        <f t="shared" ref="C36:AF36" si="19">IF(C33&lt;0,-C33,0)</f>
        <v>2081.9688033955758</v>
      </c>
      <c r="D36" s="139">
        <f t="shared" si="19"/>
        <v>1971.0875212035603</v>
      </c>
      <c r="E36" s="139">
        <f t="shared" si="19"/>
        <v>1880.5362709355156</v>
      </c>
      <c r="F36" s="139">
        <f t="shared" si="19"/>
        <v>1807.4974277029985</v>
      </c>
      <c r="G36" s="139">
        <f t="shared" si="19"/>
        <v>1420.6042241595717</v>
      </c>
      <c r="H36" s="139">
        <f t="shared" si="19"/>
        <v>1265.7786240698176</v>
      </c>
      <c r="I36" s="139">
        <f t="shared" si="19"/>
        <v>1338.5607856145343</v>
      </c>
      <c r="J36" s="139">
        <f t="shared" si="19"/>
        <v>1413.8650510491063</v>
      </c>
      <c r="K36" s="139">
        <f t="shared" si="19"/>
        <v>1499.1815829659001</v>
      </c>
      <c r="L36" s="139">
        <f t="shared" si="19"/>
        <v>1588.2752055786013</v>
      </c>
      <c r="M36" s="139">
        <f t="shared" si="19"/>
        <v>1688.5211526256953</v>
      </c>
      <c r="N36" s="139">
        <f t="shared" si="19"/>
        <v>1793.6304620603778</v>
      </c>
      <c r="O36" s="139">
        <f t="shared" si="19"/>
        <v>1911.2532443544794</v>
      </c>
      <c r="P36" s="139">
        <f t="shared" si="19"/>
        <v>2035.3889205900343</v>
      </c>
      <c r="Q36" s="139">
        <f t="shared" si="19"/>
        <v>1679.7675743742032</v>
      </c>
      <c r="R36" s="139">
        <f t="shared" si="19"/>
        <v>1335.5818910162102</v>
      </c>
      <c r="S36" s="139">
        <f t="shared" si="19"/>
        <v>1496.2235958369997</v>
      </c>
      <c r="T36" s="139">
        <f t="shared" si="19"/>
        <v>1670.4967358080423</v>
      </c>
      <c r="U36" s="139">
        <f t="shared" si="19"/>
        <v>1859.6179903758155</v>
      </c>
      <c r="V36" s="139">
        <f t="shared" si="19"/>
        <v>3547.9777469012947</v>
      </c>
      <c r="W36" s="139">
        <f t="shared" si="19"/>
        <v>4746.2222424982747</v>
      </c>
      <c r="X36" s="139">
        <f t="shared" si="19"/>
        <v>5142.4424566136659</v>
      </c>
      <c r="Y36" s="139">
        <f t="shared" si="19"/>
        <v>5579.1309617813458</v>
      </c>
      <c r="Z36" s="139">
        <f t="shared" si="19"/>
        <v>6053.0113056032906</v>
      </c>
      <c r="AA36" s="139">
        <f t="shared" si="19"/>
        <v>6566.633545982625</v>
      </c>
      <c r="AB36" s="139">
        <f t="shared" si="19"/>
        <v>7123.7204829470311</v>
      </c>
      <c r="AC36" s="139">
        <f t="shared" si="19"/>
        <v>7727.7075777264372</v>
      </c>
      <c r="AD36" s="139">
        <f t="shared" si="19"/>
        <v>8383.0876179544193</v>
      </c>
      <c r="AE36" s="139">
        <f t="shared" si="19"/>
        <v>9093.4083281242092</v>
      </c>
      <c r="AF36" s="139">
        <f t="shared" si="19"/>
        <v>9826.6380822290321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-1184.2438717916175</v>
      </c>
      <c r="R37" s="468">
        <f t="shared" ref="R37:AF37" si="20">IF(-SUM(C38:Q38, C37:Q37)&gt;C36,0,-C36-SUM(C38:Q38,C37:Q37))</f>
        <v>-897.72493160395834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1184.2438717916175</v>
      </c>
      <c r="C39" s="132">
        <f t="shared" si="23"/>
        <v>3266.2126751871933</v>
      </c>
      <c r="D39" s="132">
        <f t="shared" si="23"/>
        <v>5237.3001963907536</v>
      </c>
      <c r="E39" s="132">
        <f t="shared" si="23"/>
        <v>7117.8364673262695</v>
      </c>
      <c r="F39" s="132">
        <f t="shared" si="23"/>
        <v>8925.3338950292673</v>
      </c>
      <c r="G39" s="132">
        <f t="shared" si="23"/>
        <v>10345.938119188839</v>
      </c>
      <c r="H39" s="132">
        <f t="shared" si="23"/>
        <v>11611.716743258656</v>
      </c>
      <c r="I39" s="132">
        <f t="shared" si="23"/>
        <v>12950.27752887319</v>
      </c>
      <c r="J39" s="132">
        <f t="shared" si="23"/>
        <v>14364.142579922296</v>
      </c>
      <c r="K39" s="132">
        <f t="shared" si="23"/>
        <v>15863.324162888197</v>
      </c>
      <c r="L39" s="132">
        <f t="shared" si="23"/>
        <v>17451.599368466799</v>
      </c>
      <c r="M39" s="132">
        <f t="shared" si="23"/>
        <v>19140.120521092496</v>
      </c>
      <c r="N39" s="132">
        <f t="shared" si="23"/>
        <v>20933.750983152873</v>
      </c>
      <c r="O39" s="132">
        <f t="shared" si="23"/>
        <v>22845.004227507354</v>
      </c>
      <c r="P39" s="132">
        <f t="shared" si="23"/>
        <v>24880.393148097388</v>
      </c>
      <c r="Q39" s="132">
        <f t="shared" si="23"/>
        <v>25375.916850679976</v>
      </c>
      <c r="R39" s="132">
        <f t="shared" si="23"/>
        <v>25813.773810092225</v>
      </c>
      <c r="S39" s="132">
        <f t="shared" si="23"/>
        <v>27309.997405929225</v>
      </c>
      <c r="T39" s="132">
        <f t="shared" si="23"/>
        <v>1670.4967358080423</v>
      </c>
      <c r="U39" s="132">
        <f t="shared" si="23"/>
        <v>3530.1147261838578</v>
      </c>
      <c r="V39" s="132">
        <f t="shared" si="23"/>
        <v>7078.092473085153</v>
      </c>
      <c r="W39" s="132">
        <f t="shared" si="23"/>
        <v>11824.314715583427</v>
      </c>
      <c r="X39" s="132">
        <f t="shared" si="23"/>
        <v>16966.757172197093</v>
      </c>
      <c r="Y39" s="132">
        <f t="shared" si="23"/>
        <v>22545.888133978438</v>
      </c>
      <c r="Z39" s="132">
        <f t="shared" si="23"/>
        <v>28598.899439581728</v>
      </c>
      <c r="AA39" s="132">
        <f t="shared" si="23"/>
        <v>35165.53298556435</v>
      </c>
      <c r="AB39" s="132">
        <f t="shared" si="23"/>
        <v>42289.253468511379</v>
      </c>
      <c r="AC39" s="132">
        <f t="shared" si="23"/>
        <v>50016.961046237819</v>
      </c>
      <c r="AD39" s="132">
        <f t="shared" si="23"/>
        <v>58400.04866419224</v>
      </c>
      <c r="AE39" s="132">
        <f t="shared" si="23"/>
        <v>67493.456992316453</v>
      </c>
      <c r="AF39" s="132">
        <f t="shared" si="23"/>
        <v>77320.09507454549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2.9802322387695314E-9</v>
      </c>
      <c r="C9" s="482">
        <f>Debt!E69</f>
        <v>1.2999999999999559</v>
      </c>
      <c r="D9" s="483">
        <f>Debt!E68</f>
        <v>1.2999999999999994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2.9802322387695314E-9</v>
      </c>
      <c r="C12" s="487">
        <f>C9</f>
        <v>1.2999999999999559</v>
      </c>
      <c r="D12" s="488">
        <f>D9</f>
        <v>1.2999999999999994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6000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28520.899214663415</v>
      </c>
      <c r="E15" s="239">
        <f t="shared" ref="E15:E33" si="0">C15*$C$6</f>
        <v>1020.0000000000001</v>
      </c>
      <c r="F15" s="239">
        <f t="shared" ref="F15:F33" si="1">+E15+D15</f>
        <v>29540.899214663415</v>
      </c>
      <c r="G15" s="239">
        <f>F15+H15</f>
        <v>29540.899214663415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0.16</v>
      </c>
      <c r="D16" s="238">
        <v>0</v>
      </c>
      <c r="E16" s="239">
        <f t="shared" si="0"/>
        <v>960</v>
      </c>
      <c r="F16" s="239">
        <f t="shared" si="1"/>
        <v>960</v>
      </c>
      <c r="G16" s="239">
        <f t="shared" ref="G16:G33" si="3">F16+G15+H16</f>
        <v>30703.992896764226</v>
      </c>
      <c r="H16" s="239">
        <f>IF(A16&gt;$C$7+1,0,G15*(B16-B15)*$D$8)</f>
        <v>203.09368210081101</v>
      </c>
      <c r="I16" s="239">
        <f>IF(A16&lt;=$C$7+1,H16+I15,I15)</f>
        <v>203.09368210081101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0.16</v>
      </c>
      <c r="D17" s="238">
        <v>0</v>
      </c>
      <c r="E17" s="239">
        <f t="shared" si="0"/>
        <v>960</v>
      </c>
      <c r="F17" s="239">
        <f t="shared" si="1"/>
        <v>960</v>
      </c>
      <c r="G17" s="239">
        <f t="shared" si="3"/>
        <v>31882.119179634989</v>
      </c>
      <c r="H17" s="239">
        <f t="shared" ref="H17:H33" si="4">IF(A17&gt;$C$7+1,0,G16*(B17-B16)*$D$8)</f>
        <v>218.12628287076257</v>
      </c>
      <c r="I17" s="239">
        <f t="shared" ref="I17:I33" si="5">IF(A17&lt;=$C$7+1,H17+I16,I16)</f>
        <v>421.21996497157357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0.16</v>
      </c>
      <c r="D18" s="238">
        <v>0</v>
      </c>
      <c r="E18" s="239">
        <f t="shared" si="0"/>
        <v>960</v>
      </c>
      <c r="F18" s="239">
        <f t="shared" si="1"/>
        <v>960</v>
      </c>
      <c r="G18" s="239">
        <f t="shared" si="3"/>
        <v>33061.308748994976</v>
      </c>
      <c r="H18" s="239">
        <f t="shared" si="4"/>
        <v>219.18956935999057</v>
      </c>
      <c r="I18" s="239">
        <f t="shared" si="5"/>
        <v>640.40953433156415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0.17</v>
      </c>
      <c r="D19" s="238">
        <v>0</v>
      </c>
      <c r="E19" s="239">
        <f t="shared" si="0"/>
        <v>1020.0000000000001</v>
      </c>
      <c r="F19" s="239">
        <f t="shared" si="1"/>
        <v>1020.0000000000001</v>
      </c>
      <c r="G19" s="239">
        <f t="shared" si="3"/>
        <v>34316.181796565957</v>
      </c>
      <c r="H19" s="239">
        <f t="shared" si="4"/>
        <v>234.87304757098516</v>
      </c>
      <c r="I19" s="239">
        <f t="shared" si="5"/>
        <v>875.28258190254928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0.18</v>
      </c>
      <c r="D20" s="238">
        <v>0</v>
      </c>
      <c r="E20" s="239">
        <f t="shared" si="0"/>
        <v>1080</v>
      </c>
      <c r="F20" s="239">
        <f t="shared" si="1"/>
        <v>1080</v>
      </c>
      <c r="G20" s="239">
        <f t="shared" si="3"/>
        <v>35639.969671412393</v>
      </c>
      <c r="H20" s="239">
        <f t="shared" si="4"/>
        <v>243.78787484643738</v>
      </c>
      <c r="I20" s="239">
        <f t="shared" si="5"/>
        <v>1119.0704567489865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</v>
      </c>
      <c r="D21" s="238">
        <v>0</v>
      </c>
      <c r="E21" s="239">
        <f t="shared" si="0"/>
        <v>0</v>
      </c>
      <c r="F21" s="239">
        <f t="shared" si="1"/>
        <v>0</v>
      </c>
      <c r="G21" s="239">
        <f t="shared" si="3"/>
        <v>35884.994462903356</v>
      </c>
      <c r="H21" s="239">
        <f t="shared" si="4"/>
        <v>245.02479149096024</v>
      </c>
      <c r="I21" s="239">
        <f t="shared" si="5"/>
        <v>1364.0952482399468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</v>
      </c>
      <c r="D22" s="238">
        <v>0</v>
      </c>
      <c r="E22" s="239">
        <f t="shared" si="0"/>
        <v>0</v>
      </c>
      <c r="F22" s="239">
        <f t="shared" si="1"/>
        <v>0</v>
      </c>
      <c r="G22" s="239">
        <f t="shared" si="3"/>
        <v>36139.927444400229</v>
      </c>
      <c r="H22" s="239">
        <f t="shared" si="4"/>
        <v>254.93298149687595</v>
      </c>
      <c r="I22" s="239">
        <f t="shared" si="5"/>
        <v>1619.0282297368228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36139.927444400229</v>
      </c>
      <c r="H23" s="239">
        <f t="shared" si="4"/>
        <v>0</v>
      </c>
      <c r="I23" s="239">
        <f t="shared" si="5"/>
        <v>1619.0282297368228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36139.927444400229</v>
      </c>
      <c r="H24" s="239">
        <f t="shared" si="4"/>
        <v>0</v>
      </c>
      <c r="I24" s="239">
        <f t="shared" si="5"/>
        <v>1619.0282297368228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36139.927444400229</v>
      </c>
      <c r="H25" s="239">
        <f t="shared" si="4"/>
        <v>0</v>
      </c>
      <c r="I25" s="239">
        <f t="shared" si="5"/>
        <v>1619.0282297368228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36139.927444400229</v>
      </c>
      <c r="H26" s="239">
        <f t="shared" si="4"/>
        <v>0</v>
      </c>
      <c r="I26" s="239">
        <f t="shared" si="5"/>
        <v>1619.0282297368228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36139.927444400229</v>
      </c>
      <c r="H27" s="239">
        <f t="shared" si="4"/>
        <v>0</v>
      </c>
      <c r="I27" s="239">
        <f t="shared" si="5"/>
        <v>1619.0282297368228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36139.927444400229</v>
      </c>
      <c r="H28" s="239">
        <f t="shared" si="4"/>
        <v>0</v>
      </c>
      <c r="I28" s="239">
        <f t="shared" si="5"/>
        <v>1619.0282297368228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36139.927444400229</v>
      </c>
      <c r="H29" s="239">
        <f t="shared" si="4"/>
        <v>0</v>
      </c>
      <c r="I29" s="239">
        <f t="shared" si="5"/>
        <v>1619.0282297368228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36139.927444400229</v>
      </c>
      <c r="H30" s="239">
        <f t="shared" si="4"/>
        <v>0</v>
      </c>
      <c r="I30" s="239">
        <f t="shared" si="5"/>
        <v>1619.0282297368228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36139.927444400229</v>
      </c>
      <c r="H31" s="239">
        <f t="shared" si="4"/>
        <v>0</v>
      </c>
      <c r="I31" s="239">
        <f t="shared" si="5"/>
        <v>1619.0282297368228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36139.927444400229</v>
      </c>
      <c r="H32" s="239">
        <f t="shared" si="4"/>
        <v>0</v>
      </c>
      <c r="I32" s="239">
        <f t="shared" si="5"/>
        <v>1619.0282297368228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36139.927444400229</v>
      </c>
      <c r="H33" s="244">
        <f t="shared" si="4"/>
        <v>0</v>
      </c>
      <c r="I33" s="244">
        <f t="shared" si="5"/>
        <v>1619.0282297368228</v>
      </c>
      <c r="K33" s="439"/>
    </row>
    <row r="34" spans="1:13">
      <c r="C34" s="232">
        <f>SUM(C15:C33)</f>
        <v>1</v>
      </c>
      <c r="D34" s="240">
        <f>SUM(D15:D33)</f>
        <v>28520.899214663415</v>
      </c>
      <c r="E34" s="240">
        <f>SUM(E15:E33)</f>
        <v>6000</v>
      </c>
      <c r="F34" s="240">
        <f>SUM(F15:F33)</f>
        <v>34520.899214663419</v>
      </c>
      <c r="G34" s="18"/>
      <c r="H34" s="240">
        <f>SUM(H15:H33)</f>
        <v>1619.0282297368228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75">
      <c r="A11" s="98" t="s">
        <v>9</v>
      </c>
      <c r="B11" s="268">
        <f>C11/$C$14</f>
        <v>-0.24166602842174789</v>
      </c>
      <c r="C11" s="194">
        <f>C61-C12</f>
        <v>-13291.631563196133</v>
      </c>
      <c r="D11" s="345">
        <f>C11/$H$68</f>
        <v>-144.4742561216971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75">
      <c r="A12" s="98" t="s">
        <v>85</v>
      </c>
      <c r="B12" s="268">
        <f>C12/$C$14</f>
        <v>1.2416660284217478</v>
      </c>
      <c r="C12" s="194">
        <f>Debt!B19</f>
        <v>68291.631563196133</v>
      </c>
      <c r="D12" s="345">
        <f>C12/$H$68</f>
        <v>742.30034307821882</v>
      </c>
      <c r="E12" s="13"/>
      <c r="F12" s="116" t="s">
        <v>11</v>
      </c>
      <c r="G12" s="175"/>
      <c r="H12" s="250">
        <v>2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1</v>
      </c>
      <c r="AD13" s="663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55000</v>
      </c>
      <c r="D14" s="450">
        <f>C14/$H$68</f>
        <v>597.82608695652175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10-Yr. Debt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1.2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1.5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200</v>
      </c>
      <c r="O19" s="270">
        <f t="shared" ref="O19:O25" si="0">N19/$H$68</f>
        <v>2.1739130434782608</v>
      </c>
      <c r="P19" s="40"/>
    </row>
    <row r="20" spans="1:23" ht="15.75">
      <c r="A20" s="101" t="s">
        <v>414</v>
      </c>
      <c r="B20" s="167">
        <f t="shared" ref="B20:B35" si="1">C20/$C$61</f>
        <v>0.51854545454545453</v>
      </c>
      <c r="C20" s="197">
        <f>H11*H12</f>
        <v>28520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200</v>
      </c>
      <c r="O20" s="270">
        <f t="shared" si="0"/>
        <v>2.1739130434782608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0.10909090909090909</v>
      </c>
      <c r="C22" s="248">
        <v>6000</v>
      </c>
      <c r="D22" s="345">
        <f t="shared" si="2"/>
        <v>65.217391304347828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50</v>
      </c>
      <c r="O22" s="270">
        <f t="shared" si="0"/>
        <v>0.54347826086956519</v>
      </c>
      <c r="P22" s="40"/>
    </row>
    <row r="23" spans="1:23" ht="15.75">
      <c r="A23" s="101" t="s">
        <v>107</v>
      </c>
      <c r="B23" s="167">
        <f t="shared" si="1"/>
        <v>2.7272727272727271E-2</v>
      </c>
      <c r="C23" s="248">
        <v>1500</v>
      </c>
      <c r="D23" s="345">
        <f t="shared" si="2"/>
        <v>16.304347826086957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40</v>
      </c>
      <c r="O23" s="270">
        <f t="shared" si="0"/>
        <v>0.43478260869565216</v>
      </c>
      <c r="P23" s="40"/>
    </row>
    <row r="24" spans="1:23" ht="15.75">
      <c r="A24" s="101" t="s">
        <v>611</v>
      </c>
      <c r="B24" s="167">
        <f t="shared" si="1"/>
        <v>2.2727272727272728E-2</v>
      </c>
      <c r="C24" s="248">
        <v>1250</v>
      </c>
      <c r="D24" s="345">
        <f t="shared" si="2"/>
        <v>13.586956521739131</v>
      </c>
      <c r="E24" s="13"/>
      <c r="F24" s="323" t="s">
        <v>371</v>
      </c>
      <c r="G24" s="13"/>
      <c r="H24" s="355">
        <v>0.4</v>
      </c>
      <c r="I24" s="110"/>
      <c r="J24" s="40"/>
      <c r="L24" s="101" t="s">
        <v>606</v>
      </c>
      <c r="M24" s="13"/>
      <c r="N24" s="252">
        <v>40</v>
      </c>
      <c r="O24" s="270">
        <f t="shared" si="0"/>
        <v>0.43478260869565216</v>
      </c>
      <c r="P24" s="40"/>
    </row>
    <row r="25" spans="1:23" ht="16.5" thickBot="1">
      <c r="A25" s="101" t="s">
        <v>612</v>
      </c>
      <c r="B25" s="167">
        <f t="shared" si="1"/>
        <v>0.11181818181818182</v>
      </c>
      <c r="C25" s="248">
        <v>6150</v>
      </c>
      <c r="D25" s="345">
        <f t="shared" si="2"/>
        <v>66.847826086956516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40</v>
      </c>
      <c r="O25" s="297">
        <f t="shared" si="0"/>
        <v>0.43478260869565216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570</v>
      </c>
      <c r="O26" s="298">
        <f>SUM(O19:O25)</f>
        <v>6.1956521739130439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2.7272727272727271E-2</v>
      </c>
      <c r="C28" s="248">
        <v>1500</v>
      </c>
      <c r="D28" s="345">
        <f t="shared" si="2"/>
        <v>16.304347826086957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7491.1179556342486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2.7272727272727271E-2</v>
      </c>
      <c r="C30" s="248">
        <v>1500</v>
      </c>
      <c r="D30" s="345">
        <f t="shared" si="2"/>
        <v>16.304347826086957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300</v>
      </c>
      <c r="O30" s="223">
        <f>N30/$H$68</f>
        <v>3.2608695652173911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9.0909090909090905E-3</v>
      </c>
      <c r="C31" s="248">
        <v>500</v>
      </c>
      <c r="D31" s="345">
        <f t="shared" si="2"/>
        <v>5.4347826086956523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68291.631563196133</v>
      </c>
      <c r="H32" s="106"/>
      <c r="I32" s="644" t="s">
        <v>641</v>
      </c>
      <c r="J32" s="328" t="s">
        <v>714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259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-83.95089612521214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0.8530909090909089</v>
      </c>
      <c r="C36" s="197">
        <f>SUM(C20:C35)</f>
        <v>46920</v>
      </c>
      <c r="D36" s="345">
        <f>SUM(D20:D35)</f>
        <v>509.99999999999989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6.3636363636363638E-3</v>
      </c>
      <c r="C39" s="248">
        <v>350</v>
      </c>
      <c r="D39" s="345">
        <f>C39/$H$68</f>
        <v>3.8043478260869565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8.145454545454546E-2</v>
      </c>
      <c r="C40" s="248">
        <v>4480</v>
      </c>
      <c r="D40" s="345">
        <f t="shared" ref="D40:D53" si="4">C40/$H$68</f>
        <v>48.695652173913047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1.3636363636363636E-2</v>
      </c>
      <c r="C41" s="248">
        <v>750</v>
      </c>
      <c r="D41" s="345">
        <f t="shared" si="4"/>
        <v>8.1521739130434785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-13291.631563196133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1.8181818181818181E-2</v>
      </c>
      <c r="C50" s="248">
        <v>1000</v>
      </c>
      <c r="D50" s="345">
        <f t="shared" si="4"/>
        <v>10.869565217391305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2.7272727272727271E-2</v>
      </c>
      <c r="C51" s="634">
        <v>1500</v>
      </c>
      <c r="D51" s="345">
        <f t="shared" si="4"/>
        <v>16.304347826086957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0.14690909090909093</v>
      </c>
      <c r="C53" s="197">
        <f>SUM(C39:C52)</f>
        <v>8080</v>
      </c>
      <c r="D53" s="345">
        <f t="shared" si="4"/>
        <v>87.826086956521735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6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1.5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55000</v>
      </c>
      <c r="D61" s="349">
        <f>C61/$H$68</f>
        <v>597.82608695652175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225400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597.82608695652175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92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1.2999999999999994</v>
      </c>
      <c r="D68" s="350">
        <f>Debt!E69</f>
        <v>1.2999999999999559</v>
      </c>
      <c r="E68" s="13"/>
      <c r="F68" s="118" t="s">
        <v>304</v>
      </c>
      <c r="G68" s="43"/>
      <c r="H68" s="357">
        <f>SUM(H66:H67)</f>
        <v>92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2.9802322387695314E-9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 t="e">
        <f>'Returns Analysis'!C46</f>
        <v>#NUM!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40% Initial Project Cost Residual Value</v>
      </c>
      <c r="B73" s="13"/>
      <c r="C73" s="146" t="e">
        <f>'Returns Analysis'!C53</f>
        <v>#NUM!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 t="e">
        <f>'Returns Analysis'!C60</f>
        <v>#NUM!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IS!C33</f>
        <v>3719.3333333333358</v>
      </c>
      <c r="C77" s="111">
        <f>IS!D33</f>
        <v>5730.899999999996</v>
      </c>
      <c r="D77" s="165">
        <f>IS!E33</f>
        <v>5708.4030000000021</v>
      </c>
      <c r="E77" s="13"/>
    </row>
    <row r="78" spans="1:10" ht="15.75">
      <c r="A78" s="101" t="s">
        <v>98</v>
      </c>
      <c r="B78" s="111">
        <f>IS!C46</f>
        <v>-1180.8628942800938</v>
      </c>
      <c r="C78" s="111">
        <f>IS!D46</f>
        <v>-1722.784072578931</v>
      </c>
      <c r="D78" s="165">
        <f>IS!E46</f>
        <v>-1805.0331505501495</v>
      </c>
      <c r="E78" s="13"/>
    </row>
    <row r="79" spans="1:10" ht="15.75">
      <c r="A79" s="101" t="s">
        <v>99</v>
      </c>
      <c r="B79" s="111">
        <f>'Returns Analysis'!C13</f>
        <v>1359.2755115497816</v>
      </c>
      <c r="C79" s="111">
        <f>'Returns Analysis'!D13</f>
        <v>24.494756750859779</v>
      </c>
      <c r="D79" s="165">
        <f>'Returns Analysis'!E13</f>
        <v>-110.61188981038413</v>
      </c>
      <c r="E79" s="13"/>
    </row>
    <row r="80" spans="1:10" ht="16.5" thickBot="1">
      <c r="A80" s="103" t="s">
        <v>360</v>
      </c>
      <c r="B80" s="112">
        <f>'Returns Analysis'!C21</f>
        <v>1925.3295502311917</v>
      </c>
      <c r="C80" s="112">
        <f>'Returns Analysis'!D21</f>
        <v>1354.5702390206525</v>
      </c>
      <c r="D80" s="191">
        <f>'Returns Analysis'!E21</f>
        <v>1313.0092760800808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5"/>
  <sheetViews>
    <sheetView topLeftCell="A10" zoomScale="75" zoomScaleNormal="75" workbookViewId="0">
      <selection activeCell="C33" sqref="C3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4416</v>
      </c>
      <c r="D10" s="74">
        <f>IF(D6&lt;Assumptions!$H$19,12*'Price_Technical Assumption'!E21*Assumptions!$H$68,IF(AND(C6&lt;Assumptions!$H$19,D6&gt;Assumptions!$H$19),(1-$C$6)*12*'Price_Technical Assumption'!E21*Assumptions!$H$68,0))</f>
        <v>6624</v>
      </c>
      <c r="E10" s="74">
        <f>IF(E6&lt;Assumptions!$H$19,12*'Price_Technical Assumption'!F21*Assumptions!$H$68,IF(AND(D6&lt;Assumptions!$H$19,E6&gt;Assumptions!$H$19),(1-$C$6)*12*'Price_Technical Assumption'!F21*Assumptions!$H$68,0))</f>
        <v>6624</v>
      </c>
      <c r="F10" s="74">
        <f>IF(F6&lt;Assumptions!$H$19,12*'Price_Technical Assumption'!G21*Assumptions!$H$68,IF(AND(E6&lt;Assumptions!$H$19,F6&gt;Assumptions!$H$19),(1-$C$6)*12*'Price_Technical Assumption'!G21*Assumptions!$H$68,0))</f>
        <v>6624</v>
      </c>
      <c r="G10" s="74">
        <f>IF(G6&lt;Assumptions!$H$19,12*'Price_Technical Assumption'!H21*Assumptions!$H$68,IF(AND(F6&lt;Assumptions!$H$19,G6&gt;Assumptions!$H$19),(1-$C$6)*12*'Price_Technical Assumption'!H21*Assumptions!$H$68,0))</f>
        <v>6624</v>
      </c>
      <c r="H10" s="74">
        <f>IF(H6&lt;Assumptions!$H$19,12*'Price_Technical Assumption'!I21*Assumptions!$H$68,IF(AND(G6&lt;Assumptions!$H$19,H6&gt;Assumptions!$H$19),(1-$C$6)*12*'Price_Technical Assumption'!I21*Assumptions!$H$68,0))</f>
        <v>6624</v>
      </c>
      <c r="I10" s="74">
        <f>IF(I6&lt;Assumptions!$H$19,12*'Price_Technical Assumption'!J21*Assumptions!$H$68,IF(AND(H6&lt;Assumptions!$H$19,I6&gt;Assumptions!$H$19),(1-$C$6)*12*'Price_Technical Assumption'!J21*Assumptions!$H$68,0))</f>
        <v>6624</v>
      </c>
      <c r="J10" s="74">
        <f>IF(J6&lt;Assumptions!$H$19,12*'Price_Technical Assumption'!K21*Assumptions!$H$68,IF(AND(I6&lt;Assumptions!$H$19,J6&gt;Assumptions!$H$19),(1-$C$6)*12*'Price_Technical Assumption'!K21*Assumptions!$H$68,0))</f>
        <v>6624</v>
      </c>
      <c r="K10" s="74">
        <f>IF(K6&lt;Assumptions!$H$19,12*'Price_Technical Assumption'!L21*Assumptions!$H$68,IF(AND(J6&lt;Assumptions!$H$19,K6&gt;Assumptions!$H$19),(1-$C$6)*12*'Price_Technical Assumption'!L21*Assumptions!$H$68,0))</f>
        <v>6624</v>
      </c>
      <c r="L10" s="74">
        <f>IF(L6&lt;Assumptions!$H$19,12*'Price_Technical Assumption'!M21*Assumptions!$H$68,IF(AND(K6&lt;Assumptions!$H$19,L6&gt;Assumptions!$H$19),(1-$C$6)*12*'Price_Technical Assumption'!M21*Assumptions!$H$68,0))</f>
        <v>6624</v>
      </c>
      <c r="M10" s="74">
        <f>IF(M6&lt;Assumptions!$H$19,12*'Price_Technical Assumption'!N21*Assumptions!$H$68,IF(AND(L6&lt;Assumptions!$H$19,M6&gt;Assumptions!$H$19),(1-$C$6)*12*'Price_Technical Assumption'!N21*Assumptions!$H$68,0))</f>
        <v>6624</v>
      </c>
      <c r="N10" s="74">
        <f>IF(N6&lt;Assumptions!$H$19,12*'Price_Technical Assumption'!O21*Assumptions!$H$68,IF(AND(M6&lt;Assumptions!$H$19,N6&gt;Assumptions!$H$19),(1-$C$6)*12*'Price_Technical Assumption'!O21*Assumptions!$H$68,0))</f>
        <v>6624</v>
      </c>
      <c r="O10" s="74">
        <f>IF(O6&lt;Assumptions!$H$19,12*'Price_Technical Assumption'!P21*Assumptions!$H$68,IF(AND(N6&lt;Assumptions!$H$19,O6&gt;Assumptions!$H$19),(1-$C$6)*12*'Price_Technical Assumption'!P21*Assumptions!$H$68,0))</f>
        <v>6624</v>
      </c>
      <c r="P10" s="74">
        <f>IF(P6&lt;Assumptions!$H$19,12*'Price_Technical Assumption'!Q21*Assumptions!$H$68,IF(AND(O6&lt;Assumptions!$H$19,P6&gt;Assumptions!$H$19),(1-$C$6)*12*'Price_Technical Assumption'!Q21*Assumptions!$H$68,0))</f>
        <v>6624</v>
      </c>
      <c r="Q10" s="74">
        <f>IF(Q6&lt;Assumptions!$H$19,12*'Price_Technical Assumption'!R21*Assumptions!$H$68,IF(AND(P6&lt;Assumptions!$H$19,Q6&gt;Assumptions!$H$19),(1-$C$6)*12*'Price_Technical Assumption'!R21*Assumptions!$H$68,0))</f>
        <v>6624</v>
      </c>
      <c r="R10" s="74">
        <f>IF(R6&lt;Assumptions!$H$19,12*'Price_Technical Assumption'!S21*Assumptions!$H$68,IF(AND(Q6&lt;Assumptions!$H$19,R6&gt;Assumptions!$H$19),(1-$C$6)*12*'Price_Technical Assumption'!S21*Assumptions!$H$68,0))</f>
        <v>6624</v>
      </c>
      <c r="S10" s="74">
        <f>IF(S6&lt;Assumptions!$H$19,12*'Price_Technical Assumption'!T21*Assumptions!$H$68,IF(AND(R6&lt;Assumptions!$H$19,S6&gt;Assumptions!$H$19),(1-$C$6)*12*'Price_Technical Assumption'!T21*Assumptions!$H$68,0))</f>
        <v>6624</v>
      </c>
      <c r="T10" s="74">
        <f>IF(T6&lt;Assumptions!$H$19,12*'Price_Technical Assumption'!U21*Assumptions!$H$68,IF(AND(S6&lt;Assumptions!$H$19,T6&gt;Assumptions!$H$19),(1-$C$6)*12*'Price_Technical Assumption'!U21*Assumptions!$H$68,0))</f>
        <v>6624</v>
      </c>
      <c r="U10" s="74">
        <f>IF(U6&lt;Assumptions!$H$19,12*'Price_Technical Assumption'!V21*Assumptions!$H$68,IF(AND(T6&lt;Assumptions!$H$19,U6&gt;Assumptions!$H$19),(1-$C$6)*12*'Price_Technical Assumption'!V21*Assumptions!$H$68,0))</f>
        <v>6624</v>
      </c>
      <c r="V10" s="74">
        <f>IF(V6&lt;Assumptions!$H$19,12*'Price_Technical Assumption'!W21*Assumptions!$H$68,IF(AND(U6&lt;Assumptions!$H$19,V6&gt;Assumptions!$H$19),(1-$C$6)*12*'Price_Technical Assumption'!W21*Assumptions!$H$68,0))</f>
        <v>6624</v>
      </c>
      <c r="W10" s="74">
        <f>IF(W6&lt;Assumptions!$H$19,12*'Price_Technical Assumption'!X21*Assumptions!$H$68,IF(AND(V6&lt;Assumptions!$H$19,W6&gt;Assumptions!$H$19),(1-$C$6)*12*'Price_Technical Assumption'!X21*Assumptions!$H$68,0))</f>
        <v>2485.5036949943519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7835.9465886996859</v>
      </c>
      <c r="D11" s="74">
        <f>'Price_Technical Assumption'!E38*Assumptions!$H$62/1000</f>
        <v>7802.1977420234007</v>
      </c>
      <c r="E11" s="74">
        <f>'Price_Technical Assumption'!F38*Assumptions!$H$62/1000</f>
        <v>7888.3720106133733</v>
      </c>
      <c r="F11" s="74">
        <f>'Price_Technical Assumption'!G38*Assumptions!$H$62/1000</f>
        <v>8015.2278797329482</v>
      </c>
      <c r="G11" s="74">
        <f>'Price_Technical Assumption'!H38*Assumptions!$H$62/1000</f>
        <v>8165.9820132996583</v>
      </c>
      <c r="H11" s="74">
        <f>'Price_Technical Assumption'!I38*Assumptions!$H$62/1000</f>
        <v>8325.9136520508182</v>
      </c>
      <c r="I11" s="74">
        <f>'Price_Technical Assumption'!J38*Assumptions!$H$62/1000</f>
        <v>8491.1047999124912</v>
      </c>
      <c r="J11" s="74">
        <f>'Price_Technical Assumption'!K38*Assumptions!$H$62/1000</f>
        <v>8668.4402328891138</v>
      </c>
      <c r="K11" s="74">
        <f>'Price_Technical Assumption'!L38*Assumptions!$H$62/1000</f>
        <v>8857.9307442548343</v>
      </c>
      <c r="L11" s="74">
        <f>'Price_Technical Assumption'!M38*Assumptions!$H$62/1000</f>
        <v>9059.5874510820267</v>
      </c>
      <c r="M11" s="74">
        <f>'Price_Technical Assumption'!N38*Assumptions!$H$62/1000</f>
        <v>9273.4218039552343</v>
      </c>
      <c r="N11" s="74">
        <f>'Price_Technical Assumption'!O38*Assumptions!$H$62/1000</f>
        <v>9471.4573873652917</v>
      </c>
      <c r="O11" s="74">
        <f>'Price_Technical Assumption'!P38*Assumptions!$H$62/1000</f>
        <v>9649.7781794673338</v>
      </c>
      <c r="P11" s="74">
        <f>'Price_Technical Assumption'!Q38*Assumptions!$H$62/1000</f>
        <v>9988.1104596017649</v>
      </c>
      <c r="Q11" s="74">
        <f>'Price_Technical Assumption'!R38*Assumptions!$H$62/1000</f>
        <v>10250.776929302363</v>
      </c>
      <c r="R11" s="74">
        <f>'Price_Technical Assumption'!S38*Assumptions!$H$62/1000</f>
        <v>10525.683661538678</v>
      </c>
      <c r="S11" s="74">
        <f>'Price_Technical Assumption'!T38*Assumptions!$H$62/1000</f>
        <v>10812.844328907489</v>
      </c>
      <c r="T11" s="74">
        <f>'Price_Technical Assumption'!U38*Assumptions!$H$62/1000</f>
        <v>11112.273014183464</v>
      </c>
      <c r="U11" s="74">
        <f>'Price_Technical Assumption'!V38*Assumptions!$H$62/1000</f>
        <v>11423.984222624515</v>
      </c>
      <c r="V11" s="74">
        <f>'Price_Technical Assumption'!W38*Assumptions!$H$62/1000</f>
        <v>11747.992894646299</v>
      </c>
      <c r="W11" s="74">
        <f>'Price_Technical Assumption'!X38*Assumptions!$H$62/1000</f>
        <v>12084.314418876933</v>
      </c>
      <c r="X11" s="74">
        <f>'Price_Technical Assumption'!Y38*Assumptions!$H$62/1000</f>
        <v>5826.6669306616404</v>
      </c>
      <c r="Y11" s="74">
        <f>'Price_Technical Assumption'!Z38*Assumptions!$H$62/1000</f>
        <v>5845.9114156894902</v>
      </c>
      <c r="Z11" s="74">
        <f>'Price_Technical Assumption'!AA38*Assumptions!$H$62/1000</f>
        <v>5865.7332352681733</v>
      </c>
      <c r="AA11" s="74">
        <f>'Price_Technical Assumption'!AB38*Assumptions!$H$62/1000</f>
        <v>5886.1497094342194</v>
      </c>
      <c r="AB11" s="74">
        <f>'Price_Technical Assumption'!AC38*Assumptions!$H$62/1000</f>
        <v>5907.1786778252463</v>
      </c>
      <c r="AC11" s="74">
        <f>'Price_Technical Assumption'!AD38*Assumptions!$H$62/1000</f>
        <v>5928.8385152680039</v>
      </c>
      <c r="AD11" s="74">
        <f>'Price_Technical Assumption'!AE38*Assumptions!$H$62/1000</f>
        <v>5951.1481478340438</v>
      </c>
      <c r="AE11" s="74">
        <f>'Price_Technical Assumption'!AF38*Assumptions!$H$62/1000</f>
        <v>5974.1270693770648</v>
      </c>
      <c r="AF11" s="74">
        <f>'Price_Technical Assumption'!AG38*Assumptions!$H$62/1000</f>
        <v>5997.7953585663772</v>
      </c>
      <c r="AG11" s="74">
        <f>'Price_Technical Assumption'!AH38*Assumptions!$H$62/1000</f>
        <v>6022.1736964313677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12251.946588699686</v>
      </c>
      <c r="D13" s="65">
        <f t="shared" si="0"/>
        <v>14426.1977420234</v>
      </c>
      <c r="E13" s="65">
        <f t="shared" si="0"/>
        <v>14512.372010613373</v>
      </c>
      <c r="F13" s="65">
        <f t="shared" si="0"/>
        <v>14639.227879732949</v>
      </c>
      <c r="G13" s="65">
        <f t="shared" si="0"/>
        <v>14789.982013299657</v>
      </c>
      <c r="H13" s="65">
        <f t="shared" si="0"/>
        <v>14949.913652050818</v>
      </c>
      <c r="I13" s="65">
        <f t="shared" si="0"/>
        <v>15115.104799912491</v>
      </c>
      <c r="J13" s="65">
        <f t="shared" si="0"/>
        <v>15292.440232889114</v>
      </c>
      <c r="K13" s="65">
        <f t="shared" si="0"/>
        <v>15481.930744254834</v>
      </c>
      <c r="L13" s="65">
        <f t="shared" si="0"/>
        <v>15683.587451082027</v>
      </c>
      <c r="M13" s="65">
        <f t="shared" si="0"/>
        <v>15897.421803955234</v>
      </c>
      <c r="N13" s="65">
        <f t="shared" si="0"/>
        <v>16095.457387365292</v>
      </c>
      <c r="O13" s="65">
        <f t="shared" si="0"/>
        <v>16273.778179467334</v>
      </c>
      <c r="P13" s="65">
        <f t="shared" si="0"/>
        <v>16612.110459601765</v>
      </c>
      <c r="Q13" s="65">
        <f t="shared" si="0"/>
        <v>16874.776929302363</v>
      </c>
      <c r="R13" s="65">
        <f t="shared" si="0"/>
        <v>17149.683661538678</v>
      </c>
      <c r="S13" s="65">
        <f t="shared" si="0"/>
        <v>17436.844328907489</v>
      </c>
      <c r="T13" s="65">
        <f t="shared" si="0"/>
        <v>17736.273014183462</v>
      </c>
      <c r="U13" s="65">
        <f t="shared" si="0"/>
        <v>18047.984222624516</v>
      </c>
      <c r="V13" s="65">
        <f t="shared" si="0"/>
        <v>18371.992894646297</v>
      </c>
      <c r="W13" s="65">
        <f t="shared" si="0"/>
        <v>14569.818113871284</v>
      </c>
      <c r="X13" s="65">
        <f t="shared" si="0"/>
        <v>5826.6669306616404</v>
      </c>
      <c r="Y13" s="65">
        <f t="shared" si="0"/>
        <v>5845.9114156894902</v>
      </c>
      <c r="Z13" s="65">
        <f t="shared" si="0"/>
        <v>5865.7332352681733</v>
      </c>
      <c r="AA13" s="65">
        <f t="shared" si="0"/>
        <v>5886.1497094342194</v>
      </c>
      <c r="AB13" s="65">
        <f t="shared" si="0"/>
        <v>5907.1786778252463</v>
      </c>
      <c r="AC13" s="65">
        <f t="shared" si="0"/>
        <v>5928.8385152680039</v>
      </c>
      <c r="AD13" s="65">
        <f t="shared" si="0"/>
        <v>5951.1481478340438</v>
      </c>
      <c r="AE13" s="65">
        <f t="shared" si="0"/>
        <v>5974.1270693770648</v>
      </c>
      <c r="AF13" s="65">
        <f t="shared" si="0"/>
        <v>5997.7953585663772</v>
      </c>
      <c r="AG13" s="65">
        <f t="shared" si="0"/>
        <v>6022.1736964313677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7491.1179556342486</v>
      </c>
      <c r="D16" s="218">
        <f>Assumptions!$H$62*'Price_Technical Assumption'!E30*'Price_Technical Assumption'!E44/1000000</f>
        <v>7447.0242499660008</v>
      </c>
      <c r="E16" s="218">
        <f>Assumptions!$H$62*'Price_Technical Assumption'!F30*'Price_Technical Assumption'!F44/1000000</f>
        <v>7522.5433137942482</v>
      </c>
      <c r="F16" s="218">
        <f>Assumptions!$H$62*'Price_Technical Assumption'!G30*'Price_Technical Assumption'!G44/1000000</f>
        <v>7638.4243220092494</v>
      </c>
      <c r="G16" s="218">
        <f>Assumptions!$H$62*'Price_Technical Assumption'!H30*'Price_Technical Assumption'!H44/1000000</f>
        <v>7777.8743488442506</v>
      </c>
      <c r="H16" s="218">
        <f>Assumptions!$H$62*'Price_Technical Assumption'!I30*'Price_Technical Assumption'!I44/1000000</f>
        <v>7926.1627576617493</v>
      </c>
      <c r="I16" s="218">
        <f>Assumptions!$H$62*'Price_Technical Assumption'!J30*'Price_Technical Assumption'!J44/1000000</f>
        <v>8079.3613786917504</v>
      </c>
      <c r="J16" s="218">
        <f>Assumptions!$H$62*'Price_Technical Assumption'!K30*'Price_Technical Assumption'!K44/1000000</f>
        <v>8244.3445090317491</v>
      </c>
      <c r="K16" s="218">
        <f>Assumptions!$H$62*'Price_Technical Assumption'!L30*'Price_Technical Assumption'!L44/1000000</f>
        <v>8421.1121486817501</v>
      </c>
      <c r="L16" s="218">
        <f>Assumptions!$H$62*'Price_Technical Assumption'!M30*'Price_Technical Assumption'!M44/1000000</f>
        <v>8609.6642976417479</v>
      </c>
      <c r="M16" s="218">
        <f>Assumptions!$H$62*'Price_Technical Assumption'!N30*'Price_Technical Assumption'!N44/1000000</f>
        <v>8810.0009559117498</v>
      </c>
      <c r="N16" s="218">
        <f>Assumptions!$H$62*'Price_Technical Assumption'!O30*'Price_Technical Assumption'!O44/1000000</f>
        <v>8994.1339138805015</v>
      </c>
      <c r="O16" s="218">
        <f>Assumptions!$H$62*'Price_Technical Assumption'!P30*'Price_Technical Assumption'!P44/1000000</f>
        <v>9158.1350017780005</v>
      </c>
      <c r="P16" s="218">
        <f>Assumptions!$H$62*'Price_Technical Assumption'!Q30*'Price_Technical Assumption'!Q44/1000000</f>
        <v>9481.7179865817507</v>
      </c>
      <c r="Q16" s="218">
        <f>Assumptions!$H$62*'Price_Technical Assumption'!R30*'Price_Technical Assumption'!R44/1000000</f>
        <v>9729.192682091747</v>
      </c>
      <c r="R16" s="218">
        <f>Assumptions!$H$62*'Price_Technical Assumption'!S30*'Price_Technical Assumption'!S44/1000000</f>
        <v>9988.4518869117492</v>
      </c>
      <c r="S16" s="218">
        <f>Assumptions!$H$62*'Price_Technical Assumption'!T30*'Price_Technical Assumption'!T44/1000000</f>
        <v>10259.49560104175</v>
      </c>
      <c r="T16" s="218">
        <f>Assumptions!$H$62*'Price_Technical Assumption'!U30*'Price_Technical Assumption'!U44/1000000</f>
        <v>10542.323824481751</v>
      </c>
      <c r="U16" s="218">
        <f>Assumptions!$H$62*'Price_Technical Assumption'!V30*'Price_Technical Assumption'!V44/1000000</f>
        <v>10836.936557231751</v>
      </c>
      <c r="V16" s="218">
        <f>Assumptions!$H$62*'Price_Technical Assumption'!W30*'Price_Technical Assumption'!W44/1000000</f>
        <v>11143.33379929175</v>
      </c>
      <c r="W16" s="218">
        <f>Assumptions!$H$62*'Price_Technical Assumption'!X30*'Price_Technical Assumption'!X44/1000000</f>
        <v>11461.515550661748</v>
      </c>
      <c r="X16" s="218">
        <f>Assumptions!$H$62*'Price_Technical Assumption'!Y30*'Price_Technical Assumption'!Y44/1000000</f>
        <v>5185.1840964000003</v>
      </c>
      <c r="Y16" s="218">
        <f>Assumptions!$H$62*'Price_Technical Assumption'!Z30*'Price_Technical Assumption'!Z44/1000000</f>
        <v>5185.1840964000003</v>
      </c>
      <c r="Z16" s="218">
        <f>Assumptions!$H$62*'Price_Technical Assumption'!AA30*'Price_Technical Assumption'!AA44/1000000</f>
        <v>5185.1840964000003</v>
      </c>
      <c r="AA16" s="218">
        <f>Assumptions!$H$62*'Price_Technical Assumption'!AB30*'Price_Technical Assumption'!AB44/1000000</f>
        <v>5185.1840964000003</v>
      </c>
      <c r="AB16" s="218">
        <f>Assumptions!$H$62*'Price_Technical Assumption'!AC30*'Price_Technical Assumption'!AC44/1000000</f>
        <v>5185.1840964000003</v>
      </c>
      <c r="AC16" s="218">
        <f>Assumptions!$H$62*'Price_Technical Assumption'!AD30*'Price_Technical Assumption'!AD44/1000000</f>
        <v>5185.1840964000003</v>
      </c>
      <c r="AD16" s="218">
        <f>Assumptions!$H$62*'Price_Technical Assumption'!AE30*'Price_Technical Assumption'!AE44/1000000</f>
        <v>5185.1840964000003</v>
      </c>
      <c r="AE16" s="218">
        <f>Assumptions!$H$62*'Price_Technical Assumption'!AF30*'Price_Technical Assumption'!AF44/1000000</f>
        <v>5185.1840964000003</v>
      </c>
      <c r="AF16" s="218">
        <f>Assumptions!$H$62*'Price_Technical Assumption'!AG30*'Price_Technical Assumption'!AG44/1000000</f>
        <v>5185.1840964000003</v>
      </c>
      <c r="AG16" s="218">
        <f>Assumptions!$H$62*'Price_Technical Assumption'!AH30*'Price_Technical Assumption'!AH44/1000000</f>
        <v>5185.1840964000003</v>
      </c>
    </row>
    <row r="17" spans="1:47">
      <c r="A17" s="3" t="s">
        <v>198</v>
      </c>
      <c r="C17" s="74">
        <f>Assumptions!$N19*C6</f>
        <v>133.33333333333331</v>
      </c>
      <c r="D17" s="74">
        <f>Assumptions!$N19*(1+Assumptions!$N$11)</f>
        <v>206</v>
      </c>
      <c r="E17" s="74">
        <f>D17*(1+Assumptions!$N$11)</f>
        <v>212.18</v>
      </c>
      <c r="F17" s="74">
        <f>E17*(1+Assumptions!$N$11)</f>
        <v>218.5454</v>
      </c>
      <c r="G17" s="74">
        <f>F17*(1+Assumptions!$N$11)</f>
        <v>225.10176200000001</v>
      </c>
      <c r="H17" s="74">
        <f>G17*(1+Assumptions!$N$11)</f>
        <v>231.85481486</v>
      </c>
      <c r="I17" s="74">
        <f>H17*(1+Assumptions!$N$11)</f>
        <v>238.81045930580001</v>
      </c>
      <c r="J17" s="74">
        <f>I17*(1+Assumptions!$N$11)</f>
        <v>245.974773084974</v>
      </c>
      <c r="K17" s="74">
        <f>J17*(1+Assumptions!$N$11)</f>
        <v>253.35401627752324</v>
      </c>
      <c r="L17" s="74">
        <f>K17*(1+Assumptions!$N$11)</f>
        <v>260.95463676584893</v>
      </c>
      <c r="M17" s="74">
        <f>L17*(1+Assumptions!$N$11)</f>
        <v>268.78327586882443</v>
      </c>
      <c r="N17" s="74">
        <f>M17*(1+Assumptions!$N$11)</f>
        <v>276.8467741448892</v>
      </c>
      <c r="O17" s="74">
        <f>N17*(1+Assumptions!$N$11)</f>
        <v>285.15217736923586</v>
      </c>
      <c r="P17" s="74">
        <f>O17*(1+Assumptions!$N$11)</f>
        <v>293.70674269031292</v>
      </c>
      <c r="Q17" s="74">
        <f>P17*(1+Assumptions!$N$11)</f>
        <v>302.5179449710223</v>
      </c>
      <c r="R17" s="74">
        <f>Q17*(1+Assumptions!$N$11)</f>
        <v>311.59348332015298</v>
      </c>
      <c r="S17" s="74">
        <f>R17*(1+Assumptions!$N$11)</f>
        <v>320.94128781975758</v>
      </c>
      <c r="T17" s="74">
        <f>S17*(1+Assumptions!$N$11)</f>
        <v>330.5695264543503</v>
      </c>
      <c r="U17" s="74">
        <f>T17*(1+Assumptions!$N$11)</f>
        <v>340.48661224798082</v>
      </c>
      <c r="V17" s="74">
        <f>U17*(1+Assumptions!$N$11)</f>
        <v>350.70121061542022</v>
      </c>
      <c r="W17" s="74">
        <f>V17*(1+Assumptions!$N$11)</f>
        <v>361.22224693388284</v>
      </c>
      <c r="X17" s="74">
        <f>W17*(1+Assumptions!$N$11)</f>
        <v>372.05891434189931</v>
      </c>
      <c r="Y17" s="74">
        <f>X17*(1+Assumptions!$N$11)</f>
        <v>383.2206817721563</v>
      </c>
      <c r="Z17" s="74">
        <f>Y17*(1+Assumptions!$N$11)</f>
        <v>394.71730222532102</v>
      </c>
      <c r="AA17" s="74">
        <f>Z17*(1+Assumptions!$N$11)</f>
        <v>406.55882129208067</v>
      </c>
      <c r="AB17" s="74">
        <f>AA17*(1+Assumptions!$N$11)</f>
        <v>418.7555859308431</v>
      </c>
      <c r="AC17" s="74">
        <f>AB17*(1+Assumptions!$N$11)</f>
        <v>431.31825350876841</v>
      </c>
      <c r="AD17" s="74">
        <f>AC17*(1+Assumptions!$N$11)</f>
        <v>444.25780111403145</v>
      </c>
      <c r="AE17" s="74">
        <f>AD17*(1+Assumptions!$N$11)</f>
        <v>457.58553514745239</v>
      </c>
      <c r="AF17" s="74">
        <f>AE17*(1+Assumptions!$N$11)</f>
        <v>471.31310120187595</v>
      </c>
      <c r="AG17" s="74">
        <f>AF17*(1+Assumptions!$N$11)</f>
        <v>485.45249423793223</v>
      </c>
    </row>
    <row r="18" spans="1:47">
      <c r="A18" s="3" t="s">
        <v>244</v>
      </c>
      <c r="C18" s="218">
        <f>+(Assumptions!$P$15*Assumptions!$H$62)/1000*(1+Assumptions!$N$11)^IS!C6</f>
        <v>68.965726613087554</v>
      </c>
      <c r="D18" s="74">
        <f>C18*(1+Assumptions!$N$11)</f>
        <v>71.034698411480178</v>
      </c>
      <c r="E18" s="74">
        <f>D18*(1+Assumptions!$N$11)</f>
        <v>73.165739363824585</v>
      </c>
      <c r="F18" s="74">
        <f>E18*(1+Assumptions!$N$11)</f>
        <v>75.360711544739331</v>
      </c>
      <c r="G18" s="74">
        <f>F18*(1+Assumptions!$N$11)</f>
        <v>77.621532891081515</v>
      </c>
      <c r="H18" s="74">
        <f>G18*(1+Assumptions!$N$11)</f>
        <v>79.950178877813968</v>
      </c>
      <c r="I18" s="74">
        <f>H18*(1+Assumptions!$N$11)</f>
        <v>82.348684244148387</v>
      </c>
      <c r="J18" s="74">
        <f>I18*(1+Assumptions!$N$11)</f>
        <v>84.819144771472835</v>
      </c>
      <c r="K18" s="74">
        <f>J18*(1+Assumptions!$N$11)</f>
        <v>87.363719114617027</v>
      </c>
      <c r="L18" s="74">
        <f>K18*(1+Assumptions!$N$11)</f>
        <v>89.984630688055546</v>
      </c>
      <c r="M18" s="74">
        <f>L18*(1+Assumptions!$N$11)</f>
        <v>92.684169608697218</v>
      </c>
      <c r="N18" s="74">
        <f>M18*(1+Assumptions!$N$11)</f>
        <v>95.464694696958134</v>
      </c>
      <c r="O18" s="74">
        <f>N18*(1+Assumptions!$N$11)</f>
        <v>98.328635537866873</v>
      </c>
      <c r="P18" s="74">
        <f>O18*(1+Assumptions!$N$11)</f>
        <v>101.27849460400289</v>
      </c>
      <c r="Q18" s="74">
        <f>P18*(1+Assumptions!$N$11)</f>
        <v>104.31684944212297</v>
      </c>
      <c r="R18" s="74">
        <f>Q18*(1+Assumptions!$N$11)</f>
        <v>107.44635492538666</v>
      </c>
      <c r="S18" s="74">
        <f>R18*(1+Assumptions!$N$11)</f>
        <v>110.66974557314826</v>
      </c>
      <c r="T18" s="74">
        <f>S18*(1+Assumptions!$N$11)</f>
        <v>113.98983794034271</v>
      </c>
      <c r="U18" s="74">
        <f>T18*(1+Assumptions!$N$11)</f>
        <v>117.409533078553</v>
      </c>
      <c r="V18" s="74">
        <f>U18*(1+Assumptions!$N$11)</f>
        <v>120.93181907090958</v>
      </c>
      <c r="W18" s="74">
        <f>V18*(1+Assumptions!$N$11)</f>
        <v>124.55977364303688</v>
      </c>
      <c r="X18" s="74">
        <f>W18*(1+Assumptions!$N$11)</f>
        <v>128.296566852328</v>
      </c>
      <c r="Y18" s="74">
        <f>X18*(1+Assumptions!$N$11)</f>
        <v>132.14546385789785</v>
      </c>
      <c r="Z18" s="74">
        <f>Y18*(1+Assumptions!$N$11)</f>
        <v>136.10982777363478</v>
      </c>
      <c r="AA18" s="74">
        <f>Z18*(1+Assumptions!$N$11)</f>
        <v>140.19312260684381</v>
      </c>
      <c r="AB18" s="74">
        <f>AA18*(1+Assumptions!$N$11)</f>
        <v>144.39891628504913</v>
      </c>
      <c r="AC18" s="74">
        <f>AB18*(1+Assumptions!$N$11)</f>
        <v>148.7308837736006</v>
      </c>
      <c r="AD18" s="74">
        <f>AC18*(1+Assumptions!$N$11)</f>
        <v>153.19281028680862</v>
      </c>
      <c r="AE18" s="74">
        <f>AD18*(1+Assumptions!$N$11)</f>
        <v>157.78859459541289</v>
      </c>
      <c r="AF18" s="74">
        <f>AE18*(1+Assumptions!$N$11)</f>
        <v>162.52225243327527</v>
      </c>
      <c r="AG18" s="74">
        <f>AF18*(1+Assumptions!$N$11)</f>
        <v>167.39792000627352</v>
      </c>
    </row>
    <row r="19" spans="1:47">
      <c r="A19" s="3" t="s">
        <v>245</v>
      </c>
      <c r="C19" s="74">
        <f>Assumptions!$P$16*Assumptions!$H$62/1000*(1+Assumptions!$N$11)^IS!C6</f>
        <v>275.86290645235022</v>
      </c>
      <c r="D19" s="74">
        <f>C19*(1+Assumptions!$N$11)</f>
        <v>284.13879364592071</v>
      </c>
      <c r="E19" s="74">
        <f>D19*(1+Assumptions!$N$11)</f>
        <v>292.66295745529834</v>
      </c>
      <c r="F19" s="74">
        <f>E19*(1+Assumptions!$N$11)</f>
        <v>301.44284617895732</v>
      </c>
      <c r="G19" s="74">
        <f>F19*(1+Assumptions!$N$11)</f>
        <v>310.48613156432606</v>
      </c>
      <c r="H19" s="74">
        <f>G19*(1+Assumptions!$N$11)</f>
        <v>319.80071551125587</v>
      </c>
      <c r="I19" s="74">
        <f>H19*(1+Assumptions!$N$11)</f>
        <v>329.39473697659355</v>
      </c>
      <c r="J19" s="74">
        <f>I19*(1+Assumptions!$N$11)</f>
        <v>339.27657908589134</v>
      </c>
      <c r="K19" s="74">
        <f>J19*(1+Assumptions!$N$11)</f>
        <v>349.45487645846811</v>
      </c>
      <c r="L19" s="74">
        <f>K19*(1+Assumptions!$N$11)</f>
        <v>359.93852275222218</v>
      </c>
      <c r="M19" s="74">
        <f>L19*(1+Assumptions!$N$11)</f>
        <v>370.73667843478887</v>
      </c>
      <c r="N19" s="74">
        <f>M19*(1+Assumptions!$N$11)</f>
        <v>381.85877878783253</v>
      </c>
      <c r="O19" s="74">
        <f>N19*(1+Assumptions!$N$11)</f>
        <v>393.31454215146749</v>
      </c>
      <c r="P19" s="74">
        <f>O19*(1+Assumptions!$N$11)</f>
        <v>405.11397841601155</v>
      </c>
      <c r="Q19" s="74">
        <f>P19*(1+Assumptions!$N$11)</f>
        <v>417.26739776849189</v>
      </c>
      <c r="R19" s="74">
        <f>Q19*(1+Assumptions!$N$11)</f>
        <v>429.78541970154663</v>
      </c>
      <c r="S19" s="74">
        <f>R19*(1+Assumptions!$N$11)</f>
        <v>442.67898229259305</v>
      </c>
      <c r="T19" s="74">
        <f>S19*(1+Assumptions!$N$11)</f>
        <v>455.95935176137084</v>
      </c>
      <c r="U19" s="74">
        <f>T19*(1+Assumptions!$N$11)</f>
        <v>469.63813231421199</v>
      </c>
      <c r="V19" s="74">
        <f>U19*(1+Assumptions!$N$11)</f>
        <v>483.72727628363833</v>
      </c>
      <c r="W19" s="74">
        <f>V19*(1+Assumptions!$N$11)</f>
        <v>498.23909457214751</v>
      </c>
      <c r="X19" s="74">
        <f>W19*(1+Assumptions!$N$11)</f>
        <v>513.18626740931199</v>
      </c>
      <c r="Y19" s="74">
        <f>X19*(1+Assumptions!$N$11)</f>
        <v>528.58185543159141</v>
      </c>
      <c r="Z19" s="74">
        <f>Y19*(1+Assumptions!$N$11)</f>
        <v>544.43931109453911</v>
      </c>
      <c r="AA19" s="74">
        <f>Z19*(1+Assumptions!$N$11)</f>
        <v>560.77249042737526</v>
      </c>
      <c r="AB19" s="74">
        <f>AA19*(1+Assumptions!$N$11)</f>
        <v>577.5956651401965</v>
      </c>
      <c r="AC19" s="74">
        <f>AB19*(1+Assumptions!$N$11)</f>
        <v>594.92353509440238</v>
      </c>
      <c r="AD19" s="74">
        <f>AC19*(1+Assumptions!$N$11)</f>
        <v>612.77124114723449</v>
      </c>
      <c r="AE19" s="74">
        <f>AD19*(1+Assumptions!$N$11)</f>
        <v>631.15437838165155</v>
      </c>
      <c r="AF19" s="74">
        <f>AE19*(1+Assumptions!$N$11)</f>
        <v>650.08900973310108</v>
      </c>
      <c r="AG19" s="74">
        <f>AF19*(1+Assumptions!$N$11)</f>
        <v>669.59168002509409</v>
      </c>
    </row>
    <row r="20" spans="1:47">
      <c r="A20" s="3" t="s">
        <v>35</v>
      </c>
      <c r="C20" s="74">
        <f>Assumptions!$N20*Assumptions!H18/12</f>
        <v>133.33333333333334</v>
      </c>
      <c r="D20" s="74">
        <f>Assumptions!$N20*(1+Assumptions!$N$11)</f>
        <v>206</v>
      </c>
      <c r="E20" s="74">
        <f>D20*(1+Assumptions!$N$11)</f>
        <v>212.18</v>
      </c>
      <c r="F20" s="74">
        <f>E20*(1+Assumptions!$N$11)</f>
        <v>218.5454</v>
      </c>
      <c r="G20" s="74">
        <f>F20*(1+Assumptions!$N$11)</f>
        <v>225.10176200000001</v>
      </c>
      <c r="H20" s="74">
        <f>G20*(1+Assumptions!$N$11)</f>
        <v>231.85481486</v>
      </c>
      <c r="I20" s="74">
        <f>H20*(1+Assumptions!$N$11)</f>
        <v>238.81045930580001</v>
      </c>
      <c r="J20" s="74">
        <f>I20*(1+Assumptions!$N$11)</f>
        <v>245.974773084974</v>
      </c>
      <c r="K20" s="74">
        <f>J20*(1+Assumptions!$N$11)</f>
        <v>253.35401627752324</v>
      </c>
      <c r="L20" s="74">
        <f>K20*(1+Assumptions!$N$11)</f>
        <v>260.95463676584893</v>
      </c>
      <c r="M20" s="74">
        <f>L20*(1+Assumptions!$N$11)</f>
        <v>268.78327586882443</v>
      </c>
      <c r="N20" s="74">
        <f>M20*(1+Assumptions!$N$11)</f>
        <v>276.8467741448892</v>
      </c>
      <c r="O20" s="74">
        <f>N20*(1+Assumptions!$N$11)</f>
        <v>285.15217736923586</v>
      </c>
      <c r="P20" s="74">
        <f>O20*(1+Assumptions!$N$11)</f>
        <v>293.70674269031292</v>
      </c>
      <c r="Q20" s="74">
        <f>P20*(1+Assumptions!$N$11)</f>
        <v>302.5179449710223</v>
      </c>
      <c r="R20" s="74">
        <f>Q20*(1+Assumptions!$N$11)</f>
        <v>311.59348332015298</v>
      </c>
      <c r="S20" s="74">
        <f>R20*(1+Assumptions!$N$11)</f>
        <v>320.94128781975758</v>
      </c>
      <c r="T20" s="74">
        <f>S20*(1+Assumptions!$N$11)</f>
        <v>330.5695264543503</v>
      </c>
      <c r="U20" s="74">
        <f>T20*(1+Assumptions!$N$11)</f>
        <v>340.48661224798082</v>
      </c>
      <c r="V20" s="74">
        <f>U20*(1+Assumptions!$N$11)</f>
        <v>350.70121061542022</v>
      </c>
      <c r="W20" s="74">
        <f>V20*(1+Assumptions!$N$11)</f>
        <v>361.22224693388284</v>
      </c>
      <c r="X20" s="74">
        <f>W20*(1+Assumptions!$N$11)</f>
        <v>372.05891434189931</v>
      </c>
      <c r="Y20" s="74">
        <f>X20*(1+Assumptions!$N$11)</f>
        <v>383.2206817721563</v>
      </c>
      <c r="Z20" s="74">
        <f>Y20*(1+Assumptions!$N$11)</f>
        <v>394.71730222532102</v>
      </c>
      <c r="AA20" s="74">
        <f>Z20*(1+Assumptions!$N$11)</f>
        <v>406.55882129208067</v>
      </c>
      <c r="AB20" s="74">
        <f>AA20*(1+Assumptions!$N$11)</f>
        <v>418.7555859308431</v>
      </c>
      <c r="AC20" s="74">
        <f>AB20*(1+Assumptions!$N$11)</f>
        <v>431.31825350876841</v>
      </c>
      <c r="AD20" s="74">
        <f>AC20*(1+Assumptions!$N$11)</f>
        <v>444.25780111403145</v>
      </c>
      <c r="AE20" s="74">
        <f>AD20*(1+Assumptions!$N$11)</f>
        <v>457.58553514745239</v>
      </c>
      <c r="AF20" s="74">
        <f>AE20*(1+Assumptions!$N$11)</f>
        <v>471.31310120187595</v>
      </c>
      <c r="AG20" s="74">
        <f>AF20*(1+Assumptions!$N$11)</f>
        <v>485.45249423793223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50</v>
      </c>
      <c r="D22" s="74">
        <f>+Assumptions!N22*(1+Assumptions!$N$11)</f>
        <v>51.5</v>
      </c>
      <c r="E22" s="74">
        <f>D22*(1+Assumptions!$N$11)</f>
        <v>53.045000000000002</v>
      </c>
      <c r="F22" s="74">
        <f>E22*(1+Assumptions!$N$11)</f>
        <v>54.63635</v>
      </c>
      <c r="G22" s="74">
        <f>F22*(1+Assumptions!$N$11)</f>
        <v>56.275440500000002</v>
      </c>
      <c r="H22" s="74">
        <f>G22*(1+Assumptions!$N$11)</f>
        <v>57.963703715000001</v>
      </c>
      <c r="I22" s="74">
        <f>H22*(1+Assumptions!$N$11)</f>
        <v>59.702614826450002</v>
      </c>
      <c r="J22" s="74">
        <f>I22*(1+Assumptions!$N$11)</f>
        <v>61.493693271243501</v>
      </c>
      <c r="K22" s="74">
        <f>J22*(1+Assumptions!$N$11)</f>
        <v>63.338504069380811</v>
      </c>
      <c r="L22" s="74">
        <f>K22*(1+Assumptions!$N$11)</f>
        <v>65.238659191462233</v>
      </c>
      <c r="M22" s="74">
        <f>L22*(1+Assumptions!$N$11)</f>
        <v>67.195818967206108</v>
      </c>
      <c r="N22" s="74">
        <f>M22*(1+Assumptions!$N$11)</f>
        <v>69.211693536222299</v>
      </c>
      <c r="O22" s="74">
        <f>N22*(1+Assumptions!$N$11)</f>
        <v>71.288044342308964</v>
      </c>
      <c r="P22" s="74">
        <f>O22*(1+Assumptions!$N$11)</f>
        <v>73.42668567257823</v>
      </c>
      <c r="Q22" s="74">
        <f>P22*(1+Assumptions!$N$11)</f>
        <v>75.629486242755576</v>
      </c>
      <c r="R22" s="74">
        <f>Q22*(1+Assumptions!$N$11)</f>
        <v>77.898370830038246</v>
      </c>
      <c r="S22" s="74">
        <f>R22*(1+Assumptions!$N$11)</f>
        <v>80.235321954939394</v>
      </c>
      <c r="T22" s="74">
        <f>S22*(1+Assumptions!$N$11)</f>
        <v>82.642381613587574</v>
      </c>
      <c r="U22" s="74">
        <f>T22*(1+Assumptions!$N$11)</f>
        <v>85.121653061995204</v>
      </c>
      <c r="V22" s="74">
        <f>U22*(1+Assumptions!$N$11)</f>
        <v>87.675302653855056</v>
      </c>
      <c r="W22" s="74">
        <f>V22*(1+Assumptions!$N$11)</f>
        <v>90.305561733470711</v>
      </c>
      <c r="X22" s="74">
        <f>W22*(1+Assumptions!$N$11)</f>
        <v>93.014728585474828</v>
      </c>
      <c r="Y22" s="74">
        <f>X22*(1+Assumptions!$N$11)</f>
        <v>95.805170443039074</v>
      </c>
      <c r="Z22" s="74">
        <f>Y22*(1+Assumptions!$N$11)</f>
        <v>98.679325556330255</v>
      </c>
      <c r="AA22" s="74">
        <f>Z22*(1+Assumptions!$N$11)</f>
        <v>101.63970532302017</v>
      </c>
      <c r="AB22" s="74">
        <f>AA22*(1+Assumptions!$N$11)</f>
        <v>104.68889648271077</v>
      </c>
      <c r="AC22" s="74">
        <f>AB22*(1+Assumptions!$N$11)</f>
        <v>107.8295633771921</v>
      </c>
      <c r="AD22" s="74">
        <f>AC22*(1+Assumptions!$N$11)</f>
        <v>111.06445027850786</v>
      </c>
      <c r="AE22" s="74">
        <f>AD22*(1+Assumptions!$N$11)</f>
        <v>114.3963837868631</v>
      </c>
      <c r="AF22" s="74">
        <f>AE22*(1+Assumptions!$N$11)</f>
        <v>117.82827530046899</v>
      </c>
      <c r="AG22" s="74">
        <f>AF22*(1+Assumptions!$N$11)</f>
        <v>121.36312355948306</v>
      </c>
    </row>
    <row r="23" spans="1:47" ht="14.25" customHeight="1">
      <c r="A23" s="3" t="s">
        <v>210</v>
      </c>
      <c r="C23" s="192">
        <f>Assumptions!N30</f>
        <v>300</v>
      </c>
      <c r="D23" s="192">
        <f>C23*(1+Assumptions!$P$30)</f>
        <v>306</v>
      </c>
      <c r="E23" s="192">
        <f>D23*(1+Assumptions!$P$30)</f>
        <v>312.12</v>
      </c>
      <c r="F23" s="192">
        <f>E23*(1+Assumptions!$P$30)</f>
        <v>318.36240000000004</v>
      </c>
      <c r="G23" s="192">
        <f>F23*(1+Assumptions!$P$30)</f>
        <v>324.72964800000005</v>
      </c>
      <c r="H23" s="192">
        <f>G23*(1+Assumptions!$P$30)</f>
        <v>331.22424096000009</v>
      </c>
      <c r="I23" s="192">
        <f>H23*(1+Assumptions!$P$30)</f>
        <v>337.84872577920009</v>
      </c>
      <c r="J23" s="192">
        <f>I23*(1+Assumptions!$P$30)</f>
        <v>344.60570029478413</v>
      </c>
      <c r="K23" s="192">
        <f>J23*(1+Assumptions!$P$30)</f>
        <v>351.49781430067981</v>
      </c>
      <c r="L23" s="192">
        <f>K23*(1+Assumptions!$P$30)</f>
        <v>358.52777058669341</v>
      </c>
      <c r="M23" s="192">
        <f>L23*(1+Assumptions!$P$30)</f>
        <v>365.69832599842726</v>
      </c>
      <c r="N23" s="192">
        <f>M23*(1+Assumptions!$P$30)</f>
        <v>373.01229251839584</v>
      </c>
      <c r="O23" s="192">
        <f>N23*(1+Assumptions!$P$30)</f>
        <v>380.47253836876376</v>
      </c>
      <c r="P23" s="192">
        <f>O23*(1+Assumptions!$P$30)</f>
        <v>388.08198913613904</v>
      </c>
      <c r="Q23" s="192">
        <f>P23*(1+Assumptions!$P$30)</f>
        <v>395.84362891886184</v>
      </c>
      <c r="R23" s="192">
        <f>Q23*(1+Assumptions!$P$30)</f>
        <v>403.76050149723909</v>
      </c>
      <c r="S23" s="192">
        <f>R23*(1+Assumptions!$P$30)</f>
        <v>411.83571152718389</v>
      </c>
      <c r="T23" s="192">
        <f>S23*(1+Assumptions!$P$30)</f>
        <v>420.07242575772756</v>
      </c>
      <c r="U23" s="192">
        <f>T23*(1+Assumptions!$P$30)</f>
        <v>428.47387427288214</v>
      </c>
      <c r="V23" s="192">
        <f>U23*(1+Assumptions!$P$30)</f>
        <v>437.04335175833978</v>
      </c>
      <c r="W23" s="192">
        <f>V23*(1+Assumptions!$P$30)</f>
        <v>445.78421879350657</v>
      </c>
      <c r="X23" s="192">
        <f>W23*(1+Assumptions!$P$30)</f>
        <v>454.69990316937668</v>
      </c>
      <c r="Y23" s="192">
        <f>X23*(1+Assumptions!$P$30)</f>
        <v>463.7939012327642</v>
      </c>
      <c r="Z23" s="192">
        <f>Y23*(1+Assumptions!$P$30)</f>
        <v>473.0697792574195</v>
      </c>
      <c r="AA23" s="192">
        <f>Z23*(1+Assumptions!$P$30)</f>
        <v>482.53117484256791</v>
      </c>
      <c r="AB23" s="192">
        <f>AA23*(1+Assumptions!$P$30)</f>
        <v>492.18179833941929</v>
      </c>
      <c r="AC23" s="192">
        <f>AB23*(1+Assumptions!$P$30)</f>
        <v>502.02543430620767</v>
      </c>
      <c r="AD23" s="192">
        <f>AC23*(1+Assumptions!$P$30)</f>
        <v>512.06594299233188</v>
      </c>
      <c r="AE23" s="192">
        <f>AD23*(1+Assumptions!$P$30)</f>
        <v>522.3072618521785</v>
      </c>
      <c r="AF23" s="192">
        <f>AE23*(1+Assumptions!$P$30)</f>
        <v>532.75340708922204</v>
      </c>
      <c r="AG23" s="192">
        <f>AF23*(1+Assumptions!$P$30)</f>
        <v>543.40847523100649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26.666666666666668</v>
      </c>
      <c r="D27" s="74">
        <f>Assumptions!$O$23*Assumptions!$H$68*(1+Assumptions!$N$11)</f>
        <v>41.2</v>
      </c>
      <c r="E27" s="74">
        <f>Assumptions!$O$23*Assumptions!$H$68*(1+Assumptions!$N$11)</f>
        <v>41.2</v>
      </c>
      <c r="F27" s="74">
        <f>Assumptions!$O$23*Assumptions!$H$68*(1+Assumptions!$N$11)</f>
        <v>41.2</v>
      </c>
      <c r="G27" s="74">
        <f>Assumptions!$O$23*Assumptions!$H$68*(1+Assumptions!$N$11)</f>
        <v>41.2</v>
      </c>
      <c r="H27" s="74">
        <f>Assumptions!$O$23*Assumptions!$H$68*(1+Assumptions!$N$11)</f>
        <v>41.2</v>
      </c>
      <c r="I27" s="74">
        <f>Assumptions!$O$23*Assumptions!$H$68*(1+Assumptions!$N$11)</f>
        <v>41.2</v>
      </c>
      <c r="J27" s="74">
        <f>Assumptions!$O$23*Assumptions!$H$68*(1+Assumptions!$N$11)</f>
        <v>41.2</v>
      </c>
      <c r="K27" s="74">
        <f>Assumptions!$O$23*Assumptions!$H$68*(1+Assumptions!$N$11)</f>
        <v>41.2</v>
      </c>
      <c r="L27" s="74">
        <f>Assumptions!$O$23*Assumptions!$H$68*(1+Assumptions!$N$11)</f>
        <v>41.2</v>
      </c>
      <c r="M27" s="74">
        <f>Assumptions!$O$23*Assumptions!$H$68*(1+Assumptions!$N$11)</f>
        <v>41.2</v>
      </c>
      <c r="N27" s="74">
        <f>Assumptions!$O$23*Assumptions!$H$68*(1+Assumptions!$N$11)</f>
        <v>41.2</v>
      </c>
      <c r="O27" s="74">
        <f>Assumptions!$O$23*Assumptions!$H$68*(1+Assumptions!$N$11)</f>
        <v>41.2</v>
      </c>
      <c r="P27" s="74">
        <f>Assumptions!$O$23*Assumptions!$H$68*(1+Assumptions!$N$11)</f>
        <v>41.2</v>
      </c>
      <c r="Q27" s="74">
        <f>Assumptions!$O$23*Assumptions!$H$68*(1+Assumptions!$N$11)</f>
        <v>41.2</v>
      </c>
      <c r="R27" s="74">
        <f>Assumptions!$O$23*Assumptions!$H$68*(1+Assumptions!$N$11)</f>
        <v>41.2</v>
      </c>
      <c r="S27" s="74">
        <f>Assumptions!$O$23*Assumptions!$H$68*(1+Assumptions!$N$11)</f>
        <v>41.2</v>
      </c>
      <c r="T27" s="74">
        <f>Assumptions!$O$23*Assumptions!$H$68*(1+Assumptions!$N$11)</f>
        <v>41.2</v>
      </c>
      <c r="U27" s="74">
        <f>Assumptions!$O$23*Assumptions!$H$68*(1+Assumptions!$N$11)</f>
        <v>41.2</v>
      </c>
      <c r="V27" s="74">
        <f>Assumptions!$O$23*Assumptions!$H$68*(1+Assumptions!$N$11)</f>
        <v>41.2</v>
      </c>
      <c r="W27" s="74">
        <f>Assumptions!$O$23*Assumptions!$H$68*(1+Assumptions!$N$11)</f>
        <v>41.2</v>
      </c>
      <c r="X27" s="74">
        <f>Assumptions!$O$23*Assumptions!$H$68*(1+Assumptions!$N$11)</f>
        <v>41.2</v>
      </c>
      <c r="Y27" s="74">
        <f>Assumptions!$O$23*Assumptions!$H$68*(1+Assumptions!$N$11)</f>
        <v>41.2</v>
      </c>
      <c r="Z27" s="74">
        <f>Assumptions!$O$23*Assumptions!$H$68*(1+Assumptions!$N$11)</f>
        <v>41.2</v>
      </c>
      <c r="AA27" s="74">
        <f>Assumptions!$O$23*Assumptions!$H$68*(1+Assumptions!$N$11)</f>
        <v>41.2</v>
      </c>
      <c r="AB27" s="74">
        <f>Assumptions!$O$23*Assumptions!$H$68*(1+Assumptions!$N$11)</f>
        <v>41.2</v>
      </c>
      <c r="AC27" s="74">
        <f>Assumptions!$O$23*Assumptions!$H$68*(1+Assumptions!$N$11)</f>
        <v>41.2</v>
      </c>
      <c r="AD27" s="74">
        <f>Assumptions!$O$23*Assumptions!$H$68*(1+Assumptions!$N$11)</f>
        <v>41.2</v>
      </c>
      <c r="AE27" s="74">
        <f>Assumptions!$O$23*Assumptions!$H$68*(1+Assumptions!$N$11)</f>
        <v>41.2</v>
      </c>
      <c r="AF27" s="74">
        <f>Assumptions!$O$23*Assumptions!$H$68*(1+Assumptions!$N$11)</f>
        <v>41.2</v>
      </c>
      <c r="AG27" s="74">
        <f>Assumptions!$O$23*Assumptions!$H$68*(1+Assumptions!$N$11)</f>
        <v>41.2</v>
      </c>
    </row>
    <row r="28" spans="1:47">
      <c r="A28" s="3" t="s">
        <v>44</v>
      </c>
      <c r="C28" s="74">
        <f>Assumptions!$N24*Assumptions!H18/12</f>
        <v>26.666666666666668</v>
      </c>
      <c r="D28" s="74">
        <f>Assumptions!$N24*(1+Assumptions!$N$11)</f>
        <v>41.2</v>
      </c>
      <c r="E28" s="74">
        <f>D28*(1+Assumptions!$N$11)</f>
        <v>42.436000000000007</v>
      </c>
      <c r="F28" s="74">
        <f>E28*(1+Assumptions!$N$11)</f>
        <v>43.709080000000007</v>
      </c>
      <c r="G28" s="74">
        <f>F28*(1+Assumptions!$N$11)</f>
        <v>45.020352400000007</v>
      </c>
      <c r="H28" s="74">
        <f>G28*(1+Assumptions!$N$11)</f>
        <v>46.370962972000008</v>
      </c>
      <c r="I28" s="74">
        <f>H28*(1+Assumptions!$N$11)</f>
        <v>47.762091861160009</v>
      </c>
      <c r="J28" s="74">
        <f>I28*(1+Assumptions!$N$11)</f>
        <v>49.194954616994814</v>
      </c>
      <c r="K28" s="74">
        <f>J28*(1+Assumptions!$N$11)</f>
        <v>50.670803255504659</v>
      </c>
      <c r="L28" s="74">
        <f>K28*(1+Assumptions!$N$11)</f>
        <v>52.190927353169798</v>
      </c>
      <c r="M28" s="74">
        <f>L28*(1+Assumptions!$N$11)</f>
        <v>53.756655173764891</v>
      </c>
      <c r="N28" s="74">
        <f>M28*(1+Assumptions!$N$11)</f>
        <v>55.369354828977841</v>
      </c>
      <c r="O28" s="74">
        <f>N28*(1+Assumptions!$N$11)</f>
        <v>57.030435473847177</v>
      </c>
      <c r="P28" s="74">
        <f>O28*(1+Assumptions!$N$11)</f>
        <v>58.741348538062596</v>
      </c>
      <c r="Q28" s="74">
        <f>P28*(1+Assumptions!$N$11)</f>
        <v>60.503588994204478</v>
      </c>
      <c r="R28" s="74">
        <f>Q28*(1+Assumptions!$N$11)</f>
        <v>62.318696664030611</v>
      </c>
      <c r="S28" s="74">
        <f>R28*(1+Assumptions!$N$11)</f>
        <v>64.188257563951538</v>
      </c>
      <c r="T28" s="74">
        <f>S28*(1+Assumptions!$N$11)</f>
        <v>66.113905290870079</v>
      </c>
      <c r="U28" s="74">
        <f>T28*(1+Assumptions!$N$11)</f>
        <v>68.097322449596177</v>
      </c>
      <c r="V28" s="74">
        <f>U28*(1+Assumptions!$N$11)</f>
        <v>70.140242123084064</v>
      </c>
      <c r="W28" s="74">
        <f>V28*(1+Assumptions!$N$11)</f>
        <v>72.244449386776594</v>
      </c>
      <c r="X28" s="74">
        <f>W28*(1+Assumptions!$N$11)</f>
        <v>74.411782868379888</v>
      </c>
      <c r="Y28" s="74">
        <f>X28*(1+Assumptions!$N$11)</f>
        <v>76.644136354431282</v>
      </c>
      <c r="Z28" s="74">
        <f>Y28*(1+Assumptions!$N$11)</f>
        <v>78.943460445064218</v>
      </c>
      <c r="AA28" s="74">
        <f>Z28*(1+Assumptions!$N$11)</f>
        <v>81.311764258416147</v>
      </c>
      <c r="AB28" s="74">
        <f>AA28*(1+Assumptions!$N$11)</f>
        <v>83.751117186168628</v>
      </c>
      <c r="AC28" s="74">
        <f>AB28*(1+Assumptions!$N$11)</f>
        <v>86.26365070175369</v>
      </c>
      <c r="AD28" s="74">
        <f>AC28*(1+Assumptions!$N$11)</f>
        <v>88.851560222806299</v>
      </c>
      <c r="AE28" s="74">
        <f>AD28*(1+Assumptions!$N$11)</f>
        <v>91.517107029490489</v>
      </c>
      <c r="AF28" s="74">
        <f>AE28*(1+Assumptions!$N$11)</f>
        <v>94.262620240375213</v>
      </c>
      <c r="AG28" s="74">
        <f>AF28*(1+Assumptions!$N$11)</f>
        <v>97.090498847586474</v>
      </c>
    </row>
    <row r="29" spans="1:47">
      <c r="A29" s="3" t="s">
        <v>45</v>
      </c>
      <c r="C29" s="75">
        <f>Assumptions!$N25*Assumptions!H18/12</f>
        <v>26.666666666666668</v>
      </c>
      <c r="D29" s="75">
        <f>Assumptions!$N25*(1+Assumptions!$N$11)</f>
        <v>41.2</v>
      </c>
      <c r="E29" s="75">
        <f>D29*(1+Assumptions!$N$11)</f>
        <v>42.436000000000007</v>
      </c>
      <c r="F29" s="75">
        <f>E29*(1+Assumptions!$N$11)</f>
        <v>43.709080000000007</v>
      </c>
      <c r="G29" s="75">
        <f>F29*(1+Assumptions!$N$11)</f>
        <v>45.020352400000007</v>
      </c>
      <c r="H29" s="75">
        <f>G29*(1+Assumptions!$N$11)</f>
        <v>46.370962972000008</v>
      </c>
      <c r="I29" s="75">
        <f>H29*(1+Assumptions!$N$11)</f>
        <v>47.762091861160009</v>
      </c>
      <c r="J29" s="75">
        <f>I29*(1+Assumptions!$N$11)</f>
        <v>49.194954616994814</v>
      </c>
      <c r="K29" s="75">
        <f>J29*(1+Assumptions!$N$11)</f>
        <v>50.670803255504659</v>
      </c>
      <c r="L29" s="75">
        <f>K29*(1+Assumptions!$N$11)</f>
        <v>52.190927353169798</v>
      </c>
      <c r="M29" s="75">
        <f>L29*(1+Assumptions!$N$11)</f>
        <v>53.756655173764891</v>
      </c>
      <c r="N29" s="75">
        <f>M29*(1+Assumptions!$N$11)</f>
        <v>55.369354828977841</v>
      </c>
      <c r="O29" s="75">
        <f>N29*(1+Assumptions!$N$11)</f>
        <v>57.030435473847177</v>
      </c>
      <c r="P29" s="75">
        <f>O29*(1+Assumptions!$N$11)</f>
        <v>58.741348538062596</v>
      </c>
      <c r="Q29" s="75">
        <f>P29*(1+Assumptions!$N$11)</f>
        <v>60.503588994204478</v>
      </c>
      <c r="R29" s="75">
        <f>Q29*(1+Assumptions!$N$11)</f>
        <v>62.318696664030611</v>
      </c>
      <c r="S29" s="75">
        <f>R29*(1+Assumptions!$N$11)</f>
        <v>64.188257563951538</v>
      </c>
      <c r="T29" s="75">
        <f>S29*(1+Assumptions!$N$11)</f>
        <v>66.113905290870079</v>
      </c>
      <c r="U29" s="75">
        <f>T29*(1+Assumptions!$N$11)</f>
        <v>68.097322449596177</v>
      </c>
      <c r="V29" s="75">
        <f>U29*(1+Assumptions!$N$11)</f>
        <v>70.140242123084064</v>
      </c>
      <c r="W29" s="75">
        <f>V29*(1+Assumptions!$N$11)</f>
        <v>72.244449386776594</v>
      </c>
      <c r="X29" s="75">
        <f>W29*(1+Assumptions!$N$11)</f>
        <v>74.411782868379888</v>
      </c>
      <c r="Y29" s="75">
        <f>X29*(1+Assumptions!$N$11)</f>
        <v>76.644136354431282</v>
      </c>
      <c r="Z29" s="75">
        <f>Y29*(1+Assumptions!$N$11)</f>
        <v>78.943460445064218</v>
      </c>
      <c r="AA29" s="75">
        <f>Z29*(1+Assumptions!$N$11)</f>
        <v>81.311764258416147</v>
      </c>
      <c r="AB29" s="75">
        <f>AA29*(1+Assumptions!$N$11)</f>
        <v>83.751117186168628</v>
      </c>
      <c r="AC29" s="75">
        <f>AB29*(1+Assumptions!$N$11)</f>
        <v>86.26365070175369</v>
      </c>
      <c r="AD29" s="75">
        <f>AC29*(1+Assumptions!$N$11)</f>
        <v>88.851560222806299</v>
      </c>
      <c r="AE29" s="75">
        <f>AD29*(1+Assumptions!$N$11)</f>
        <v>91.517107029490489</v>
      </c>
      <c r="AF29" s="75">
        <f>AE29*(1+Assumptions!$N$11)</f>
        <v>94.262620240375213</v>
      </c>
      <c r="AG29" s="75">
        <f>AF29*(1+Assumptions!$N$11)</f>
        <v>97.090498847586474</v>
      </c>
    </row>
    <row r="30" spans="1:47">
      <c r="A30" s="3" t="s">
        <v>46</v>
      </c>
      <c r="C30" s="65">
        <f t="shared" ref="C30:X30" si="1">SUM(C16:C29)</f>
        <v>8532.6132553663501</v>
      </c>
      <c r="D30" s="65">
        <f t="shared" si="1"/>
        <v>8695.2977420234038</v>
      </c>
      <c r="E30" s="65">
        <f t="shared" si="1"/>
        <v>8803.9690106133712</v>
      </c>
      <c r="F30" s="65">
        <f t="shared" si="1"/>
        <v>8953.9355897329497</v>
      </c>
      <c r="G30" s="65">
        <f t="shared" si="1"/>
        <v>9128.4313305996602</v>
      </c>
      <c r="H30" s="65">
        <f t="shared" si="1"/>
        <v>9312.7531523898197</v>
      </c>
      <c r="I30" s="65">
        <f t="shared" si="1"/>
        <v>9503.0012428520622</v>
      </c>
      <c r="J30" s="65">
        <f t="shared" si="1"/>
        <v>9706.0790818590776</v>
      </c>
      <c r="K30" s="65">
        <f t="shared" si="1"/>
        <v>9922.0167016909527</v>
      </c>
      <c r="L30" s="65">
        <f t="shared" si="1"/>
        <v>10150.845009098219</v>
      </c>
      <c r="M30" s="65">
        <f t="shared" si="1"/>
        <v>10392.595811006049</v>
      </c>
      <c r="N30" s="65">
        <f t="shared" si="1"/>
        <v>10619.313631367646</v>
      </c>
      <c r="O30" s="65">
        <f t="shared" si="1"/>
        <v>10827.103987864577</v>
      </c>
      <c r="P30" s="65">
        <f t="shared" si="1"/>
        <v>11195.715316867232</v>
      </c>
      <c r="Q30" s="65">
        <f t="shared" si="1"/>
        <v>11489.493112394433</v>
      </c>
      <c r="R30" s="65">
        <f t="shared" si="1"/>
        <v>11796.366893834331</v>
      </c>
      <c r="S30" s="65">
        <f t="shared" si="1"/>
        <v>12116.374453157036</v>
      </c>
      <c r="T30" s="65">
        <f t="shared" si="1"/>
        <v>12449.554685045219</v>
      </c>
      <c r="U30" s="65">
        <f t="shared" si="1"/>
        <v>12795.947619354549</v>
      </c>
      <c r="V30" s="65">
        <f t="shared" si="1"/>
        <v>13155.5944545355</v>
      </c>
      <c r="W30" s="65">
        <f t="shared" si="1"/>
        <v>13528.53759204523</v>
      </c>
      <c r="X30" s="65">
        <f t="shared" si="1"/>
        <v>7308.5229568370505</v>
      </c>
      <c r="Y30" s="65">
        <f t="shared" ref="Y30:AG30" si="2">SUM(Y16:Y29)</f>
        <v>7366.4401236184667</v>
      </c>
      <c r="Z30" s="65">
        <f t="shared" si="2"/>
        <v>7426.0038654226946</v>
      </c>
      <c r="AA30" s="65">
        <f t="shared" si="2"/>
        <v>7487.2617607008024</v>
      </c>
      <c r="AB30" s="65">
        <f t="shared" si="2"/>
        <v>7550.2627788813998</v>
      </c>
      <c r="AC30" s="65">
        <f t="shared" si="2"/>
        <v>7615.0573213724465</v>
      </c>
      <c r="AD30" s="65">
        <f t="shared" si="2"/>
        <v>7681.6972637785584</v>
      </c>
      <c r="AE30" s="65">
        <f t="shared" si="2"/>
        <v>7750.235999369992</v>
      </c>
      <c r="AF30" s="65">
        <f t="shared" si="2"/>
        <v>7820.7284838405694</v>
      </c>
      <c r="AG30" s="65">
        <f t="shared" si="2"/>
        <v>7893.2312813928947</v>
      </c>
    </row>
    <row r="31" spans="1:47">
      <c r="A31" s="740" t="s">
        <v>715</v>
      </c>
      <c r="C31" s="65">
        <f>C30-C16-C17-C18</f>
        <v>839.19623978568075</v>
      </c>
      <c r="D31" s="65">
        <f t="shared" ref="D31:AG31" si="3">D30-D16-D17-D18</f>
        <v>971.2387936459229</v>
      </c>
      <c r="E31" s="65">
        <f t="shared" si="3"/>
        <v>996.07995745529831</v>
      </c>
      <c r="F31" s="65">
        <f t="shared" si="3"/>
        <v>1021.6051561789609</v>
      </c>
      <c r="G31" s="65">
        <f t="shared" si="3"/>
        <v>1047.8336868643282</v>
      </c>
      <c r="H31" s="65">
        <f t="shared" si="3"/>
        <v>1074.7854009902564</v>
      </c>
      <c r="I31" s="65">
        <f t="shared" si="3"/>
        <v>1102.4807206103633</v>
      </c>
      <c r="J31" s="65">
        <f t="shared" si="3"/>
        <v>1130.9406549708817</v>
      </c>
      <c r="K31" s="65">
        <f t="shared" si="3"/>
        <v>1160.1868176170624</v>
      </c>
      <c r="L31" s="65">
        <f t="shared" si="3"/>
        <v>1190.2414440025661</v>
      </c>
      <c r="M31" s="65">
        <f t="shared" si="3"/>
        <v>1221.1274096167779</v>
      </c>
      <c r="N31" s="65">
        <f t="shared" si="3"/>
        <v>1252.8682486452972</v>
      </c>
      <c r="O31" s="65">
        <f t="shared" si="3"/>
        <v>1285.4881731794737</v>
      </c>
      <c r="P31" s="65">
        <f t="shared" si="3"/>
        <v>1319.0120929911657</v>
      </c>
      <c r="Q31" s="65">
        <f t="shared" si="3"/>
        <v>1353.4656358895413</v>
      </c>
      <c r="R31" s="65">
        <f t="shared" si="3"/>
        <v>1388.875168677042</v>
      </c>
      <c r="S31" s="65">
        <f t="shared" si="3"/>
        <v>1425.2678187223796</v>
      </c>
      <c r="T31" s="65">
        <f t="shared" si="3"/>
        <v>1462.6714961687749</v>
      </c>
      <c r="U31" s="65">
        <f t="shared" si="3"/>
        <v>1501.114916796264</v>
      </c>
      <c r="V31" s="65">
        <f t="shared" si="3"/>
        <v>1540.6276255574203</v>
      </c>
      <c r="W31" s="65">
        <f t="shared" si="3"/>
        <v>1581.2400208065617</v>
      </c>
      <c r="X31" s="65">
        <f t="shared" si="3"/>
        <v>1622.983379242823</v>
      </c>
      <c r="Y31" s="65">
        <f t="shared" si="3"/>
        <v>1665.8898815884124</v>
      </c>
      <c r="Z31" s="65">
        <f t="shared" si="3"/>
        <v>1709.9926390237385</v>
      </c>
      <c r="AA31" s="65">
        <f t="shared" si="3"/>
        <v>1755.3257204018776</v>
      </c>
      <c r="AB31" s="65">
        <f t="shared" si="3"/>
        <v>1801.9241802655072</v>
      </c>
      <c r="AC31" s="65">
        <f t="shared" si="3"/>
        <v>1849.824087690077</v>
      </c>
      <c r="AD31" s="65">
        <f t="shared" si="3"/>
        <v>1899.0625559777181</v>
      </c>
      <c r="AE31" s="65">
        <f t="shared" si="3"/>
        <v>1949.6777732271264</v>
      </c>
      <c r="AF31" s="65">
        <f t="shared" si="3"/>
        <v>2001.7090338054181</v>
      </c>
      <c r="AG31" s="65">
        <f t="shared" si="3"/>
        <v>2055.1967707486888</v>
      </c>
    </row>
    <row r="32" spans="1:47">
      <c r="A32" s="4"/>
      <c r="C32" s="367"/>
      <c r="D32" s="367"/>
      <c r="E32" s="367"/>
      <c r="F32" s="367"/>
      <c r="G32" s="367"/>
      <c r="H32" s="367"/>
      <c r="I32" s="367"/>
      <c r="J32" s="367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7"/>
      <c r="X32" s="367"/>
      <c r="Y32" s="367"/>
      <c r="Z32" s="367"/>
      <c r="AA32" s="367"/>
      <c r="AB32" s="367"/>
      <c r="AC32" s="367"/>
      <c r="AD32" s="367"/>
      <c r="AE32" s="367"/>
      <c r="AF32" s="367"/>
      <c r="AG32" s="367"/>
    </row>
    <row r="33" spans="1:33">
      <c r="A33" s="1" t="s">
        <v>47</v>
      </c>
      <c r="C33" s="123">
        <f t="shared" ref="C33:X33" si="4">C13-C30</f>
        <v>3719.3333333333358</v>
      </c>
      <c r="D33" s="123">
        <f t="shared" si="4"/>
        <v>5730.899999999996</v>
      </c>
      <c r="E33" s="123">
        <f t="shared" si="4"/>
        <v>5708.4030000000021</v>
      </c>
      <c r="F33" s="123">
        <f t="shared" si="4"/>
        <v>5685.2922899999994</v>
      </c>
      <c r="G33" s="123">
        <f t="shared" si="4"/>
        <v>5661.5506826999972</v>
      </c>
      <c r="H33" s="123">
        <f t="shared" si="4"/>
        <v>5637.1604996609985</v>
      </c>
      <c r="I33" s="123">
        <f t="shared" si="4"/>
        <v>5612.103557060429</v>
      </c>
      <c r="J33" s="123">
        <f t="shared" si="4"/>
        <v>5586.3611510300361</v>
      </c>
      <c r="K33" s="123">
        <f t="shared" si="4"/>
        <v>5559.9140425638816</v>
      </c>
      <c r="L33" s="123">
        <f t="shared" si="4"/>
        <v>5532.742441983808</v>
      </c>
      <c r="M33" s="123">
        <f t="shared" si="4"/>
        <v>5504.8259929491851</v>
      </c>
      <c r="N33" s="123">
        <f t="shared" si="4"/>
        <v>5476.1437559976457</v>
      </c>
      <c r="O33" s="123">
        <f t="shared" si="4"/>
        <v>5446.6741916027568</v>
      </c>
      <c r="P33" s="123">
        <f t="shared" si="4"/>
        <v>5416.3951427345328</v>
      </c>
      <c r="Q33" s="123">
        <f t="shared" si="4"/>
        <v>5385.2838169079296</v>
      </c>
      <c r="R33" s="123">
        <f t="shared" si="4"/>
        <v>5353.3167677043475</v>
      </c>
      <c r="S33" s="123">
        <f t="shared" si="4"/>
        <v>5320.4698757504539</v>
      </c>
      <c r="T33" s="123">
        <f t="shared" si="4"/>
        <v>5286.7183291382426</v>
      </c>
      <c r="U33" s="123">
        <f t="shared" si="4"/>
        <v>5252.0366032699676</v>
      </c>
      <c r="V33" s="123">
        <f t="shared" si="4"/>
        <v>5216.3984401107973</v>
      </c>
      <c r="W33" s="123">
        <f t="shared" si="4"/>
        <v>1041.2805218260546</v>
      </c>
      <c r="X33" s="123">
        <f t="shared" si="4"/>
        <v>-1481.8560261754101</v>
      </c>
      <c r="Y33" s="123">
        <f t="shared" ref="Y33:AG33" si="5">Y13-Y30</f>
        <v>-1520.5287079289765</v>
      </c>
      <c r="Z33" s="123">
        <f t="shared" si="5"/>
        <v>-1560.2706301545213</v>
      </c>
      <c r="AA33" s="123">
        <f t="shared" si="5"/>
        <v>-1601.112051266583</v>
      </c>
      <c r="AB33" s="123">
        <f t="shared" si="5"/>
        <v>-1643.0841010561535</v>
      </c>
      <c r="AC33" s="123">
        <f t="shared" si="5"/>
        <v>-1686.2188061044426</v>
      </c>
      <c r="AD33" s="123">
        <f t="shared" si="5"/>
        <v>-1730.5491159445146</v>
      </c>
      <c r="AE33" s="123">
        <f t="shared" si="5"/>
        <v>-1776.1089299929272</v>
      </c>
      <c r="AF33" s="123">
        <f t="shared" si="5"/>
        <v>-1822.9331252741922</v>
      </c>
      <c r="AG33" s="123">
        <f t="shared" si="5"/>
        <v>-1871.057584961527</v>
      </c>
    </row>
    <row r="34" spans="1:33">
      <c r="A34" s="1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367"/>
      <c r="Z34" s="367"/>
      <c r="AA34" s="367"/>
      <c r="AB34" s="367"/>
      <c r="AC34" s="367"/>
      <c r="AD34" s="367"/>
      <c r="AE34" s="367"/>
      <c r="AF34" s="367"/>
      <c r="AG34" s="367"/>
    </row>
    <row r="35" spans="1:33">
      <c r="A35" s="3" t="s">
        <v>48</v>
      </c>
      <c r="C35" s="65">
        <f>Depreciation!D48</f>
        <v>1897.3999999999999</v>
      </c>
      <c r="D35" s="65">
        <f>Depreciation!E48</f>
        <v>2846.1</v>
      </c>
      <c r="E35" s="65">
        <f>Depreciation!F48</f>
        <v>2846.1</v>
      </c>
      <c r="F35" s="65">
        <f>Depreciation!G48</f>
        <v>2846.1</v>
      </c>
      <c r="G35" s="65">
        <f>Depreciation!H48</f>
        <v>2846.1</v>
      </c>
      <c r="H35" s="65">
        <f>Depreciation!I48</f>
        <v>1902.1</v>
      </c>
      <c r="I35" s="65">
        <f>Depreciation!J48</f>
        <v>1430.1</v>
      </c>
      <c r="J35" s="65">
        <f>Depreciation!K48</f>
        <v>1430.1</v>
      </c>
      <c r="K35" s="65">
        <f>Depreciation!L48</f>
        <v>1430.1</v>
      </c>
      <c r="L35" s="65">
        <f>Depreciation!M48</f>
        <v>1430.1</v>
      </c>
      <c r="M35" s="65">
        <f>Depreciation!N48</f>
        <v>1430.1</v>
      </c>
      <c r="N35" s="65">
        <f>Depreciation!O48</f>
        <v>1430.1</v>
      </c>
      <c r="O35" s="65">
        <f>Depreciation!P48</f>
        <v>1430.1</v>
      </c>
      <c r="P35" s="65">
        <f>Depreciation!Q48</f>
        <v>1430.1</v>
      </c>
      <c r="Q35" s="65">
        <f>Depreciation!R48</f>
        <v>1430.1</v>
      </c>
      <c r="R35" s="65">
        <f>Depreciation!S48</f>
        <v>1430.1</v>
      </c>
      <c r="S35" s="65">
        <f>Depreciation!T48</f>
        <v>1430.1</v>
      </c>
      <c r="T35" s="65">
        <f>Depreciation!U48</f>
        <v>1430.1</v>
      </c>
      <c r="U35" s="65">
        <f>Depreciation!V48</f>
        <v>1430.1</v>
      </c>
      <c r="V35" s="65">
        <f>Depreciation!W48</f>
        <v>1430.1</v>
      </c>
      <c r="W35" s="65">
        <f>Depreciation!X48</f>
        <v>1430.1</v>
      </c>
      <c r="X35" s="65">
        <f>Depreciation!Y48</f>
        <v>1430.1</v>
      </c>
      <c r="Y35" s="65">
        <f>Depreciation!Z48</f>
        <v>1430.1</v>
      </c>
      <c r="Z35" s="65">
        <f>Depreciation!AA48</f>
        <v>1430.1</v>
      </c>
      <c r="AA35" s="65">
        <f>Depreciation!AB48</f>
        <v>1430.1</v>
      </c>
      <c r="AB35" s="65">
        <f>Depreciation!AC48</f>
        <v>1430.1</v>
      </c>
      <c r="AC35" s="65">
        <f>Depreciation!AD48</f>
        <v>1430.1</v>
      </c>
      <c r="AD35" s="65">
        <f>Depreciation!AE48</f>
        <v>1430.1</v>
      </c>
      <c r="AE35" s="65">
        <f>Depreciation!AF48</f>
        <v>1430.1</v>
      </c>
      <c r="AF35" s="65">
        <f>Depreciation!AG48</f>
        <v>1430.1</v>
      </c>
      <c r="AG35" s="65">
        <f>Depreciation!AH48</f>
        <v>476.7000000000001</v>
      </c>
    </row>
    <row r="36" spans="1:33">
      <c r="A36" s="3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spans="1:33">
      <c r="A37" s="1" t="s">
        <v>49</v>
      </c>
      <c r="C37" s="123">
        <f>C33-C35</f>
        <v>1821.9333333333359</v>
      </c>
      <c r="D37" s="123">
        <f t="shared" ref="D37:X37" si="6">D33-D35</f>
        <v>2884.7999999999961</v>
      </c>
      <c r="E37" s="123">
        <f t="shared" si="6"/>
        <v>2862.3030000000022</v>
      </c>
      <c r="F37" s="123">
        <f t="shared" si="6"/>
        <v>2839.1922899999995</v>
      </c>
      <c r="G37" s="123">
        <f t="shared" si="6"/>
        <v>2815.4506826999973</v>
      </c>
      <c r="H37" s="123">
        <f t="shared" si="6"/>
        <v>3735.0604996609986</v>
      </c>
      <c r="I37" s="123">
        <f t="shared" si="6"/>
        <v>4182.0035570604286</v>
      </c>
      <c r="J37" s="123">
        <f t="shared" si="6"/>
        <v>4156.2611510300358</v>
      </c>
      <c r="K37" s="123">
        <f t="shared" si="6"/>
        <v>4129.8140425638812</v>
      </c>
      <c r="L37" s="123">
        <f t="shared" si="6"/>
        <v>4102.6424419838077</v>
      </c>
      <c r="M37" s="123">
        <f t="shared" si="6"/>
        <v>4074.7259929491852</v>
      </c>
      <c r="N37" s="123">
        <f t="shared" si="6"/>
        <v>4046.0437559976458</v>
      </c>
      <c r="O37" s="123">
        <f t="shared" si="6"/>
        <v>4016.5741916027569</v>
      </c>
      <c r="P37" s="123">
        <f t="shared" si="6"/>
        <v>3986.2951427345329</v>
      </c>
      <c r="Q37" s="123">
        <f t="shared" si="6"/>
        <v>3955.1838169079297</v>
      </c>
      <c r="R37" s="123">
        <f t="shared" si="6"/>
        <v>3923.2167677043476</v>
      </c>
      <c r="S37" s="123">
        <f t="shared" si="6"/>
        <v>3890.369875750454</v>
      </c>
      <c r="T37" s="123">
        <f t="shared" si="6"/>
        <v>3856.6183291382426</v>
      </c>
      <c r="U37" s="123">
        <f t="shared" si="6"/>
        <v>3821.9366032699677</v>
      </c>
      <c r="V37" s="123">
        <f t="shared" si="6"/>
        <v>3786.2984401107974</v>
      </c>
      <c r="W37" s="123">
        <f t="shared" si="6"/>
        <v>-388.8194781739453</v>
      </c>
      <c r="X37" s="123">
        <f t="shared" si="6"/>
        <v>-2911.95602617541</v>
      </c>
      <c r="Y37" s="123">
        <f t="shared" ref="Y37:AG37" si="7">Y33-Y35</f>
        <v>-2950.6287079289764</v>
      </c>
      <c r="Z37" s="123">
        <f t="shared" si="7"/>
        <v>-2990.3706301545212</v>
      </c>
      <c r="AA37" s="123">
        <f t="shared" si="7"/>
        <v>-3031.2120512665829</v>
      </c>
      <c r="AB37" s="123">
        <f t="shared" si="7"/>
        <v>-3073.1841010561534</v>
      </c>
      <c r="AC37" s="123">
        <f t="shared" si="7"/>
        <v>-3116.3188061044425</v>
      </c>
      <c r="AD37" s="123">
        <f t="shared" si="7"/>
        <v>-3160.6491159445145</v>
      </c>
      <c r="AE37" s="123">
        <f t="shared" si="7"/>
        <v>-3206.2089299929271</v>
      </c>
      <c r="AF37" s="123">
        <f t="shared" si="7"/>
        <v>-3253.0331252741921</v>
      </c>
      <c r="AG37" s="123">
        <f t="shared" si="7"/>
        <v>-2347.7575849615273</v>
      </c>
    </row>
    <row r="38" spans="1:33">
      <c r="A38" s="1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</row>
    <row r="39" spans="1:33">
      <c r="A39" s="3" t="s">
        <v>131</v>
      </c>
      <c r="C39" s="65">
        <f>Debt!B57</f>
        <v>3775.3872527379572</v>
      </c>
      <c r="D39" s="65">
        <f>Debt!C57</f>
        <v>5734.7322954159281</v>
      </c>
      <c r="E39" s="65">
        <f>Debt!D57</f>
        <v>5848.296632010175</v>
      </c>
      <c r="F39" s="65">
        <f>Debt!E57</f>
        <v>5971.6630641014726</v>
      </c>
      <c r="G39" s="65">
        <f>Debt!F57</f>
        <v>6106.2980475657077</v>
      </c>
      <c r="H39" s="65">
        <f>Debt!G57</f>
        <v>6254.1887115454892</v>
      </c>
      <c r="I39" s="65">
        <f>Debt!H57</f>
        <v>6416.083911545622</v>
      </c>
      <c r="J39" s="65">
        <f>Debt!I57</f>
        <v>6593.5235385001342</v>
      </c>
      <c r="K39" s="65">
        <f>Debt!J57</f>
        <v>6786.9984741327571</v>
      </c>
      <c r="L39" s="65">
        <f>Debt!K57</f>
        <v>6998.8213933149509</v>
      </c>
      <c r="M39" s="65">
        <f>Debt!L57</f>
        <v>7230.2251517451896</v>
      </c>
      <c r="N39" s="65">
        <f>Debt!M57</f>
        <v>7483.192906356775</v>
      </c>
      <c r="O39" s="65">
        <f>Debt!N57</f>
        <v>7758.8026546324081</v>
      </c>
      <c r="P39" s="65">
        <f>Debt!O57</f>
        <v>8059.8216980330462</v>
      </c>
      <c r="Q39" s="65">
        <f>Debt!P57</f>
        <v>8388.150732879456</v>
      </c>
      <c r="R39" s="65">
        <f>Debt!Q57</f>
        <v>8746.3876944877848</v>
      </c>
      <c r="S39" s="65">
        <f>Debt!R57</f>
        <v>9136.4181357967682</v>
      </c>
      <c r="T39" s="65">
        <f>Debt!S57</f>
        <v>9561.642888672528</v>
      </c>
      <c r="U39" s="65">
        <f>Debt!T57</f>
        <v>10024.884419864375</v>
      </c>
      <c r="V39" s="65">
        <f>Debt!U57</f>
        <v>10529.592698327413</v>
      </c>
      <c r="W39" s="65">
        <f>Debt!V57</f>
        <v>11178.359798686897</v>
      </c>
      <c r="X39" s="65">
        <f>Debt!W57</f>
        <v>12078.778952391089</v>
      </c>
      <c r="Y39" s="65">
        <f>Debt!X57</f>
        <v>13172.164025252927</v>
      </c>
      <c r="Z39" s="65">
        <f>Debt!Y57</f>
        <v>14380.103546363611</v>
      </c>
      <c r="AA39" s="65">
        <f>Debt!Z57</f>
        <v>15693.205964742818</v>
      </c>
      <c r="AB39" s="65">
        <f>Debt!AA57</f>
        <v>17118.726030322774</v>
      </c>
      <c r="AC39" s="65">
        <f>Debt!AB57</f>
        <v>18667.268288029933</v>
      </c>
      <c r="AD39" s="65">
        <f>Debt!AC57</f>
        <v>20348.615391845306</v>
      </c>
      <c r="AE39" s="65">
        <f>Debt!AD57</f>
        <v>22175.569978448271</v>
      </c>
      <c r="AF39" s="65">
        <f>Debt!AE57</f>
        <v>24158.233526509262</v>
      </c>
      <c r="AG39" s="65">
        <f>Debt!AF57</f>
        <v>26205.051221407139</v>
      </c>
    </row>
    <row r="40" spans="1:33" ht="12" customHeight="1">
      <c r="A40" s="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>
      <c r="A41" s="1" t="s">
        <v>206</v>
      </c>
      <c r="C41" s="123">
        <f>C37-C39</f>
        <v>-1953.4539194046213</v>
      </c>
      <c r="D41" s="123">
        <f t="shared" ref="D41:X41" si="8">D37-D39</f>
        <v>-2849.932295415932</v>
      </c>
      <c r="E41" s="123">
        <f t="shared" si="8"/>
        <v>-2985.9936320101729</v>
      </c>
      <c r="F41" s="123">
        <f t="shared" si="8"/>
        <v>-3132.4707741014731</v>
      </c>
      <c r="G41" s="123">
        <f t="shared" si="8"/>
        <v>-3290.8473648657105</v>
      </c>
      <c r="H41" s="123">
        <f t="shared" si="8"/>
        <v>-2519.1282118844906</v>
      </c>
      <c r="I41" s="123">
        <f t="shared" si="8"/>
        <v>-2234.0803544851933</v>
      </c>
      <c r="J41" s="123">
        <f t="shared" si="8"/>
        <v>-2437.2623874700985</v>
      </c>
      <c r="K41" s="123">
        <f t="shared" si="8"/>
        <v>-2657.1844315688759</v>
      </c>
      <c r="L41" s="123">
        <f t="shared" si="8"/>
        <v>-2896.1789513311433</v>
      </c>
      <c r="M41" s="123">
        <f t="shared" si="8"/>
        <v>-3155.4991587960044</v>
      </c>
      <c r="N41" s="123">
        <f t="shared" si="8"/>
        <v>-3437.1491503591292</v>
      </c>
      <c r="O41" s="123">
        <f t="shared" si="8"/>
        <v>-3742.2284630296513</v>
      </c>
      <c r="P41" s="123">
        <f t="shared" si="8"/>
        <v>-4073.5265552985134</v>
      </c>
      <c r="Q41" s="123">
        <f t="shared" si="8"/>
        <v>-4432.9669159715268</v>
      </c>
      <c r="R41" s="123">
        <f t="shared" si="8"/>
        <v>-4823.1709267834376</v>
      </c>
      <c r="S41" s="123">
        <f t="shared" si="8"/>
        <v>-5246.0482600463147</v>
      </c>
      <c r="T41" s="123">
        <f t="shared" si="8"/>
        <v>-5705.0245595342858</v>
      </c>
      <c r="U41" s="123">
        <f t="shared" si="8"/>
        <v>-6202.9478165944074</v>
      </c>
      <c r="V41" s="123">
        <f t="shared" si="8"/>
        <v>-6743.2942582166161</v>
      </c>
      <c r="W41" s="123">
        <f t="shared" si="8"/>
        <v>-11567.179276860843</v>
      </c>
      <c r="X41" s="123">
        <f t="shared" si="8"/>
        <v>-14990.734978566499</v>
      </c>
      <c r="Y41" s="123">
        <f t="shared" ref="Y41:AG41" si="9">Y37-Y39</f>
        <v>-16122.792733181903</v>
      </c>
      <c r="Z41" s="123">
        <f t="shared" si="9"/>
        <v>-17370.474176518132</v>
      </c>
      <c r="AA41" s="123">
        <f t="shared" si="9"/>
        <v>-18724.4180160094</v>
      </c>
      <c r="AB41" s="123">
        <f t="shared" si="9"/>
        <v>-20191.910131378929</v>
      </c>
      <c r="AC41" s="123">
        <f t="shared" si="9"/>
        <v>-21783.587094134375</v>
      </c>
      <c r="AD41" s="123">
        <f t="shared" si="9"/>
        <v>-23509.26450778982</v>
      </c>
      <c r="AE41" s="123">
        <f t="shared" si="9"/>
        <v>-25381.7789084412</v>
      </c>
      <c r="AF41" s="123">
        <f t="shared" si="9"/>
        <v>-27411.266651783455</v>
      </c>
      <c r="AG41" s="123">
        <f t="shared" si="9"/>
        <v>-28552.808806368666</v>
      </c>
    </row>
    <row r="42" spans="1:33">
      <c r="A42" s="1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</row>
    <row r="43" spans="1:33">
      <c r="A43" s="3" t="s">
        <v>50</v>
      </c>
      <c r="B43" s="343">
        <f>Assumptions!N51</f>
        <v>7.0000000000000007E-2</v>
      </c>
      <c r="C43" s="74">
        <f>-C41*$B$43</f>
        <v>136.74177435832351</v>
      </c>
      <c r="D43" s="74">
        <f t="shared" ref="D43:AG43" si="10">-D41*$B$43</f>
        <v>199.49526067911526</v>
      </c>
      <c r="E43" s="74">
        <f t="shared" si="10"/>
        <v>209.01955424071213</v>
      </c>
      <c r="F43" s="74">
        <f t="shared" si="10"/>
        <v>219.27295418710315</v>
      </c>
      <c r="G43" s="74">
        <f t="shared" si="10"/>
        <v>230.35931554059977</v>
      </c>
      <c r="H43" s="74">
        <f t="shared" si="10"/>
        <v>176.33897483191436</v>
      </c>
      <c r="I43" s="74">
        <f t="shared" si="10"/>
        <v>156.38562481396355</v>
      </c>
      <c r="J43" s="74">
        <f t="shared" si="10"/>
        <v>170.60836712290691</v>
      </c>
      <c r="K43" s="74">
        <f t="shared" si="10"/>
        <v>186.00291020982132</v>
      </c>
      <c r="L43" s="74">
        <f t="shared" si="10"/>
        <v>202.73252659318004</v>
      </c>
      <c r="M43" s="74">
        <f t="shared" si="10"/>
        <v>220.88494111572032</v>
      </c>
      <c r="N43" s="74">
        <f t="shared" si="10"/>
        <v>240.60044052513908</v>
      </c>
      <c r="O43" s="74">
        <f t="shared" si="10"/>
        <v>261.9559924120756</v>
      </c>
      <c r="P43" s="74">
        <f t="shared" si="10"/>
        <v>285.14685887089598</v>
      </c>
      <c r="Q43" s="74">
        <f t="shared" si="10"/>
        <v>310.30768411800688</v>
      </c>
      <c r="R43" s="74">
        <f t="shared" si="10"/>
        <v>337.62196487484067</v>
      </c>
      <c r="S43" s="74">
        <f t="shared" si="10"/>
        <v>367.22337820324208</v>
      </c>
      <c r="T43" s="74">
        <f t="shared" si="10"/>
        <v>399.35171916740006</v>
      </c>
      <c r="U43" s="74">
        <f t="shared" si="10"/>
        <v>434.20634716160856</v>
      </c>
      <c r="V43" s="74">
        <f t="shared" si="10"/>
        <v>472.0305980751632</v>
      </c>
      <c r="W43" s="74">
        <f t="shared" si="10"/>
        <v>809.70254938025903</v>
      </c>
      <c r="X43" s="74">
        <f t="shared" si="10"/>
        <v>1049.3514484996551</v>
      </c>
      <c r="Y43" s="74">
        <f t="shared" si="10"/>
        <v>1128.5954913227333</v>
      </c>
      <c r="Z43" s="74">
        <f t="shared" si="10"/>
        <v>1215.9331923562693</v>
      </c>
      <c r="AA43" s="74">
        <f t="shared" si="10"/>
        <v>1310.7092611206581</v>
      </c>
      <c r="AB43" s="74">
        <f t="shared" si="10"/>
        <v>1413.4337091965251</v>
      </c>
      <c r="AC43" s="74">
        <f t="shared" si="10"/>
        <v>1524.8510965894063</v>
      </c>
      <c r="AD43" s="74">
        <f t="shared" si="10"/>
        <v>1645.6485155452876</v>
      </c>
      <c r="AE43" s="74">
        <f t="shared" si="10"/>
        <v>1776.7245235908842</v>
      </c>
      <c r="AF43" s="74">
        <f t="shared" si="10"/>
        <v>1918.788665624842</v>
      </c>
      <c r="AG43" s="74">
        <f t="shared" si="10"/>
        <v>1998.6966164458067</v>
      </c>
    </row>
    <row r="44" spans="1:33">
      <c r="A44" s="3" t="s">
        <v>51</v>
      </c>
      <c r="B44" s="343">
        <f>Assumptions!N50</f>
        <v>0.35</v>
      </c>
      <c r="C44" s="74">
        <f t="shared" ref="C44:AG44" si="11">(C41+C43)*-$B$44</f>
        <v>635.84925076620414</v>
      </c>
      <c r="D44" s="74">
        <f t="shared" si="11"/>
        <v>927.65296215788578</v>
      </c>
      <c r="E44" s="74">
        <f t="shared" si="11"/>
        <v>971.94092721931111</v>
      </c>
      <c r="F44" s="74">
        <f t="shared" si="11"/>
        <v>1019.6192369700294</v>
      </c>
      <c r="G44" s="74">
        <f t="shared" si="11"/>
        <v>1071.1708172637886</v>
      </c>
      <c r="H44" s="74">
        <f t="shared" si="11"/>
        <v>819.97623296840152</v>
      </c>
      <c r="I44" s="74">
        <f t="shared" si="11"/>
        <v>727.19315538493038</v>
      </c>
      <c r="J44" s="74">
        <f t="shared" si="11"/>
        <v>793.32890712151698</v>
      </c>
      <c r="K44" s="74">
        <f t="shared" si="11"/>
        <v>864.91353247566894</v>
      </c>
      <c r="L44" s="74">
        <f t="shared" si="11"/>
        <v>942.70624865828711</v>
      </c>
      <c r="M44" s="74">
        <f t="shared" si="11"/>
        <v>1027.1149761880995</v>
      </c>
      <c r="N44" s="74">
        <f t="shared" si="11"/>
        <v>1118.7920484418964</v>
      </c>
      <c r="O44" s="74">
        <f t="shared" si="11"/>
        <v>1218.0953647161514</v>
      </c>
      <c r="P44" s="74">
        <f t="shared" si="11"/>
        <v>1325.9328937496662</v>
      </c>
      <c r="Q44" s="74">
        <f t="shared" si="11"/>
        <v>1442.9307311487316</v>
      </c>
      <c r="R44" s="74">
        <f t="shared" si="11"/>
        <v>1569.9421366680087</v>
      </c>
      <c r="S44" s="74">
        <f t="shared" si="11"/>
        <v>1707.5887086450755</v>
      </c>
      <c r="T44" s="74">
        <f t="shared" si="11"/>
        <v>1856.98549412841</v>
      </c>
      <c r="U44" s="74">
        <f t="shared" si="11"/>
        <v>2019.0595143014796</v>
      </c>
      <c r="V44" s="74">
        <f t="shared" si="11"/>
        <v>2194.942281049508</v>
      </c>
      <c r="W44" s="74">
        <f t="shared" si="11"/>
        <v>3765.1168546182039</v>
      </c>
      <c r="X44" s="74">
        <f t="shared" si="11"/>
        <v>4879.484235523395</v>
      </c>
      <c r="Y44" s="74">
        <f t="shared" si="11"/>
        <v>5247.9690346507086</v>
      </c>
      <c r="Z44" s="74">
        <f t="shared" si="11"/>
        <v>5654.0893444566518</v>
      </c>
      <c r="AA44" s="74">
        <f t="shared" si="11"/>
        <v>6094.7980642110597</v>
      </c>
      <c r="AB44" s="74">
        <f t="shared" si="11"/>
        <v>6572.4667477638413</v>
      </c>
      <c r="AC44" s="74">
        <f t="shared" si="11"/>
        <v>7090.5575991407386</v>
      </c>
      <c r="AD44" s="74">
        <f t="shared" si="11"/>
        <v>7652.2655972855864</v>
      </c>
      <c r="AE44" s="74">
        <f t="shared" si="11"/>
        <v>8261.7690346976106</v>
      </c>
      <c r="AF44" s="74">
        <f t="shared" si="11"/>
        <v>8922.3672951555145</v>
      </c>
      <c r="AG44" s="74">
        <f t="shared" si="11"/>
        <v>9293.9392664730003</v>
      </c>
    </row>
    <row r="45" spans="1:33">
      <c r="A45" s="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spans="1:33" ht="15.75">
      <c r="A46" s="54" t="s">
        <v>52</v>
      </c>
      <c r="B46" s="46"/>
      <c r="C46" s="368">
        <f t="shared" ref="C46:AG46" si="12">C41+C43+C44</f>
        <v>-1180.8628942800938</v>
      </c>
      <c r="D46" s="368">
        <f t="shared" si="12"/>
        <v>-1722.784072578931</v>
      </c>
      <c r="E46" s="368">
        <f t="shared" si="12"/>
        <v>-1805.0331505501495</v>
      </c>
      <c r="F46" s="368">
        <f t="shared" si="12"/>
        <v>-1893.5785829443407</v>
      </c>
      <c r="G46" s="368">
        <f t="shared" si="12"/>
        <v>-1989.3172320613221</v>
      </c>
      <c r="H46" s="368">
        <f t="shared" si="12"/>
        <v>-1522.8130040841745</v>
      </c>
      <c r="I46" s="368">
        <f t="shared" si="12"/>
        <v>-1350.5015742862993</v>
      </c>
      <c r="J46" s="368">
        <f t="shared" si="12"/>
        <v>-1473.3251132256744</v>
      </c>
      <c r="K46" s="368">
        <f t="shared" si="12"/>
        <v>-1606.2679888833854</v>
      </c>
      <c r="L46" s="368">
        <f t="shared" si="12"/>
        <v>-1750.7401760796761</v>
      </c>
      <c r="M46" s="368">
        <f t="shared" si="12"/>
        <v>-1907.4992414921846</v>
      </c>
      <c r="N46" s="368">
        <f t="shared" si="12"/>
        <v>-2077.7566613920935</v>
      </c>
      <c r="O46" s="368">
        <f t="shared" si="12"/>
        <v>-2262.1771059014245</v>
      </c>
      <c r="P46" s="368">
        <f t="shared" si="12"/>
        <v>-2462.4468026779514</v>
      </c>
      <c r="Q46" s="368">
        <f t="shared" si="12"/>
        <v>-2679.7285007047876</v>
      </c>
      <c r="R46" s="368">
        <f t="shared" si="12"/>
        <v>-2915.6068252405876</v>
      </c>
      <c r="S46" s="368">
        <f t="shared" si="12"/>
        <v>-3171.2361731979972</v>
      </c>
      <c r="T46" s="368">
        <f t="shared" si="12"/>
        <v>-3448.6873462384756</v>
      </c>
      <c r="U46" s="368">
        <f t="shared" si="12"/>
        <v>-3749.6819551313192</v>
      </c>
      <c r="V46" s="368">
        <f t="shared" si="12"/>
        <v>-4076.3213790919444</v>
      </c>
      <c r="W46" s="368">
        <f t="shared" si="12"/>
        <v>-6992.3598728623801</v>
      </c>
      <c r="X46" s="368">
        <f t="shared" si="12"/>
        <v>-9061.8992945434475</v>
      </c>
      <c r="Y46" s="368">
        <f t="shared" si="12"/>
        <v>-9746.2282072084599</v>
      </c>
      <c r="Z46" s="368">
        <f t="shared" si="12"/>
        <v>-10500.45163970521</v>
      </c>
      <c r="AA46" s="368">
        <f t="shared" si="12"/>
        <v>-11318.910690677683</v>
      </c>
      <c r="AB46" s="368">
        <f t="shared" si="12"/>
        <v>-12206.009674418563</v>
      </c>
      <c r="AC46" s="368">
        <f t="shared" si="12"/>
        <v>-13168.17839840423</v>
      </c>
      <c r="AD46" s="368">
        <f t="shared" si="12"/>
        <v>-14211.350394958947</v>
      </c>
      <c r="AE46" s="368">
        <f t="shared" si="12"/>
        <v>-15343.285350152704</v>
      </c>
      <c r="AF46" s="368">
        <f t="shared" si="12"/>
        <v>-16570.110691003101</v>
      </c>
      <c r="AG46" s="368">
        <f t="shared" si="12"/>
        <v>-17260.17292344986</v>
      </c>
    </row>
    <row r="49" spans="1:33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A51" s="11"/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369"/>
      <c r="AF51" s="369"/>
      <c r="AG51" s="369"/>
    </row>
    <row r="52" spans="1:33">
      <c r="C52" s="369"/>
      <c r="D52" s="369"/>
      <c r="E52" s="369"/>
      <c r="F52" s="369"/>
      <c r="G52" s="369"/>
    </row>
    <row r="53" spans="1:33">
      <c r="C53" s="6"/>
      <c r="D53" s="6"/>
      <c r="E53" s="6"/>
      <c r="F53" s="6"/>
      <c r="G53" s="6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369"/>
      <c r="D58" s="369"/>
      <c r="E58" s="369"/>
      <c r="F58" s="369"/>
      <c r="G58" s="369"/>
    </row>
    <row r="59" spans="1:33">
      <c r="C59" s="6"/>
      <c r="D59" s="6"/>
      <c r="E59" s="6"/>
      <c r="F59" s="6"/>
      <c r="G59" s="6"/>
    </row>
    <row r="60" spans="1:33">
      <c r="C60" s="6"/>
      <c r="D60" s="6"/>
      <c r="E60" s="6"/>
      <c r="F60" s="6"/>
      <c r="G60" s="6"/>
    </row>
    <row r="61" spans="1:33">
      <c r="C61" s="370"/>
      <c r="D61" s="370"/>
      <c r="E61" s="370"/>
      <c r="F61" s="370"/>
      <c r="G61" s="6"/>
    </row>
    <row r="62" spans="1:33">
      <c r="C62" s="6"/>
      <c r="D62" s="6"/>
      <c r="E62" s="6"/>
      <c r="F62" s="6"/>
      <c r="G62" s="6"/>
    </row>
    <row r="63" spans="1:33">
      <c r="C63" s="370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C53" sqref="C53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IS!C33</f>
        <v>3719.3333333333358</v>
      </c>
      <c r="D11" s="18">
        <f>IS!D33</f>
        <v>5730.899999999996</v>
      </c>
      <c r="E11" s="18">
        <f>IS!E33</f>
        <v>5708.4030000000021</v>
      </c>
      <c r="F11" s="18">
        <f>IS!F33</f>
        <v>5685.2922899999994</v>
      </c>
      <c r="G11" s="18">
        <f>IS!G33</f>
        <v>5661.5506826999972</v>
      </c>
      <c r="H11" s="18">
        <f>IS!H33</f>
        <v>5637.1604996609985</v>
      </c>
      <c r="I11" s="18">
        <f>IS!I33</f>
        <v>5612.103557060429</v>
      </c>
      <c r="J11" s="18">
        <f>IS!J33</f>
        <v>5586.3611510300361</v>
      </c>
      <c r="K11" s="18">
        <f>IS!K33</f>
        <v>5559.9140425638816</v>
      </c>
      <c r="L11" s="18">
        <f>IS!L33</f>
        <v>5532.742441983808</v>
      </c>
      <c r="M11" s="18">
        <f>IS!M33</f>
        <v>5504.8259929491851</v>
      </c>
      <c r="N11" s="18">
        <f>IS!N33</f>
        <v>5476.1437559976457</v>
      </c>
      <c r="O11" s="18">
        <f>IS!O33</f>
        <v>5446.6741916027568</v>
      </c>
      <c r="P11" s="18">
        <f>IS!P33</f>
        <v>5416.3951427345328</v>
      </c>
      <c r="Q11" s="18">
        <f>IS!Q33</f>
        <v>5385.2838169079296</v>
      </c>
      <c r="R11" s="18">
        <f>IS!R33</f>
        <v>5353.3167677043475</v>
      </c>
      <c r="S11" s="18">
        <f>IS!S33</f>
        <v>5320.4698757504539</v>
      </c>
      <c r="T11" s="18">
        <f>IS!T33</f>
        <v>5286.7183291382426</v>
      </c>
      <c r="U11" s="18">
        <f>IS!U33</f>
        <v>5252.0366032699676</v>
      </c>
      <c r="V11" s="18">
        <f>IS!V33</f>
        <v>5216.3984401107973</v>
      </c>
      <c r="W11" s="18">
        <f>IS!W33</f>
        <v>1041.2805218260546</v>
      </c>
      <c r="X11" s="18">
        <f>IS!X33</f>
        <v>-1481.8560261754101</v>
      </c>
      <c r="Y11" s="18">
        <f>IS!Y33</f>
        <v>-1520.5287079289765</v>
      </c>
      <c r="Z11" s="18">
        <f>IS!Z33</f>
        <v>-1560.2706301545213</v>
      </c>
      <c r="AA11" s="18">
        <f>IS!AA33</f>
        <v>-1601.112051266583</v>
      </c>
      <c r="AB11" s="18">
        <f>IS!AB33</f>
        <v>-1643.0841010561535</v>
      </c>
      <c r="AC11" s="18">
        <f>IS!AC33</f>
        <v>-1686.2188061044426</v>
      </c>
      <c r="AD11" s="18">
        <f>IS!AD33</f>
        <v>-1730.5491159445146</v>
      </c>
      <c r="AE11" s="18">
        <f>IS!AE33</f>
        <v>-1776.1089299929272</v>
      </c>
      <c r="AF11" s="18">
        <f>IS!AF33</f>
        <v>-1822.9331252741922</v>
      </c>
      <c r="AG11" s="18">
        <f>IS!AG33</f>
        <v>-1871.057584961527</v>
      </c>
    </row>
    <row r="12" spans="1:35">
      <c r="A12" s="45" t="s">
        <v>79</v>
      </c>
      <c r="B12" s="444">
        <v>0</v>
      </c>
      <c r="C12" s="444">
        <f>-(Debt!B36)</f>
        <v>-2360.0578217835541</v>
      </c>
      <c r="D12" s="444">
        <f>-(Debt!B44+Debt!C27+Debt!C36)</f>
        <v>-5706.4052432491362</v>
      </c>
      <c r="E12" s="444">
        <f>-(Debt!C44+Debt!D27+Debt!D36)</f>
        <v>-5819.0148898103862</v>
      </c>
      <c r="F12" s="444">
        <f>-(Debt!D44+Debt!E27+Debt!E36)</f>
        <v>-5943.6285014520709</v>
      </c>
      <c r="G12" s="444">
        <f>-(Debt!E44+Debt!F27+Debt!F36)</f>
        <v>-6067.0055975542227</v>
      </c>
      <c r="H12" s="444">
        <f>-(Debt!F44+Debt!G27+Debt!G36)</f>
        <v>-6215.6294798132658</v>
      </c>
      <c r="I12" s="444">
        <f>-(Debt!G44+Debt!H27+Debt!H36)</f>
        <v>-6373.8759692216499</v>
      </c>
      <c r="J12" s="444">
        <f>-(Debt!H44+Debt!I27+Debt!I36)</f>
        <v>-6551.8655526729272</v>
      </c>
      <c r="K12" s="444">
        <f>-(Debt!I44+Debt!J27+Debt!J36)</f>
        <v>-6731.9889094010232</v>
      </c>
      <c r="L12" s="444">
        <f>-(Debt!J44+Debt!K27+Debt!K36)</f>
        <v>-6943.6468196856258</v>
      </c>
      <c r="M12" s="444">
        <f>-(Debt!K44+Debt!L27+Debt!L36)</f>
        <v>-7169.9569658238543</v>
      </c>
      <c r="N12" s="444">
        <f>-(Debt!L44+Debt!M27+Debt!M36)</f>
        <v>-7422.5264969951904</v>
      </c>
      <c r="O12" s="444">
        <f>-(Debt!M44+Debt!N27+Debt!N36)</f>
        <v>-7681.8442339387711</v>
      </c>
      <c r="P12" s="444">
        <f>-(Debt!N44+Debt!O27+Debt!O36)</f>
        <v>-7981.4720437575124</v>
      </c>
      <c r="Q12" s="444">
        <f>-(Debt!O44+Debt!P27+Debt!P36)</f>
        <v>-8302.7048461040285</v>
      </c>
      <c r="R12" s="444">
        <f>-(Debt!P44+Debt!Q27+Debt!Q36)</f>
        <v>-8659.2503465553109</v>
      </c>
      <c r="S12" s="444">
        <f>-(Debt!Q44+Debt!R27+Debt!R36)</f>
        <v>-9028.8728849961262</v>
      </c>
      <c r="T12" s="444">
        <f>-(Debt!R44+Debt!S27+Debt!S36)</f>
        <v>-9451.0286316600832</v>
      </c>
      <c r="U12" s="444">
        <f>-(Debt!S44+Debt!T27+Debt!T36)</f>
        <v>-9904.3999360905473</v>
      </c>
      <c r="V12" s="444">
        <f>-(Debt!T44+Debt!U27+Debt!U36)</f>
        <v>-10405.648628877721</v>
      </c>
      <c r="W12" s="444">
        <f>-(Debt!U44+Debt!V27+Debt!V36)</f>
        <v>-10978.090976227777</v>
      </c>
      <c r="X12" s="444">
        <f>-(Debt!V44+Debt!W27+Debt!W36)</f>
        <v>-11822.122768663696</v>
      </c>
      <c r="Y12" s="444">
        <f>-(Debt!W44+Debt!X27+Debt!X36)</f>
        <v>-12883.269455364825</v>
      </c>
      <c r="Z12" s="444">
        <f>-(Debt!X44+Debt!Y27+Debt!Y36)</f>
        <v>-14076.259581042861</v>
      </c>
      <c r="AA12" s="444">
        <f>-(Debt!Y44+Debt!Z27+Debt!Z36)</f>
        <v>-15342.254167069121</v>
      </c>
      <c r="AB12" s="444">
        <f>-(Debt!Z44+Debt!AA27+Debt!AA36)</f>
        <v>-16748.405391868662</v>
      </c>
      <c r="AC12" s="444">
        <f>-(Debt!AA44+Debt!AB27+Debt!AB36)</f>
        <v>-18265.074170688229</v>
      </c>
      <c r="AD12" s="444">
        <f>-(Debt!AB44+Debt!AC27+Debt!AC36)</f>
        <v>-19926.008847637124</v>
      </c>
      <c r="AE12" s="444">
        <f>-(Debt!AC44+Debt!AD27+Debt!AD36)</f>
        <v>-21687.129500583229</v>
      </c>
      <c r="AF12" s="444">
        <f>-(Debt!AD44+Debt!AE27+Debt!AE36)</f>
        <v>-23643.269506244083</v>
      </c>
      <c r="AG12" s="444">
        <f>-(Debt!AE44+Debt!AF27+Debt!AF36)</f>
        <v>-14729.598268253902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1359.2755115497816</v>
      </c>
      <c r="D13" s="64">
        <f t="shared" si="0"/>
        <v>24.494756750859779</v>
      </c>
      <c r="E13" s="64">
        <f t="shared" si="0"/>
        <v>-110.61188981038413</v>
      </c>
      <c r="F13" s="64">
        <f t="shared" si="0"/>
        <v>-258.33621145207144</v>
      </c>
      <c r="G13" s="64">
        <f t="shared" si="0"/>
        <v>-405.45491485422554</v>
      </c>
      <c r="H13" s="64">
        <f t="shared" si="0"/>
        <v>-578.46898015226725</v>
      </c>
      <c r="I13" s="64">
        <f t="shared" si="0"/>
        <v>-761.77241216122093</v>
      </c>
      <c r="J13" s="64">
        <f t="shared" si="0"/>
        <v>-965.50440164289103</v>
      </c>
      <c r="K13" s="64">
        <f t="shared" si="0"/>
        <v>-1172.0748668371416</v>
      </c>
      <c r="L13" s="64">
        <f t="shared" si="0"/>
        <v>-1410.9043777018178</v>
      </c>
      <c r="M13" s="64">
        <f t="shared" si="0"/>
        <v>-1665.1309728746692</v>
      </c>
      <c r="N13" s="64">
        <f t="shared" si="0"/>
        <v>-1946.3827409975447</v>
      </c>
      <c r="O13" s="64">
        <f t="shared" si="0"/>
        <v>-2235.1700423360144</v>
      </c>
      <c r="P13" s="64">
        <f t="shared" si="0"/>
        <v>-2565.0769010229797</v>
      </c>
      <c r="Q13" s="64">
        <f t="shared" si="0"/>
        <v>-2917.421029196099</v>
      </c>
      <c r="R13" s="64">
        <f t="shared" si="0"/>
        <v>-3305.9335788509634</v>
      </c>
      <c r="S13" s="64">
        <f t="shared" si="0"/>
        <v>-3708.4030092456724</v>
      </c>
      <c r="T13" s="64">
        <f t="shared" si="0"/>
        <v>-4164.3103025218406</v>
      </c>
      <c r="U13" s="64">
        <f t="shared" si="0"/>
        <v>-4652.3633328205797</v>
      </c>
      <c r="V13" s="64">
        <f t="shared" si="0"/>
        <v>-5189.2501887669241</v>
      </c>
      <c r="W13" s="64">
        <f t="shared" si="0"/>
        <v>-9936.8104544017224</v>
      </c>
      <c r="X13" s="64">
        <f t="shared" si="0"/>
        <v>-13303.978794839106</v>
      </c>
      <c r="Y13" s="64">
        <f t="shared" si="0"/>
        <v>-14403.798163293803</v>
      </c>
      <c r="Z13" s="64">
        <f t="shared" si="0"/>
        <v>-15636.530211197383</v>
      </c>
      <c r="AA13" s="64">
        <f t="shared" si="0"/>
        <v>-16943.366218335705</v>
      </c>
      <c r="AB13" s="64">
        <f t="shared" si="0"/>
        <v>-18391.489492924815</v>
      </c>
      <c r="AC13" s="64">
        <f t="shared" si="0"/>
        <v>-19951.292976792673</v>
      </c>
      <c r="AD13" s="64">
        <f t="shared" si="0"/>
        <v>-21656.557963581639</v>
      </c>
      <c r="AE13" s="64">
        <f t="shared" si="0"/>
        <v>-23463.238430576155</v>
      </c>
      <c r="AF13" s="64">
        <f t="shared" si="0"/>
        <v>-25466.202631518274</v>
      </c>
      <c r="AG13" s="64">
        <f t="shared" si="0"/>
        <v>-16600.65585321543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566.05403868141002</v>
      </c>
      <c r="D16" s="23">
        <f>-Debt!C48</f>
        <v>1330.0754822697927</v>
      </c>
      <c r="E16" s="23">
        <f>-Debt!D48</f>
        <v>1423.6211658904649</v>
      </c>
      <c r="F16" s="23">
        <f>-Debt!E48</f>
        <v>1562.9155051617417</v>
      </c>
      <c r="G16" s="23">
        <f>-Debt!F48</f>
        <v>1710.3924696932227</v>
      </c>
      <c r="H16" s="23">
        <f>-Debt!G48</f>
        <v>1874.6746030318027</v>
      </c>
      <c r="I16" s="23">
        <f>-Debt!H48</f>
        <v>2052.0677919746377</v>
      </c>
      <c r="J16" s="23">
        <f>-Debt!I48</f>
        <v>2246.800562743374</v>
      </c>
      <c r="K16" s="23">
        <f>-Debt!J48</f>
        <v>2452.9871101188473</v>
      </c>
      <c r="L16" s="23">
        <f>-Debt!K48</f>
        <v>2682.4801031906245</v>
      </c>
      <c r="M16" s="23">
        <f>-Debt!L48</f>
        <v>2930.1215932451159</v>
      </c>
      <c r="N16" s="23">
        <f>-Debt!M48</f>
        <v>3201.7380683966039</v>
      </c>
      <c r="O16" s="23">
        <f>-Debt!N48</f>
        <v>3489.3126102788228</v>
      </c>
      <c r="P16" s="23">
        <f>-Debt!O48</f>
        <v>3809.2073007752042</v>
      </c>
      <c r="Q16" s="23">
        <f>-Debt!P48</f>
        <v>4154.2122774599411</v>
      </c>
      <c r="R16" s="23">
        <f>-Debt!Q48</f>
        <v>4532.3786129256769</v>
      </c>
      <c r="S16" s="23">
        <f>-Debt!R48</f>
        <v>4932.7094373689906</v>
      </c>
      <c r="T16" s="23">
        <f>-Debt!S48</f>
        <v>5377.8493252803746</v>
      </c>
      <c r="U16" s="23">
        <f>-Debt!T48</f>
        <v>5857.7204898364726</v>
      </c>
      <c r="V16" s="23">
        <f>-Debt!U48</f>
        <v>6383.4663804676384</v>
      </c>
      <c r="W16" s="23">
        <f>-Debt!V48</f>
        <v>9379.1317609532271</v>
      </c>
      <c r="X16" s="23">
        <f>-Debt!W48</f>
        <v>12478.122818581236</v>
      </c>
      <c r="Y16" s="23">
        <f>-Debt!X48</f>
        <v>14045.490244310058</v>
      </c>
      <c r="Z16" s="23">
        <f>-Debt!Y48</f>
        <v>15269.663587837713</v>
      </c>
      <c r="AA16" s="23">
        <f>-Debt!Z48</f>
        <v>16565.228652318503</v>
      </c>
      <c r="AB16" s="23">
        <f>-Debt!AA48</f>
        <v>18004.266804628714</v>
      </c>
      <c r="AC16" s="23">
        <f>-Debt!AB48</f>
        <v>19553.893150812015</v>
      </c>
      <c r="AD16" s="23">
        <f>-Debt!AC48</f>
        <v>21249.605564739642</v>
      </c>
      <c r="AE16" s="23">
        <f>-Debt!AD48</f>
        <v>23043.722847744764</v>
      </c>
      <c r="AF16" s="23">
        <f>-Debt!AE48</f>
        <v>25036.545773798367</v>
      </c>
      <c r="AG16" s="23">
        <f>-Debt!AF48</f>
        <v>16518.476946675219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1925.3295502311917</v>
      </c>
      <c r="D18" s="64">
        <f t="shared" si="1"/>
        <v>1354.5702390206525</v>
      </c>
      <c r="E18" s="64">
        <f t="shared" si="1"/>
        <v>1313.0092760800808</v>
      </c>
      <c r="F18" s="64">
        <f t="shared" si="1"/>
        <v>1304.5792937096703</v>
      </c>
      <c r="G18" s="64">
        <f t="shared" si="1"/>
        <v>1304.9375548389971</v>
      </c>
      <c r="H18" s="64">
        <f t="shared" si="1"/>
        <v>1296.2056228795354</v>
      </c>
      <c r="I18" s="64">
        <f t="shared" si="1"/>
        <v>1290.2953798134167</v>
      </c>
      <c r="J18" s="64">
        <f t="shared" si="1"/>
        <v>1281.296161100483</v>
      </c>
      <c r="K18" s="64">
        <f t="shared" si="1"/>
        <v>1280.9122432817057</v>
      </c>
      <c r="L18" s="64">
        <f t="shared" si="1"/>
        <v>1271.5757254888067</v>
      </c>
      <c r="M18" s="64">
        <f t="shared" si="1"/>
        <v>1264.9906203704468</v>
      </c>
      <c r="N18" s="64">
        <f t="shared" si="1"/>
        <v>1255.3553273990592</v>
      </c>
      <c r="O18" s="64">
        <f t="shared" si="1"/>
        <v>1254.1425679428085</v>
      </c>
      <c r="P18" s="64">
        <f t="shared" si="1"/>
        <v>1244.1303997522245</v>
      </c>
      <c r="Q18" s="64">
        <f t="shared" si="1"/>
        <v>1236.7912482638421</v>
      </c>
      <c r="R18" s="64">
        <f t="shared" si="1"/>
        <v>1226.4450340747135</v>
      </c>
      <c r="S18" s="64">
        <f t="shared" si="1"/>
        <v>1224.3064281233183</v>
      </c>
      <c r="T18" s="64">
        <f t="shared" si="1"/>
        <v>1213.539022758534</v>
      </c>
      <c r="U18" s="64">
        <f t="shared" si="1"/>
        <v>1205.3571570158929</v>
      </c>
      <c r="V18" s="64">
        <f t="shared" si="1"/>
        <v>1194.2161917007143</v>
      </c>
      <c r="W18" s="64">
        <f t="shared" si="1"/>
        <v>-557.67869344849532</v>
      </c>
      <c r="X18" s="64">
        <f t="shared" si="1"/>
        <v>-825.85597625786977</v>
      </c>
      <c r="Y18" s="64">
        <f t="shared" si="1"/>
        <v>-358.30791898374446</v>
      </c>
      <c r="Z18" s="64">
        <f t="shared" si="1"/>
        <v>-366.86662335967048</v>
      </c>
      <c r="AA18" s="64">
        <f t="shared" si="1"/>
        <v>-378.13756601720161</v>
      </c>
      <c r="AB18" s="64">
        <f t="shared" si="1"/>
        <v>-387.22268829610039</v>
      </c>
      <c r="AC18" s="64">
        <f t="shared" si="1"/>
        <v>-397.39982598065762</v>
      </c>
      <c r="AD18" s="64">
        <f t="shared" si="1"/>
        <v>-406.95239884199691</v>
      </c>
      <c r="AE18" s="64">
        <f t="shared" si="1"/>
        <v>-419.51558283139093</v>
      </c>
      <c r="AF18" s="64">
        <f t="shared" si="1"/>
        <v>-429.65685771990684</v>
      </c>
      <c r="AG18" s="64">
        <f t="shared" si="1"/>
        <v>-82.178906540211756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1925.3295502311917</v>
      </c>
      <c r="D21" s="64">
        <f t="shared" si="2"/>
        <v>1354.5702390206525</v>
      </c>
      <c r="E21" s="64">
        <f t="shared" si="2"/>
        <v>1313.0092760800808</v>
      </c>
      <c r="F21" s="64">
        <f t="shared" si="2"/>
        <v>1304.5792937096703</v>
      </c>
      <c r="G21" s="64">
        <f t="shared" si="2"/>
        <v>1304.9375548389971</v>
      </c>
      <c r="H21" s="64">
        <f t="shared" si="2"/>
        <v>1296.2056228795354</v>
      </c>
      <c r="I21" s="64">
        <f t="shared" si="2"/>
        <v>1290.2953798134167</v>
      </c>
      <c r="J21" s="64">
        <f t="shared" si="2"/>
        <v>1281.296161100483</v>
      </c>
      <c r="K21" s="64">
        <f t="shared" si="2"/>
        <v>1280.9122432817057</v>
      </c>
      <c r="L21" s="64">
        <f t="shared" si="2"/>
        <v>1271.5757254888067</v>
      </c>
      <c r="M21" s="64">
        <f t="shared" si="2"/>
        <v>1264.9906203704468</v>
      </c>
      <c r="N21" s="64">
        <f t="shared" si="2"/>
        <v>1255.3553273990592</v>
      </c>
      <c r="O21" s="64">
        <f t="shared" si="2"/>
        <v>1254.1425679428085</v>
      </c>
      <c r="P21" s="64">
        <f t="shared" si="2"/>
        <v>1244.1303997522245</v>
      </c>
      <c r="Q21" s="64">
        <f t="shared" si="2"/>
        <v>1236.7912482638421</v>
      </c>
      <c r="R21" s="64">
        <f t="shared" si="2"/>
        <v>1226.4450340747135</v>
      </c>
      <c r="S21" s="64">
        <f t="shared" si="2"/>
        <v>1224.3064281233183</v>
      </c>
      <c r="T21" s="64">
        <f t="shared" si="2"/>
        <v>1213.539022758534</v>
      </c>
      <c r="U21" s="64">
        <f t="shared" si="2"/>
        <v>1205.3571570158929</v>
      </c>
      <c r="V21" s="64">
        <f t="shared" si="2"/>
        <v>1194.2161917007143</v>
      </c>
      <c r="W21" s="64">
        <f t="shared" si="2"/>
        <v>-557.67869344849532</v>
      </c>
      <c r="X21" s="64">
        <f t="shared" si="2"/>
        <v>-825.85597625786977</v>
      </c>
      <c r="Y21" s="64">
        <f t="shared" si="2"/>
        <v>-358.30791898374446</v>
      </c>
      <c r="Z21" s="64">
        <f t="shared" si="2"/>
        <v>-366.86662335967048</v>
      </c>
      <c r="AA21" s="64">
        <f t="shared" si="2"/>
        <v>-378.13756601720161</v>
      </c>
      <c r="AB21" s="64">
        <f t="shared" si="2"/>
        <v>-387.22268829610039</v>
      </c>
      <c r="AC21" s="64">
        <f t="shared" si="2"/>
        <v>-397.39982598065762</v>
      </c>
      <c r="AD21" s="64">
        <f t="shared" si="2"/>
        <v>-406.95239884199691</v>
      </c>
      <c r="AE21" s="64">
        <f t="shared" si="2"/>
        <v>-419.51558283139093</v>
      </c>
      <c r="AF21" s="64">
        <f t="shared" si="2"/>
        <v>-429.65685771990684</v>
      </c>
      <c r="AG21" s="64">
        <f t="shared" si="2"/>
        <v>-82.178906540211756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13291.631563196133</v>
      </c>
      <c r="C25" s="18">
        <f t="shared" ref="C25:V25" si="3">+B29</f>
        <v>13291.631563196133</v>
      </c>
      <c r="D25" s="18">
        <f t="shared" si="3"/>
        <v>17077.789532274783</v>
      </c>
      <c r="E25" s="18">
        <f t="shared" si="3"/>
        <v>20823.250305813905</v>
      </c>
      <c r="F25" s="18">
        <f t="shared" si="3"/>
        <v>25051.514624707932</v>
      </c>
      <c r="G25" s="18">
        <f t="shared" si="3"/>
        <v>29863.305965876712</v>
      </c>
      <c r="H25" s="18">
        <f t="shared" si="3"/>
        <v>35349.106355938449</v>
      </c>
      <c r="I25" s="18">
        <f t="shared" si="3"/>
        <v>41594.186868649369</v>
      </c>
      <c r="J25" s="18">
        <f t="shared" si="3"/>
        <v>48707.668410073697</v>
      </c>
      <c r="K25" s="18">
        <f t="shared" si="3"/>
        <v>56808.038148584499</v>
      </c>
      <c r="L25" s="18">
        <f t="shared" si="3"/>
        <v>66042.075732668032</v>
      </c>
      <c r="M25" s="18">
        <f t="shared" si="3"/>
        <v>76559.542060730368</v>
      </c>
      <c r="N25" s="18">
        <f t="shared" si="3"/>
        <v>88542.868569603073</v>
      </c>
      <c r="O25" s="18">
        <f t="shared" si="3"/>
        <v>102194.22549674657</v>
      </c>
      <c r="P25" s="18">
        <f t="shared" si="3"/>
        <v>117755.5596342339</v>
      </c>
      <c r="Q25" s="18">
        <f t="shared" si="3"/>
        <v>135485.46838277887</v>
      </c>
      <c r="R25" s="18">
        <f t="shared" si="3"/>
        <v>155690.22520463174</v>
      </c>
      <c r="S25" s="18">
        <f t="shared" si="3"/>
        <v>178713.30176735489</v>
      </c>
      <c r="T25" s="18">
        <f t="shared" si="3"/>
        <v>204957.47044290788</v>
      </c>
      <c r="U25" s="18">
        <f t="shared" si="3"/>
        <v>234865.05532767353</v>
      </c>
      <c r="V25" s="18">
        <f t="shared" si="3"/>
        <v>268951.52023056371</v>
      </c>
      <c r="W25" s="18">
        <f t="shared" ref="W25:AG25" si="4">+V29</f>
        <v>307798.94925454335</v>
      </c>
      <c r="X25" s="18">
        <f t="shared" si="4"/>
        <v>350333.12345673091</v>
      </c>
      <c r="Y25" s="18">
        <f t="shared" si="4"/>
        <v>398553.90476441535</v>
      </c>
      <c r="Z25" s="18">
        <f t="shared" si="4"/>
        <v>453993.14351244975</v>
      </c>
      <c r="AA25" s="18">
        <f t="shared" si="4"/>
        <v>517185.31698083307</v>
      </c>
      <c r="AB25" s="18">
        <f t="shared" si="4"/>
        <v>589213.12379213248</v>
      </c>
      <c r="AC25" s="18">
        <f t="shared" si="4"/>
        <v>671315.73843473499</v>
      </c>
      <c r="AD25" s="18">
        <f t="shared" si="4"/>
        <v>764902.54198961728</v>
      </c>
      <c r="AE25" s="18">
        <f t="shared" si="4"/>
        <v>871581.94546932168</v>
      </c>
      <c r="AF25" s="18">
        <f t="shared" si="4"/>
        <v>993183.9022521954</v>
      </c>
      <c r="AG25" s="18">
        <f t="shared" si="4"/>
        <v>1131799.9917097827</v>
      </c>
    </row>
    <row r="26" spans="1:33" hidden="1">
      <c r="A26" s="45" t="s">
        <v>357</v>
      </c>
      <c r="B26" s="18">
        <v>0</v>
      </c>
      <c r="C26" s="18">
        <f>+-B25*$B$24</f>
        <v>-1860.8284188474588</v>
      </c>
      <c r="D26" s="18">
        <f t="shared" ref="D26:V26" si="5">+-D25*$B$24</f>
        <v>-2390.8905345184698</v>
      </c>
      <c r="E26" s="18">
        <f t="shared" si="5"/>
        <v>-2915.2550428139471</v>
      </c>
      <c r="F26" s="18">
        <f t="shared" si="5"/>
        <v>-3507.2120474591106</v>
      </c>
      <c r="G26" s="18">
        <f t="shared" si="5"/>
        <v>-4180.8628352227397</v>
      </c>
      <c r="H26" s="18">
        <f t="shared" si="5"/>
        <v>-4948.8748898313834</v>
      </c>
      <c r="I26" s="18">
        <f t="shared" si="5"/>
        <v>-5823.1861616109118</v>
      </c>
      <c r="J26" s="18">
        <f t="shared" si="5"/>
        <v>-6819.0735774103177</v>
      </c>
      <c r="K26" s="18">
        <f t="shared" si="5"/>
        <v>-7953.125340801831</v>
      </c>
      <c r="L26" s="18">
        <f t="shared" si="5"/>
        <v>-9245.890602573525</v>
      </c>
      <c r="M26" s="18">
        <f t="shared" si="5"/>
        <v>-10718.335888502252</v>
      </c>
      <c r="N26" s="18">
        <f t="shared" si="5"/>
        <v>-12396.001599744432</v>
      </c>
      <c r="O26" s="18">
        <f t="shared" si="5"/>
        <v>-14307.19156954452</v>
      </c>
      <c r="P26" s="18">
        <f t="shared" si="5"/>
        <v>-16485.778348792748</v>
      </c>
      <c r="Q26" s="18">
        <f t="shared" si="5"/>
        <v>-18967.965573589045</v>
      </c>
      <c r="R26" s="18">
        <f t="shared" si="5"/>
        <v>-21796.631528648446</v>
      </c>
      <c r="S26" s="18">
        <f t="shared" si="5"/>
        <v>-25019.862247429686</v>
      </c>
      <c r="T26" s="18">
        <f t="shared" si="5"/>
        <v>-28694.045862007108</v>
      </c>
      <c r="U26" s="18">
        <f t="shared" si="5"/>
        <v>-32881.107745874295</v>
      </c>
      <c r="V26" s="18">
        <f t="shared" si="5"/>
        <v>-37653.212832278921</v>
      </c>
      <c r="W26" s="18">
        <f t="shared" ref="W26:AG26" si="6">+-W25*$B$24</f>
        <v>-43091.852895636075</v>
      </c>
      <c r="X26" s="18">
        <f t="shared" si="6"/>
        <v>-49046.637283942335</v>
      </c>
      <c r="Y26" s="18">
        <f t="shared" si="6"/>
        <v>-55797.546667018156</v>
      </c>
      <c r="Z26" s="18">
        <f t="shared" si="6"/>
        <v>-63559.040091742972</v>
      </c>
      <c r="AA26" s="18">
        <f t="shared" si="6"/>
        <v>-72405.944377316642</v>
      </c>
      <c r="AB26" s="18">
        <f t="shared" si="6"/>
        <v>-82489.837330898561</v>
      </c>
      <c r="AC26" s="18">
        <f t="shared" si="6"/>
        <v>-93984.203380862906</v>
      </c>
      <c r="AD26" s="18">
        <f t="shared" si="6"/>
        <v>-107086.35587854643</v>
      </c>
      <c r="AE26" s="18">
        <f t="shared" si="6"/>
        <v>-122021.47236570505</v>
      </c>
      <c r="AF26" s="18">
        <f t="shared" si="6"/>
        <v>-139045.74631530736</v>
      </c>
      <c r="AG26" s="18">
        <f t="shared" si="6"/>
        <v>-158451.9988393696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1925.3295502311917</v>
      </c>
      <c r="D27" s="18">
        <f t="shared" si="7"/>
        <v>1354.5702390206525</v>
      </c>
      <c r="E27" s="18">
        <f t="shared" si="7"/>
        <v>1313.0092760800808</v>
      </c>
      <c r="F27" s="18">
        <f t="shared" si="7"/>
        <v>1304.5792937096703</v>
      </c>
      <c r="G27" s="18">
        <f t="shared" si="7"/>
        <v>1304.9375548389971</v>
      </c>
      <c r="H27" s="18">
        <f t="shared" si="7"/>
        <v>1296.2056228795354</v>
      </c>
      <c r="I27" s="18">
        <f t="shared" si="7"/>
        <v>1290.2953798134167</v>
      </c>
      <c r="J27" s="18">
        <f t="shared" si="7"/>
        <v>1281.296161100483</v>
      </c>
      <c r="K27" s="18">
        <f t="shared" si="7"/>
        <v>1280.9122432817057</v>
      </c>
      <c r="L27" s="18">
        <f t="shared" si="7"/>
        <v>1271.5757254888067</v>
      </c>
      <c r="M27" s="18">
        <f t="shared" si="7"/>
        <v>1264.9906203704468</v>
      </c>
      <c r="N27" s="18">
        <f t="shared" si="7"/>
        <v>1255.3553273990592</v>
      </c>
      <c r="O27" s="18">
        <f t="shared" si="7"/>
        <v>1254.1425679428085</v>
      </c>
      <c r="P27" s="18">
        <f t="shared" si="7"/>
        <v>1244.1303997522245</v>
      </c>
      <c r="Q27" s="18">
        <f t="shared" si="7"/>
        <v>1236.7912482638421</v>
      </c>
      <c r="R27" s="18">
        <f t="shared" si="7"/>
        <v>1226.4450340747135</v>
      </c>
      <c r="S27" s="18">
        <f t="shared" si="7"/>
        <v>1224.3064281233183</v>
      </c>
      <c r="T27" s="18">
        <f t="shared" si="7"/>
        <v>1213.539022758534</v>
      </c>
      <c r="U27" s="18">
        <f t="shared" si="7"/>
        <v>1205.3571570158929</v>
      </c>
      <c r="V27" s="18">
        <f t="shared" si="7"/>
        <v>1194.2161917007143</v>
      </c>
      <c r="W27" s="18">
        <f t="shared" si="7"/>
        <v>-557.67869344849532</v>
      </c>
      <c r="X27" s="18">
        <f t="shared" si="7"/>
        <v>-825.85597625786977</v>
      </c>
      <c r="Y27" s="18">
        <f t="shared" si="7"/>
        <v>-358.30791898374446</v>
      </c>
      <c r="Z27" s="18">
        <f t="shared" si="7"/>
        <v>-366.86662335967048</v>
      </c>
      <c r="AA27" s="18">
        <f t="shared" si="7"/>
        <v>-378.13756601720161</v>
      </c>
      <c r="AB27" s="18">
        <f t="shared" si="7"/>
        <v>-387.22268829610039</v>
      </c>
      <c r="AC27" s="18">
        <f t="shared" si="7"/>
        <v>-397.39982598065762</v>
      </c>
      <c r="AD27" s="18">
        <f t="shared" si="7"/>
        <v>-406.95239884199691</v>
      </c>
      <c r="AE27" s="18">
        <f t="shared" si="7"/>
        <v>-419.51558283139093</v>
      </c>
      <c r="AF27" s="18">
        <f t="shared" si="7"/>
        <v>-429.65685771990684</v>
      </c>
      <c r="AG27" s="18">
        <f t="shared" si="7"/>
        <v>-82.178906540211756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3786.1579690786502</v>
      </c>
      <c r="D28" s="308">
        <f t="shared" si="8"/>
        <v>3745.4607735391223</v>
      </c>
      <c r="E28" s="308">
        <f t="shared" si="8"/>
        <v>4228.2643188940274</v>
      </c>
      <c r="F28" s="308">
        <f t="shared" si="8"/>
        <v>4811.7913411687805</v>
      </c>
      <c r="G28" s="308">
        <f t="shared" si="8"/>
        <v>5485.8003900617368</v>
      </c>
      <c r="H28" s="308">
        <f t="shared" si="8"/>
        <v>6245.0805127109188</v>
      </c>
      <c r="I28" s="308">
        <f t="shared" si="8"/>
        <v>7113.4815414243285</v>
      </c>
      <c r="J28" s="308">
        <f t="shared" si="8"/>
        <v>8100.3697385108007</v>
      </c>
      <c r="K28" s="308">
        <f t="shared" si="8"/>
        <v>9234.0375840835368</v>
      </c>
      <c r="L28" s="308">
        <f t="shared" si="8"/>
        <v>10517.466328062332</v>
      </c>
      <c r="M28" s="308">
        <f t="shared" si="8"/>
        <v>11983.326508872698</v>
      </c>
      <c r="N28" s="308">
        <f t="shared" si="8"/>
        <v>13651.35692714349</v>
      </c>
      <c r="O28" s="308">
        <f t="shared" si="8"/>
        <v>15561.334137487329</v>
      </c>
      <c r="P28" s="308">
        <f t="shared" si="8"/>
        <v>17729.908748544971</v>
      </c>
      <c r="Q28" s="308">
        <f t="shared" si="8"/>
        <v>20204.756821852887</v>
      </c>
      <c r="R28" s="308">
        <f t="shared" si="8"/>
        <v>23023.076562723159</v>
      </c>
      <c r="S28" s="308">
        <f t="shared" si="8"/>
        <v>26244.168675553003</v>
      </c>
      <c r="T28" s="308">
        <f t="shared" si="8"/>
        <v>29907.584884765642</v>
      </c>
      <c r="U28" s="308">
        <f t="shared" si="8"/>
        <v>34086.464902890191</v>
      </c>
      <c r="V28" s="308">
        <f t="shared" si="8"/>
        <v>38847.429023979639</v>
      </c>
      <c r="W28" s="308">
        <f t="shared" ref="W28:AG28" si="9">+IF(W27&gt;W26,W27-W26,0)</f>
        <v>42534.174202187583</v>
      </c>
      <c r="X28" s="308">
        <f t="shared" si="9"/>
        <v>48220.781307684461</v>
      </c>
      <c r="Y28" s="308">
        <f t="shared" si="9"/>
        <v>55439.238748034411</v>
      </c>
      <c r="Z28" s="308">
        <f t="shared" si="9"/>
        <v>63192.173468383306</v>
      </c>
      <c r="AA28" s="308">
        <f t="shared" si="9"/>
        <v>72027.806811299437</v>
      </c>
      <c r="AB28" s="308">
        <f t="shared" si="9"/>
        <v>82102.614642602464</v>
      </c>
      <c r="AC28" s="308">
        <f t="shared" si="9"/>
        <v>93586.803554882252</v>
      </c>
      <c r="AD28" s="308">
        <f t="shared" si="9"/>
        <v>106679.40347970443</v>
      </c>
      <c r="AE28" s="308">
        <f t="shared" si="9"/>
        <v>121601.95678287366</v>
      </c>
      <c r="AF28" s="308">
        <f t="shared" si="9"/>
        <v>138616.08945758746</v>
      </c>
      <c r="AG28" s="308">
        <f t="shared" si="9"/>
        <v>158369.81993282938</v>
      </c>
    </row>
    <row r="29" spans="1:33" hidden="1">
      <c r="A29" s="45" t="s">
        <v>57</v>
      </c>
      <c r="B29" s="18">
        <f t="shared" ref="B29:V29" si="10">+B25+B28</f>
        <v>13291.631563196133</v>
      </c>
      <c r="C29" s="18">
        <f t="shared" si="10"/>
        <v>17077.789532274783</v>
      </c>
      <c r="D29" s="18">
        <f t="shared" si="10"/>
        <v>20823.250305813905</v>
      </c>
      <c r="E29" s="18">
        <f t="shared" si="10"/>
        <v>25051.514624707932</v>
      </c>
      <c r="F29" s="18">
        <f t="shared" si="10"/>
        <v>29863.305965876712</v>
      </c>
      <c r="G29" s="18">
        <f t="shared" si="10"/>
        <v>35349.106355938449</v>
      </c>
      <c r="H29" s="18">
        <f t="shared" si="10"/>
        <v>41594.186868649369</v>
      </c>
      <c r="I29" s="18">
        <f t="shared" si="10"/>
        <v>48707.668410073697</v>
      </c>
      <c r="J29" s="18">
        <f t="shared" si="10"/>
        <v>56808.038148584499</v>
      </c>
      <c r="K29" s="18">
        <f t="shared" si="10"/>
        <v>66042.075732668032</v>
      </c>
      <c r="L29" s="18">
        <f t="shared" si="10"/>
        <v>76559.542060730368</v>
      </c>
      <c r="M29" s="18">
        <f t="shared" si="10"/>
        <v>88542.868569603073</v>
      </c>
      <c r="N29" s="18">
        <f t="shared" si="10"/>
        <v>102194.22549674657</v>
      </c>
      <c r="O29" s="18">
        <f t="shared" si="10"/>
        <v>117755.5596342339</v>
      </c>
      <c r="P29" s="18">
        <f t="shared" si="10"/>
        <v>135485.46838277887</v>
      </c>
      <c r="Q29" s="18">
        <f t="shared" si="10"/>
        <v>155690.22520463174</v>
      </c>
      <c r="R29" s="18">
        <f t="shared" si="10"/>
        <v>178713.30176735489</v>
      </c>
      <c r="S29" s="18">
        <f t="shared" si="10"/>
        <v>204957.47044290788</v>
      </c>
      <c r="T29" s="18">
        <f t="shared" si="10"/>
        <v>234865.05532767353</v>
      </c>
      <c r="U29" s="18">
        <f t="shared" si="10"/>
        <v>268951.52023056371</v>
      </c>
      <c r="V29" s="18">
        <f t="shared" si="10"/>
        <v>307798.94925454335</v>
      </c>
      <c r="W29" s="18">
        <f t="shared" ref="W29:AG29" si="11">+W25+W28</f>
        <v>350333.12345673091</v>
      </c>
      <c r="X29" s="18">
        <f t="shared" si="11"/>
        <v>398553.90476441535</v>
      </c>
      <c r="Y29" s="18">
        <f t="shared" si="11"/>
        <v>453993.14351244975</v>
      </c>
      <c r="Z29" s="18">
        <f t="shared" si="11"/>
        <v>517185.31698083307</v>
      </c>
      <c r="AA29" s="18">
        <f t="shared" si="11"/>
        <v>589213.12379213248</v>
      </c>
      <c r="AB29" s="18">
        <f t="shared" si="11"/>
        <v>671315.73843473499</v>
      </c>
      <c r="AC29" s="18">
        <f t="shared" si="11"/>
        <v>764902.54198961728</v>
      </c>
      <c r="AD29" s="18">
        <f t="shared" si="11"/>
        <v>871581.94546932168</v>
      </c>
      <c r="AE29" s="18">
        <f t="shared" si="11"/>
        <v>993183.9022521954</v>
      </c>
      <c r="AF29" s="18">
        <f t="shared" si="11"/>
        <v>1131799.9917097827</v>
      </c>
      <c r="AG29" s="18">
        <f t="shared" si="11"/>
        <v>1290169.8116426121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13291.631563196133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1925.3295502311917</v>
      </c>
      <c r="D37" s="308">
        <f>D21*Assumptions!$G$48</f>
        <v>1354.5702390206525</v>
      </c>
      <c r="E37" s="308">
        <f>E21*Assumptions!$G$48</f>
        <v>1313.0092760800808</v>
      </c>
      <c r="F37" s="308">
        <f>F21*Assumptions!$G$48</f>
        <v>1304.5792937096703</v>
      </c>
      <c r="G37" s="308">
        <f>G21*Assumptions!$G$48</f>
        <v>1304.9375548389971</v>
      </c>
      <c r="H37" s="308">
        <f>H21*Assumptions!$G$48</f>
        <v>1296.2056228795354</v>
      </c>
      <c r="I37" s="308">
        <f>I21*Assumptions!$G$48</f>
        <v>1290.2953798134167</v>
      </c>
      <c r="J37" s="308">
        <f>J21*Assumptions!$G$48</f>
        <v>1281.296161100483</v>
      </c>
      <c r="K37" s="308">
        <f>K21*Assumptions!$G$48</f>
        <v>1280.9122432817057</v>
      </c>
      <c r="L37" s="308">
        <f>L21*Assumptions!$G$48</f>
        <v>1271.5757254888067</v>
      </c>
      <c r="M37" s="308">
        <f>M21*Assumptions!$G$48</f>
        <v>1264.9906203704468</v>
      </c>
      <c r="N37" s="308">
        <f>N21*Assumptions!$G$48</f>
        <v>1255.3553273990592</v>
      </c>
      <c r="O37" s="308">
        <f>O21*Assumptions!$G$48</f>
        <v>1254.1425679428085</v>
      </c>
      <c r="P37" s="308">
        <f>P21*Assumptions!$G$48</f>
        <v>1244.1303997522245</v>
      </c>
      <c r="Q37" s="308">
        <f>Q21*Assumptions!$G$48</f>
        <v>1236.7912482638421</v>
      </c>
      <c r="R37" s="308">
        <f>R21*Assumptions!$G$48</f>
        <v>1226.4450340747135</v>
      </c>
      <c r="S37" s="308">
        <f>S21*Assumptions!$G$48</f>
        <v>1224.3064281233183</v>
      </c>
      <c r="T37" s="308">
        <f>T21*Assumptions!$G$48</f>
        <v>1213.539022758534</v>
      </c>
      <c r="U37" s="308">
        <f>U21*Assumptions!$G$48</f>
        <v>1205.3571570158929</v>
      </c>
      <c r="V37" s="308">
        <f>V21*Assumptions!$G$48</f>
        <v>1194.2161917007143</v>
      </c>
      <c r="W37" s="308">
        <f>W21*Assumptions!$G$48</f>
        <v>-557.67869344849532</v>
      </c>
      <c r="X37" s="308">
        <f>X21*Assumptions!$G$48</f>
        <v>-825.85597625786977</v>
      </c>
      <c r="Y37" s="308">
        <f>Y21*Assumptions!$G$48</f>
        <v>-358.30791898374446</v>
      </c>
      <c r="Z37" s="308">
        <f>Z21*Assumptions!$G$48</f>
        <v>-366.86662335967048</v>
      </c>
      <c r="AA37" s="308">
        <f>AA21*Assumptions!$G$48</f>
        <v>-378.13756601720161</v>
      </c>
      <c r="AB37" s="308">
        <f>AB21*Assumptions!$G$48</f>
        <v>-387.22268829610039</v>
      </c>
      <c r="AC37" s="308">
        <f>AC21*Assumptions!$G$48</f>
        <v>-397.39982598065762</v>
      </c>
      <c r="AD37" s="308">
        <f>AD21*Assumptions!$G$48</f>
        <v>-406.95239884199691</v>
      </c>
      <c r="AE37" s="308">
        <f>AE21*Assumptions!$G$48</f>
        <v>-419.51558283139093</v>
      </c>
      <c r="AF37" s="308">
        <f>AF21*Assumptions!$G$48</f>
        <v>-429.65685771990684</v>
      </c>
      <c r="AG37" s="308">
        <f>AG21*Assumptions!$G$48</f>
        <v>-82.178906540211756</v>
      </c>
    </row>
    <row r="38" spans="1:33" s="18" customFormat="1">
      <c r="A38" s="45" t="s">
        <v>352</v>
      </c>
      <c r="B38" s="18">
        <f t="shared" ref="B38:AG38" si="12">SUM(B36:B37)</f>
        <v>13291.631563196133</v>
      </c>
      <c r="C38" s="18">
        <f t="shared" si="12"/>
        <v>1925.3295502311917</v>
      </c>
      <c r="D38" s="18">
        <f t="shared" si="12"/>
        <v>1354.5702390206525</v>
      </c>
      <c r="E38" s="18">
        <f t="shared" si="12"/>
        <v>1313.0092760800808</v>
      </c>
      <c r="F38" s="18">
        <f t="shared" si="12"/>
        <v>1304.5792937096703</v>
      </c>
      <c r="G38" s="18">
        <f t="shared" si="12"/>
        <v>1304.9375548389971</v>
      </c>
      <c r="H38" s="18">
        <f t="shared" si="12"/>
        <v>1296.2056228795354</v>
      </c>
      <c r="I38" s="18">
        <f t="shared" si="12"/>
        <v>1290.2953798134167</v>
      </c>
      <c r="J38" s="18">
        <f t="shared" si="12"/>
        <v>1281.296161100483</v>
      </c>
      <c r="K38" s="18">
        <f t="shared" si="12"/>
        <v>1280.9122432817057</v>
      </c>
      <c r="L38" s="18">
        <f t="shared" si="12"/>
        <v>1271.5757254888067</v>
      </c>
      <c r="M38" s="18">
        <f t="shared" si="12"/>
        <v>1264.9906203704468</v>
      </c>
      <c r="N38" s="18">
        <f t="shared" si="12"/>
        <v>1255.3553273990592</v>
      </c>
      <c r="O38" s="18">
        <f t="shared" si="12"/>
        <v>1254.1425679428085</v>
      </c>
      <c r="P38" s="18">
        <f t="shared" si="12"/>
        <v>1244.1303997522245</v>
      </c>
      <c r="Q38" s="18">
        <f t="shared" si="12"/>
        <v>1236.7912482638421</v>
      </c>
      <c r="R38" s="18">
        <f t="shared" si="12"/>
        <v>1226.4450340747135</v>
      </c>
      <c r="S38" s="18">
        <f t="shared" si="12"/>
        <v>1224.3064281233183</v>
      </c>
      <c r="T38" s="18">
        <f t="shared" si="12"/>
        <v>1213.539022758534</v>
      </c>
      <c r="U38" s="18">
        <f t="shared" si="12"/>
        <v>1205.3571570158929</v>
      </c>
      <c r="V38" s="18">
        <f t="shared" si="12"/>
        <v>1194.2161917007143</v>
      </c>
      <c r="W38" s="18">
        <f t="shared" si="12"/>
        <v>-557.67869344849532</v>
      </c>
      <c r="X38" s="18">
        <f t="shared" si="12"/>
        <v>-825.85597625786977</v>
      </c>
      <c r="Y38" s="18">
        <f t="shared" si="12"/>
        <v>-358.30791898374446</v>
      </c>
      <c r="Z38" s="18">
        <f t="shared" si="12"/>
        <v>-366.86662335967048</v>
      </c>
      <c r="AA38" s="18">
        <f t="shared" si="12"/>
        <v>-378.13756601720161</v>
      </c>
      <c r="AB38" s="18">
        <f t="shared" si="12"/>
        <v>-387.22268829610039</v>
      </c>
      <c r="AC38" s="18">
        <f t="shared" si="12"/>
        <v>-397.39982598065762</v>
      </c>
      <c r="AD38" s="18">
        <f t="shared" si="12"/>
        <v>-406.95239884199691</v>
      </c>
      <c r="AE38" s="18">
        <f t="shared" si="12"/>
        <v>-419.51558283139093</v>
      </c>
      <c r="AF38" s="18">
        <f t="shared" si="12"/>
        <v>-429.65685771990684</v>
      </c>
      <c r="AG38" s="18">
        <f t="shared" si="12"/>
        <v>-82.178906540211756</v>
      </c>
    </row>
    <row r="39" spans="1:33">
      <c r="B39" s="446" t="s">
        <v>1</v>
      </c>
      <c r="C39" s="452">
        <f>XIRR(B38:W38,B8:W8)</f>
        <v>2.9802322387695314E-9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13291.631563196133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1925.3295502311917</v>
      </c>
      <c r="D43" s="18">
        <f>D21*Assumptions!$G$48</f>
        <v>1354.5702390206525</v>
      </c>
      <c r="E43" s="18">
        <f>E21*Assumptions!$G$48</f>
        <v>1313.0092760800808</v>
      </c>
      <c r="F43" s="18">
        <f>F21*Assumptions!$G$48</f>
        <v>1304.5792937096703</v>
      </c>
      <c r="G43" s="18">
        <f>G21*Assumptions!$G$48</f>
        <v>1304.9375548389971</v>
      </c>
      <c r="H43" s="18">
        <f>H21*Assumptions!$G$48</f>
        <v>1296.2056228795354</v>
      </c>
      <c r="I43" s="18">
        <f>I21*Assumptions!$G$48</f>
        <v>1290.2953798134167</v>
      </c>
      <c r="J43" s="18">
        <f>J21*Assumptions!$G$48</f>
        <v>1281.296161100483</v>
      </c>
      <c r="K43" s="18">
        <f>K21*Assumptions!$G$48</f>
        <v>1280.9122432817057</v>
      </c>
      <c r="L43" s="18">
        <f>L21*Assumptions!$G$48</f>
        <v>1271.5757254888067</v>
      </c>
      <c r="M43" s="18">
        <f>M21*Assumptions!$G$48</f>
        <v>1264.9906203704468</v>
      </c>
      <c r="N43" s="18">
        <f>N21*Assumptions!$G$48</f>
        <v>1255.3553273990592</v>
      </c>
      <c r="O43" s="18">
        <f>O21*Assumptions!$G$48</f>
        <v>1254.1425679428085</v>
      </c>
      <c r="P43" s="18">
        <f>P21*Assumptions!$G$48</f>
        <v>1244.1303997522245</v>
      </c>
      <c r="Q43" s="18">
        <f>Q21*Assumptions!$G$48</f>
        <v>1236.7912482638421</v>
      </c>
      <c r="R43" s="18">
        <f>R21*Assumptions!$G$48</f>
        <v>1226.4450340747135</v>
      </c>
      <c r="S43" s="18">
        <f>S21*Assumptions!$G$48</f>
        <v>1224.3064281233183</v>
      </c>
      <c r="T43" s="18">
        <f>T21*Assumptions!$G$48</f>
        <v>1213.539022758534</v>
      </c>
      <c r="U43" s="18">
        <f>U21*Assumptions!$G$48</f>
        <v>1205.3571570158929</v>
      </c>
      <c r="V43" s="18">
        <f>V21*Assumptions!$G$48</f>
        <v>1194.2161917007143</v>
      </c>
      <c r="W43" s="18">
        <f>W21*Assumptions!$G$48</f>
        <v>-557.67869344849532</v>
      </c>
      <c r="X43" s="18">
        <f>X21*Assumptions!$G$48</f>
        <v>-825.85597625786977</v>
      </c>
      <c r="Y43" s="18">
        <f>Y21*Assumptions!$G$48</f>
        <v>-358.30791898374446</v>
      </c>
      <c r="Z43" s="18">
        <f>Z21*Assumptions!$G$48</f>
        <v>-366.86662335967048</v>
      </c>
      <c r="AA43" s="18">
        <f>AA21*Assumptions!$G$48</f>
        <v>-378.13756601720161</v>
      </c>
      <c r="AB43" s="18">
        <f>AB21*Assumptions!$G$48</f>
        <v>-387.22268829610039</v>
      </c>
      <c r="AC43" s="18">
        <f>AC21*Assumptions!$G$48</f>
        <v>-397.39982598065762</v>
      </c>
      <c r="AD43" s="18">
        <f>AD21*Assumptions!$G$48</f>
        <v>-406.95239884199691</v>
      </c>
      <c r="AE43" s="18">
        <f>AE21*Assumptions!$G$48</f>
        <v>-419.51558283139093</v>
      </c>
      <c r="AF43" s="18">
        <f>AF21*Assumptions!$G$48</f>
        <v>-429.65685771990684</v>
      </c>
      <c r="AG43" s="18">
        <f>AG21*Assumptions!$G$48</f>
        <v>-82.178906540211756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Assumptions!H23*IS!W33</f>
        <v>5206.402609130273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Assumptions!H23*IS!AF33*Assumptions!G48</f>
        <v>-9114.665626370961</v>
      </c>
    </row>
    <row r="45" spans="1:33">
      <c r="A45" s="56" t="s">
        <v>352</v>
      </c>
      <c r="B45" s="18">
        <f t="shared" ref="B45:AG45" si="13">SUM(B42:B44)</f>
        <v>13291.631563196133</v>
      </c>
      <c r="C45" s="18">
        <f t="shared" si="13"/>
        <v>1925.3295502311917</v>
      </c>
      <c r="D45" s="18">
        <f t="shared" si="13"/>
        <v>1354.5702390206525</v>
      </c>
      <c r="E45" s="18">
        <f t="shared" si="13"/>
        <v>1313.0092760800808</v>
      </c>
      <c r="F45" s="18">
        <f t="shared" si="13"/>
        <v>1304.5792937096703</v>
      </c>
      <c r="G45" s="18">
        <f t="shared" si="13"/>
        <v>1304.9375548389971</v>
      </c>
      <c r="H45" s="18">
        <f t="shared" si="13"/>
        <v>1296.2056228795354</v>
      </c>
      <c r="I45" s="18">
        <f t="shared" si="13"/>
        <v>1290.2953798134167</v>
      </c>
      <c r="J45" s="18">
        <f t="shared" si="13"/>
        <v>1281.296161100483</v>
      </c>
      <c r="K45" s="18">
        <f t="shared" si="13"/>
        <v>1280.9122432817057</v>
      </c>
      <c r="L45" s="18">
        <f t="shared" si="13"/>
        <v>1271.5757254888067</v>
      </c>
      <c r="M45" s="18">
        <f t="shared" si="13"/>
        <v>1264.9906203704468</v>
      </c>
      <c r="N45" s="18">
        <f t="shared" si="13"/>
        <v>1255.3553273990592</v>
      </c>
      <c r="O45" s="18">
        <f t="shared" si="13"/>
        <v>1254.1425679428085</v>
      </c>
      <c r="P45" s="18">
        <f t="shared" si="13"/>
        <v>1244.1303997522245</v>
      </c>
      <c r="Q45" s="18">
        <f t="shared" si="13"/>
        <v>1236.7912482638421</v>
      </c>
      <c r="R45" s="18">
        <f t="shared" si="13"/>
        <v>1226.4450340747135</v>
      </c>
      <c r="S45" s="18">
        <f t="shared" si="13"/>
        <v>1224.3064281233183</v>
      </c>
      <c r="T45" s="18">
        <f t="shared" si="13"/>
        <v>1213.539022758534</v>
      </c>
      <c r="U45" s="18">
        <f t="shared" si="13"/>
        <v>1205.3571570158929</v>
      </c>
      <c r="V45" s="18">
        <f t="shared" si="13"/>
        <v>1194.2161917007143</v>
      </c>
      <c r="W45" s="18">
        <f t="shared" si="13"/>
        <v>4648.7239156817777</v>
      </c>
      <c r="X45" s="18">
        <f t="shared" si="13"/>
        <v>-825.85597625786977</v>
      </c>
      <c r="Y45" s="18">
        <f t="shared" si="13"/>
        <v>-358.30791898374446</v>
      </c>
      <c r="Z45" s="18">
        <f t="shared" si="13"/>
        <v>-366.86662335967048</v>
      </c>
      <c r="AA45" s="18">
        <f t="shared" si="13"/>
        <v>-378.13756601720161</v>
      </c>
      <c r="AB45" s="18">
        <f t="shared" si="13"/>
        <v>-387.22268829610039</v>
      </c>
      <c r="AC45" s="18">
        <f t="shared" si="13"/>
        <v>-397.39982598065762</v>
      </c>
      <c r="AD45" s="18">
        <f t="shared" si="13"/>
        <v>-406.95239884199691</v>
      </c>
      <c r="AE45" s="18">
        <f t="shared" si="13"/>
        <v>-419.51558283139093</v>
      </c>
      <c r="AF45" s="18">
        <f t="shared" si="13"/>
        <v>-429.65685771990684</v>
      </c>
      <c r="AG45" s="18">
        <f t="shared" si="13"/>
        <v>-9196.8445329111728</v>
      </c>
    </row>
    <row r="46" spans="1:33">
      <c r="A46" s="13"/>
      <c r="B46" s="446" t="s">
        <v>1</v>
      </c>
      <c r="C46" s="452" t="e">
        <f>XIRR(B45:W45,B8:W8)</f>
        <v>#NUM!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40% Initial Project Cost</v>
      </c>
    </row>
    <row r="49" spans="1:33" s="18" customFormat="1">
      <c r="A49" s="56" t="s">
        <v>354</v>
      </c>
      <c r="B49" s="18">
        <f>-Assumptions!C11*Assumptions!G48</f>
        <v>13291.631563196133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1925.3295502311917</v>
      </c>
      <c r="D50" s="18">
        <f>+D21*Assumptions!$G$48</f>
        <v>1354.5702390206525</v>
      </c>
      <c r="E50" s="18">
        <f>+E21*Assumptions!$G$48</f>
        <v>1313.0092760800808</v>
      </c>
      <c r="F50" s="18">
        <f>+F21*Assumptions!$G$48</f>
        <v>1304.5792937096703</v>
      </c>
      <c r="G50" s="18">
        <f>+G21*Assumptions!$G$48</f>
        <v>1304.9375548389971</v>
      </c>
      <c r="H50" s="18">
        <f>+H21*Assumptions!$G$48</f>
        <v>1296.2056228795354</v>
      </c>
      <c r="I50" s="18">
        <f>+I21*Assumptions!$G$48</f>
        <v>1290.2953798134167</v>
      </c>
      <c r="J50" s="18">
        <f>+J21*Assumptions!$G$48</f>
        <v>1281.296161100483</v>
      </c>
      <c r="K50" s="18">
        <f>+K21*Assumptions!$G$48</f>
        <v>1280.9122432817057</v>
      </c>
      <c r="L50" s="18">
        <f>+L21*Assumptions!$G$48</f>
        <v>1271.5757254888067</v>
      </c>
      <c r="M50" s="18">
        <f>+M21*Assumptions!$G$48</f>
        <v>1264.9906203704468</v>
      </c>
      <c r="N50" s="18">
        <f>+N21*Assumptions!$G$48</f>
        <v>1255.3553273990592</v>
      </c>
      <c r="O50" s="18">
        <f>+O21*Assumptions!$G$48</f>
        <v>1254.1425679428085</v>
      </c>
      <c r="P50" s="18">
        <f>+P21*Assumptions!$G$48</f>
        <v>1244.1303997522245</v>
      </c>
      <c r="Q50" s="18">
        <f>+Q21*Assumptions!$G$48</f>
        <v>1236.7912482638421</v>
      </c>
      <c r="R50" s="18">
        <f>+R21*Assumptions!$G$48</f>
        <v>1226.4450340747135</v>
      </c>
      <c r="S50" s="18">
        <f>+S21*Assumptions!$G$48</f>
        <v>1224.3064281233183</v>
      </c>
      <c r="T50" s="18">
        <f>+T21*Assumptions!$G$48</f>
        <v>1213.539022758534</v>
      </c>
      <c r="U50" s="18">
        <f>+U21*Assumptions!$G$48</f>
        <v>1205.3571570158929</v>
      </c>
      <c r="V50" s="18">
        <f>+V21*Assumptions!$G$48</f>
        <v>1194.2161917007143</v>
      </c>
      <c r="W50" s="18">
        <f>+W21*Assumptions!$G$48</f>
        <v>-557.67869344849532</v>
      </c>
      <c r="X50" s="18">
        <f>+X21*Assumptions!$G$48</f>
        <v>-825.85597625786977</v>
      </c>
      <c r="Y50" s="18">
        <f>+Y21*Assumptions!$G$48</f>
        <v>-358.30791898374446</v>
      </c>
      <c r="Z50" s="18">
        <f>+Z21*Assumptions!$G$48</f>
        <v>-366.86662335967048</v>
      </c>
      <c r="AA50" s="18">
        <f>+AA21*Assumptions!$G$48</f>
        <v>-378.13756601720161</v>
      </c>
      <c r="AB50" s="18">
        <f>+AB21*Assumptions!$G$48</f>
        <v>-387.22268829610039</v>
      </c>
      <c r="AC50" s="18">
        <f>+AC21*Assumptions!$G$48</f>
        <v>-397.39982598065762</v>
      </c>
      <c r="AD50" s="18">
        <f>+AD21*Assumptions!$G$48</f>
        <v>-406.95239884199691</v>
      </c>
      <c r="AE50" s="18">
        <f>+AE21*Assumptions!$G$48</f>
        <v>-419.51558283139093</v>
      </c>
      <c r="AF50" s="18">
        <f>+AF21*Assumptions!$G$48</f>
        <v>-429.65685771990684</v>
      </c>
      <c r="AG50" s="18">
        <f>+AG21*Assumptions!$G$48</f>
        <v>-82.178906540211756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22000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22000</v>
      </c>
    </row>
    <row r="52" spans="1:33" s="18" customFormat="1">
      <c r="A52" s="56" t="s">
        <v>352</v>
      </c>
      <c r="B52" s="18">
        <f>SUM(B49:B51)</f>
        <v>13291.631563196133</v>
      </c>
      <c r="C52" s="18">
        <f t="shared" ref="C52:AG52" si="14">SUM(C49:C51)</f>
        <v>1925.3295502311917</v>
      </c>
      <c r="D52" s="18">
        <f t="shared" si="14"/>
        <v>1354.5702390206525</v>
      </c>
      <c r="E52" s="18">
        <f t="shared" si="14"/>
        <v>1313.0092760800808</v>
      </c>
      <c r="F52" s="18">
        <f t="shared" si="14"/>
        <v>1304.5792937096703</v>
      </c>
      <c r="G52" s="18">
        <f t="shared" si="14"/>
        <v>1304.9375548389971</v>
      </c>
      <c r="H52" s="18">
        <f t="shared" si="14"/>
        <v>1296.2056228795354</v>
      </c>
      <c r="I52" s="18">
        <f t="shared" si="14"/>
        <v>1290.2953798134167</v>
      </c>
      <c r="J52" s="18">
        <f t="shared" si="14"/>
        <v>1281.296161100483</v>
      </c>
      <c r="K52" s="18">
        <f t="shared" si="14"/>
        <v>1280.9122432817057</v>
      </c>
      <c r="L52" s="18">
        <f t="shared" si="14"/>
        <v>1271.5757254888067</v>
      </c>
      <c r="M52" s="18">
        <f t="shared" si="14"/>
        <v>1264.9906203704468</v>
      </c>
      <c r="N52" s="18">
        <f t="shared" si="14"/>
        <v>1255.3553273990592</v>
      </c>
      <c r="O52" s="18">
        <f t="shared" si="14"/>
        <v>1254.1425679428085</v>
      </c>
      <c r="P52" s="18">
        <f t="shared" si="14"/>
        <v>1244.1303997522245</v>
      </c>
      <c r="Q52" s="18">
        <f t="shared" si="14"/>
        <v>1236.7912482638421</v>
      </c>
      <c r="R52" s="18">
        <f t="shared" si="14"/>
        <v>1226.4450340747135</v>
      </c>
      <c r="S52" s="18">
        <f t="shared" si="14"/>
        <v>1224.3064281233183</v>
      </c>
      <c r="T52" s="18">
        <f t="shared" si="14"/>
        <v>1213.539022758534</v>
      </c>
      <c r="U52" s="18">
        <f t="shared" si="14"/>
        <v>1205.3571570158929</v>
      </c>
      <c r="V52" s="18">
        <f t="shared" si="14"/>
        <v>1194.2161917007143</v>
      </c>
      <c r="W52" s="18">
        <f t="shared" si="14"/>
        <v>21442.321306551505</v>
      </c>
      <c r="X52" s="18">
        <f t="shared" si="14"/>
        <v>-825.85597625786977</v>
      </c>
      <c r="Y52" s="18">
        <f t="shared" si="14"/>
        <v>-358.30791898374446</v>
      </c>
      <c r="Z52" s="18">
        <f t="shared" si="14"/>
        <v>-366.86662335967048</v>
      </c>
      <c r="AA52" s="18">
        <f t="shared" si="14"/>
        <v>-378.13756601720161</v>
      </c>
      <c r="AB52" s="18">
        <f t="shared" si="14"/>
        <v>-387.22268829610039</v>
      </c>
      <c r="AC52" s="18">
        <f t="shared" si="14"/>
        <v>-397.39982598065762</v>
      </c>
      <c r="AD52" s="18">
        <f t="shared" si="14"/>
        <v>-406.95239884199691</v>
      </c>
      <c r="AE52" s="18">
        <f t="shared" si="14"/>
        <v>-419.51558283139093</v>
      </c>
      <c r="AF52" s="18">
        <f t="shared" si="14"/>
        <v>-429.65685771990684</v>
      </c>
      <c r="AG52" s="18">
        <f t="shared" si="14"/>
        <v>21917.821093459788</v>
      </c>
    </row>
    <row r="53" spans="1:33">
      <c r="A53" s="13"/>
      <c r="B53" s="446" t="s">
        <v>1</v>
      </c>
      <c r="C53" s="452" t="e">
        <f>XIRR(B52:W52,B8:W8)</f>
        <v>#NUM!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13291.631563196133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1925.3295502311917</v>
      </c>
      <c r="D57" s="18">
        <f>D21*Assumptions!$G$48</f>
        <v>1354.5702390206525</v>
      </c>
      <c r="E57" s="18">
        <f>E21*Assumptions!$G$48</f>
        <v>1313.0092760800808</v>
      </c>
      <c r="F57" s="18">
        <f>F21*Assumptions!$G$48</f>
        <v>1304.5792937096703</v>
      </c>
      <c r="G57" s="18">
        <f>G21*Assumptions!$G$48</f>
        <v>1304.9375548389971</v>
      </c>
      <c r="H57" s="18">
        <f>H21*Assumptions!$G$48</f>
        <v>1296.2056228795354</v>
      </c>
      <c r="I57" s="18">
        <f>I21*Assumptions!$G$48</f>
        <v>1290.2953798134167</v>
      </c>
      <c r="J57" s="18">
        <f>J21*Assumptions!$G$48</f>
        <v>1281.296161100483</v>
      </c>
      <c r="K57" s="18">
        <f>K21*Assumptions!$G$48</f>
        <v>1280.9122432817057</v>
      </c>
      <c r="L57" s="18">
        <f>L21*Assumptions!$G$48</f>
        <v>1271.5757254888067</v>
      </c>
      <c r="M57" s="18">
        <f>M21*Assumptions!$G$48</f>
        <v>1264.9906203704468</v>
      </c>
      <c r="N57" s="18">
        <f>N21*Assumptions!$G$48</f>
        <v>1255.3553273990592</v>
      </c>
      <c r="O57" s="18">
        <f>O21*Assumptions!$G$48</f>
        <v>1254.1425679428085</v>
      </c>
      <c r="P57" s="18">
        <f>P21*Assumptions!$G$48</f>
        <v>1244.1303997522245</v>
      </c>
      <c r="Q57" s="18">
        <f>Q21*Assumptions!$G$48</f>
        <v>1236.7912482638421</v>
      </c>
      <c r="R57" s="18">
        <f>R21*Assumptions!$G$48</f>
        <v>1226.4450340747135</v>
      </c>
      <c r="S57" s="18">
        <f>S21*Assumptions!$G$48</f>
        <v>1224.3064281233183</v>
      </c>
      <c r="T57" s="18">
        <f>T21*Assumptions!$G$48</f>
        <v>1213.539022758534</v>
      </c>
      <c r="U57" s="18">
        <f>U21*Assumptions!$G$48</f>
        <v>1205.3571570158929</v>
      </c>
      <c r="V57" s="18">
        <f>V21*Assumptions!$G$48</f>
        <v>1194.2161917007143</v>
      </c>
      <c r="W57" s="18">
        <f>W21*Assumptions!$G$48</f>
        <v>-557.67869344849532</v>
      </c>
      <c r="X57" s="18">
        <f>X21*Assumptions!$G$48</f>
        <v>-825.85597625786977</v>
      </c>
      <c r="Y57" s="18">
        <f>Y21*Assumptions!$G$48</f>
        <v>-358.30791898374446</v>
      </c>
      <c r="Z57" s="18">
        <f>Z21*Assumptions!$G$48</f>
        <v>-366.86662335967048</v>
      </c>
      <c r="AA57" s="18">
        <f>AA21*Assumptions!$G$48</f>
        <v>-378.13756601720161</v>
      </c>
      <c r="AB57" s="18">
        <f>AB21*Assumptions!$G$48</f>
        <v>-387.22268829610039</v>
      </c>
      <c r="AC57" s="18">
        <f>AC21*Assumptions!$G$48</f>
        <v>-397.39982598065762</v>
      </c>
      <c r="AD57" s="18">
        <f>AD21*Assumptions!$G$48</f>
        <v>-406.95239884199691</v>
      </c>
      <c r="AE57" s="18">
        <f>AE21*Assumptions!$G$48</f>
        <v>-419.51558283139093</v>
      </c>
      <c r="AF57" s="18">
        <f>AF21*Assumptions!$G$48</f>
        <v>-429.65685771990684</v>
      </c>
      <c r="AG57" s="18">
        <f>AG21*Assumptions!$G$48</f>
        <v>-82.178906540211756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18400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18400</v>
      </c>
    </row>
    <row r="59" spans="1:33" s="18" customFormat="1" ht="12" customHeight="1">
      <c r="A59" s="56" t="s">
        <v>352</v>
      </c>
      <c r="B59" s="18">
        <f>SUM(B56:B58)</f>
        <v>13291.631563196133</v>
      </c>
      <c r="C59" s="18">
        <f t="shared" ref="C59:AG59" si="15">SUM(C56:C58)</f>
        <v>1925.3295502311917</v>
      </c>
      <c r="D59" s="18">
        <f t="shared" si="15"/>
        <v>1354.5702390206525</v>
      </c>
      <c r="E59" s="18">
        <f t="shared" si="15"/>
        <v>1313.0092760800808</v>
      </c>
      <c r="F59" s="18">
        <f t="shared" si="15"/>
        <v>1304.5792937096703</v>
      </c>
      <c r="G59" s="18">
        <f t="shared" si="15"/>
        <v>1304.9375548389971</v>
      </c>
      <c r="H59" s="18">
        <f t="shared" si="15"/>
        <v>1296.2056228795354</v>
      </c>
      <c r="I59" s="18">
        <f t="shared" si="15"/>
        <v>1290.2953798134167</v>
      </c>
      <c r="J59" s="18">
        <f t="shared" si="15"/>
        <v>1281.296161100483</v>
      </c>
      <c r="K59" s="18">
        <f t="shared" si="15"/>
        <v>1280.9122432817057</v>
      </c>
      <c r="L59" s="18">
        <f t="shared" si="15"/>
        <v>1271.5757254888067</v>
      </c>
      <c r="M59" s="18">
        <f t="shared" si="15"/>
        <v>1264.9906203704468</v>
      </c>
      <c r="N59" s="18">
        <f t="shared" si="15"/>
        <v>1255.3553273990592</v>
      </c>
      <c r="O59" s="18">
        <f t="shared" si="15"/>
        <v>1254.1425679428085</v>
      </c>
      <c r="P59" s="18">
        <f t="shared" si="15"/>
        <v>1244.1303997522245</v>
      </c>
      <c r="Q59" s="18">
        <f t="shared" si="15"/>
        <v>1236.7912482638421</v>
      </c>
      <c r="R59" s="18">
        <f t="shared" si="15"/>
        <v>1226.4450340747135</v>
      </c>
      <c r="S59" s="18">
        <f t="shared" si="15"/>
        <v>1224.3064281233183</v>
      </c>
      <c r="T59" s="18">
        <f t="shared" si="15"/>
        <v>1213.539022758534</v>
      </c>
      <c r="U59" s="18">
        <f t="shared" si="15"/>
        <v>1205.3571570158929</v>
      </c>
      <c r="V59" s="18">
        <f t="shared" si="15"/>
        <v>1194.2161917007143</v>
      </c>
      <c r="W59" s="18">
        <f t="shared" si="15"/>
        <v>17842.321306551505</v>
      </c>
      <c r="X59" s="18">
        <f t="shared" si="15"/>
        <v>-825.85597625786977</v>
      </c>
      <c r="Y59" s="18">
        <f t="shared" si="15"/>
        <v>-358.30791898374446</v>
      </c>
      <c r="Z59" s="18">
        <f t="shared" si="15"/>
        <v>-366.86662335967048</v>
      </c>
      <c r="AA59" s="18">
        <f t="shared" si="15"/>
        <v>-378.13756601720161</v>
      </c>
      <c r="AB59" s="18">
        <f t="shared" si="15"/>
        <v>-387.22268829610039</v>
      </c>
      <c r="AC59" s="18">
        <f t="shared" si="15"/>
        <v>-397.39982598065762</v>
      </c>
      <c r="AD59" s="18">
        <f t="shared" si="15"/>
        <v>-406.95239884199691</v>
      </c>
      <c r="AE59" s="18">
        <f t="shared" si="15"/>
        <v>-419.51558283139093</v>
      </c>
      <c r="AF59" s="18">
        <f t="shared" si="15"/>
        <v>-429.65685771990684</v>
      </c>
      <c r="AG59" s="18">
        <f t="shared" si="15"/>
        <v>18317.821093459788</v>
      </c>
    </row>
    <row r="60" spans="1:33">
      <c r="A60" s="13"/>
      <c r="B60" s="446" t="s">
        <v>1</v>
      </c>
      <c r="C60" s="452" t="e">
        <f>XIRR(B59:W59,B8:W8)</f>
        <v>#NUM!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E21" sqref="E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6</v>
      </c>
      <c r="E12" s="491">
        <f>Assumptions!$H$54</f>
        <v>6</v>
      </c>
      <c r="F12" s="491">
        <f>Assumptions!$H$54</f>
        <v>6</v>
      </c>
      <c r="G12" s="491">
        <f>Assumptions!$H$54</f>
        <v>6</v>
      </c>
      <c r="H12" s="491">
        <f>Assumptions!$H$54</f>
        <v>6</v>
      </c>
      <c r="I12" s="491">
        <f>Assumptions!$H$54</f>
        <v>6</v>
      </c>
      <c r="J12" s="491">
        <f>Assumptions!$H$54</f>
        <v>6</v>
      </c>
      <c r="K12" s="491">
        <f>Assumptions!$H$54</f>
        <v>6</v>
      </c>
      <c r="L12" s="491">
        <f>Assumptions!$H$54</f>
        <v>6</v>
      </c>
      <c r="M12" s="491">
        <f>Assumptions!$H$54</f>
        <v>6</v>
      </c>
      <c r="N12" s="491">
        <f>Assumptions!$H$54</f>
        <v>6</v>
      </c>
      <c r="O12" s="491">
        <f>Assumptions!$H$54</f>
        <v>6</v>
      </c>
      <c r="P12" s="491">
        <f>Assumptions!$H$54</f>
        <v>6</v>
      </c>
      <c r="Q12" s="491">
        <f>Assumptions!$H$54</f>
        <v>6</v>
      </c>
      <c r="R12" s="491">
        <f>Assumptions!$H$54</f>
        <v>6</v>
      </c>
      <c r="S12" s="491">
        <f>Assumptions!$H$54</f>
        <v>6</v>
      </c>
      <c r="T12" s="491">
        <f>Assumptions!$H$54</f>
        <v>6</v>
      </c>
      <c r="U12" s="491">
        <f>Assumptions!$H$54</f>
        <v>6</v>
      </c>
      <c r="V12" s="491">
        <f>Assumptions!$H$54</f>
        <v>6</v>
      </c>
      <c r="W12" s="491">
        <f>Assumptions!$H$54</f>
        <v>6</v>
      </c>
      <c r="X12" s="491">
        <f>Assumptions!$H$54</f>
        <v>6</v>
      </c>
      <c r="Y12" s="491">
        <f>Assumptions!$H$54</f>
        <v>6</v>
      </c>
      <c r="Z12" s="491">
        <f>Assumptions!$H$54</f>
        <v>6</v>
      </c>
      <c r="AA12" s="491">
        <f>Assumptions!$H$54</f>
        <v>6</v>
      </c>
      <c r="AB12" s="491">
        <f>Assumptions!$H$54</f>
        <v>6</v>
      </c>
      <c r="AC12" s="491">
        <f>Assumptions!$H$54</f>
        <v>6</v>
      </c>
      <c r="AD12" s="491">
        <f>Assumptions!$H$54</f>
        <v>6</v>
      </c>
      <c r="AE12" s="491">
        <f>Assumptions!$H$54</f>
        <v>6</v>
      </c>
      <c r="AF12" s="491">
        <f>Assumptions!$H$54</f>
        <v>6</v>
      </c>
      <c r="AG12" s="491">
        <f>Assumptions!$H$54</f>
        <v>6</v>
      </c>
      <c r="AH12" s="491">
        <f>Assumptions!$H$54</f>
        <v>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6</v>
      </c>
      <c r="E21" s="503">
        <f>IF(AND(D7&lt;$D$7+Assumptions!$H$53,E7&lt;$D$7+Assumptions!$H$53),E12,IF(AND(D7&lt;$D$7+Assumptions!$H$53,E7&gt;=$D$7+Assumptions!$H$53),E12*(1-$D$7)+E19*$D$7,E19))</f>
        <v>6</v>
      </c>
      <c r="F21" s="503">
        <f>IF(AND(E7&lt;$D$7+Assumptions!$H$53,F7&lt;$D$7+Assumptions!$H$53),F12,IF(AND(E7&lt;$D$7+Assumptions!$H$53,F7&gt;=$D$7+Assumptions!$H$53),F12*(1-$D$7)+F19*$D$7,F19))</f>
        <v>6</v>
      </c>
      <c r="G21" s="503">
        <f>IF(AND(F7&lt;$D$7+Assumptions!$H$53,G7&lt;$D$7+Assumptions!$H$53),G12,IF(AND(F7&lt;$D$7+Assumptions!$H$53,G7&gt;=$D$7+Assumptions!$H$53),G12*(1-$D$7)+G19*$D$7,G19))</f>
        <v>6</v>
      </c>
      <c r="H21" s="503">
        <f>IF(AND(G7&lt;$D$7+Assumptions!$H$53,H7&lt;$D$7+Assumptions!$H$53),H12,IF(AND(G7&lt;$D$7+Assumptions!$H$53,H7&gt;=$D$7+Assumptions!$H$53),H12*(1-$D$7)+H19*$D$7,H19))</f>
        <v>6</v>
      </c>
      <c r="I21" s="503">
        <f>IF(AND(H7&lt;$D$7+Assumptions!$H$53,I7&lt;$D$7+Assumptions!$H$53),I12,IF(AND(H7&lt;$D$7+Assumptions!$H$53,I7&gt;=$D$7+Assumptions!$H$53),I12*(1-$D$7)+I19*$D$7,I19))</f>
        <v>6</v>
      </c>
      <c r="J21" s="503">
        <f>IF(AND(I7&lt;$D$7+Assumptions!$H$53,J7&lt;$D$7+Assumptions!$H$53),J12,IF(AND(I7&lt;$D$7+Assumptions!$H$53,J7&gt;=$D$7+Assumptions!$H$53),J12*(1-$D$7)+J19*$D$7,J19))</f>
        <v>6</v>
      </c>
      <c r="K21" s="503">
        <f>IF(AND(J7&lt;$D$7+Assumptions!$H$53,K7&lt;$D$7+Assumptions!$H$53),K12,IF(AND(J7&lt;$D$7+Assumptions!$H$53,K7&gt;=$D$7+Assumptions!$H$53),K12*(1-$D$7)+K19*$D$7,K19))</f>
        <v>6</v>
      </c>
      <c r="L21" s="503">
        <f>IF(AND(K7&lt;$D$7+Assumptions!$H$53,L7&lt;$D$7+Assumptions!$H$53),L12,IF(AND(K7&lt;$D$7+Assumptions!$H$53,L7&gt;=$D$7+Assumptions!$H$53),L12*(1-$D$7)+L19*$D$7,L19))</f>
        <v>6</v>
      </c>
      <c r="M21" s="503">
        <f>IF(AND(L7&lt;$D$7+Assumptions!$H$53,M7&lt;$D$7+Assumptions!$H$53),M12,IF(AND(L7&lt;$D$7+Assumptions!$H$53,M7&gt;=$D$7+Assumptions!$H$53),M12*(1-$D$7)+M19*$D$7,M19))</f>
        <v>6</v>
      </c>
      <c r="N21" s="503">
        <f>IF(AND(M7&lt;$D$7+Assumptions!$H$53,N7&lt;$D$7+Assumptions!$H$53),N12,IF(AND(M7&lt;$D$7+Assumptions!$H$53,N7&gt;=$D$7+Assumptions!$H$53),N12*(1-$D$7)+N19*$D$7,N19))</f>
        <v>6</v>
      </c>
      <c r="O21" s="503">
        <f>IF(AND(N7&lt;$D$7+Assumptions!$H$53,O7&lt;$D$7+Assumptions!$H$53),O12,IF(AND(N7&lt;$D$7+Assumptions!$H$53,O7&gt;=$D$7+Assumptions!$H$53),O12*(1-$D$7)+O19*$D$7,O19))</f>
        <v>6</v>
      </c>
      <c r="P21" s="503">
        <f>IF(AND(O7&lt;$D$7+Assumptions!$H$53,P7&lt;$D$7+Assumptions!$H$53),P12,IF(AND(O7&lt;$D$7+Assumptions!$H$53,P7&gt;=$D$7+Assumptions!$H$53),P12*(1-$D$7)+P19*$D$7,P19))</f>
        <v>6</v>
      </c>
      <c r="Q21" s="503">
        <f>IF(AND(P7&lt;$D$7+Assumptions!$H$53,Q7&lt;$D$7+Assumptions!$H$53),Q12,IF(AND(P7&lt;$D$7+Assumptions!$H$53,Q7&gt;=$D$7+Assumptions!$H$53),Q12*(1-$D$7)+Q19*$D$7,Q19))</f>
        <v>6</v>
      </c>
      <c r="R21" s="504">
        <f>IF(AND(Q7&lt;$D$7+Assumptions!$H$53,R7&lt;$D$7+Assumptions!$H$53),R12,IF(AND(Q7&lt;$D$7+Assumptions!$H$53,R7&gt;=$D$7+Assumptions!$H$53),R12*(1-$D$7)+R19*$D$7,R19))</f>
        <v>6</v>
      </c>
      <c r="S21" s="502">
        <f>IF(AND(R7&lt;$D$7+Assumptions!$H$53,S7&lt;$D$7+Assumptions!$H$53),S12,IF(AND(R7&lt;$D$7+Assumptions!$H$53,S7&gt;=$D$7+Assumptions!$H$53),S12*(1-$D$7)+S19*$D$7,S19))</f>
        <v>6</v>
      </c>
      <c r="T21" s="503">
        <f>IF(AND(S7&lt;$D$7+Assumptions!$H$53,T7&lt;$D$7+Assumptions!$H$53),T12,IF(AND(S7&lt;$D$7+Assumptions!$H$53,T7&gt;=$D$7+Assumptions!$H$53),T12*(1-$D$7)+T19*$D$7,T19))</f>
        <v>6</v>
      </c>
      <c r="U21" s="503">
        <f>IF(AND(T7&lt;$D$7+Assumptions!$H$53,U7&lt;$D$7+Assumptions!$H$53),U12,IF(AND(T7&lt;$D$7+Assumptions!$H$53,U7&gt;=$D$7+Assumptions!$H$53),U12*(1-$D$7)+U19*$D$7,U19))</f>
        <v>6</v>
      </c>
      <c r="V21" s="503">
        <f>IF(AND(U7&lt;$D$7+Assumptions!$H$53,V7&lt;$D$7+Assumptions!$H$53),V12,IF(AND(U7&lt;$D$7+Assumptions!$H$53,V7&gt;=$D$7+Assumptions!$H$53),V12*(1-$D$7)+V19*$D$7,V19))</f>
        <v>6</v>
      </c>
      <c r="W21" s="503">
        <f>IF(AND(V7&lt;$D$7+Assumptions!$H$53,W7&lt;$D$7+Assumptions!$H$53),W12,IF(AND(V7&lt;$D$7+Assumptions!$H$53,W7&gt;=$D$7+Assumptions!$H$53),W12*(1-$D$7)+W19*$D$7,W19))</f>
        <v>6</v>
      </c>
      <c r="X21" s="503">
        <f>IF(AND(W7&lt;$D$7+Assumptions!$H$53,X7&lt;$D$7+Assumptions!$H$53),X12,IF(AND(W7&lt;$D$7+Assumptions!$H$53,X7&gt;=$D$7+Assumptions!$H$53),X12*(1-$D$7)+X19*$D$7,X19))</f>
        <v>6.7540861277020436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1.5298519656851721</v>
      </c>
      <c r="E35" s="511">
        <f>Assumptions!$H$60*(1+Assumptions!$N$11)^(E7)</f>
        <v>1.5757475246557271</v>
      </c>
      <c r="F35" s="511">
        <f>Assumptions!$H$60*(1+Assumptions!$N$11)^(F7)</f>
        <v>1.623019950395399</v>
      </c>
      <c r="G35" s="511">
        <f>Assumptions!$H$60*(1+Assumptions!$N$11)^(G7)</f>
        <v>1.671710548907261</v>
      </c>
      <c r="H35" s="511">
        <f>Assumptions!$H$60*(1+Assumptions!$N$11)^(H7)</f>
        <v>1.7218618653744788</v>
      </c>
      <c r="I35" s="511">
        <f>Assumptions!$H$60*(1+Assumptions!$N$11)^(I7)</f>
        <v>1.7735177213357134</v>
      </c>
      <c r="J35" s="511">
        <f>Assumptions!$H$60*(1+Assumptions!$N$11)^(J7)</f>
        <v>1.8267232529757849</v>
      </c>
      <c r="K35" s="511">
        <f>Assumptions!$H$60*(1+Assumptions!$N$11)^(K7)</f>
        <v>1.8815249505650584</v>
      </c>
      <c r="L35" s="511">
        <f>Assumptions!$H$60*(1+Assumptions!$N$11)^(L7)</f>
        <v>1.93797069908201</v>
      </c>
      <c r="M35" s="511">
        <f>Assumptions!$H$60*(1+Assumptions!$N$11)^(M7)</f>
        <v>1.9961098200544707</v>
      </c>
      <c r="N35" s="511">
        <f>Assumptions!$H$60*(1+Assumptions!$N$11)^(N7)</f>
        <v>2.0559931146561046</v>
      </c>
      <c r="O35" s="511">
        <f>Assumptions!$H$60*(1+Assumptions!$N$11)^(O7)</f>
        <v>2.1176729080957877</v>
      </c>
      <c r="P35" s="511">
        <f>Assumptions!$H$60*(1+Assumptions!$N$11)^(P7)</f>
        <v>2.1812030953386614</v>
      </c>
      <c r="Q35" s="511">
        <f>Assumptions!$H$60*(1+Assumptions!$N$11)^(Q7)</f>
        <v>2.2466391881988215</v>
      </c>
      <c r="R35" s="511">
        <f>Assumptions!$H$60*(1+Assumptions!$N$11)^(R7)</f>
        <v>2.3140383638447863</v>
      </c>
      <c r="S35" s="511">
        <f>Assumptions!$H$60*(1+Assumptions!$N$11)^(S7)</f>
        <v>2.3834595147601298</v>
      </c>
      <c r="T35" s="511">
        <f>Assumptions!$H$60*(1+Assumptions!$N$11)^(T7)</f>
        <v>2.4549633002029339</v>
      </c>
      <c r="U35" s="511">
        <f>Assumptions!$H$60*(1+Assumptions!$N$11)^(U7)</f>
        <v>2.5286121992090216</v>
      </c>
      <c r="V35" s="511">
        <f>Assumptions!$H$60*(1+Assumptions!$N$11)^(V7)</f>
        <v>2.6044705651852924</v>
      </c>
      <c r="W35" s="511">
        <f>Assumptions!$H$60*(1+Assumptions!$N$11)^(W7)</f>
        <v>2.6826046821408513</v>
      </c>
      <c r="X35" s="511">
        <f>Assumptions!$H$60*(1+Assumptions!$N$11)^(X7)</f>
        <v>2.7630828226050768</v>
      </c>
      <c r="Y35" s="511">
        <f>Assumptions!$H$60*(1+Assumptions!$N$11)^(Y7)</f>
        <v>2.8459753072832292</v>
      </c>
      <c r="Z35" s="511">
        <f>Assumptions!$H$60*(1+Assumptions!$N$11)^(Z7)</f>
        <v>2.9313545665017262</v>
      </c>
      <c r="AA35" s="511">
        <f>Assumptions!$H$60*(1+Assumptions!$N$11)^(AA7)</f>
        <v>3.0192952034967786</v>
      </c>
      <c r="AB35" s="511">
        <f>Assumptions!$H$60*(1+Assumptions!$N$11)^(AB7)</f>
        <v>3.1098740596016818</v>
      </c>
      <c r="AC35" s="511">
        <f>Assumptions!$H$60*(1+Assumptions!$N$11)^(AC7)</f>
        <v>3.203170281389732</v>
      </c>
      <c r="AD35" s="511">
        <f>Assumptions!$H$60*(1+Assumptions!$N$11)^(AD7)</f>
        <v>3.2992653898314246</v>
      </c>
      <c r="AE35" s="511">
        <f>Assumptions!$H$60*(1+Assumptions!$N$11)^(AE7)</f>
        <v>3.398243351526367</v>
      </c>
      <c r="AF35" s="511">
        <f>Assumptions!$H$60*(1+Assumptions!$N$11)^(AF7)</f>
        <v>3.500190652072158</v>
      </c>
      <c r="AG35" s="511">
        <f>Assumptions!$H$60*(1+Assumptions!$N$11)^(AG7)</f>
        <v>3.6051963716343236</v>
      </c>
      <c r="AH35" s="511">
        <f>Assumptions!$H$60*(1+Assumptions!$N$11)^(AH7)</f>
        <v>3.7133522627833524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34.764625504435166</v>
      </c>
      <c r="E36" s="491">
        <f t="shared" ref="E36:AH36" si="5">SUM(E34:E35)</f>
        <v>34.614896814655729</v>
      </c>
      <c r="F36" s="491">
        <f t="shared" si="5"/>
        <v>34.997213889145399</v>
      </c>
      <c r="G36" s="491">
        <f t="shared" si="5"/>
        <v>35.560017212657264</v>
      </c>
      <c r="H36" s="491">
        <f t="shared" si="5"/>
        <v>36.22884655412448</v>
      </c>
      <c r="I36" s="491">
        <f t="shared" si="5"/>
        <v>36.938392422585707</v>
      </c>
      <c r="J36" s="491">
        <f t="shared" si="5"/>
        <v>37.671272404225782</v>
      </c>
      <c r="K36" s="491">
        <f t="shared" si="5"/>
        <v>38.458031201815061</v>
      </c>
      <c r="L36" s="491">
        <f t="shared" si="5"/>
        <v>39.298716700332008</v>
      </c>
      <c r="M36" s="491">
        <f t="shared" si="5"/>
        <v>40.193378221304464</v>
      </c>
      <c r="N36" s="491">
        <f t="shared" si="5"/>
        <v>41.142066565906099</v>
      </c>
      <c r="O36" s="491">
        <f t="shared" si="5"/>
        <v>42.020662765595787</v>
      </c>
      <c r="P36" s="491">
        <f t="shared" si="5"/>
        <v>42.811793165338656</v>
      </c>
      <c r="Q36" s="491">
        <f t="shared" si="5"/>
        <v>44.312823689448827</v>
      </c>
      <c r="R36" s="491">
        <f t="shared" si="5"/>
        <v>45.478158515094776</v>
      </c>
      <c r="S36" s="491">
        <f t="shared" si="5"/>
        <v>46.697797966010114</v>
      </c>
      <c r="T36" s="491">
        <f t="shared" si="5"/>
        <v>47.97180270145293</v>
      </c>
      <c r="U36" s="491">
        <f t="shared" si="5"/>
        <v>49.300235200459021</v>
      </c>
      <c r="V36" s="491">
        <f t="shared" si="5"/>
        <v>50.683159816435285</v>
      </c>
      <c r="W36" s="491">
        <f t="shared" si="5"/>
        <v>52.120642833390853</v>
      </c>
      <c r="X36" s="491">
        <f t="shared" si="5"/>
        <v>53.612752523855072</v>
      </c>
      <c r="Y36" s="491">
        <f t="shared" si="5"/>
        <v>25.85034130728323</v>
      </c>
      <c r="Z36" s="491">
        <f t="shared" si="5"/>
        <v>25.935720566501729</v>
      </c>
      <c r="AA36" s="491">
        <f t="shared" si="5"/>
        <v>26.023661203496779</v>
      </c>
      <c r="AB36" s="491">
        <f t="shared" si="5"/>
        <v>26.114240059601684</v>
      </c>
      <c r="AC36" s="491">
        <f t="shared" si="5"/>
        <v>26.207536281389732</v>
      </c>
      <c r="AD36" s="491">
        <f t="shared" si="5"/>
        <v>26.303631389831427</v>
      </c>
      <c r="AE36" s="491">
        <f t="shared" si="5"/>
        <v>26.402609351526369</v>
      </c>
      <c r="AF36" s="491">
        <f t="shared" si="5"/>
        <v>26.504556652072161</v>
      </c>
      <c r="AG36" s="491">
        <f t="shared" si="5"/>
        <v>26.609562371634325</v>
      </c>
      <c r="AH36" s="491">
        <f t="shared" si="5"/>
        <v>26.717718262783354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34.764625504435166</v>
      </c>
      <c r="E38" s="509">
        <f t="shared" ref="E38:AH38" si="6">IF($A$38="Pass-through",E36,E34)</f>
        <v>34.614896814655729</v>
      </c>
      <c r="F38" s="509">
        <f t="shared" si="6"/>
        <v>34.997213889145399</v>
      </c>
      <c r="G38" s="509">
        <f t="shared" si="6"/>
        <v>35.560017212657264</v>
      </c>
      <c r="H38" s="509">
        <f t="shared" si="6"/>
        <v>36.22884655412448</v>
      </c>
      <c r="I38" s="509">
        <f t="shared" si="6"/>
        <v>36.938392422585707</v>
      </c>
      <c r="J38" s="509">
        <f t="shared" si="6"/>
        <v>37.671272404225782</v>
      </c>
      <c r="K38" s="509">
        <f t="shared" si="6"/>
        <v>38.458031201815061</v>
      </c>
      <c r="L38" s="509">
        <f t="shared" si="6"/>
        <v>39.298716700332008</v>
      </c>
      <c r="M38" s="509">
        <f t="shared" si="6"/>
        <v>40.193378221304464</v>
      </c>
      <c r="N38" s="509">
        <f t="shared" si="6"/>
        <v>41.142066565906099</v>
      </c>
      <c r="O38" s="509">
        <f t="shared" si="6"/>
        <v>42.020662765595787</v>
      </c>
      <c r="P38" s="509">
        <f t="shared" si="6"/>
        <v>42.811793165338656</v>
      </c>
      <c r="Q38" s="509">
        <f t="shared" si="6"/>
        <v>44.312823689448827</v>
      </c>
      <c r="R38" s="510">
        <f t="shared" si="6"/>
        <v>45.478158515094776</v>
      </c>
      <c r="S38" s="508">
        <f t="shared" si="6"/>
        <v>46.697797966010114</v>
      </c>
      <c r="T38" s="509">
        <f t="shared" si="6"/>
        <v>47.97180270145293</v>
      </c>
      <c r="U38" s="509">
        <f t="shared" si="6"/>
        <v>49.300235200459021</v>
      </c>
      <c r="V38" s="509">
        <f t="shared" si="6"/>
        <v>50.683159816435285</v>
      </c>
      <c r="W38" s="509">
        <f t="shared" si="6"/>
        <v>52.120642833390853</v>
      </c>
      <c r="X38" s="509">
        <f t="shared" si="6"/>
        <v>53.612752523855072</v>
      </c>
      <c r="Y38" s="509">
        <f t="shared" si="6"/>
        <v>25.85034130728323</v>
      </c>
      <c r="Z38" s="509">
        <f t="shared" si="6"/>
        <v>25.935720566501729</v>
      </c>
      <c r="AA38" s="509">
        <f t="shared" si="6"/>
        <v>26.023661203496779</v>
      </c>
      <c r="AB38" s="509">
        <f t="shared" si="6"/>
        <v>26.114240059601684</v>
      </c>
      <c r="AC38" s="509">
        <f t="shared" si="6"/>
        <v>26.207536281389732</v>
      </c>
      <c r="AD38" s="509">
        <f t="shared" si="6"/>
        <v>26.303631389831427</v>
      </c>
      <c r="AE38" s="509">
        <f t="shared" si="6"/>
        <v>26.402609351526369</v>
      </c>
      <c r="AF38" s="509">
        <f t="shared" si="6"/>
        <v>26.504556652072161</v>
      </c>
      <c r="AG38" s="509">
        <f t="shared" si="6"/>
        <v>26.609562371634325</v>
      </c>
      <c r="AH38" s="510">
        <f t="shared" si="6"/>
        <v>26.717718262783354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2000-04-19T15:01:20Z</cp:lastPrinted>
  <dcterms:created xsi:type="dcterms:W3CDTF">1999-04-02T01:38:38Z</dcterms:created>
  <dcterms:modified xsi:type="dcterms:W3CDTF">2014-09-03T11:34:45Z</dcterms:modified>
</cp:coreProperties>
</file>